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chart11.xml" ContentType="application/vnd.openxmlformats-officedocument.drawingml.chart+xml"/>
  <Override PartName="/xl/charts/style9.xml" ContentType="application/vnd.ms-office.chartstyle+xml"/>
  <Override PartName="/xl/charts/colors9.xml" ContentType="application/vnd.ms-office.chartcolorstyle+xml"/>
  <Override PartName="/xl/charts/chart12.xml" ContentType="application/vnd.openxmlformats-officedocument.drawingml.chart+xml"/>
  <Override PartName="/xl/charts/style10.xml" ContentType="application/vnd.ms-office.chartstyle+xml"/>
  <Override PartName="/xl/charts/colors10.xml" ContentType="application/vnd.ms-office.chartcolorstyle+xml"/>
  <Override PartName="/xl/charts/chart13.xml" ContentType="application/vnd.openxmlformats-officedocument.drawingml.chart+xml"/>
  <Override PartName="/xl/charts/style11.xml" ContentType="application/vnd.ms-office.chartstyle+xml"/>
  <Override PartName="/xl/charts/colors11.xml" ContentType="application/vnd.ms-office.chartcolorstyle+xml"/>
  <Override PartName="/xl/charts/chart14.xml" ContentType="application/vnd.openxmlformats-officedocument.drawingml.chart+xml"/>
  <Override PartName="/xl/charts/style12.xml" ContentType="application/vnd.ms-office.chartstyle+xml"/>
  <Override PartName="/xl/charts/colors12.xml" ContentType="application/vnd.ms-office.chartcolorstyle+xml"/>
  <Override PartName="/xl/charts/chart15.xml" ContentType="application/vnd.openxmlformats-officedocument.drawingml.chart+xml"/>
  <Override PartName="/xl/charts/style13.xml" ContentType="application/vnd.ms-office.chartstyle+xml"/>
  <Override PartName="/xl/charts/colors13.xml" ContentType="application/vnd.ms-office.chartcolorstyle+xml"/>
  <Override PartName="/xl/charts/chart16.xml" ContentType="application/vnd.openxmlformats-officedocument.drawingml.chart+xml"/>
  <Override PartName="/xl/charts/style14.xml" ContentType="application/vnd.ms-office.chartstyle+xml"/>
  <Override PartName="/xl/charts/colors14.xml" ContentType="application/vnd.ms-office.chartcolorstyle+xml"/>
  <Override PartName="/xl/charts/chart17.xml" ContentType="application/vnd.openxmlformats-officedocument.drawingml.chart+xml"/>
  <Override PartName="/xl/charts/style15.xml" ContentType="application/vnd.ms-office.chartstyle+xml"/>
  <Override PartName="/xl/charts/colors15.xml" ContentType="application/vnd.ms-office.chartcolorstyle+xml"/>
  <Override PartName="/xl/charts/chart18.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1"/>
  <workbookPr/>
  <mc:AlternateContent xmlns:mc="http://schemas.openxmlformats.org/markup-compatibility/2006">
    <mc:Choice Requires="x15">
      <x15ac:absPath xmlns:x15ac="http://schemas.microsoft.com/office/spreadsheetml/2010/11/ac" url="https://hertshtengroup-my.sharepoint.com/personal/sujay_bhaumik_hertshtengroup_com/Documents/"/>
    </mc:Choice>
  </mc:AlternateContent>
  <xr:revisionPtr revIDLastSave="0" documentId="8_{4C9A0461-D7F3-423F-94A2-D83DCBAF42DF}" xr6:coauthVersionLast="47" xr6:coauthVersionMax="47" xr10:uidLastSave="{00000000-0000-0000-0000-000000000000}"/>
  <bookViews>
    <workbookView xWindow="-120" yWindow="-120" windowWidth="29040" windowHeight="17640" xr2:uid="{00000000-000D-0000-FFFF-FFFF00000000}"/>
  </bookViews>
  <sheets>
    <sheet name="Journal Live" sheetId="1" r:id="rId1"/>
    <sheet name="PERFORMANCE ANALYSIS" sheetId="6" r:id="rId2"/>
    <sheet name="Journal Training" sheetId="2" r:id="rId3"/>
  </sheets>
  <definedNames>
    <definedName name="_xlnm._FilterDatabase" localSheetId="0" hidden="1">'Journal Live'!$A$2:$BC$1076</definedName>
    <definedName name="_xlnm._FilterDatabase" localSheetId="2" hidden="1">'Journal Training'!$A$2:$AZ$313</definedName>
    <definedName name="_xlnm._FilterDatabase" localSheetId="1" hidden="1">'PERFORMANCE ANALYSIS'!$AE$5:$AL$5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P1067" i="1" l="1"/>
  <c r="AQ1062" i="1"/>
  <c r="AS1062" i="1"/>
  <c r="AR1062" i="1" s="1"/>
  <c r="AQ1067" i="1"/>
  <c r="AS1067" i="1"/>
  <c r="AR1067" i="1" s="1"/>
  <c r="AQ1068" i="1"/>
  <c r="AS1068" i="1"/>
  <c r="AR1068" i="1" s="1"/>
  <c r="W1068" i="1"/>
  <c r="V1068" i="1"/>
  <c r="W1067" i="1"/>
  <c r="V1067" i="1"/>
  <c r="AI1062" i="1"/>
  <c r="W1069" i="1"/>
  <c r="W1066" i="1"/>
  <c r="W1065" i="1"/>
  <c r="W1064" i="1"/>
  <c r="W1072" i="1"/>
  <c r="W1071" i="1"/>
  <c r="W1070" i="1"/>
  <c r="AP1058" i="1"/>
  <c r="AQ1060" i="1"/>
  <c r="AA1062" i="1"/>
  <c r="W1062" i="1"/>
  <c r="V1062" i="1"/>
  <c r="AA1061" i="1"/>
  <c r="AQ1061" i="1" s="1"/>
  <c r="W1061" i="1"/>
  <c r="AI1061" i="1" s="1"/>
  <c r="AJ1061" i="1" s="1"/>
  <c r="V1061" i="1"/>
  <c r="W1060" i="1"/>
  <c r="V1060" i="1"/>
  <c r="AP1052" i="1"/>
  <c r="AQ1050" i="1"/>
  <c r="AQ1051" i="1"/>
  <c r="AS1051" i="1"/>
  <c r="AR1051" i="1" s="1"/>
  <c r="AQ1055" i="1"/>
  <c r="AQ1057" i="1"/>
  <c r="AQ1058" i="1"/>
  <c r="W1058" i="1"/>
  <c r="V1058" i="1"/>
  <c r="W1057" i="1"/>
  <c r="AS1057" i="1" s="1"/>
  <c r="AR1057" i="1" s="1"/>
  <c r="V1057" i="1"/>
  <c r="W1055" i="1"/>
  <c r="AS1055" i="1" s="1"/>
  <c r="AR1055" i="1" s="1"/>
  <c r="V1055" i="1"/>
  <c r="W1063" i="1"/>
  <c r="AA1052" i="1"/>
  <c r="AQ1052" i="1" s="1"/>
  <c r="V1052" i="1"/>
  <c r="AP1045" i="1"/>
  <c r="V1049" i="1"/>
  <c r="V1050" i="1"/>
  <c r="AQ1046" i="1"/>
  <c r="AS1046" i="1"/>
  <c r="AR1046" i="1" s="1"/>
  <c r="AR1085" i="1" s="1"/>
  <c r="AQ1048" i="1"/>
  <c r="AP1042" i="1"/>
  <c r="AA1045" i="1"/>
  <c r="W1048" i="1"/>
  <c r="V1048" i="1"/>
  <c r="W1046" i="1"/>
  <c r="V1046" i="1"/>
  <c r="AQ1042" i="1"/>
  <c r="AQ1043" i="1"/>
  <c r="AQ1044" i="1"/>
  <c r="AQ1045" i="1"/>
  <c r="W1045" i="1"/>
  <c r="V1045" i="1"/>
  <c r="AP1009" i="1"/>
  <c r="W1050" i="1"/>
  <c r="W1049" i="1"/>
  <c r="W1054" i="1"/>
  <c r="W1053" i="1"/>
  <c r="W1052" i="1"/>
  <c r="AI1052" i="1" s="1"/>
  <c r="AJ1052" i="1" s="1"/>
  <c r="W1044" i="1"/>
  <c r="V1044" i="1"/>
  <c r="W1043" i="1"/>
  <c r="V1043" i="1"/>
  <c r="W1042" i="1"/>
  <c r="V1042" i="1"/>
  <c r="W1040" i="1"/>
  <c r="W1039" i="1"/>
  <c r="W1073" i="1"/>
  <c r="AQ1032" i="1"/>
  <c r="W1032" i="1"/>
  <c r="AS1032" i="1" s="1"/>
  <c r="AR1032" i="1" s="1"/>
  <c r="V1032" i="1"/>
  <c r="AQ1030" i="1"/>
  <c r="AQ1031" i="1"/>
  <c r="W1031" i="1"/>
  <c r="AS1031" i="1" s="1"/>
  <c r="AR1031" i="1" s="1"/>
  <c r="V1031" i="1"/>
  <c r="W1030" i="1"/>
  <c r="AS1030" i="1" s="1"/>
  <c r="AR1030" i="1" s="1"/>
  <c r="V1030" i="1"/>
  <c r="AP985" i="1"/>
  <c r="AP1018" i="1"/>
  <c r="AQ1025" i="1"/>
  <c r="W1025" i="1"/>
  <c r="AS1025" i="1" s="1"/>
  <c r="AR1025" i="1" s="1"/>
  <c r="V1025" i="1"/>
  <c r="AI1024" i="1"/>
  <c r="AJ1024" i="1"/>
  <c r="AQ1022" i="1"/>
  <c r="AQ1023" i="1"/>
  <c r="W1029" i="1"/>
  <c r="W1028" i="1"/>
  <c r="W1027" i="1"/>
  <c r="W1026" i="1"/>
  <c r="W1036" i="1"/>
  <c r="W1034" i="1"/>
  <c r="W1033" i="1"/>
  <c r="W1038" i="1"/>
  <c r="W1037" i="1"/>
  <c r="W1023" i="1"/>
  <c r="AS1023" i="1" s="1"/>
  <c r="AR1023" i="1" s="1"/>
  <c r="V1023" i="1"/>
  <c r="W1022" i="1"/>
  <c r="AS1022" i="1" s="1"/>
  <c r="AR1022" i="1" s="1"/>
  <c r="V1022" i="1"/>
  <c r="AI1021" i="1"/>
  <c r="AJ1021" i="1" s="1"/>
  <c r="AQ1020" i="1"/>
  <c r="W1020" i="1"/>
  <c r="V1020" i="1"/>
  <c r="AA1018" i="1"/>
  <c r="AQ1018" i="1" s="1"/>
  <c r="W1018" i="1"/>
  <c r="AI1018" i="1" s="1"/>
  <c r="AJ1018" i="1" s="1"/>
  <c r="V1018" i="1"/>
  <c r="W1017" i="1"/>
  <c r="W1014" i="1"/>
  <c r="AI1012" i="1"/>
  <c r="AJ1012" i="1" s="1"/>
  <c r="AP894" i="1"/>
  <c r="W1010" i="1"/>
  <c r="AP1008" i="1"/>
  <c r="AA1009" i="1"/>
  <c r="AQ1009" i="1" s="1"/>
  <c r="AQ1007" i="1"/>
  <c r="AQ1005" i="1"/>
  <c r="AA1008" i="1"/>
  <c r="AQ1008" i="1" s="1"/>
  <c r="W1009" i="1"/>
  <c r="AI1009" i="1" s="1"/>
  <c r="AJ1009" i="1" s="1"/>
  <c r="V1009" i="1"/>
  <c r="AI1006" i="1"/>
  <c r="AJ1006" i="1"/>
  <c r="W1008" i="1"/>
  <c r="AI1008" i="1" s="1"/>
  <c r="AJ1008" i="1" s="1"/>
  <c r="V1008" i="1"/>
  <c r="W1007" i="1"/>
  <c r="V1007" i="1"/>
  <c r="AP1001" i="1"/>
  <c r="AP1000" i="1"/>
  <c r="W1005" i="1"/>
  <c r="V1005" i="1"/>
  <c r="AQ1003" i="1"/>
  <c r="W1003" i="1"/>
  <c r="AS1003" i="1" s="1"/>
  <c r="AR1003" i="1" s="1"/>
  <c r="V1003" i="1"/>
  <c r="AQ997" i="1"/>
  <c r="AQ1001" i="1"/>
  <c r="AQ1002" i="1"/>
  <c r="W1002" i="1"/>
  <c r="AS1002" i="1" s="1"/>
  <c r="AR1002" i="1" s="1"/>
  <c r="V1002" i="1"/>
  <c r="W1001" i="1"/>
  <c r="AS1001" i="1" s="1"/>
  <c r="AR1001" i="1" s="1"/>
  <c r="V1001" i="1"/>
  <c r="AA1000" i="1"/>
  <c r="AQ1000" i="1" s="1"/>
  <c r="W1000" i="1"/>
  <c r="V1000" i="1"/>
  <c r="AQ989" i="1"/>
  <c r="W999" i="1"/>
  <c r="W998" i="1"/>
  <c r="W1004" i="1"/>
  <c r="W997" i="1"/>
  <c r="V997" i="1"/>
  <c r="AA985" i="1"/>
  <c r="AQ985" i="1"/>
  <c r="AQ982" i="1"/>
  <c r="AS982" i="1"/>
  <c r="AR982" i="1" s="1"/>
  <c r="AQ986" i="1"/>
  <c r="W989" i="1"/>
  <c r="V989" i="1"/>
  <c r="W991" i="1"/>
  <c r="W990" i="1"/>
  <c r="W986" i="1"/>
  <c r="V986" i="1"/>
  <c r="W985" i="1"/>
  <c r="V985" i="1"/>
  <c r="AQ981" i="1"/>
  <c r="W984" i="1"/>
  <c r="W983" i="1"/>
  <c r="W992" i="1"/>
  <c r="W987" i="1"/>
  <c r="W981" i="1"/>
  <c r="V981" i="1"/>
  <c r="AQ979" i="1"/>
  <c r="AQ978" i="1"/>
  <c r="W979" i="1"/>
  <c r="AS979" i="1" s="1"/>
  <c r="AR979" i="1" s="1"/>
  <c r="V979" i="1"/>
  <c r="AQ977" i="1"/>
  <c r="W978" i="1"/>
  <c r="AS978" i="1" s="1"/>
  <c r="AR978" i="1" s="1"/>
  <c r="V978" i="1"/>
  <c r="W977" i="1"/>
  <c r="AS977" i="1" s="1"/>
  <c r="AR977" i="1" s="1"/>
  <c r="V977" i="1"/>
  <c r="W980" i="1"/>
  <c r="AQ976" i="1"/>
  <c r="W976" i="1"/>
  <c r="AS976" i="1" s="1"/>
  <c r="AR976" i="1" s="1"/>
  <c r="V976" i="1"/>
  <c r="AP960" i="1"/>
  <c r="AQ974" i="1"/>
  <c r="W974" i="1"/>
  <c r="AS974" i="1" s="1"/>
  <c r="AR974" i="1" s="1"/>
  <c r="V974" i="1"/>
  <c r="AQ972" i="1"/>
  <c r="AP957" i="1"/>
  <c r="W972" i="1"/>
  <c r="V972" i="1"/>
  <c r="AP948" i="1"/>
  <c r="AQ969" i="1"/>
  <c r="W969" i="1"/>
  <c r="V969" i="1"/>
  <c r="AP967" i="1"/>
  <c r="W967" i="1"/>
  <c r="V967" i="1"/>
  <c r="W971" i="1"/>
  <c r="W968" i="1"/>
  <c r="W975" i="1"/>
  <c r="W973" i="1"/>
  <c r="AQ965" i="1"/>
  <c r="AQ966" i="1"/>
  <c r="W966" i="1"/>
  <c r="AS966" i="1" s="1"/>
  <c r="AR966" i="1" s="1"/>
  <c r="V966" i="1"/>
  <c r="AP927" i="1"/>
  <c r="W965" i="1"/>
  <c r="AS965" i="1" s="1"/>
  <c r="AR965" i="1" s="1"/>
  <c r="V965" i="1"/>
  <c r="AA957" i="1"/>
  <c r="AQ963" i="1"/>
  <c r="W963" i="1"/>
  <c r="V963" i="1"/>
  <c r="AA927" i="1"/>
  <c r="AQ961" i="1"/>
  <c r="AQ957" i="1"/>
  <c r="AQ960" i="1"/>
  <c r="AQ955" i="1"/>
  <c r="AS955" i="1"/>
  <c r="AR955" i="1" s="1"/>
  <c r="AQ956" i="1"/>
  <c r="W961" i="1"/>
  <c r="V961" i="1"/>
  <c r="V960" i="1"/>
  <c r="W957" i="1"/>
  <c r="V957" i="1"/>
  <c r="W956" i="1"/>
  <c r="V956" i="1"/>
  <c r="W960" i="1"/>
  <c r="AS960" i="1" s="1"/>
  <c r="AR960" i="1" s="1"/>
  <c r="W995" i="1"/>
  <c r="AP954" i="1"/>
  <c r="AQ954" i="1"/>
  <c r="W954" i="1"/>
  <c r="V954" i="1"/>
  <c r="W952" i="1"/>
  <c r="AQ948" i="1"/>
  <c r="AQ952" i="1"/>
  <c r="AS952" i="1"/>
  <c r="AR952" i="1" s="1"/>
  <c r="V952" i="1"/>
  <c r="AQ945" i="1"/>
  <c r="W948" i="1"/>
  <c r="AS948" i="1" s="1"/>
  <c r="AR948" i="1" s="1"/>
  <c r="V948" i="1"/>
  <c r="W945" i="1"/>
  <c r="V945" i="1"/>
  <c r="AQ941" i="1"/>
  <c r="AQ942" i="1"/>
  <c r="AQ943" i="1"/>
  <c r="W943" i="1"/>
  <c r="AS943" i="1" s="1"/>
  <c r="AR943" i="1" s="1"/>
  <c r="V943" i="1"/>
  <c r="W942" i="1"/>
  <c r="V942" i="1"/>
  <c r="W941" i="1"/>
  <c r="V941" i="1"/>
  <c r="W949" i="1"/>
  <c r="W946" i="1"/>
  <c r="W944" i="1"/>
  <c r="W955" i="1"/>
  <c r="W950" i="1"/>
  <c r="W994" i="1"/>
  <c r="W993" i="1"/>
  <c r="W1074" i="1"/>
  <c r="AP923" i="1"/>
  <c r="AP915" i="1"/>
  <c r="AA931" i="1"/>
  <c r="W932" i="1"/>
  <c r="V932" i="1"/>
  <c r="W936" i="1"/>
  <c r="W935" i="1"/>
  <c r="W934" i="1"/>
  <c r="W933" i="1"/>
  <c r="AQ931" i="1"/>
  <c r="V929" i="1"/>
  <c r="V930" i="1"/>
  <c r="V931" i="1"/>
  <c r="AP914" i="1"/>
  <c r="AQ927" i="1"/>
  <c r="V927" i="1"/>
  <c r="AQ922" i="1"/>
  <c r="AQ924" i="1"/>
  <c r="AQ925" i="1"/>
  <c r="AA923" i="1"/>
  <c r="AQ923" i="1" s="1"/>
  <c r="W925" i="1"/>
  <c r="V925" i="1"/>
  <c r="AI917" i="1"/>
  <c r="AJ917" i="1"/>
  <c r="AI918" i="1"/>
  <c r="AJ918" i="1"/>
  <c r="W924" i="1"/>
  <c r="V924" i="1"/>
  <c r="W923" i="1"/>
  <c r="AI923" i="1" s="1"/>
  <c r="AJ923" i="1" s="1"/>
  <c r="V923" i="1"/>
  <c r="AQ916" i="1"/>
  <c r="AQ920" i="1"/>
  <c r="W922" i="1"/>
  <c r="V922" i="1"/>
  <c r="W927" i="1"/>
  <c r="AI927" i="1" s="1"/>
  <c r="W937" i="1"/>
  <c r="W931" i="1"/>
  <c r="W930" i="1"/>
  <c r="W929" i="1"/>
  <c r="W939" i="1"/>
  <c r="W938" i="1"/>
  <c r="AQ915" i="1"/>
  <c r="W920" i="1"/>
  <c r="V920" i="1"/>
  <c r="W916" i="1"/>
  <c r="V916" i="1"/>
  <c r="W915" i="1"/>
  <c r="AI915" i="1" s="1"/>
  <c r="V915" i="1"/>
  <c r="AA914" i="1"/>
  <c r="W914" i="1"/>
  <c r="V914" i="1"/>
  <c r="AQ904" i="1"/>
  <c r="AQ906" i="1"/>
  <c r="AQ913" i="1"/>
  <c r="W913" i="1"/>
  <c r="V913" i="1"/>
  <c r="W906" i="1"/>
  <c r="AS906" i="1" s="1"/>
  <c r="AR906" i="1" s="1"/>
  <c r="V906" i="1"/>
  <c r="W911" i="1"/>
  <c r="W910" i="1"/>
  <c r="W909" i="1"/>
  <c r="W908" i="1"/>
  <c r="W907" i="1"/>
  <c r="W919" i="1"/>
  <c r="AQ903" i="1"/>
  <c r="W904" i="1"/>
  <c r="V904" i="1"/>
  <c r="W903" i="1"/>
  <c r="AS903" i="1" s="1"/>
  <c r="AR903" i="1" s="1"/>
  <c r="V903" i="1"/>
  <c r="AQ902" i="1"/>
  <c r="W902" i="1"/>
  <c r="AS902" i="1" s="1"/>
  <c r="AR902" i="1" s="1"/>
  <c r="V902" i="1"/>
  <c r="D6" i="6"/>
  <c r="AP874" i="1"/>
  <c r="AQ896" i="1"/>
  <c r="AQ897" i="1"/>
  <c r="AS897" i="1"/>
  <c r="AR897" i="1" s="1"/>
  <c r="AQ898" i="1"/>
  <c r="AS898" i="1"/>
  <c r="AR898" i="1" s="1"/>
  <c r="AQ899" i="1"/>
  <c r="W899" i="1"/>
  <c r="AS899" i="1" s="1"/>
  <c r="AR899" i="1" s="1"/>
  <c r="V899" i="1"/>
  <c r="V897" i="1"/>
  <c r="V898" i="1"/>
  <c r="W901" i="1"/>
  <c r="W900" i="1"/>
  <c r="W898" i="1"/>
  <c r="W897" i="1"/>
  <c r="W905" i="1"/>
  <c r="W896" i="1"/>
  <c r="AS896" i="1" s="1"/>
  <c r="AR896" i="1" s="1"/>
  <c r="V896" i="1"/>
  <c r="AQ895" i="1"/>
  <c r="W895" i="1"/>
  <c r="AS895" i="1" s="1"/>
  <c r="AR895" i="1" s="1"/>
  <c r="V895" i="1"/>
  <c r="AP893" i="1"/>
  <c r="AA894" i="1"/>
  <c r="AQ894" i="1" s="1"/>
  <c r="W894" i="1"/>
  <c r="V894" i="1"/>
  <c r="AA893" i="1"/>
  <c r="AQ893" i="1" s="1"/>
  <c r="W893" i="1"/>
  <c r="V893" i="1"/>
  <c r="AQ888" i="1"/>
  <c r="AQ889" i="1"/>
  <c r="AS889" i="1"/>
  <c r="AR889" i="1" s="1"/>
  <c r="AQ890" i="1"/>
  <c r="AQ891" i="1"/>
  <c r="W891" i="1"/>
  <c r="AS891" i="1" s="1"/>
  <c r="AR891" i="1" s="1"/>
  <c r="V891" i="1"/>
  <c r="W890" i="1"/>
  <c r="AS890" i="1" s="1"/>
  <c r="AR890" i="1" s="1"/>
  <c r="V890" i="1"/>
  <c r="W940" i="1"/>
  <c r="W888" i="1"/>
  <c r="AS888" i="1" s="1"/>
  <c r="AR888" i="1" s="1"/>
  <c r="V888" i="1"/>
  <c r="W887" i="1"/>
  <c r="AP883" i="1"/>
  <c r="W883" i="1"/>
  <c r="V883" i="1"/>
  <c r="AQ885" i="1"/>
  <c r="W885" i="1"/>
  <c r="AS885" i="1" s="1"/>
  <c r="AR885" i="1" s="1"/>
  <c r="V885" i="1"/>
  <c r="AQ879" i="1"/>
  <c r="W879" i="1"/>
  <c r="AS879" i="1" s="1"/>
  <c r="AR879" i="1" s="1"/>
  <c r="V879" i="1"/>
  <c r="AQ878" i="1"/>
  <c r="W878" i="1"/>
  <c r="AS878" i="1" s="1"/>
  <c r="AR878" i="1" s="1"/>
  <c r="V878" i="1"/>
  <c r="AQ877" i="1"/>
  <c r="V877" i="1"/>
  <c r="V875" i="1"/>
  <c r="W874" i="1"/>
  <c r="AI874" i="1" s="1"/>
  <c r="AJ874" i="1" s="1"/>
  <c r="V874" i="1"/>
  <c r="W880" i="1"/>
  <c r="W877" i="1"/>
  <c r="AS877" i="1" s="1"/>
  <c r="AR877" i="1" s="1"/>
  <c r="W875" i="1"/>
  <c r="W881" i="1"/>
  <c r="AQ871" i="1"/>
  <c r="W871" i="1"/>
  <c r="AS871" i="1" s="1"/>
  <c r="AR871" i="1" s="1"/>
  <c r="V871" i="1"/>
  <c r="AQ868" i="1"/>
  <c r="AQ869" i="1"/>
  <c r="W869" i="1"/>
  <c r="V869" i="1"/>
  <c r="W868" i="1"/>
  <c r="V868" i="1"/>
  <c r="W870" i="1"/>
  <c r="V870" i="1"/>
  <c r="AQ867" i="1"/>
  <c r="W867" i="1"/>
  <c r="AS867" i="1" s="1"/>
  <c r="AR867" i="1" s="1"/>
  <c r="V867" i="1"/>
  <c r="W866" i="1"/>
  <c r="V866" i="1"/>
  <c r="W865" i="1"/>
  <c r="V865" i="1"/>
  <c r="W864" i="1"/>
  <c r="V864" i="1"/>
  <c r="W863" i="1"/>
  <c r="V863" i="1"/>
  <c r="W862" i="1"/>
  <c r="V862" i="1"/>
  <c r="W861" i="1"/>
  <c r="V861" i="1"/>
  <c r="AP816" i="1"/>
  <c r="AP808" i="1"/>
  <c r="W859" i="1"/>
  <c r="V859" i="1"/>
  <c r="W858" i="1"/>
  <c r="V858" i="1"/>
  <c r="W860" i="1"/>
  <c r="V860" i="1"/>
  <c r="AP830" i="1"/>
  <c r="AQ849" i="1"/>
  <c r="AQ848" i="1"/>
  <c r="W849" i="1"/>
  <c r="AS849" i="1" s="1"/>
  <c r="AR849" i="1" s="1"/>
  <c r="V849" i="1"/>
  <c r="AQ847" i="1"/>
  <c r="W850" i="1"/>
  <c r="V850" i="1"/>
  <c r="W848" i="1"/>
  <c r="AS848" i="1" s="1"/>
  <c r="AR848" i="1" s="1"/>
  <c r="V848" i="1"/>
  <c r="W847" i="1"/>
  <c r="AS847" i="1" s="1"/>
  <c r="AR847" i="1" s="1"/>
  <c r="V847" i="1"/>
  <c r="W846" i="1"/>
  <c r="V846" i="1"/>
  <c r="W845" i="1"/>
  <c r="V845" i="1"/>
  <c r="AQ844" i="1"/>
  <c r="W844" i="1"/>
  <c r="V844" i="1"/>
  <c r="AQ827" i="1"/>
  <c r="AP807" i="1"/>
  <c r="AP813" i="1"/>
  <c r="W842" i="1"/>
  <c r="V842" i="1"/>
  <c r="W841" i="1"/>
  <c r="V841" i="1"/>
  <c r="W840" i="1"/>
  <c r="V840" i="1"/>
  <c r="W839" i="1"/>
  <c r="V839" i="1"/>
  <c r="W843" i="1"/>
  <c r="V843" i="1"/>
  <c r="AQ836" i="1"/>
  <c r="AP837" i="1"/>
  <c r="W836" i="1"/>
  <c r="V836" i="1"/>
  <c r="W834" i="1"/>
  <c r="V834" i="1"/>
  <c r="W833" i="1"/>
  <c r="V833" i="1"/>
  <c r="W832" i="1"/>
  <c r="V832" i="1"/>
  <c r="W831" i="1"/>
  <c r="V831" i="1"/>
  <c r="AP772" i="1"/>
  <c r="AA830" i="1"/>
  <c r="W830" i="1"/>
  <c r="AI830" i="1" s="1"/>
  <c r="AJ830" i="1" s="1"/>
  <c r="V830" i="1"/>
  <c r="W835" i="1"/>
  <c r="V835" i="1"/>
  <c r="W827" i="1"/>
  <c r="V827" i="1"/>
  <c r="AQ826" i="1"/>
  <c r="W826" i="1"/>
  <c r="AS826" i="1" s="1"/>
  <c r="AR826" i="1" s="1"/>
  <c r="V826" i="1"/>
  <c r="AQ815" i="1"/>
  <c r="AS815" i="1"/>
  <c r="AR815" i="1" s="1"/>
  <c r="V823" i="1"/>
  <c r="V837" i="1"/>
  <c r="V872" i="1"/>
  <c r="V817" i="1"/>
  <c r="V818" i="1"/>
  <c r="W823" i="1"/>
  <c r="W837" i="1"/>
  <c r="AI837" i="1" s="1"/>
  <c r="AJ837" i="1" s="1"/>
  <c r="AA816" i="1"/>
  <c r="AA811" i="1"/>
  <c r="W816" i="1"/>
  <c r="V816" i="1"/>
  <c r="AA813" i="1"/>
  <c r="AQ813" i="1" s="1"/>
  <c r="W813" i="1"/>
  <c r="AI813" i="1" s="1"/>
  <c r="AJ813" i="1" s="1"/>
  <c r="V813" i="1"/>
  <c r="W815" i="1"/>
  <c r="W818" i="1"/>
  <c r="W817" i="1"/>
  <c r="AQ811" i="1"/>
  <c r="AQ812" i="1"/>
  <c r="AP809" i="1"/>
  <c r="V812" i="1"/>
  <c r="V810" i="1"/>
  <c r="V811" i="1"/>
  <c r="AQ809" i="1"/>
  <c r="W809" i="1"/>
  <c r="V809" i="1"/>
  <c r="AA808" i="1"/>
  <c r="AQ808" i="1" s="1"/>
  <c r="W808" i="1"/>
  <c r="V808" i="1"/>
  <c r="AA807" i="1"/>
  <c r="AQ807" i="1" s="1"/>
  <c r="W807" i="1"/>
  <c r="V807" i="1"/>
  <c r="W810" i="1"/>
  <c r="W811" i="1"/>
  <c r="W806" i="1"/>
  <c r="W805" i="1"/>
  <c r="AQ800" i="1"/>
  <c r="V797" i="1"/>
  <c r="V798" i="1"/>
  <c r="V799" i="1"/>
  <c r="V800" i="1"/>
  <c r="AQ795" i="1"/>
  <c r="V795" i="1"/>
  <c r="W795" i="1"/>
  <c r="W793" i="1"/>
  <c r="W800" i="1"/>
  <c r="W799" i="1"/>
  <c r="W798" i="1"/>
  <c r="W797" i="1"/>
  <c r="W804" i="1"/>
  <c r="AQ789" i="1"/>
  <c r="AQ790" i="1"/>
  <c r="W790" i="1"/>
  <c r="V790" i="1"/>
  <c r="W789" i="1"/>
  <c r="V789" i="1"/>
  <c r="AP781" i="1"/>
  <c r="AQ782" i="1"/>
  <c r="AS782" i="1"/>
  <c r="AR782" i="1" s="1"/>
  <c r="AQ783" i="1"/>
  <c r="V782" i="1"/>
  <c r="W782" i="1"/>
  <c r="V783" i="1"/>
  <c r="W783" i="1"/>
  <c r="AS783" i="1" s="1"/>
  <c r="AR783" i="1" s="1"/>
  <c r="W788" i="1"/>
  <c r="W787" i="1"/>
  <c r="W786" i="1"/>
  <c r="W792" i="1"/>
  <c r="AQ772" i="1"/>
  <c r="AA781" i="1"/>
  <c r="AQ781" i="1" s="1"/>
  <c r="W781" i="1"/>
  <c r="AI781" i="1" s="1"/>
  <c r="AJ781" i="1" s="1"/>
  <c r="V781" i="1"/>
  <c r="AP735" i="1"/>
  <c r="W780" i="1"/>
  <c r="W779" i="1"/>
  <c r="W778" i="1"/>
  <c r="V772" i="1"/>
  <c r="AQ769" i="1"/>
  <c r="V768" i="1"/>
  <c r="V769" i="1"/>
  <c r="AQ767" i="1"/>
  <c r="W873" i="1"/>
  <c r="V767" i="1"/>
  <c r="AQ764" i="1"/>
  <c r="V765" i="1"/>
  <c r="AQ752" i="1"/>
  <c r="V764" i="1"/>
  <c r="W764" i="1"/>
  <c r="W772" i="1"/>
  <c r="W769" i="1"/>
  <c r="AS769" i="1" s="1"/>
  <c r="AR769" i="1" s="1"/>
  <c r="W768" i="1"/>
  <c r="W767" i="1"/>
  <c r="AS767" i="1" s="1"/>
  <c r="AR767" i="1" s="1"/>
  <c r="W765" i="1"/>
  <c r="W812" i="1"/>
  <c r="AS812" i="1" s="1"/>
  <c r="AR812" i="1" s="1"/>
  <c r="W777" i="1"/>
  <c r="W775" i="1"/>
  <c r="W872" i="1"/>
  <c r="W752" i="1"/>
  <c r="V752" i="1"/>
  <c r="AQ749" i="1"/>
  <c r="W749" i="1"/>
  <c r="V749" i="1"/>
  <c r="AP744" i="1"/>
  <c r="AQ748" i="1"/>
  <c r="V748" i="1"/>
  <c r="W748" i="1"/>
  <c r="AS748" i="1" s="1"/>
  <c r="AR748" i="1" s="1"/>
  <c r="AQ746" i="1"/>
  <c r="AQ747" i="1"/>
  <c r="W747" i="1"/>
  <c r="AS747" i="1" s="1"/>
  <c r="AR747" i="1" s="1"/>
  <c r="V747" i="1"/>
  <c r="V745" i="1"/>
  <c r="W745" i="1"/>
  <c r="V746" i="1"/>
  <c r="W746" i="1"/>
  <c r="AP739" i="1"/>
  <c r="AA744" i="1"/>
  <c r="AQ739" i="1"/>
  <c r="AQ744" i="1"/>
  <c r="W744" i="1"/>
  <c r="V744" i="1"/>
  <c r="AA732" i="1"/>
  <c r="AP732" i="1"/>
  <c r="AP736" i="1"/>
  <c r="AQ736" i="1"/>
  <c r="V739" i="1"/>
  <c r="W739" i="1"/>
  <c r="AQ733" i="1"/>
  <c r="AS733" i="1"/>
  <c r="AR733" i="1" s="1"/>
  <c r="AQ734" i="1"/>
  <c r="AS734" i="1"/>
  <c r="AR734" i="1" s="1"/>
  <c r="AQ735" i="1"/>
  <c r="AQ737" i="1"/>
  <c r="AP738" i="1"/>
  <c r="V738" i="1"/>
  <c r="W738" i="1"/>
  <c r="AI738" i="1" s="1"/>
  <c r="AJ738" i="1" s="1"/>
  <c r="W737" i="1"/>
  <c r="V737" i="1"/>
  <c r="V736" i="1"/>
  <c r="W736" i="1"/>
  <c r="V733" i="1"/>
  <c r="W733" i="1"/>
  <c r="W735" i="1"/>
  <c r="V735" i="1"/>
  <c r="AQ732" i="1"/>
  <c r="W732" i="1"/>
  <c r="AI732" i="1" s="1"/>
  <c r="AJ732" i="1" s="1"/>
  <c r="V732" i="1"/>
  <c r="AQ729" i="1"/>
  <c r="AP727" i="1"/>
  <c r="AA730" i="1"/>
  <c r="AQ730" i="1" s="1"/>
  <c r="V730" i="1"/>
  <c r="W730" i="1"/>
  <c r="AI730" i="1" s="1"/>
  <c r="AJ730" i="1" s="1"/>
  <c r="V729" i="1"/>
  <c r="W729" i="1"/>
  <c r="AS729" i="1" s="1"/>
  <c r="V727" i="1"/>
  <c r="W727" i="1"/>
  <c r="AI727" i="1" s="1"/>
  <c r="AJ727" i="1" s="1"/>
  <c r="AP699" i="1"/>
  <c r="AQ724" i="1"/>
  <c r="V725" i="1"/>
  <c r="W725" i="1"/>
  <c r="W724" i="1"/>
  <c r="V724" i="1"/>
  <c r="AP719" i="1"/>
  <c r="AP716" i="1"/>
  <c r="AQ716" i="1"/>
  <c r="AQ719" i="1"/>
  <c r="W719" i="1"/>
  <c r="V719" i="1"/>
  <c r="W716" i="1"/>
  <c r="V716" i="1"/>
  <c r="V709" i="1"/>
  <c r="W709" i="1"/>
  <c r="V710" i="1"/>
  <c r="W710" i="1"/>
  <c r="V711" i="1"/>
  <c r="W711" i="1"/>
  <c r="V712" i="1"/>
  <c r="W712" i="1"/>
  <c r="V713" i="1"/>
  <c r="W713" i="1"/>
  <c r="V714" i="1"/>
  <c r="W714" i="1"/>
  <c r="V715" i="1"/>
  <c r="W715" i="1"/>
  <c r="AP708" i="1"/>
  <c r="AP700" i="1"/>
  <c r="AQ708" i="1"/>
  <c r="W708" i="1"/>
  <c r="AS708" i="1" s="1"/>
  <c r="AR708" i="1" s="1"/>
  <c r="V708" i="1"/>
  <c r="AP701" i="1"/>
  <c r="AQ698" i="1"/>
  <c r="AQ700" i="1"/>
  <c r="W700" i="1"/>
  <c r="AI700" i="1" s="1"/>
  <c r="AJ700" i="1" s="1"/>
  <c r="V700" i="1"/>
  <c r="AA701" i="1"/>
  <c r="W701" i="1"/>
  <c r="V701" i="1"/>
  <c r="AQ696" i="1"/>
  <c r="AQ697" i="1"/>
  <c r="AP690" i="1"/>
  <c r="W699" i="1"/>
  <c r="AI699" i="1" s="1"/>
  <c r="AJ699" i="1" s="1"/>
  <c r="V699" i="1"/>
  <c r="W698" i="1"/>
  <c r="AS698" i="1" s="1"/>
  <c r="AR698" i="1" s="1"/>
  <c r="V698" i="1"/>
  <c r="W697" i="1"/>
  <c r="V697" i="1"/>
  <c r="AP688" i="1"/>
  <c r="W696" i="1"/>
  <c r="V696" i="1"/>
  <c r="W693" i="1"/>
  <c r="V693" i="1"/>
  <c r="AQ688" i="1"/>
  <c r="AQ690" i="1"/>
  <c r="AQ692" i="1"/>
  <c r="W692" i="1"/>
  <c r="V692" i="1"/>
  <c r="W762" i="1"/>
  <c r="V762" i="1"/>
  <c r="AI690" i="1"/>
  <c r="AP686" i="1"/>
  <c r="AP685" i="1"/>
  <c r="W688" i="1"/>
  <c r="V688" i="1"/>
  <c r="AQ687" i="1"/>
  <c r="W687" i="1"/>
  <c r="V687" i="1"/>
  <c r="AA686" i="1"/>
  <c r="AQ686" i="1" s="1"/>
  <c r="W686" i="1"/>
  <c r="AI686" i="1" s="1"/>
  <c r="AJ686" i="1" s="1"/>
  <c r="V686" i="1"/>
  <c r="AA685" i="1"/>
  <c r="AQ685" i="1" s="1"/>
  <c r="W685" i="1"/>
  <c r="AI685" i="1" s="1"/>
  <c r="AJ685" i="1" s="1"/>
  <c r="V685" i="1"/>
  <c r="AQ684" i="1"/>
  <c r="W684" i="1"/>
  <c r="V684" i="1"/>
  <c r="AQ677" i="1"/>
  <c r="AQ676" i="1"/>
  <c r="AP673" i="1"/>
  <c r="W677" i="1"/>
  <c r="V677" i="1"/>
  <c r="AQ675" i="1"/>
  <c r="W676" i="1"/>
  <c r="V676" i="1"/>
  <c r="AQ674" i="1"/>
  <c r="V675" i="1"/>
  <c r="W675" i="1"/>
  <c r="AQ672" i="1"/>
  <c r="V674" i="1"/>
  <c r="W674" i="1"/>
  <c r="AS674" i="1" s="1"/>
  <c r="AR674" i="1" s="1"/>
  <c r="W673" i="1"/>
  <c r="AI673" i="1" s="1"/>
  <c r="AJ673" i="1" s="1"/>
  <c r="V673" i="1"/>
  <c r="V672" i="1"/>
  <c r="W672" i="1"/>
  <c r="AQ671" i="1"/>
  <c r="V671" i="1"/>
  <c r="W671" i="1"/>
  <c r="W670" i="1"/>
  <c r="V670" i="1"/>
  <c r="AQ661" i="1"/>
  <c r="AQ659" i="1"/>
  <c r="AQ663" i="1"/>
  <c r="AQ664" i="1"/>
  <c r="AQ665" i="1"/>
  <c r="W665" i="1"/>
  <c r="V665" i="1"/>
  <c r="W664" i="1"/>
  <c r="AI664" i="1" s="1"/>
  <c r="AJ664" i="1" s="1"/>
  <c r="V664" i="1"/>
  <c r="W661" i="1"/>
  <c r="V661" i="1"/>
  <c r="W663" i="1"/>
  <c r="V663" i="1"/>
  <c r="AP638" i="1"/>
  <c r="V655" i="1"/>
  <c r="W655" i="1"/>
  <c r="V656" i="1"/>
  <c r="W656" i="1"/>
  <c r="V657" i="1"/>
  <c r="W657" i="1"/>
  <c r="V658" i="1"/>
  <c r="W658" i="1"/>
  <c r="V659" i="1"/>
  <c r="W659" i="1"/>
  <c r="W654" i="1"/>
  <c r="V654" i="1"/>
  <c r="AQ654" i="1"/>
  <c r="AQ653" i="1"/>
  <c r="W653" i="1"/>
  <c r="V653" i="1"/>
  <c r="AQ649" i="1"/>
  <c r="W649" i="1"/>
  <c r="V649" i="1"/>
  <c r="AP608" i="1"/>
  <c r="AQ608" i="1" s="1"/>
  <c r="AQ641" i="1"/>
  <c r="AQ643" i="1"/>
  <c r="AQ636" i="1"/>
  <c r="AS636" i="1"/>
  <c r="AR636" i="1" s="1"/>
  <c r="AQ637" i="1"/>
  <c r="W643" i="1"/>
  <c r="V643" i="1"/>
  <c r="W641" i="1"/>
  <c r="V641" i="1"/>
  <c r="AA638" i="1"/>
  <c r="AP607" i="1"/>
  <c r="AQ607" i="1" s="1"/>
  <c r="W638" i="1"/>
  <c r="AI638" i="1" s="1"/>
  <c r="AJ638" i="1" s="1"/>
  <c r="V638" i="1"/>
  <c r="W637" i="1"/>
  <c r="V637" i="1"/>
  <c r="AQ632" i="1"/>
  <c r="AS632" i="1"/>
  <c r="AR632" i="1" s="1"/>
  <c r="AQ633" i="1"/>
  <c r="AQ634" i="1"/>
  <c r="AS634" i="1"/>
  <c r="AR634" i="1" s="1"/>
  <c r="AQ635" i="1"/>
  <c r="W635" i="1"/>
  <c r="AS635" i="1" s="1"/>
  <c r="AR635" i="1" s="1"/>
  <c r="V635" i="1"/>
  <c r="AQ629" i="1"/>
  <c r="W652" i="1"/>
  <c r="W651" i="1"/>
  <c r="W650" i="1"/>
  <c r="W1075" i="1"/>
  <c r="AI630" i="1"/>
  <c r="AJ630" i="1" s="1"/>
  <c r="AI631" i="1"/>
  <c r="AJ631" i="1" s="1"/>
  <c r="AP601" i="1"/>
  <c r="W633" i="1"/>
  <c r="V633" i="1"/>
  <c r="AQ625" i="1"/>
  <c r="V629" i="1"/>
  <c r="AQ627" i="1"/>
  <c r="AS627" i="1"/>
  <c r="AR627" i="1" s="1"/>
  <c r="AQ628" i="1"/>
  <c r="C14" i="6"/>
  <c r="AP594" i="1"/>
  <c r="W628" i="1"/>
  <c r="V628" i="1"/>
  <c r="AQ626" i="1"/>
  <c r="AP590" i="1"/>
  <c r="AQ590" i="1" s="1"/>
  <c r="W626" i="1"/>
  <c r="V626" i="1"/>
  <c r="W625" i="1"/>
  <c r="V625" i="1"/>
  <c r="AQ620" i="1"/>
  <c r="AS620" i="1"/>
  <c r="AR620" i="1" s="1"/>
  <c r="AQ621" i="1"/>
  <c r="AQ618" i="1"/>
  <c r="AS618" i="1"/>
  <c r="AR618" i="1" s="1"/>
  <c r="AQ619" i="1"/>
  <c r="W629" i="1"/>
  <c r="W627" i="1"/>
  <c r="W623" i="1"/>
  <c r="W634" i="1"/>
  <c r="W621" i="1"/>
  <c r="V621" i="1"/>
  <c r="AI620" i="1"/>
  <c r="AJ620" i="1" s="1"/>
  <c r="W619" i="1"/>
  <c r="V619" i="1"/>
  <c r="AQ615" i="1"/>
  <c r="AS615" i="1"/>
  <c r="AR615" i="1" s="1"/>
  <c r="AQ616" i="1"/>
  <c r="AS616" i="1"/>
  <c r="AR616" i="1" s="1"/>
  <c r="AQ617" i="1"/>
  <c r="W617" i="1"/>
  <c r="AS617" i="1" s="1"/>
  <c r="AR617" i="1" s="1"/>
  <c r="V617" i="1"/>
  <c r="AQ613" i="1"/>
  <c r="W613" i="1"/>
  <c r="V613" i="1"/>
  <c r="AQ612" i="1"/>
  <c r="W612" i="1"/>
  <c r="V612" i="1"/>
  <c r="AQ609" i="1"/>
  <c r="AQ610" i="1"/>
  <c r="W610" i="1"/>
  <c r="V610" i="1"/>
  <c r="V608" i="1"/>
  <c r="W609" i="1"/>
  <c r="V609" i="1"/>
  <c r="W607" i="1"/>
  <c r="V607" i="1"/>
  <c r="AQ605" i="1"/>
  <c r="V604" i="1"/>
  <c r="V605" i="1"/>
  <c r="AQ603" i="1"/>
  <c r="W603" i="1"/>
  <c r="AS603" i="1" s="1"/>
  <c r="AR603" i="1" s="1"/>
  <c r="V603" i="1"/>
  <c r="AQ601" i="1"/>
  <c r="AQ602" i="1"/>
  <c r="W602" i="1"/>
  <c r="V602" i="1"/>
  <c r="W601" i="1"/>
  <c r="V601" i="1"/>
  <c r="AP587" i="1"/>
  <c r="AQ587" i="1" s="1"/>
  <c r="M15" i="6" a="1"/>
  <c r="M15" i="6" s="1"/>
  <c r="I15" i="6"/>
  <c r="H15" i="6"/>
  <c r="D15" i="6"/>
  <c r="V15" i="6" s="1"/>
  <c r="C15" i="6"/>
  <c r="AQ600" i="1"/>
  <c r="AQ597" i="1"/>
  <c r="AS597" i="1"/>
  <c r="AR597" i="1" s="1"/>
  <c r="AQ598" i="1"/>
  <c r="AQ599" i="1"/>
  <c r="V600" i="1"/>
  <c r="V599" i="1"/>
  <c r="W598" i="1"/>
  <c r="V598" i="1"/>
  <c r="AQ596" i="1"/>
  <c r="W608" i="1"/>
  <c r="W606" i="1"/>
  <c r="W605" i="1"/>
  <c r="AS605" i="1" s="1"/>
  <c r="AR605" i="1" s="1"/>
  <c r="W604" i="1"/>
  <c r="W600" i="1"/>
  <c r="W599" i="1"/>
  <c r="W597" i="1"/>
  <c r="W615" i="1"/>
  <c r="W611" i="1"/>
  <c r="W616" i="1"/>
  <c r="W596" i="1"/>
  <c r="AS596" i="1" s="1"/>
  <c r="AR596" i="1" s="1"/>
  <c r="V596" i="1"/>
  <c r="W594" i="1"/>
  <c r="AI594" i="1" s="1"/>
  <c r="AJ594" i="1" s="1"/>
  <c r="V594" i="1"/>
  <c r="AQ592" i="1"/>
  <c r="AQ593" i="1"/>
  <c r="W593" i="1"/>
  <c r="V593" i="1"/>
  <c r="W592" i="1"/>
  <c r="V592" i="1"/>
  <c r="W590" i="1"/>
  <c r="V590" i="1"/>
  <c r="AQ586" i="1"/>
  <c r="AQ585" i="1"/>
  <c r="W589" i="1"/>
  <c r="W588" i="1"/>
  <c r="W595" i="1"/>
  <c r="W587" i="1"/>
  <c r="V587" i="1"/>
  <c r="V586" i="1"/>
  <c r="W585" i="1"/>
  <c r="V585" i="1"/>
  <c r="AP583" i="1"/>
  <c r="AQ583" i="1"/>
  <c r="V579" i="1"/>
  <c r="W579" i="1"/>
  <c r="V580" i="1"/>
  <c r="W580" i="1"/>
  <c r="V581" i="1"/>
  <c r="W581" i="1"/>
  <c r="V582" i="1"/>
  <c r="W582" i="1"/>
  <c r="V583" i="1"/>
  <c r="W583" i="1"/>
  <c r="W586" i="1"/>
  <c r="AI1050" i="1" l="1"/>
  <c r="AJ1050" i="1" s="1"/>
  <c r="AS1050" i="1"/>
  <c r="AR1050" i="1" s="1"/>
  <c r="AI1046" i="1"/>
  <c r="AJ1046" i="1" s="1"/>
  <c r="AS1052" i="1"/>
  <c r="AR1052" i="1" s="1"/>
  <c r="AI1058" i="1"/>
  <c r="AJ1058" i="1" s="1"/>
  <c r="AS1058" i="1"/>
  <c r="AR1058" i="1" s="1"/>
  <c r="AS1060" i="1"/>
  <c r="AR1060" i="1" s="1"/>
  <c r="AI1060" i="1"/>
  <c r="AJ1060" i="1" s="1"/>
  <c r="AS1061" i="1"/>
  <c r="AR1061" i="1" s="1"/>
  <c r="AJ1062" i="1"/>
  <c r="AI1042" i="1"/>
  <c r="AJ1042" i="1" s="1"/>
  <c r="AS1042" i="1"/>
  <c r="AR1042" i="1" s="1"/>
  <c r="AI1045" i="1"/>
  <c r="AJ1045" i="1" s="1"/>
  <c r="AS1045" i="1"/>
  <c r="AS1048" i="1"/>
  <c r="AR1048" i="1" s="1"/>
  <c r="AI1048" i="1"/>
  <c r="AJ1048" i="1" s="1"/>
  <c r="AR1045" i="1"/>
  <c r="AI1043" i="1"/>
  <c r="AJ1043" i="1" s="1"/>
  <c r="AS1043" i="1"/>
  <c r="AR1043" i="1" s="1"/>
  <c r="AI1044" i="1"/>
  <c r="AJ1044" i="1" s="1"/>
  <c r="AS1044" i="1"/>
  <c r="AR1044" i="1" s="1"/>
  <c r="AS1009" i="1"/>
  <c r="AR1009" i="1" s="1"/>
  <c r="AI985" i="1"/>
  <c r="AJ985" i="1" s="1"/>
  <c r="AS985" i="1"/>
  <c r="AR985" i="1" s="1"/>
  <c r="AS1018" i="1"/>
  <c r="AR1018" i="1" s="1"/>
  <c r="AS1020" i="1"/>
  <c r="AR1020" i="1" s="1"/>
  <c r="AI1020" i="1"/>
  <c r="AJ1020" i="1" s="1"/>
  <c r="AI997" i="1"/>
  <c r="AJ997" i="1" s="1"/>
  <c r="AS997" i="1"/>
  <c r="AS1005" i="1"/>
  <c r="AR1005" i="1" s="1"/>
  <c r="AI1005" i="1"/>
  <c r="AJ1005" i="1" s="1"/>
  <c r="AS1007" i="1"/>
  <c r="AR1007" i="1" s="1"/>
  <c r="AI1007" i="1"/>
  <c r="AJ1007" i="1" s="1"/>
  <c r="AS1008" i="1"/>
  <c r="AR1008" i="1" s="1"/>
  <c r="AS1000" i="1"/>
  <c r="AR1000" i="1" s="1"/>
  <c r="AI989" i="1"/>
  <c r="AJ989" i="1" s="1"/>
  <c r="AS989" i="1"/>
  <c r="AR989" i="1" s="1"/>
  <c r="AI986" i="1"/>
  <c r="AJ986" i="1" s="1"/>
  <c r="AS986" i="1"/>
  <c r="AR986" i="1" s="1"/>
  <c r="AS981" i="1"/>
  <c r="AR981" i="1" s="1"/>
  <c r="AI981" i="1"/>
  <c r="AJ981" i="1" s="1"/>
  <c r="AQ967" i="1"/>
  <c r="AS967" i="1"/>
  <c r="AR967" i="1" s="1"/>
  <c r="AS969" i="1"/>
  <c r="AR969" i="1" s="1"/>
  <c r="AI969" i="1"/>
  <c r="AJ969" i="1" s="1"/>
  <c r="AS972" i="1"/>
  <c r="AR972" i="1" s="1"/>
  <c r="AI972" i="1"/>
  <c r="AJ972" i="1" s="1"/>
  <c r="AI956" i="1"/>
  <c r="AJ956" i="1" s="1"/>
  <c r="AS956" i="1"/>
  <c r="AR956" i="1" s="1"/>
  <c r="AI957" i="1"/>
  <c r="AJ957" i="1" s="1"/>
  <c r="AS957" i="1"/>
  <c r="AS961" i="1"/>
  <c r="AR961" i="1" s="1"/>
  <c r="AI961" i="1"/>
  <c r="AJ961" i="1" s="1"/>
  <c r="AS963" i="1"/>
  <c r="AR963" i="1" s="1"/>
  <c r="AS954" i="1"/>
  <c r="AR954" i="1" s="1"/>
  <c r="AI954" i="1"/>
  <c r="AJ954" i="1" s="1"/>
  <c r="AS941" i="1"/>
  <c r="AR941" i="1" s="1"/>
  <c r="AI941" i="1"/>
  <c r="AJ941" i="1" s="1"/>
  <c r="AI942" i="1"/>
  <c r="AJ942" i="1" s="1"/>
  <c r="AS942" i="1"/>
  <c r="AR942" i="1" s="1"/>
  <c r="AS945" i="1"/>
  <c r="AR945" i="1" s="1"/>
  <c r="AI945" i="1"/>
  <c r="AJ945" i="1" s="1"/>
  <c r="AI931" i="1"/>
  <c r="AJ931" i="1" s="1"/>
  <c r="AS931" i="1"/>
  <c r="AR931" i="1" s="1"/>
  <c r="AJ927" i="1"/>
  <c r="AS927" i="1"/>
  <c r="AR927" i="1" s="1"/>
  <c r="AI904" i="1"/>
  <c r="AJ904" i="1" s="1"/>
  <c r="AS904" i="1"/>
  <c r="AR904" i="1" s="1"/>
  <c r="AI916" i="1"/>
  <c r="AJ916" i="1" s="1"/>
  <c r="AS916" i="1"/>
  <c r="AR916" i="1" s="1"/>
  <c r="AI928" i="1"/>
  <c r="AJ928" i="1" s="1"/>
  <c r="AI914" i="1"/>
  <c r="AJ914" i="1" s="1"/>
  <c r="AI920" i="1"/>
  <c r="AJ920" i="1" s="1"/>
  <c r="AS920" i="1"/>
  <c r="AR920" i="1" s="1"/>
  <c r="AS922" i="1"/>
  <c r="AR922" i="1" s="1"/>
  <c r="AI922" i="1"/>
  <c r="AJ922" i="1" s="1"/>
  <c r="AS924" i="1"/>
  <c r="AR924" i="1" s="1"/>
  <c r="AI924" i="1"/>
  <c r="AJ924" i="1" s="1"/>
  <c r="AS925" i="1"/>
  <c r="AR925" i="1" s="1"/>
  <c r="AI925" i="1"/>
  <c r="AJ925" i="1" s="1"/>
  <c r="AS923" i="1"/>
  <c r="AI913" i="1"/>
  <c r="AJ913" i="1" s="1"/>
  <c r="AS913" i="1"/>
  <c r="AR913" i="1" s="1"/>
  <c r="AS915" i="1"/>
  <c r="AR915" i="1" s="1"/>
  <c r="AJ915" i="1"/>
  <c r="AQ914" i="1"/>
  <c r="AS914" i="1"/>
  <c r="AR914" i="1" s="1"/>
  <c r="AQ874" i="1"/>
  <c r="AS874" i="1"/>
  <c r="AR874" i="1" s="1"/>
  <c r="AS894" i="1"/>
  <c r="AR894" i="1" s="1"/>
  <c r="AS893" i="1"/>
  <c r="AR893" i="1" s="1"/>
  <c r="AQ883" i="1"/>
  <c r="AS883" i="1" s="1"/>
  <c r="AR883" i="1" s="1"/>
  <c r="AS868" i="1"/>
  <c r="AR868" i="1" s="1"/>
  <c r="AI868" i="1"/>
  <c r="AJ868" i="1" s="1"/>
  <c r="AS869" i="1"/>
  <c r="AR869" i="1" s="1"/>
  <c r="AI869" i="1"/>
  <c r="AJ869" i="1" s="1"/>
  <c r="AS808" i="1"/>
  <c r="AI827" i="1"/>
  <c r="AJ827" i="1" s="1"/>
  <c r="AS827" i="1"/>
  <c r="AR827" i="1" s="1"/>
  <c r="AI836" i="1"/>
  <c r="AJ836" i="1" s="1"/>
  <c r="AS836" i="1"/>
  <c r="AR836" i="1" s="1"/>
  <c r="AS844" i="1"/>
  <c r="AR844" i="1" s="1"/>
  <c r="AI844" i="1"/>
  <c r="AJ844" i="1" s="1"/>
  <c r="AI816" i="1"/>
  <c r="AJ816" i="1" s="1"/>
  <c r="AQ837" i="1"/>
  <c r="AS837" i="1"/>
  <c r="AR837" i="1" s="1"/>
  <c r="AS813" i="1"/>
  <c r="AQ830" i="1"/>
  <c r="AS830" i="1" s="1"/>
  <c r="AI772" i="1"/>
  <c r="AJ772" i="1" s="1"/>
  <c r="AS772" i="1"/>
  <c r="AR772" i="1" s="1"/>
  <c r="AQ816" i="1"/>
  <c r="AS816" i="1"/>
  <c r="AR816" i="1" s="1"/>
  <c r="AI811" i="1"/>
  <c r="AJ811" i="1" s="1"/>
  <c r="AS811" i="1"/>
  <c r="AR811" i="1" s="1"/>
  <c r="AI807" i="1"/>
  <c r="AJ807" i="1" s="1"/>
  <c r="AI808" i="1"/>
  <c r="AJ808" i="1" s="1"/>
  <c r="AI790" i="1"/>
  <c r="AJ790" i="1" s="1"/>
  <c r="AS790" i="1"/>
  <c r="AR790" i="1" s="1"/>
  <c r="AS807" i="1"/>
  <c r="AR807" i="1" s="1"/>
  <c r="AI809" i="1"/>
  <c r="AJ809" i="1" s="1"/>
  <c r="AS809" i="1"/>
  <c r="AR809" i="1" s="1"/>
  <c r="AI800" i="1"/>
  <c r="AJ800" i="1" s="1"/>
  <c r="AS800" i="1"/>
  <c r="AR800" i="1" s="1"/>
  <c r="AS795" i="1"/>
  <c r="AR795" i="1" s="1"/>
  <c r="AI795" i="1"/>
  <c r="AJ795" i="1" s="1"/>
  <c r="AS789" i="1"/>
  <c r="AR789" i="1" s="1"/>
  <c r="AI789" i="1"/>
  <c r="AJ789" i="1" s="1"/>
  <c r="AS781" i="1"/>
  <c r="AR781" i="1" s="1"/>
  <c r="AI752" i="1"/>
  <c r="AJ752" i="1" s="1"/>
  <c r="AS752" i="1"/>
  <c r="AR752" i="1" s="1"/>
  <c r="AS764" i="1"/>
  <c r="AR764" i="1" s="1"/>
  <c r="AI764" i="1"/>
  <c r="AJ764" i="1" s="1"/>
  <c r="AI739" i="1"/>
  <c r="AJ739" i="1" s="1"/>
  <c r="AS739" i="1"/>
  <c r="AR739" i="1" s="1"/>
  <c r="AS744" i="1"/>
  <c r="AR744" i="1" s="1"/>
  <c r="AI744" i="1"/>
  <c r="AJ744" i="1" s="1"/>
  <c r="AI746" i="1"/>
  <c r="AJ746" i="1" s="1"/>
  <c r="AS746" i="1"/>
  <c r="AR746" i="1" s="1"/>
  <c r="AS749" i="1"/>
  <c r="AR749" i="1" s="1"/>
  <c r="AI749" i="1"/>
  <c r="AJ749" i="1" s="1"/>
  <c r="AR729" i="1"/>
  <c r="AI737" i="1"/>
  <c r="AJ737" i="1" s="1"/>
  <c r="AS737" i="1"/>
  <c r="AR737" i="1" s="1"/>
  <c r="AI729" i="1"/>
  <c r="AJ729" i="1" s="1"/>
  <c r="AS730" i="1"/>
  <c r="AR730" i="1" s="1"/>
  <c r="AS735" i="1"/>
  <c r="AI735" i="1"/>
  <c r="AJ735" i="1" s="1"/>
  <c r="AS736" i="1"/>
  <c r="AR736" i="1" s="1"/>
  <c r="AI736" i="1"/>
  <c r="AJ736" i="1" s="1"/>
  <c r="AQ738" i="1"/>
  <c r="AS738" i="1"/>
  <c r="AR738" i="1" s="1"/>
  <c r="AR735" i="1"/>
  <c r="AS732" i="1"/>
  <c r="AR732" i="1" s="1"/>
  <c r="AS724" i="1"/>
  <c r="AR724" i="1" s="1"/>
  <c r="AI724" i="1"/>
  <c r="AJ724" i="1" s="1"/>
  <c r="AQ727" i="1"/>
  <c r="AS727" i="1"/>
  <c r="AR727" i="1" s="1"/>
  <c r="AI716" i="1"/>
  <c r="AJ716" i="1" s="1"/>
  <c r="AS716" i="1"/>
  <c r="AR716" i="1" s="1"/>
  <c r="AI719" i="1"/>
  <c r="AJ719" i="1" s="1"/>
  <c r="AS719" i="1"/>
  <c r="AR719" i="1" s="1"/>
  <c r="AQ699" i="1"/>
  <c r="AS699" i="1"/>
  <c r="AR699" i="1" s="1"/>
  <c r="AI696" i="1"/>
  <c r="AJ696" i="1" s="1"/>
  <c r="AS696" i="1"/>
  <c r="AR696" i="1" s="1"/>
  <c r="AI701" i="1"/>
  <c r="AJ701" i="1" s="1"/>
  <c r="AS700" i="1"/>
  <c r="AR700" i="1" s="1"/>
  <c r="AQ701" i="1"/>
  <c r="AS701" i="1" s="1"/>
  <c r="AI697" i="1"/>
  <c r="AJ697" i="1" s="1"/>
  <c r="AS697" i="1"/>
  <c r="AR697" i="1" s="1"/>
  <c r="AI688" i="1"/>
  <c r="AJ688" i="1" s="1"/>
  <c r="AS688" i="1"/>
  <c r="AR688" i="1" s="1"/>
  <c r="AJ690" i="1"/>
  <c r="AS690" i="1"/>
  <c r="AR690" i="1" s="1"/>
  <c r="AS692" i="1"/>
  <c r="AR692" i="1" s="1"/>
  <c r="AI692" i="1"/>
  <c r="AJ692" i="1" s="1"/>
  <c r="AI659" i="1"/>
  <c r="AJ659" i="1" s="1"/>
  <c r="AS659" i="1"/>
  <c r="AR659" i="1" s="1"/>
  <c r="AI674" i="1"/>
  <c r="AJ674" i="1" s="1"/>
  <c r="AI677" i="1"/>
  <c r="AJ677" i="1" s="1"/>
  <c r="AS677" i="1"/>
  <c r="AR677" i="1" s="1"/>
  <c r="AI684" i="1"/>
  <c r="AJ684" i="1" s="1"/>
  <c r="AS684" i="1"/>
  <c r="AR684" i="1" s="1"/>
  <c r="AS685" i="1"/>
  <c r="AR685" i="1" s="1"/>
  <c r="AS686" i="1"/>
  <c r="AR686" i="1" s="1"/>
  <c r="AI687" i="1"/>
  <c r="AJ687" i="1" s="1"/>
  <c r="AS687" i="1"/>
  <c r="AR687" i="1" s="1"/>
  <c r="AI676" i="1"/>
  <c r="AJ676" i="1" s="1"/>
  <c r="AS676" i="1"/>
  <c r="AR676" i="1" s="1"/>
  <c r="AI671" i="1"/>
  <c r="AJ671" i="1" s="1"/>
  <c r="AS671" i="1"/>
  <c r="AR671" i="1" s="1"/>
  <c r="AS672" i="1"/>
  <c r="AR672" i="1" s="1"/>
  <c r="AI672" i="1"/>
  <c r="AJ672" i="1" s="1"/>
  <c r="AS675" i="1"/>
  <c r="AR675" i="1" s="1"/>
  <c r="AI675" i="1"/>
  <c r="AJ675" i="1" s="1"/>
  <c r="AQ673" i="1"/>
  <c r="AS673" i="1"/>
  <c r="AR673" i="1" s="1"/>
  <c r="AI663" i="1"/>
  <c r="AJ663" i="1" s="1"/>
  <c r="AS663" i="1"/>
  <c r="AR663" i="1" s="1"/>
  <c r="AS664" i="1"/>
  <c r="AR664" i="1" s="1"/>
  <c r="AS654" i="1"/>
  <c r="AR654" i="1" s="1"/>
  <c r="AQ638" i="1"/>
  <c r="AI603" i="1"/>
  <c r="AJ603" i="1" s="1"/>
  <c r="AS625" i="1"/>
  <c r="AR625" i="1" s="1"/>
  <c r="AS626" i="1"/>
  <c r="AR626" i="1" s="1"/>
  <c r="AS590" i="1"/>
  <c r="AR590" i="1" s="1"/>
  <c r="AS628" i="1"/>
  <c r="AR628" i="1" s="1"/>
  <c r="AS653" i="1"/>
  <c r="AR653" i="1" s="1"/>
  <c r="AS661" i="1"/>
  <c r="AR661" i="1" s="1"/>
  <c r="AI661" i="1"/>
  <c r="AJ661" i="1" s="1"/>
  <c r="AI665" i="1"/>
  <c r="AJ665" i="1" s="1"/>
  <c r="AS665" i="1"/>
  <c r="AR665" i="1" s="1"/>
  <c r="AS638" i="1"/>
  <c r="AR638" i="1" s="1"/>
  <c r="AI641" i="1"/>
  <c r="AJ641" i="1" s="1"/>
  <c r="AS641" i="1"/>
  <c r="AR641" i="1" s="1"/>
  <c r="AI608" i="1"/>
  <c r="AJ608" i="1" s="1"/>
  <c r="AS608" i="1"/>
  <c r="AR608" i="1" s="1"/>
  <c r="AI637" i="1"/>
  <c r="AJ637" i="1" s="1"/>
  <c r="AS637" i="1"/>
  <c r="AR637" i="1" s="1"/>
  <c r="AS643" i="1"/>
  <c r="AR643" i="1" s="1"/>
  <c r="AI643" i="1"/>
  <c r="AJ643" i="1" s="1"/>
  <c r="AI649" i="1"/>
  <c r="AJ649" i="1" s="1"/>
  <c r="AS649" i="1"/>
  <c r="AR649" i="1" s="1"/>
  <c r="AI629" i="1"/>
  <c r="AJ629" i="1" s="1"/>
  <c r="AS629" i="1"/>
  <c r="AR629" i="1" s="1"/>
  <c r="AI633" i="1"/>
  <c r="AJ633" i="1" s="1"/>
  <c r="AS633" i="1"/>
  <c r="AR633" i="1" s="1"/>
  <c r="AI607" i="1"/>
  <c r="AJ607" i="1" s="1"/>
  <c r="AS607" i="1"/>
  <c r="AR607" i="1" s="1"/>
  <c r="AI621" i="1"/>
  <c r="AJ621" i="1" s="1"/>
  <c r="AS621" i="1"/>
  <c r="AR621" i="1" s="1"/>
  <c r="AI601" i="1"/>
  <c r="AJ601" i="1" s="1"/>
  <c r="AS601" i="1"/>
  <c r="AR601" i="1" s="1"/>
  <c r="AS613" i="1"/>
  <c r="AR613" i="1" s="1"/>
  <c r="AI613" i="1"/>
  <c r="AJ613" i="1" s="1"/>
  <c r="AI619" i="1"/>
  <c r="AJ619" i="1" s="1"/>
  <c r="AS619" i="1"/>
  <c r="AR619" i="1" s="1"/>
  <c r="AS599" i="1"/>
  <c r="AI599" i="1"/>
  <c r="AJ599" i="1" s="1"/>
  <c r="AS600" i="1"/>
  <c r="AR600" i="1" s="1"/>
  <c r="AI600" i="1"/>
  <c r="AJ600" i="1" s="1"/>
  <c r="AS598" i="1"/>
  <c r="AR598" i="1" s="1"/>
  <c r="AI598" i="1"/>
  <c r="AJ598" i="1" s="1"/>
  <c r="AI602" i="1"/>
  <c r="AJ602" i="1" s="1"/>
  <c r="AS602" i="1"/>
  <c r="AR602" i="1" s="1"/>
  <c r="AS609" i="1"/>
  <c r="AR609" i="1" s="1"/>
  <c r="AI609" i="1"/>
  <c r="AJ609" i="1" s="1"/>
  <c r="AS610" i="1"/>
  <c r="AR610" i="1" s="1"/>
  <c r="AI610" i="1"/>
  <c r="AJ610" i="1" s="1"/>
  <c r="AS612" i="1"/>
  <c r="AR612" i="1" s="1"/>
  <c r="AI612" i="1"/>
  <c r="AJ612" i="1" s="1"/>
  <c r="J15" i="6"/>
  <c r="G15" i="6"/>
  <c r="AS586" i="1"/>
  <c r="AR586" i="1" s="1"/>
  <c r="AI586" i="1"/>
  <c r="AJ586" i="1" s="1"/>
  <c r="AI585" i="1"/>
  <c r="AJ585" i="1" s="1"/>
  <c r="AS585" i="1"/>
  <c r="AR585" i="1" s="1"/>
  <c r="AS587" i="1"/>
  <c r="AR587" i="1" s="1"/>
  <c r="AI587" i="1"/>
  <c r="AJ587" i="1" s="1"/>
  <c r="AI590" i="1"/>
  <c r="AJ590" i="1" s="1"/>
  <c r="AS592" i="1"/>
  <c r="AR592" i="1" s="1"/>
  <c r="AI592" i="1"/>
  <c r="AJ592" i="1" s="1"/>
  <c r="AS593" i="1"/>
  <c r="AR593" i="1" s="1"/>
  <c r="AI593" i="1"/>
  <c r="AJ593" i="1" s="1"/>
  <c r="AQ594" i="1"/>
  <c r="AS594" i="1"/>
  <c r="AR594" i="1" s="1"/>
  <c r="AS583" i="1"/>
  <c r="AR583" i="1" s="1"/>
  <c r="AI583" i="1"/>
  <c r="AJ583" i="1" s="1"/>
  <c r="AP567" i="1"/>
  <c r="AQ567" i="1" s="1"/>
  <c r="AX16" i="6"/>
  <c r="AX15" i="6"/>
  <c r="AX14" i="6"/>
  <c r="AX12" i="6"/>
  <c r="AX11" i="6"/>
  <c r="AX10" i="6"/>
  <c r="AX8" i="6"/>
  <c r="AW16" i="6"/>
  <c r="AW15" i="6"/>
  <c r="AW14" i="6"/>
  <c r="AW12" i="6"/>
  <c r="AW11" i="6"/>
  <c r="AW10" i="6"/>
  <c r="AV16" i="6"/>
  <c r="AV15" i="6"/>
  <c r="AV14" i="6"/>
  <c r="AV13" i="6"/>
  <c r="AV12" i="6"/>
  <c r="AV11" i="6"/>
  <c r="AV10" i="6"/>
  <c r="AV9" i="6"/>
  <c r="AV8" i="6"/>
  <c r="AV7" i="6"/>
  <c r="AV6" i="6"/>
  <c r="AU16" i="6"/>
  <c r="AU15" i="6"/>
  <c r="AU14" i="6"/>
  <c r="AU13" i="6"/>
  <c r="AU12" i="6"/>
  <c r="AU11" i="6"/>
  <c r="AU10" i="6"/>
  <c r="AU9" i="6"/>
  <c r="AU8" i="6"/>
  <c r="AU7" i="6"/>
  <c r="AU6" i="6"/>
  <c r="AQ16" i="6"/>
  <c r="AQ15" i="6"/>
  <c r="AQ14" i="6"/>
  <c r="AQ13" i="6"/>
  <c r="AQ12" i="6"/>
  <c r="AQ11" i="6"/>
  <c r="AQ10" i="6"/>
  <c r="AQ9" i="6"/>
  <c r="AP16" i="6"/>
  <c r="AP15" i="6"/>
  <c r="AP14" i="6"/>
  <c r="AP13" i="6"/>
  <c r="AP12" i="6"/>
  <c r="AP11" i="6"/>
  <c r="AP10" i="6"/>
  <c r="AP9" i="6"/>
  <c r="AP8" i="6"/>
  <c r="AP6" i="6"/>
  <c r="AP7" i="6"/>
  <c r="AR15" i="6"/>
  <c r="AS15" i="6"/>
  <c r="AS12" i="6"/>
  <c r="AQ8" i="6"/>
  <c r="AQ7" i="6"/>
  <c r="D7" i="6"/>
  <c r="AQ6" i="6"/>
  <c r="AQ578" i="1"/>
  <c r="V575" i="1"/>
  <c r="W575" i="1"/>
  <c r="V576" i="1"/>
  <c r="W576" i="1"/>
  <c r="V577" i="1"/>
  <c r="W577" i="1"/>
  <c r="V578" i="1"/>
  <c r="W578" i="1"/>
  <c r="BF4" i="1"/>
  <c r="M16" i="6" a="1"/>
  <c r="M16" i="6" s="1"/>
  <c r="I16" i="6"/>
  <c r="H16" i="6"/>
  <c r="D16" i="6"/>
  <c r="V16" i="6" s="1"/>
  <c r="C16" i="6"/>
  <c r="J16" i="6" s="1"/>
  <c r="M12" i="6" a="1"/>
  <c r="M12" i="6" s="1"/>
  <c r="M11" i="6" a="1"/>
  <c r="M11" i="6" s="1"/>
  <c r="M7" i="6" a="1"/>
  <c r="M7" i="6" s="1"/>
  <c r="M8" i="6" a="1"/>
  <c r="M8" i="6" s="1"/>
  <c r="M9" i="6" a="1"/>
  <c r="M9" i="6" s="1"/>
  <c r="M10" i="6" a="1"/>
  <c r="M10" i="6" s="1"/>
  <c r="M13" i="6" a="1"/>
  <c r="M13" i="6" s="1"/>
  <c r="M14" i="6" a="1"/>
  <c r="M14" i="6" s="1"/>
  <c r="M6" i="6" a="1"/>
  <c r="M6" i="6" s="1"/>
  <c r="AP562" i="1"/>
  <c r="AP565" i="1"/>
  <c r="AQ574" i="1"/>
  <c r="W574" i="1"/>
  <c r="V574" i="1"/>
  <c r="AQ573" i="1"/>
  <c r="W573" i="1"/>
  <c r="V573" i="1"/>
  <c r="W572" i="1"/>
  <c r="W571" i="1"/>
  <c r="W570" i="1"/>
  <c r="W569" i="1"/>
  <c r="W562" i="1"/>
  <c r="AI562" i="1" s="1"/>
  <c r="AJ562" i="1" s="1"/>
  <c r="V562" i="1"/>
  <c r="AP566" i="1"/>
  <c r="AP557" i="1"/>
  <c r="AQ565" i="1"/>
  <c r="AQ566" i="1"/>
  <c r="W567" i="1"/>
  <c r="V567" i="1"/>
  <c r="W566" i="1"/>
  <c r="V566" i="1"/>
  <c r="W565" i="1"/>
  <c r="V565" i="1"/>
  <c r="W568" i="1"/>
  <c r="W564" i="1"/>
  <c r="AQ563" i="1"/>
  <c r="W563" i="1"/>
  <c r="V563" i="1"/>
  <c r="V561" i="1"/>
  <c r="W561" i="1"/>
  <c r="AP558" i="1"/>
  <c r="AQ558" i="1" s="1"/>
  <c r="W559" i="1"/>
  <c r="AQ557" i="1"/>
  <c r="V558" i="1"/>
  <c r="W558" i="1"/>
  <c r="AP556" i="1"/>
  <c r="V557" i="1"/>
  <c r="W557" i="1"/>
  <c r="AP552" i="1"/>
  <c r="AQ556" i="1"/>
  <c r="AP553" i="1"/>
  <c r="W556" i="1"/>
  <c r="V556" i="1"/>
  <c r="AQ554" i="1"/>
  <c r="H12" i="6"/>
  <c r="H11" i="6"/>
  <c r="H10" i="6"/>
  <c r="I11" i="6"/>
  <c r="D11" i="6"/>
  <c r="C11" i="6"/>
  <c r="V554" i="1"/>
  <c r="W554" i="1"/>
  <c r="W553" i="1"/>
  <c r="AI553" i="1" s="1"/>
  <c r="AJ553" i="1" s="1"/>
  <c r="V553" i="1"/>
  <c r="AQ551" i="1"/>
  <c r="AQ552" i="1"/>
  <c r="AQ553" i="1"/>
  <c r="AS553" i="1" s="1"/>
  <c r="AR553" i="1" s="1"/>
  <c r="V552" i="1"/>
  <c r="W552" i="1"/>
  <c r="V549" i="1"/>
  <c r="V551" i="1"/>
  <c r="AQ548" i="1"/>
  <c r="W548" i="1"/>
  <c r="V548" i="1"/>
  <c r="W648" i="1"/>
  <c r="V648" i="1"/>
  <c r="AQ547" i="1"/>
  <c r="V544" i="1"/>
  <c r="W544" i="1"/>
  <c r="V545" i="1"/>
  <c r="W545" i="1"/>
  <c r="V546" i="1"/>
  <c r="W546" i="1"/>
  <c r="V547" i="1"/>
  <c r="W547" i="1"/>
  <c r="AP543" i="1"/>
  <c r="W551" i="1"/>
  <c r="W549" i="1"/>
  <c r="W645" i="1"/>
  <c r="AQ543" i="1"/>
  <c r="V543" i="1"/>
  <c r="AQ542" i="1"/>
  <c r="W542" i="1"/>
  <c r="V542" i="1"/>
  <c r="AQ541" i="1"/>
  <c r="V541" i="1"/>
  <c r="AQ540" i="1"/>
  <c r="V540" i="1"/>
  <c r="AQ539" i="1"/>
  <c r="W539" i="1"/>
  <c r="V539" i="1"/>
  <c r="AQ538" i="1"/>
  <c r="V537" i="1"/>
  <c r="W537" i="1"/>
  <c r="V538" i="1"/>
  <c r="W538" i="1"/>
  <c r="AS538" i="1" s="1"/>
  <c r="AR538" i="1" s="1"/>
  <c r="AQ531" i="1"/>
  <c r="AS531" i="1"/>
  <c r="AR531" i="1" s="1"/>
  <c r="AQ532" i="1"/>
  <c r="AS532" i="1"/>
  <c r="AR532" i="1" s="1"/>
  <c r="AQ533" i="1"/>
  <c r="AS533" i="1"/>
  <c r="AR533" i="1" s="1"/>
  <c r="AQ536" i="1"/>
  <c r="W540" i="1"/>
  <c r="W541" i="1"/>
  <c r="V531" i="1"/>
  <c r="V532" i="1"/>
  <c r="V533" i="1"/>
  <c r="V534" i="1"/>
  <c r="V535" i="1"/>
  <c r="V536" i="1"/>
  <c r="W500" i="1"/>
  <c r="W501" i="1"/>
  <c r="W502" i="1"/>
  <c r="W503" i="1"/>
  <c r="W504" i="1"/>
  <c r="W505" i="1"/>
  <c r="W506" i="1"/>
  <c r="W507" i="1"/>
  <c r="W508" i="1"/>
  <c r="W509" i="1"/>
  <c r="W510" i="1"/>
  <c r="W511" i="1"/>
  <c r="W512" i="1"/>
  <c r="W513" i="1"/>
  <c r="W514" i="1"/>
  <c r="W515" i="1"/>
  <c r="W516" i="1"/>
  <c r="W517" i="1"/>
  <c r="AI517" i="1" s="1"/>
  <c r="W518" i="1"/>
  <c r="AI518" i="1" s="1"/>
  <c r="W519" i="1"/>
  <c r="W520" i="1"/>
  <c r="W521" i="1"/>
  <c r="W522" i="1"/>
  <c r="W523" i="1"/>
  <c r="W524" i="1"/>
  <c r="W525" i="1"/>
  <c r="W526" i="1"/>
  <c r="W527" i="1"/>
  <c r="W528" i="1"/>
  <c r="W529" i="1"/>
  <c r="W530" i="1"/>
  <c r="W531" i="1"/>
  <c r="W532" i="1"/>
  <c r="W533" i="1"/>
  <c r="W534" i="1"/>
  <c r="W535" i="1"/>
  <c r="W536" i="1"/>
  <c r="W543" i="1"/>
  <c r="W1076" i="1"/>
  <c r="W499" i="1"/>
  <c r="AI499" i="1" s="1"/>
  <c r="AJ499" i="1" s="1"/>
  <c r="E12" i="6"/>
  <c r="AF6" i="6"/>
  <c r="AH6" i="6"/>
  <c r="AJ6" i="6"/>
  <c r="AF7" i="6"/>
  <c r="AH7" i="6"/>
  <c r="AJ7" i="6"/>
  <c r="AF8" i="6"/>
  <c r="AH8" i="6"/>
  <c r="AJ8" i="6"/>
  <c r="AF9" i="6"/>
  <c r="AH9" i="6"/>
  <c r="AJ9" i="6"/>
  <c r="AF10" i="6"/>
  <c r="AH10" i="6"/>
  <c r="AJ10" i="6"/>
  <c r="AP530" i="1"/>
  <c r="AQ530" i="1" s="1"/>
  <c r="AQ529" i="1"/>
  <c r="V530" i="1"/>
  <c r="V529" i="1"/>
  <c r="AP524" i="1"/>
  <c r="AP518" i="1"/>
  <c r="AQ518" i="1" s="1"/>
  <c r="AP517" i="1"/>
  <c r="AQ517" i="1" s="1"/>
  <c r="AQ524" i="1"/>
  <c r="V519" i="1"/>
  <c r="V520" i="1"/>
  <c r="V521" i="1"/>
  <c r="V522" i="1"/>
  <c r="V524" i="1"/>
  <c r="AP512" i="1"/>
  <c r="V518" i="1"/>
  <c r="AQ515" i="1"/>
  <c r="AP508" i="1"/>
  <c r="AQ508" i="1" s="1"/>
  <c r="V517" i="1"/>
  <c r="AQ516" i="1"/>
  <c r="V516" i="1"/>
  <c r="V515" i="1"/>
  <c r="AP507" i="1"/>
  <c r="AQ512" i="1"/>
  <c r="V512" i="1"/>
  <c r="AQ507" i="1"/>
  <c r="V508" i="1"/>
  <c r="AQ500" i="1"/>
  <c r="AQ505" i="1"/>
  <c r="V506" i="1"/>
  <c r="V507" i="1"/>
  <c r="V505" i="1"/>
  <c r="W314" i="2"/>
  <c r="AI496" i="1"/>
  <c r="AJ496" i="1" s="1"/>
  <c r="AJ1080" i="1" s="1"/>
  <c r="AQ494" i="1"/>
  <c r="AQ495" i="1"/>
  <c r="AQ499" i="1"/>
  <c r="AS499" i="1" s="1"/>
  <c r="AR499" i="1" s="1"/>
  <c r="V500" i="1"/>
  <c r="V499" i="1"/>
  <c r="W313" i="2"/>
  <c r="AP490" i="1"/>
  <c r="AQ490" i="1" s="1"/>
  <c r="W495" i="1"/>
  <c r="V495" i="1"/>
  <c r="W494" i="1"/>
  <c r="V494" i="1"/>
  <c r="AP493" i="1"/>
  <c r="AQ489" i="1"/>
  <c r="AQ492" i="1"/>
  <c r="W493" i="1"/>
  <c r="AI493" i="1" s="1"/>
  <c r="AJ493" i="1" s="1"/>
  <c r="V493" i="1"/>
  <c r="W492" i="1"/>
  <c r="V492" i="1"/>
  <c r="W490" i="1"/>
  <c r="V490" i="1"/>
  <c r="W489" i="1"/>
  <c r="V489" i="1"/>
  <c r="AQ488" i="1"/>
  <c r="AQ314" i="2"/>
  <c r="AS314" i="2" s="1"/>
  <c r="AR314" i="2" s="1"/>
  <c r="AQ315" i="2"/>
  <c r="W315" i="2"/>
  <c r="V315" i="2"/>
  <c r="V314" i="2"/>
  <c r="V482" i="1"/>
  <c r="W482" i="1"/>
  <c r="V483" i="1"/>
  <c r="W483" i="1"/>
  <c r="V484" i="1"/>
  <c r="W484" i="1"/>
  <c r="V485" i="1"/>
  <c r="W485" i="1"/>
  <c r="V486" i="1"/>
  <c r="W486" i="1"/>
  <c r="V487" i="1"/>
  <c r="W487" i="1"/>
  <c r="V488" i="1"/>
  <c r="W488" i="1"/>
  <c r="AP477" i="1"/>
  <c r="AQ477" i="1" s="1"/>
  <c r="W470" i="1"/>
  <c r="AP470" i="1"/>
  <c r="AQ470" i="1" s="1"/>
  <c r="AQ480" i="1"/>
  <c r="W480" i="1"/>
  <c r="AI480" i="1" s="1"/>
  <c r="AJ480" i="1" s="1"/>
  <c r="V480" i="1"/>
  <c r="AQ481" i="1"/>
  <c r="W481" i="1"/>
  <c r="AI481" i="1" s="1"/>
  <c r="AJ481" i="1" s="1"/>
  <c r="V481" i="1"/>
  <c r="AP471" i="1"/>
  <c r="AQ471" i="1"/>
  <c r="AQ475" i="1"/>
  <c r="AQ476" i="1"/>
  <c r="V477" i="1"/>
  <c r="W477" i="1"/>
  <c r="W476" i="1"/>
  <c r="V476" i="1"/>
  <c r="V472" i="1"/>
  <c r="W472" i="1"/>
  <c r="V473" i="1"/>
  <c r="W473" i="1"/>
  <c r="V474" i="1"/>
  <c r="W474" i="1"/>
  <c r="V475" i="1"/>
  <c r="W475" i="1"/>
  <c r="V471" i="1"/>
  <c r="W471" i="1"/>
  <c r="X1081" i="1"/>
  <c r="AQ469" i="1"/>
  <c r="V470" i="1"/>
  <c r="V469" i="1"/>
  <c r="W469" i="1"/>
  <c r="AQ468" i="1"/>
  <c r="W468" i="1"/>
  <c r="W467" i="1"/>
  <c r="AI467" i="1" s="1"/>
  <c r="AJ467" i="1" s="1"/>
  <c r="AQ467" i="1"/>
  <c r="AS467" i="1" s="1"/>
  <c r="AR467" i="1" s="1"/>
  <c r="V466" i="1"/>
  <c r="W466" i="1"/>
  <c r="V467" i="1"/>
  <c r="V468" i="1"/>
  <c r="AQ464" i="1"/>
  <c r="V462" i="1"/>
  <c r="W462" i="1"/>
  <c r="V463" i="1"/>
  <c r="W463" i="1"/>
  <c r="V464" i="1"/>
  <c r="W464" i="1"/>
  <c r="AP448" i="1"/>
  <c r="AQ457" i="1"/>
  <c r="AQ458" i="1"/>
  <c r="AQ459" i="1"/>
  <c r="AQ460" i="1"/>
  <c r="AQ461" i="1"/>
  <c r="AP449" i="1"/>
  <c r="V461" i="1"/>
  <c r="W461" i="1"/>
  <c r="W460" i="1"/>
  <c r="V460" i="1"/>
  <c r="V459" i="1"/>
  <c r="W459" i="1"/>
  <c r="V458" i="1"/>
  <c r="W458" i="1"/>
  <c r="V455" i="1"/>
  <c r="W455" i="1"/>
  <c r="V456" i="1"/>
  <c r="W456" i="1"/>
  <c r="V457" i="1"/>
  <c r="W457" i="1"/>
  <c r="AQ454" i="1"/>
  <c r="W454" i="1"/>
  <c r="W448" i="1"/>
  <c r="AI448" i="1" s="1"/>
  <c r="AJ448" i="1" s="1"/>
  <c r="W449" i="1"/>
  <c r="AI449" i="1" s="1"/>
  <c r="AJ449" i="1" s="1"/>
  <c r="W450" i="1"/>
  <c r="AI450" i="1" s="1"/>
  <c r="AJ450" i="1" s="1"/>
  <c r="W451" i="1"/>
  <c r="W452" i="1"/>
  <c r="AI452" i="1" s="1"/>
  <c r="AJ452" i="1" s="1"/>
  <c r="W453" i="1"/>
  <c r="W447" i="1"/>
  <c r="V453" i="1"/>
  <c r="V454" i="1"/>
  <c r="AQ451" i="1"/>
  <c r="AQ452" i="1"/>
  <c r="V452" i="1"/>
  <c r="V451" i="1"/>
  <c r="AP447" i="1"/>
  <c r="AQ450" i="1"/>
  <c r="V450" i="1"/>
  <c r="AQ305" i="2"/>
  <c r="AS305" i="2"/>
  <c r="AR305" i="2" s="1"/>
  <c r="AQ306" i="2"/>
  <c r="AS306" i="2"/>
  <c r="AR306" i="2" s="1"/>
  <c r="AQ307" i="2"/>
  <c r="AS307" i="2"/>
  <c r="AR307" i="2" s="1"/>
  <c r="AQ308" i="2"/>
  <c r="AS308" i="2"/>
  <c r="AR308" i="2" s="1"/>
  <c r="AQ309" i="2"/>
  <c r="AS309" i="2"/>
  <c r="AR309" i="2" s="1"/>
  <c r="AQ310" i="2"/>
  <c r="AS310" i="2"/>
  <c r="AR310" i="2" s="1"/>
  <c r="AQ311" i="2"/>
  <c r="AS311" i="2"/>
  <c r="AR311" i="2" s="1"/>
  <c r="AQ313" i="2"/>
  <c r="AS313" i="2" s="1"/>
  <c r="AR313" i="2" s="1"/>
  <c r="V449" i="1"/>
  <c r="V448" i="1"/>
  <c r="AQ447" i="1"/>
  <c r="AQ448" i="1"/>
  <c r="AQ449" i="1"/>
  <c r="V439" i="1"/>
  <c r="W439" i="1"/>
  <c r="V440" i="1"/>
  <c r="W440" i="1"/>
  <c r="V441" i="1"/>
  <c r="W441" i="1"/>
  <c r="V442" i="1"/>
  <c r="W442" i="1"/>
  <c r="V443" i="1"/>
  <c r="W443" i="1"/>
  <c r="V445" i="1"/>
  <c r="W445" i="1"/>
  <c r="V446" i="1"/>
  <c r="W446" i="1"/>
  <c r="V447" i="1"/>
  <c r="V309" i="2"/>
  <c r="W309" i="2"/>
  <c r="V310" i="2"/>
  <c r="W310" i="2"/>
  <c r="V311" i="2"/>
  <c r="W311" i="2"/>
  <c r="V313" i="2"/>
  <c r="AP438" i="1"/>
  <c r="AQ436" i="1"/>
  <c r="AS436" i="1"/>
  <c r="AR436" i="1" s="1"/>
  <c r="AQ437" i="1"/>
  <c r="AS437" i="1"/>
  <c r="AR437" i="1" s="1"/>
  <c r="AQ438" i="1"/>
  <c r="AP434" i="1"/>
  <c r="W308" i="2"/>
  <c r="W438" i="1"/>
  <c r="W302" i="2"/>
  <c r="W303" i="2"/>
  <c r="W304" i="2"/>
  <c r="W305" i="2"/>
  <c r="W306" i="2"/>
  <c r="V305" i="2"/>
  <c r="V306" i="2"/>
  <c r="V308" i="2"/>
  <c r="V438" i="1"/>
  <c r="AQ435" i="1"/>
  <c r="V435" i="1"/>
  <c r="W435" i="1"/>
  <c r="V434" i="1"/>
  <c r="W434" i="1"/>
  <c r="AQ433" i="1"/>
  <c r="V433" i="1"/>
  <c r="W433" i="1"/>
  <c r="AQ432" i="1"/>
  <c r="V432" i="1"/>
  <c r="W432" i="1"/>
  <c r="AP426" i="1"/>
  <c r="AQ304" i="2"/>
  <c r="AS304" i="2" s="1"/>
  <c r="AR304" i="2" s="1"/>
  <c r="V304" i="2"/>
  <c r="AQ428" i="1"/>
  <c r="AQ429" i="1"/>
  <c r="AQ430" i="1"/>
  <c r="AQ431" i="1"/>
  <c r="V429" i="1"/>
  <c r="W429" i="1"/>
  <c r="V430" i="1"/>
  <c r="W430" i="1"/>
  <c r="V431" i="1"/>
  <c r="W431" i="1"/>
  <c r="V427" i="1"/>
  <c r="W427" i="1"/>
  <c r="V428" i="1"/>
  <c r="W428" i="1"/>
  <c r="V426" i="1"/>
  <c r="W426" i="1"/>
  <c r="AQ424" i="1"/>
  <c r="AS424" i="1"/>
  <c r="AR424" i="1" s="1"/>
  <c r="AQ425" i="1"/>
  <c r="V424" i="1"/>
  <c r="W424" i="1"/>
  <c r="V425" i="1"/>
  <c r="W425" i="1"/>
  <c r="AS425" i="1" s="1"/>
  <c r="AR425" i="1" s="1"/>
  <c r="AQ423" i="1"/>
  <c r="V423" i="1"/>
  <c r="W423" i="1"/>
  <c r="AP421" i="1"/>
  <c r="AQ421" i="1"/>
  <c r="AP422" i="1"/>
  <c r="V422" i="1"/>
  <c r="W422" i="1"/>
  <c r="AI422" i="1" s="1"/>
  <c r="AJ422" i="1" s="1"/>
  <c r="V421" i="1"/>
  <c r="W421" i="1"/>
  <c r="AQ420" i="1"/>
  <c r="W420" i="1"/>
  <c r="AI420" i="1" s="1"/>
  <c r="AJ420" i="1" s="1"/>
  <c r="V420" i="1"/>
  <c r="AQ419" i="1"/>
  <c r="W419" i="1"/>
  <c r="AI419" i="1" s="1"/>
  <c r="AJ419" i="1" s="1"/>
  <c r="V419" i="1"/>
  <c r="AQ418" i="1"/>
  <c r="W418" i="1"/>
  <c r="AI418" i="1" s="1"/>
  <c r="AJ418" i="1" s="1"/>
  <c r="V418" i="1"/>
  <c r="AQ417" i="1"/>
  <c r="W417" i="1"/>
  <c r="AI417" i="1" s="1"/>
  <c r="AJ417" i="1" s="1"/>
  <c r="V417" i="1"/>
  <c r="AQ416" i="1"/>
  <c r="W416" i="1"/>
  <c r="AI416" i="1" s="1"/>
  <c r="AJ416" i="1" s="1"/>
  <c r="V416" i="1"/>
  <c r="AQ415" i="1"/>
  <c r="W415" i="1"/>
  <c r="AI415" i="1" s="1"/>
  <c r="AJ415" i="1" s="1"/>
  <c r="V415" i="1"/>
  <c r="AQ413" i="1"/>
  <c r="AQ414" i="1"/>
  <c r="V414" i="1"/>
  <c r="W414" i="1"/>
  <c r="AQ412" i="1"/>
  <c r="AP411" i="1"/>
  <c r="AQ411" i="1" s="1"/>
  <c r="V413" i="1"/>
  <c r="W413" i="1"/>
  <c r="V412" i="1"/>
  <c r="W412" i="1"/>
  <c r="V411" i="1"/>
  <c r="W411" i="1"/>
  <c r="AQ302" i="2"/>
  <c r="AQ303" i="2"/>
  <c r="AS303" i="2" s="1"/>
  <c r="AR303" i="2" s="1"/>
  <c r="V303" i="2"/>
  <c r="AQ409" i="1"/>
  <c r="AQ410" i="1"/>
  <c r="V410" i="1"/>
  <c r="W410" i="1"/>
  <c r="V409" i="1"/>
  <c r="W409" i="1"/>
  <c r="AQ408" i="1"/>
  <c r="V408" i="1"/>
  <c r="W408" i="1"/>
  <c r="AP406" i="1"/>
  <c r="AS302" i="2"/>
  <c r="AR302" i="2" s="1"/>
  <c r="V301" i="2"/>
  <c r="W301" i="2"/>
  <c r="V302" i="2"/>
  <c r="AQ406" i="1"/>
  <c r="AQ407" i="1"/>
  <c r="V407" i="1"/>
  <c r="W407" i="1"/>
  <c r="V406" i="1"/>
  <c r="W406" i="1"/>
  <c r="AQ404" i="1"/>
  <c r="AQ405" i="1"/>
  <c r="V405" i="1"/>
  <c r="W405" i="1"/>
  <c r="W404" i="1"/>
  <c r="V404" i="1"/>
  <c r="AQ402" i="1"/>
  <c r="AP403" i="1"/>
  <c r="AA403" i="1"/>
  <c r="V403" i="1"/>
  <c r="W403" i="1"/>
  <c r="AI403" i="1" s="1"/>
  <c r="AJ403" i="1" s="1"/>
  <c r="V400" i="1"/>
  <c r="W400" i="1"/>
  <c r="V401" i="1"/>
  <c r="W401" i="1"/>
  <c r="V402" i="1"/>
  <c r="W402" i="1"/>
  <c r="AQ399" i="1"/>
  <c r="V399" i="1"/>
  <c r="W399" i="1"/>
  <c r="W398" i="1"/>
  <c r="AQ398" i="1"/>
  <c r="V397" i="1"/>
  <c r="W397" i="1"/>
  <c r="V398" i="1"/>
  <c r="AQ396" i="1"/>
  <c r="W396" i="1"/>
  <c r="AS396" i="1" s="1"/>
  <c r="AR396" i="1" s="1"/>
  <c r="V396" i="1"/>
  <c r="AQ394" i="1"/>
  <c r="V394" i="1"/>
  <c r="W394" i="1"/>
  <c r="AP392" i="1"/>
  <c r="AQ392" i="1"/>
  <c r="W392" i="1"/>
  <c r="V392" i="1"/>
  <c r="AQ393" i="1"/>
  <c r="W393" i="1"/>
  <c r="V393" i="1"/>
  <c r="AQ389" i="1"/>
  <c r="AQ390" i="1"/>
  <c r="V390" i="1"/>
  <c r="W390" i="1"/>
  <c r="W389" i="1"/>
  <c r="V389" i="1"/>
  <c r="AQ388" i="1"/>
  <c r="W388" i="1"/>
  <c r="V388" i="1"/>
  <c r="AQ387" i="1"/>
  <c r="V387" i="1"/>
  <c r="W387" i="1"/>
  <c r="AQ385" i="1"/>
  <c r="AQ386" i="1"/>
  <c r="W384" i="1"/>
  <c r="W385" i="1"/>
  <c r="AS385" i="1" s="1"/>
  <c r="AR385" i="1" s="1"/>
  <c r="W386" i="1"/>
  <c r="W383" i="1"/>
  <c r="V386" i="1"/>
  <c r="V384" i="1"/>
  <c r="V385" i="1"/>
  <c r="W397" i="2"/>
  <c r="AQ301" i="2"/>
  <c r="AS301" i="2"/>
  <c r="AR301" i="2" s="1"/>
  <c r="W380" i="1"/>
  <c r="W382" i="1"/>
  <c r="W381" i="1"/>
  <c r="AQ383" i="1"/>
  <c r="V383" i="1"/>
  <c r="AQ380" i="1"/>
  <c r="AQ381" i="1"/>
  <c r="AQ382" i="1"/>
  <c r="V382" i="1"/>
  <c r="V381" i="1"/>
  <c r="AQ378" i="1"/>
  <c r="V379" i="1"/>
  <c r="W379" i="1"/>
  <c r="V380" i="1"/>
  <c r="V377" i="1"/>
  <c r="W377" i="1"/>
  <c r="V378" i="1"/>
  <c r="W378" i="1"/>
  <c r="AQ376" i="1"/>
  <c r="W376" i="1"/>
  <c r="V376" i="1"/>
  <c r="AQ375" i="1"/>
  <c r="W375" i="1"/>
  <c r="V375" i="1"/>
  <c r="AQ374" i="1"/>
  <c r="W374" i="1"/>
  <c r="V374" i="1"/>
  <c r="AQ373" i="1"/>
  <c r="W373" i="1"/>
  <c r="V373" i="1"/>
  <c r="V372" i="1"/>
  <c r="AQ372" i="1"/>
  <c r="W372" i="1"/>
  <c r="AQ371" i="1"/>
  <c r="V369" i="1"/>
  <c r="W369" i="1"/>
  <c r="V370" i="1"/>
  <c r="W370" i="1"/>
  <c r="V371" i="1"/>
  <c r="W371" i="1"/>
  <c r="AJ1083" i="1"/>
  <c r="AQ368" i="1"/>
  <c r="V368" i="1"/>
  <c r="W368" i="1"/>
  <c r="AQ367" i="1"/>
  <c r="W367" i="1"/>
  <c r="V367" i="1"/>
  <c r="AQ366" i="1"/>
  <c r="W366" i="1"/>
  <c r="V366" i="1"/>
  <c r="AQ365" i="1"/>
  <c r="W365" i="1"/>
  <c r="V365" i="1"/>
  <c r="AQ364" i="1"/>
  <c r="V364" i="1"/>
  <c r="W364" i="1"/>
  <c r="AS364" i="1" s="1"/>
  <c r="AR364" i="1" s="1"/>
  <c r="AQ363" i="1"/>
  <c r="V358" i="1"/>
  <c r="W358" i="1"/>
  <c r="V359" i="1"/>
  <c r="W359" i="1"/>
  <c r="V360" i="1"/>
  <c r="W360" i="1"/>
  <c r="V361" i="1"/>
  <c r="W361" i="1"/>
  <c r="V362" i="1"/>
  <c r="W362" i="1"/>
  <c r="V363" i="1"/>
  <c r="W363" i="1"/>
  <c r="AQ357" i="1"/>
  <c r="W357" i="1"/>
  <c r="V357" i="1"/>
  <c r="AQ356" i="1"/>
  <c r="V356" i="1"/>
  <c r="W356" i="1"/>
  <c r="V355" i="1"/>
  <c r="AQ355" i="1"/>
  <c r="W355" i="1"/>
  <c r="V350" i="1"/>
  <c r="W350" i="1"/>
  <c r="V351" i="1"/>
  <c r="W351" i="1"/>
  <c r="V352" i="1"/>
  <c r="W352" i="1"/>
  <c r="V353" i="1"/>
  <c r="W353" i="1"/>
  <c r="V354" i="1"/>
  <c r="W354" i="1"/>
  <c r="AQ345" i="1"/>
  <c r="AQ349" i="1"/>
  <c r="W349" i="1"/>
  <c r="V349" i="1"/>
  <c r="AQ348" i="1"/>
  <c r="W348" i="1"/>
  <c r="AI348" i="1" s="1"/>
  <c r="V348" i="1"/>
  <c r="AQ347" i="1"/>
  <c r="V346" i="1"/>
  <c r="W346" i="1"/>
  <c r="V347" i="1"/>
  <c r="W347" i="1"/>
  <c r="V342" i="1"/>
  <c r="W342" i="1"/>
  <c r="AI342" i="1" s="1"/>
  <c r="AJ342" i="1" s="1"/>
  <c r="AQ342" i="1"/>
  <c r="AS342" i="1"/>
  <c r="AR342" i="1" s="1"/>
  <c r="AQ344" i="1"/>
  <c r="AQ343" i="1"/>
  <c r="W345" i="1"/>
  <c r="V345" i="1"/>
  <c r="V344" i="1"/>
  <c r="W344" i="1"/>
  <c r="V343" i="1"/>
  <c r="W343" i="1"/>
  <c r="AQ299" i="2"/>
  <c r="AS299" i="2"/>
  <c r="AR299" i="2" s="1"/>
  <c r="AQ300" i="2"/>
  <c r="V299" i="2"/>
  <c r="W299" i="2"/>
  <c r="V300" i="2"/>
  <c r="W300" i="2"/>
  <c r="AQ337" i="1"/>
  <c r="W337" i="1"/>
  <c r="V337" i="1"/>
  <c r="AQ329" i="1"/>
  <c r="AQ335" i="1"/>
  <c r="AQ336" i="1"/>
  <c r="V336" i="1"/>
  <c r="W336" i="1"/>
  <c r="AS336" i="1" s="1"/>
  <c r="AR336" i="1" s="1"/>
  <c r="W335" i="1"/>
  <c r="V330" i="1"/>
  <c r="W330" i="1"/>
  <c r="V331" i="1"/>
  <c r="W331" i="1"/>
  <c r="V332" i="1"/>
  <c r="W332" i="1"/>
  <c r="V333" i="1"/>
  <c r="W333" i="1"/>
  <c r="V334" i="1"/>
  <c r="W334" i="1"/>
  <c r="V335" i="1"/>
  <c r="W329" i="1"/>
  <c r="V329" i="1"/>
  <c r="W326" i="1"/>
  <c r="AI326" i="1" s="1"/>
  <c r="AJ326" i="1" s="1"/>
  <c r="W325" i="1"/>
  <c r="AI325" i="1" s="1"/>
  <c r="AJ325" i="1" s="1"/>
  <c r="AQ323" i="1"/>
  <c r="AQ308" i="1"/>
  <c r="W316" i="1"/>
  <c r="W317" i="1"/>
  <c r="W318" i="1"/>
  <c r="W320" i="1"/>
  <c r="AI320" i="1" s="1"/>
  <c r="AJ320" i="1" s="1"/>
  <c r="W321" i="1"/>
  <c r="AI321" i="1" s="1"/>
  <c r="W323" i="1"/>
  <c r="W324" i="1"/>
  <c r="AI324" i="1" s="1"/>
  <c r="AJ324" i="1" s="1"/>
  <c r="AQ326" i="1"/>
  <c r="V326" i="1"/>
  <c r="AQ316" i="1"/>
  <c r="AQ325" i="1"/>
  <c r="V325" i="1"/>
  <c r="W322" i="1"/>
  <c r="AI322" i="1" s="1"/>
  <c r="AJ322" i="1" s="1"/>
  <c r="AQ324" i="1"/>
  <c r="V324" i="1"/>
  <c r="V323" i="1"/>
  <c r="AQ322" i="1"/>
  <c r="V322" i="1"/>
  <c r="AQ318" i="1"/>
  <c r="AQ320" i="1"/>
  <c r="AS320" i="1" s="1"/>
  <c r="AR320" i="1" s="1"/>
  <c r="AQ321" i="1"/>
  <c r="V321" i="1"/>
  <c r="V320" i="1"/>
  <c r="AA298" i="2"/>
  <c r="AQ298" i="2" s="1"/>
  <c r="V298" i="2"/>
  <c r="W298" i="2"/>
  <c r="AQ317" i="1"/>
  <c r="AQ295" i="2"/>
  <c r="AQ307" i="1"/>
  <c r="V297" i="2"/>
  <c r="W297" i="2"/>
  <c r="V318" i="1"/>
  <c r="V317" i="1"/>
  <c r="V316" i="1"/>
  <c r="AQ314" i="1"/>
  <c r="V309" i="1"/>
  <c r="W309" i="1"/>
  <c r="V310" i="1"/>
  <c r="W310" i="1"/>
  <c r="V311" i="1"/>
  <c r="W311" i="1"/>
  <c r="V312" i="1"/>
  <c r="W312" i="1"/>
  <c r="V313" i="1"/>
  <c r="W313" i="1"/>
  <c r="V314" i="1"/>
  <c r="W314" i="1"/>
  <c r="AS314" i="1" s="1"/>
  <c r="AR314" i="1" s="1"/>
  <c r="V308" i="1"/>
  <c r="W308" i="1"/>
  <c r="V307" i="1"/>
  <c r="W307" i="1"/>
  <c r="W304" i="1"/>
  <c r="W306" i="1"/>
  <c r="AQ306" i="1"/>
  <c r="V305" i="1"/>
  <c r="W305" i="1"/>
  <c r="V306" i="1"/>
  <c r="V291" i="2"/>
  <c r="W291" i="2"/>
  <c r="V292" i="2"/>
  <c r="W292" i="2"/>
  <c r="V293" i="2"/>
  <c r="W293" i="2"/>
  <c r="V295" i="2"/>
  <c r="W295" i="2"/>
  <c r="AS295" i="2" s="1"/>
  <c r="AR295" i="2" s="1"/>
  <c r="AQ304" i="1"/>
  <c r="W289" i="1"/>
  <c r="AP289" i="1"/>
  <c r="V300" i="1"/>
  <c r="W300" i="1"/>
  <c r="V301" i="1"/>
  <c r="W301" i="1"/>
  <c r="V304" i="1"/>
  <c r="W290" i="1"/>
  <c r="AI290" i="1" s="1"/>
  <c r="AJ290" i="1" s="1"/>
  <c r="D14" i="6"/>
  <c r="V14" i="6" s="1"/>
  <c r="D13" i="6"/>
  <c r="V13" i="6" s="1"/>
  <c r="D12" i="6"/>
  <c r="V12" i="6" s="1"/>
  <c r="C13" i="6"/>
  <c r="C12" i="6"/>
  <c r="D10" i="6"/>
  <c r="D9" i="6"/>
  <c r="C10" i="6"/>
  <c r="C9" i="6"/>
  <c r="D8" i="6"/>
  <c r="C6" i="6"/>
  <c r="C8" i="6"/>
  <c r="J8" i="6" s="1"/>
  <c r="C7" i="6"/>
  <c r="AQ299" i="1"/>
  <c r="V299" i="1"/>
  <c r="W299" i="1"/>
  <c r="AQ298" i="1"/>
  <c r="V297" i="1"/>
  <c r="W297" i="1"/>
  <c r="V298" i="1"/>
  <c r="W298" i="1"/>
  <c r="W293" i="1"/>
  <c r="W296" i="1"/>
  <c r="AQ296" i="1"/>
  <c r="V294" i="1"/>
  <c r="W294" i="1"/>
  <c r="V296" i="1"/>
  <c r="AQ293" i="1"/>
  <c r="V292" i="1"/>
  <c r="W292" i="1"/>
  <c r="V293" i="1"/>
  <c r="AQ288" i="1"/>
  <c r="AQ289" i="1"/>
  <c r="AQ290" i="1"/>
  <c r="AQ291" i="1"/>
  <c r="V291" i="1"/>
  <c r="W291" i="1"/>
  <c r="V290" i="1"/>
  <c r="V289" i="1"/>
  <c r="V288" i="1"/>
  <c r="W288" i="1"/>
  <c r="AQ287" i="1"/>
  <c r="V287" i="1"/>
  <c r="W287" i="1"/>
  <c r="W286" i="1"/>
  <c r="W285" i="1"/>
  <c r="AQ286" i="1"/>
  <c r="V286" i="1"/>
  <c r="AQ285" i="1"/>
  <c r="V285" i="1"/>
  <c r="AQ284" i="1"/>
  <c r="AQ283" i="1"/>
  <c r="AQ282" i="1"/>
  <c r="V278" i="1"/>
  <c r="W278" i="1"/>
  <c r="V279" i="1"/>
  <c r="W279" i="1"/>
  <c r="V280" i="1"/>
  <c r="W280" i="1"/>
  <c r="V281" i="1"/>
  <c r="W281" i="1"/>
  <c r="V282" i="1"/>
  <c r="W282" i="1"/>
  <c r="V283" i="1"/>
  <c r="W283" i="1"/>
  <c r="V284" i="1"/>
  <c r="W284" i="1"/>
  <c r="AQ274" i="1"/>
  <c r="AQ275" i="1"/>
  <c r="AQ276" i="1"/>
  <c r="AQ277" i="1"/>
  <c r="V277" i="1"/>
  <c r="W277" i="1"/>
  <c r="W276" i="1"/>
  <c r="V276" i="1"/>
  <c r="V275" i="1"/>
  <c r="W275" i="1"/>
  <c r="W274" i="1"/>
  <c r="V274" i="1"/>
  <c r="AQ265" i="1"/>
  <c r="AQ266" i="1"/>
  <c r="AQ267" i="1"/>
  <c r="AQ272" i="1"/>
  <c r="AQ273" i="1"/>
  <c r="V273" i="1"/>
  <c r="W273" i="1"/>
  <c r="V268" i="1"/>
  <c r="W268" i="1"/>
  <c r="V269" i="1"/>
  <c r="W269" i="1"/>
  <c r="V270" i="1"/>
  <c r="W270" i="1"/>
  <c r="V271" i="1"/>
  <c r="W271" i="1"/>
  <c r="V272" i="1"/>
  <c r="W272" i="1"/>
  <c r="AI272" i="1" s="1"/>
  <c r="AP254" i="1"/>
  <c r="AQ254" i="1" s="1"/>
  <c r="W254" i="1"/>
  <c r="AI254" i="1" s="1"/>
  <c r="AJ254" i="1" s="1"/>
  <c r="V267" i="1"/>
  <c r="W267" i="1"/>
  <c r="V266" i="1"/>
  <c r="W266" i="1"/>
  <c r="AQ262" i="1"/>
  <c r="V265" i="1"/>
  <c r="W265" i="1"/>
  <c r="AQ263" i="1"/>
  <c r="W263" i="1"/>
  <c r="AI263" i="1" s="1"/>
  <c r="V263" i="1"/>
  <c r="V261" i="1"/>
  <c r="W261" i="1"/>
  <c r="V262" i="1"/>
  <c r="W262" i="1"/>
  <c r="AQ260" i="1"/>
  <c r="W260" i="1"/>
  <c r="V260" i="1"/>
  <c r="AQ258" i="1"/>
  <c r="AQ259" i="1"/>
  <c r="V259" i="1"/>
  <c r="W259" i="1"/>
  <c r="V258" i="1"/>
  <c r="W258" i="1"/>
  <c r="W248" i="1"/>
  <c r="AP248" i="1"/>
  <c r="AQ248" i="1" s="1"/>
  <c r="AQ251" i="1"/>
  <c r="AQ252" i="1"/>
  <c r="AQ253" i="1"/>
  <c r="AQ255" i="1"/>
  <c r="AQ256" i="1"/>
  <c r="AQ257" i="1"/>
  <c r="W245" i="1"/>
  <c r="W246" i="1"/>
  <c r="AI246" i="1" s="1"/>
  <c r="AJ246" i="1" s="1"/>
  <c r="W247" i="1"/>
  <c r="W249" i="1"/>
  <c r="W250" i="1"/>
  <c r="W251" i="1"/>
  <c r="W252" i="1"/>
  <c r="W253" i="1"/>
  <c r="W255" i="1"/>
  <c r="AI255" i="1" s="1"/>
  <c r="AJ255" i="1" s="1"/>
  <c r="W256" i="1"/>
  <c r="AI256" i="1" s="1"/>
  <c r="AJ256" i="1" s="1"/>
  <c r="W257" i="1"/>
  <c r="AI257" i="1" s="1"/>
  <c r="AJ257" i="1" s="1"/>
  <c r="V245" i="1"/>
  <c r="V246" i="1"/>
  <c r="V247" i="1"/>
  <c r="V248" i="1"/>
  <c r="V249" i="1"/>
  <c r="V250" i="1"/>
  <c r="V251" i="1"/>
  <c r="V252" i="1"/>
  <c r="V253" i="1"/>
  <c r="V254" i="1"/>
  <c r="V255" i="1"/>
  <c r="V256" i="1"/>
  <c r="V257" i="1"/>
  <c r="V244" i="1"/>
  <c r="W244" i="1"/>
  <c r="AI244" i="1" s="1"/>
  <c r="AJ244" i="1" s="1"/>
  <c r="AQ250" i="1"/>
  <c r="AQ246" i="1"/>
  <c r="AQ247" i="1"/>
  <c r="AP244" i="1"/>
  <c r="AQ244" i="1" s="1"/>
  <c r="W18" i="1"/>
  <c r="Q349" i="2"/>
  <c r="Q348" i="2"/>
  <c r="Q347" i="2"/>
  <c r="Q345" i="2"/>
  <c r="Q344" i="2"/>
  <c r="Q343" i="2"/>
  <c r="Q341" i="2"/>
  <c r="Q340" i="2"/>
  <c r="Q339" i="2"/>
  <c r="AN337" i="2"/>
  <c r="AN336" i="2"/>
  <c r="P336" i="2"/>
  <c r="P335" i="2"/>
  <c r="P334" i="2"/>
  <c r="P333" i="2"/>
  <c r="AN332" i="2"/>
  <c r="Z332" i="2"/>
  <c r="Y332" i="2"/>
  <c r="X332" i="2"/>
  <c r="P332" i="2"/>
  <c r="N332" i="2"/>
  <c r="M332" i="2"/>
  <c r="L332" i="2"/>
  <c r="AN331" i="2"/>
  <c r="Z331" i="2"/>
  <c r="Y331" i="2"/>
  <c r="X331" i="2"/>
  <c r="T331" i="2"/>
  <c r="P331" i="2"/>
  <c r="N331" i="2"/>
  <c r="M331" i="2"/>
  <c r="L331" i="2"/>
  <c r="Z330" i="2"/>
  <c r="Y330" i="2"/>
  <c r="X330" i="2"/>
  <c r="T330" i="2"/>
  <c r="P330" i="2"/>
  <c r="N330" i="2"/>
  <c r="N334" i="2" s="1"/>
  <c r="M330" i="2"/>
  <c r="M334" i="2" s="1"/>
  <c r="L330" i="2"/>
  <c r="L334" i="2" s="1"/>
  <c r="Z329" i="2"/>
  <c r="Y329" i="2"/>
  <c r="X329" i="2"/>
  <c r="T329" i="2"/>
  <c r="P329" i="2"/>
  <c r="N329" i="2"/>
  <c r="M329" i="2"/>
  <c r="L329" i="2"/>
  <c r="L333" i="2" s="1"/>
  <c r="Z328" i="2"/>
  <c r="Y328" i="2"/>
  <c r="X328" i="2"/>
  <c r="T328" i="2"/>
  <c r="P328" i="2"/>
  <c r="AN327" i="2"/>
  <c r="Z327" i="2"/>
  <c r="Y327" i="2"/>
  <c r="X327" i="2"/>
  <c r="T327" i="2"/>
  <c r="N327" i="2"/>
  <c r="N328" i="2" s="1"/>
  <c r="M327" i="2"/>
  <c r="M328" i="2" s="1"/>
  <c r="L327" i="2"/>
  <c r="AN325" i="2"/>
  <c r="Z325" i="2"/>
  <c r="Y325" i="2"/>
  <c r="X325" i="2"/>
  <c r="T325" i="2"/>
  <c r="N325" i="2"/>
  <c r="M325" i="2"/>
  <c r="L325" i="2"/>
  <c r="AQ324" i="2"/>
  <c r="W324" i="2"/>
  <c r="V324" i="2"/>
  <c r="W290" i="2"/>
  <c r="V290" i="2"/>
  <c r="AQ289" i="2"/>
  <c r="W289" i="2"/>
  <c r="V289" i="2"/>
  <c r="AQ288" i="2"/>
  <c r="W288" i="2"/>
  <c r="V288" i="2"/>
  <c r="AQ287" i="2"/>
  <c r="W287" i="2"/>
  <c r="V287" i="2"/>
  <c r="AQ286" i="2"/>
  <c r="W286" i="2"/>
  <c r="V286" i="2"/>
  <c r="AQ285" i="2"/>
  <c r="W285" i="2"/>
  <c r="V285" i="2"/>
  <c r="AQ284" i="2"/>
  <c r="W284" i="2"/>
  <c r="V284" i="2"/>
  <c r="AS283" i="2"/>
  <c r="AR283" i="2" s="1"/>
  <c r="AQ283" i="2"/>
  <c r="W283" i="2"/>
  <c r="V283" i="2"/>
  <c r="AS282" i="2"/>
  <c r="AR282" i="2" s="1"/>
  <c r="AQ282" i="2"/>
  <c r="W282" i="2"/>
  <c r="V282" i="2"/>
  <c r="AQ281" i="2"/>
  <c r="W281" i="2"/>
  <c r="V281" i="2"/>
  <c r="AQ280" i="2"/>
  <c r="W280" i="2"/>
  <c r="V280" i="2"/>
  <c r="AQ279" i="2"/>
  <c r="W279" i="2"/>
  <c r="V279" i="2"/>
  <c r="AS278" i="2"/>
  <c r="AQ278" i="2"/>
  <c r="AS277" i="2"/>
  <c r="AR277" i="2" s="1"/>
  <c r="AQ277" i="2"/>
  <c r="W277" i="2"/>
  <c r="V277" i="2"/>
  <c r="AS276" i="2"/>
  <c r="AR276" i="2" s="1"/>
  <c r="AQ276" i="2"/>
  <c r="W276" i="2"/>
  <c r="V276" i="2"/>
  <c r="AQ275" i="2"/>
  <c r="W275" i="2"/>
  <c r="V275" i="2"/>
  <c r="AQ274" i="2"/>
  <c r="W274" i="2"/>
  <c r="V274" i="2"/>
  <c r="AQ273" i="2"/>
  <c r="W273" i="2"/>
  <c r="V273" i="2"/>
  <c r="AQ272" i="2"/>
  <c r="W272" i="2"/>
  <c r="V272" i="2"/>
  <c r="AQ271" i="2"/>
  <c r="W271" i="2"/>
  <c r="V271" i="2"/>
  <c r="AQ270" i="2"/>
  <c r="W270" i="2"/>
  <c r="V270" i="2"/>
  <c r="AS269" i="2"/>
  <c r="AQ269" i="2"/>
  <c r="W269" i="2"/>
  <c r="V269" i="2"/>
  <c r="AQ268" i="2"/>
  <c r="W268" i="2"/>
  <c r="V268" i="2"/>
  <c r="AQ267" i="2"/>
  <c r="W267" i="2"/>
  <c r="V267" i="2"/>
  <c r="AQ266" i="2"/>
  <c r="W266" i="2"/>
  <c r="V266" i="2"/>
  <c r="AS265" i="2"/>
  <c r="AR265" i="2" s="1"/>
  <c r="AQ265" i="2"/>
  <c r="W265" i="2"/>
  <c r="V265" i="2"/>
  <c r="W264" i="2"/>
  <c r="V264" i="2"/>
  <c r="AQ263" i="2"/>
  <c r="W263" i="2"/>
  <c r="V263" i="2"/>
  <c r="AS262" i="2"/>
  <c r="AR262" i="2" s="1"/>
  <c r="AQ262" i="2"/>
  <c r="W262" i="2"/>
  <c r="V262" i="2"/>
  <c r="AQ261" i="2"/>
  <c r="W261" i="2"/>
  <c r="V261" i="2"/>
  <c r="AS260" i="2"/>
  <c r="AR260" i="2" s="1"/>
  <c r="AQ260" i="2"/>
  <c r="W260" i="2"/>
  <c r="V260" i="2"/>
  <c r="AQ259" i="2"/>
  <c r="W259" i="2"/>
  <c r="V259" i="2"/>
  <c r="AQ258" i="2"/>
  <c r="W258" i="2"/>
  <c r="V258" i="2"/>
  <c r="AQ257" i="2"/>
  <c r="W257" i="2"/>
  <c r="V257" i="2"/>
  <c r="AQ256" i="2"/>
  <c r="W256" i="2"/>
  <c r="V256" i="2"/>
  <c r="AQ255" i="2"/>
  <c r="W255" i="2"/>
  <c r="V255" i="2"/>
  <c r="AS254" i="2"/>
  <c r="AQ254" i="2"/>
  <c r="W254" i="2"/>
  <c r="V254" i="2"/>
  <c r="AS253" i="2"/>
  <c r="AR253" i="2" s="1"/>
  <c r="AQ253" i="2"/>
  <c r="W253" i="2"/>
  <c r="V253" i="2"/>
  <c r="AS252" i="2"/>
  <c r="AR252" i="2" s="1"/>
  <c r="AQ252" i="2"/>
  <c r="W252" i="2"/>
  <c r="V252" i="2"/>
  <c r="AS251" i="2"/>
  <c r="AR251" i="2" s="1"/>
  <c r="AQ251" i="2"/>
  <c r="W251" i="2"/>
  <c r="V251" i="2"/>
  <c r="AS250" i="2"/>
  <c r="AR250" i="2" s="1"/>
  <c r="AQ250" i="2"/>
  <c r="W250" i="2"/>
  <c r="V250" i="2"/>
  <c r="AQ249" i="2"/>
  <c r="W249" i="2"/>
  <c r="V249" i="2"/>
  <c r="AQ248" i="2"/>
  <c r="W248" i="2"/>
  <c r="V248" i="2"/>
  <c r="AQ247" i="2"/>
  <c r="W247" i="2"/>
  <c r="V247" i="2"/>
  <c r="AQ246" i="2"/>
  <c r="W246" i="2"/>
  <c r="V246" i="2"/>
  <c r="AQ245" i="2"/>
  <c r="W245" i="2"/>
  <c r="V245" i="2"/>
  <c r="AS244" i="2"/>
  <c r="AR244" i="2" s="1"/>
  <c r="AQ244" i="2"/>
  <c r="W244" i="2"/>
  <c r="V244" i="2"/>
  <c r="AS243" i="2"/>
  <c r="AR243" i="2" s="1"/>
  <c r="AQ243" i="2"/>
  <c r="W243" i="2"/>
  <c r="V243" i="2"/>
  <c r="AS242" i="2"/>
  <c r="AR242" i="2" s="1"/>
  <c r="AQ242" i="2"/>
  <c r="AJ242" i="2"/>
  <c r="W242" i="2"/>
  <c r="V242" i="2"/>
  <c r="AS241" i="2"/>
  <c r="AR241" i="2" s="1"/>
  <c r="AQ241" i="2"/>
  <c r="AJ241" i="2"/>
  <c r="W241" i="2"/>
  <c r="V241" i="2"/>
  <c r="AS240" i="2"/>
  <c r="AR240" i="2" s="1"/>
  <c r="AQ240" i="2"/>
  <c r="W240" i="2"/>
  <c r="V240" i="2"/>
  <c r="AS239" i="2"/>
  <c r="AR239" i="2" s="1"/>
  <c r="AQ239" i="2"/>
  <c r="W239" i="2"/>
  <c r="V239" i="2"/>
  <c r="AS238" i="2"/>
  <c r="AR238" i="2" s="1"/>
  <c r="AQ238" i="2"/>
  <c r="W238" i="2"/>
  <c r="V238" i="2"/>
  <c r="AS237" i="2"/>
  <c r="AR237" i="2" s="1"/>
  <c r="AQ237" i="2"/>
  <c r="W237" i="2"/>
  <c r="V237" i="2"/>
  <c r="AS236" i="2"/>
  <c r="AR236" i="2"/>
  <c r="AQ236" i="2"/>
  <c r="W236" i="2"/>
  <c r="V236" i="2"/>
  <c r="AS235" i="2"/>
  <c r="AR235" i="2" s="1"/>
  <c r="AQ235" i="2"/>
  <c r="W235" i="2"/>
  <c r="V235" i="2"/>
  <c r="AS234" i="2"/>
  <c r="AR234" i="2" s="1"/>
  <c r="AQ234" i="2"/>
  <c r="W234" i="2"/>
  <c r="V234" i="2"/>
  <c r="AS233" i="2"/>
  <c r="AR233" i="2" s="1"/>
  <c r="AQ233" i="2"/>
  <c r="W233" i="2"/>
  <c r="V233" i="2"/>
  <c r="AS232" i="2"/>
  <c r="AR232" i="2" s="1"/>
  <c r="AQ232" i="2"/>
  <c r="W232" i="2"/>
  <c r="V232" i="2"/>
  <c r="AS231" i="2"/>
  <c r="AR231" i="2" s="1"/>
  <c r="AQ231" i="2"/>
  <c r="W231" i="2"/>
  <c r="V231" i="2"/>
  <c r="AS230" i="2"/>
  <c r="AR230" i="2" s="1"/>
  <c r="AQ230" i="2"/>
  <c r="W230" i="2"/>
  <c r="V230" i="2"/>
  <c r="AS229" i="2"/>
  <c r="AR229" i="2" s="1"/>
  <c r="AQ229" i="2"/>
  <c r="W229" i="2"/>
  <c r="V229" i="2"/>
  <c r="AS228" i="2"/>
  <c r="AR228" i="2" s="1"/>
  <c r="AQ228" i="2"/>
  <c r="W228" i="2"/>
  <c r="V228" i="2"/>
  <c r="AQ227" i="2"/>
  <c r="W227" i="2"/>
  <c r="V227" i="2"/>
  <c r="AQ226" i="2"/>
  <c r="W226" i="2"/>
  <c r="V226" i="2"/>
  <c r="AQ225" i="2"/>
  <c r="W225" i="2"/>
  <c r="V225" i="2"/>
  <c r="AQ224" i="2"/>
  <c r="W224" i="2"/>
  <c r="V224" i="2"/>
  <c r="AQ223" i="2"/>
  <c r="W223" i="2"/>
  <c r="V223" i="2"/>
  <c r="AQ222" i="2"/>
  <c r="W222" i="2"/>
  <c r="V222" i="2"/>
  <c r="AQ220" i="2"/>
  <c r="W220" i="2"/>
  <c r="V220" i="2"/>
  <c r="AQ219" i="2"/>
  <c r="W219" i="2"/>
  <c r="V219" i="2"/>
  <c r="W218" i="2"/>
  <c r="V218" i="2"/>
  <c r="W217" i="2"/>
  <c r="V217" i="2"/>
  <c r="AQ211" i="2"/>
  <c r="W211" i="2"/>
  <c r="V211" i="2"/>
  <c r="AQ210" i="2"/>
  <c r="W210" i="2"/>
  <c r="V210" i="2"/>
  <c r="AS209" i="2"/>
  <c r="AR209" i="2" s="1"/>
  <c r="AQ209" i="2"/>
  <c r="W209" i="2"/>
  <c r="V209" i="2"/>
  <c r="AQ208" i="2"/>
  <c r="W208" i="2"/>
  <c r="V208" i="2"/>
  <c r="AQ207" i="2"/>
  <c r="W207" i="2"/>
  <c r="V207" i="2"/>
  <c r="AQ206" i="2"/>
  <c r="W206" i="2"/>
  <c r="V206" i="2"/>
  <c r="AQ205" i="2"/>
  <c r="W205" i="2"/>
  <c r="AS205" i="2" s="1"/>
  <c r="AR205" i="2" s="1"/>
  <c r="V205" i="2"/>
  <c r="AQ204" i="2"/>
  <c r="W204" i="2"/>
  <c r="V204" i="2"/>
  <c r="AQ203" i="2"/>
  <c r="W203" i="2"/>
  <c r="AS203" i="2" s="1"/>
  <c r="AR203" i="2" s="1"/>
  <c r="V203" i="2"/>
  <c r="AS202" i="2"/>
  <c r="AR202" i="2"/>
  <c r="AQ202" i="2"/>
  <c r="W202" i="2"/>
  <c r="V202" i="2"/>
  <c r="AS201" i="2"/>
  <c r="AR201" i="2" s="1"/>
  <c r="AQ201" i="2"/>
  <c r="W201" i="2"/>
  <c r="V201" i="2"/>
  <c r="AQ200" i="2"/>
  <c r="W200" i="2"/>
  <c r="V200" i="2"/>
  <c r="AS199" i="2"/>
  <c r="AR199" i="2" s="1"/>
  <c r="AQ199" i="2"/>
  <c r="W199" i="2"/>
  <c r="V199" i="2"/>
  <c r="AS198" i="2"/>
  <c r="AR198" i="2" s="1"/>
  <c r="AQ198" i="2"/>
  <c r="W198" i="2"/>
  <c r="V198" i="2"/>
  <c r="AS197" i="2"/>
  <c r="AR197" i="2" s="1"/>
  <c r="AQ197" i="2"/>
  <c r="W197" i="2"/>
  <c r="V197" i="2"/>
  <c r="AQ196" i="2"/>
  <c r="W196" i="2"/>
  <c r="V196" i="2"/>
  <c r="AS195" i="2"/>
  <c r="AR195" i="2" s="1"/>
  <c r="AQ195" i="2"/>
  <c r="W195" i="2"/>
  <c r="V195" i="2"/>
  <c r="AQ194" i="2"/>
  <c r="W194" i="2"/>
  <c r="V194" i="2"/>
  <c r="AQ193" i="2"/>
  <c r="W193" i="2"/>
  <c r="V193" i="2"/>
  <c r="AQ192" i="2"/>
  <c r="W192" i="2"/>
  <c r="V192" i="2"/>
  <c r="AS191" i="2"/>
  <c r="AR191" i="2" s="1"/>
  <c r="AQ191" i="2"/>
  <c r="W191" i="2"/>
  <c r="V191" i="2"/>
  <c r="AQ190" i="2"/>
  <c r="W190" i="2"/>
  <c r="V190" i="2"/>
  <c r="AQ189" i="2"/>
  <c r="W189" i="2"/>
  <c r="AS189" i="2" s="1"/>
  <c r="AR189" i="2" s="1"/>
  <c r="V189" i="2"/>
  <c r="AQ188" i="2"/>
  <c r="W188" i="2"/>
  <c r="V188" i="2"/>
  <c r="AQ187" i="2"/>
  <c r="W187" i="2"/>
  <c r="V187" i="2"/>
  <c r="AQ186" i="2"/>
  <c r="W186" i="2"/>
  <c r="V186" i="2"/>
  <c r="AQ185" i="2"/>
  <c r="W185" i="2"/>
  <c r="V185" i="2"/>
  <c r="AQ184" i="2"/>
  <c r="W184" i="2"/>
  <c r="V184" i="2"/>
  <c r="AQ183" i="2"/>
  <c r="W183" i="2"/>
  <c r="V183" i="2"/>
  <c r="AQ181" i="2"/>
  <c r="AJ181" i="2"/>
  <c r="W181" i="2"/>
  <c r="V181" i="2"/>
  <c r="AQ180" i="2"/>
  <c r="AH180" i="2"/>
  <c r="W180" i="2"/>
  <c r="AI180" i="2" s="1"/>
  <c r="AJ180" i="2" s="1"/>
  <c r="V180" i="2"/>
  <c r="AQ179" i="2"/>
  <c r="AJ179" i="2"/>
  <c r="W179" i="2"/>
  <c r="V179" i="2"/>
  <c r="AQ178" i="2"/>
  <c r="AJ178" i="2"/>
  <c r="W178" i="2"/>
  <c r="V178" i="2"/>
  <c r="AQ177" i="2"/>
  <c r="AJ177" i="2"/>
  <c r="W177" i="2"/>
  <c r="V177" i="2"/>
  <c r="AQ176" i="2"/>
  <c r="AH176" i="2"/>
  <c r="W176" i="2"/>
  <c r="AI176" i="2" s="1"/>
  <c r="AJ176" i="2" s="1"/>
  <c r="V176" i="2"/>
  <c r="AQ175" i="2"/>
  <c r="W175" i="2"/>
  <c r="V175" i="2"/>
  <c r="AQ174" i="2"/>
  <c r="W174" i="2"/>
  <c r="AS174" i="2" s="1"/>
  <c r="AR174" i="2" s="1"/>
  <c r="V174" i="2"/>
  <c r="AQ173" i="2"/>
  <c r="AH173" i="2"/>
  <c r="W173" i="2"/>
  <c r="V173" i="2"/>
  <c r="W172" i="2"/>
  <c r="V172" i="2"/>
  <c r="AS171" i="2"/>
  <c r="AR171" i="2" s="1"/>
  <c r="AQ171" i="2"/>
  <c r="W171" i="2"/>
  <c r="V171" i="2"/>
  <c r="AQ170" i="2"/>
  <c r="AH170" i="2"/>
  <c r="W170" i="2"/>
  <c r="V170" i="2"/>
  <c r="AQ169" i="2"/>
  <c r="AH169" i="2"/>
  <c r="W169" i="2"/>
  <c r="V169" i="2"/>
  <c r="AS168" i="2"/>
  <c r="AR168" i="2" s="1"/>
  <c r="AQ168" i="2"/>
  <c r="W168" i="2"/>
  <c r="V168" i="2"/>
  <c r="AS167" i="2"/>
  <c r="AR167" i="2"/>
  <c r="AQ167" i="2"/>
  <c r="W167" i="2"/>
  <c r="V167" i="2"/>
  <c r="AS166" i="2"/>
  <c r="AR166" i="2" s="1"/>
  <c r="AQ166" i="2"/>
  <c r="W166" i="2"/>
  <c r="V166" i="2"/>
  <c r="AS165" i="2"/>
  <c r="AR165" i="2" s="1"/>
  <c r="AQ165" i="2"/>
  <c r="W165" i="2"/>
  <c r="V165" i="2"/>
  <c r="AS164" i="2"/>
  <c r="AR164" i="2"/>
  <c r="AQ164" i="2"/>
  <c r="W164" i="2"/>
  <c r="V164" i="2"/>
  <c r="AS163" i="2"/>
  <c r="AR163" i="2" s="1"/>
  <c r="AQ163" i="2"/>
  <c r="W163" i="2"/>
  <c r="V163" i="2"/>
  <c r="AQ162" i="2"/>
  <c r="W162" i="2"/>
  <c r="V162" i="2"/>
  <c r="AS161" i="2"/>
  <c r="AR161" i="2" s="1"/>
  <c r="AQ161" i="2"/>
  <c r="W161" i="2"/>
  <c r="V161" i="2"/>
  <c r="AS160" i="2"/>
  <c r="AR160" i="2" s="1"/>
  <c r="AQ160" i="2"/>
  <c r="W160" i="2"/>
  <c r="V160" i="2"/>
  <c r="AS159" i="2"/>
  <c r="AR159" i="2" s="1"/>
  <c r="AQ159" i="2"/>
  <c r="W159" i="2"/>
  <c r="V159" i="2"/>
  <c r="AS158" i="2"/>
  <c r="AR158" i="2" s="1"/>
  <c r="AQ158" i="2"/>
  <c r="W158" i="2"/>
  <c r="V158" i="2"/>
  <c r="AQ157" i="2"/>
  <c r="W157" i="2"/>
  <c r="V157" i="2"/>
  <c r="AS156" i="2"/>
  <c r="AR156" i="2" s="1"/>
  <c r="AQ156" i="2"/>
  <c r="W156" i="2"/>
  <c r="V156" i="2"/>
  <c r="AQ155" i="2"/>
  <c r="W155" i="2"/>
  <c r="V155" i="2"/>
  <c r="AQ152" i="2"/>
  <c r="W152" i="2"/>
  <c r="V152" i="2"/>
  <c r="AS151" i="2"/>
  <c r="AR151" i="2" s="1"/>
  <c r="AQ151" i="2"/>
  <c r="W151" i="2"/>
  <c r="V151" i="2"/>
  <c r="AS150" i="2"/>
  <c r="AR150" i="2" s="1"/>
  <c r="AQ150" i="2"/>
  <c r="W150" i="2"/>
  <c r="V150" i="2"/>
  <c r="AQ149" i="2"/>
  <c r="W149" i="2"/>
  <c r="V149" i="2"/>
  <c r="AQ148" i="2"/>
  <c r="W148" i="2"/>
  <c r="V148" i="2"/>
  <c r="AS147" i="2"/>
  <c r="AR147" i="2"/>
  <c r="AQ147" i="2"/>
  <c r="W147" i="2"/>
  <c r="V147" i="2"/>
  <c r="AQ146" i="2"/>
  <c r="W146" i="2"/>
  <c r="V146" i="2"/>
  <c r="AQ145" i="2"/>
  <c r="W145" i="2"/>
  <c r="V145" i="2"/>
  <c r="AQ144" i="2"/>
  <c r="W144" i="2"/>
  <c r="V144" i="2"/>
  <c r="AQ143" i="2"/>
  <c r="W143" i="2"/>
  <c r="V143" i="2"/>
  <c r="AS142" i="2"/>
  <c r="AR142" i="2" s="1"/>
  <c r="AQ142" i="2"/>
  <c r="W142" i="2"/>
  <c r="V142" i="2"/>
  <c r="AS141" i="2"/>
  <c r="AR141" i="2" s="1"/>
  <c r="AQ141" i="2"/>
  <c r="W141" i="2"/>
  <c r="V141" i="2"/>
  <c r="AS140" i="2"/>
  <c r="AR140" i="2" s="1"/>
  <c r="AQ140" i="2"/>
  <c r="W140" i="2"/>
  <c r="V140" i="2"/>
  <c r="AS139" i="2"/>
  <c r="AR139" i="2" s="1"/>
  <c r="AQ139" i="2"/>
  <c r="W139" i="2"/>
  <c r="V139" i="2"/>
  <c r="AS138" i="2"/>
  <c r="AR138" i="2" s="1"/>
  <c r="AQ138" i="2"/>
  <c r="W138" i="2"/>
  <c r="V138" i="2"/>
  <c r="AS137" i="2"/>
  <c r="AR137" i="2" s="1"/>
  <c r="AQ137" i="2"/>
  <c r="W137" i="2"/>
  <c r="V137" i="2"/>
  <c r="AQ136" i="2"/>
  <c r="W136" i="2"/>
  <c r="V136" i="2"/>
  <c r="AS135" i="2"/>
  <c r="AR135" i="2" s="1"/>
  <c r="AQ135" i="2"/>
  <c r="W135" i="2"/>
  <c r="V135" i="2"/>
  <c r="AS134" i="2"/>
  <c r="AR134" i="2" s="1"/>
  <c r="AQ134" i="2"/>
  <c r="W134" i="2"/>
  <c r="V134" i="2"/>
  <c r="AS133" i="2"/>
  <c r="AR133" i="2" s="1"/>
  <c r="AQ133" i="2"/>
  <c r="W133" i="2"/>
  <c r="V133" i="2"/>
  <c r="AS132" i="2"/>
  <c r="AR132" i="2" s="1"/>
  <c r="AQ132" i="2"/>
  <c r="W132" i="2"/>
  <c r="V132" i="2"/>
  <c r="AS131" i="2"/>
  <c r="AR131" i="2" s="1"/>
  <c r="AQ131" i="2"/>
  <c r="W131" i="2"/>
  <c r="V131" i="2"/>
  <c r="AQ130" i="2"/>
  <c r="W130" i="2"/>
  <c r="V130" i="2"/>
  <c r="AS129" i="2"/>
  <c r="AR129" i="2" s="1"/>
  <c r="AQ129" i="2"/>
  <c r="W129" i="2"/>
  <c r="V129" i="2"/>
  <c r="AQ128" i="2"/>
  <c r="W128" i="2"/>
  <c r="V128" i="2"/>
  <c r="AQ127" i="2"/>
  <c r="W127" i="2"/>
  <c r="V127" i="2"/>
  <c r="AQ126" i="2"/>
  <c r="W126" i="2"/>
  <c r="V126" i="2"/>
  <c r="AQ125" i="2"/>
  <c r="W125" i="2"/>
  <c r="V125" i="2"/>
  <c r="AQ124" i="2"/>
  <c r="W124" i="2"/>
  <c r="V124" i="2"/>
  <c r="AQ123" i="2"/>
  <c r="W123" i="2"/>
  <c r="V123" i="2"/>
  <c r="AS122" i="2"/>
  <c r="AQ122" i="2"/>
  <c r="W122" i="2"/>
  <c r="V122" i="2"/>
  <c r="AS121" i="2"/>
  <c r="AQ121" i="2"/>
  <c r="W121" i="2"/>
  <c r="V121" i="2"/>
  <c r="AQ120" i="2"/>
  <c r="W120" i="2"/>
  <c r="V120" i="2"/>
  <c r="AS119" i="2"/>
  <c r="AQ119" i="2"/>
  <c r="W119" i="2"/>
  <c r="V119" i="2"/>
  <c r="AQ118" i="2"/>
  <c r="W118" i="2"/>
  <c r="V118" i="2"/>
  <c r="AQ117" i="2"/>
  <c r="W117" i="2"/>
  <c r="V117" i="2"/>
  <c r="AQ116" i="2"/>
  <c r="W116" i="2"/>
  <c r="V116" i="2"/>
  <c r="AQ114" i="2"/>
  <c r="W114" i="2"/>
  <c r="AS114" i="2" s="1"/>
  <c r="AR114" i="2" s="1"/>
  <c r="V114" i="2"/>
  <c r="AQ113" i="2"/>
  <c r="W113" i="2"/>
  <c r="V113" i="2"/>
  <c r="AS112" i="2"/>
  <c r="AQ112" i="2"/>
  <c r="W112" i="2"/>
  <c r="V112" i="2"/>
  <c r="AQ111" i="2"/>
  <c r="W111" i="2"/>
  <c r="V111" i="2"/>
  <c r="W110" i="2"/>
  <c r="V110" i="2"/>
  <c r="W109" i="2"/>
  <c r="V109" i="2"/>
  <c r="W108" i="2"/>
  <c r="V108" i="2"/>
  <c r="AQ105" i="2"/>
  <c r="W105" i="2"/>
  <c r="V105" i="2"/>
  <c r="AQ104" i="2"/>
  <c r="W104" i="2"/>
  <c r="V104" i="2"/>
  <c r="AQ103" i="2"/>
  <c r="W103" i="2"/>
  <c r="V103" i="2"/>
  <c r="W102" i="2"/>
  <c r="V102" i="2"/>
  <c r="W101" i="2"/>
  <c r="V101" i="2"/>
  <c r="W100" i="2"/>
  <c r="V100" i="2"/>
  <c r="W99" i="2"/>
  <c r="V99" i="2"/>
  <c r="AQ98" i="2"/>
  <c r="W98" i="2"/>
  <c r="V98" i="2"/>
  <c r="AQ97" i="2"/>
  <c r="W97" i="2"/>
  <c r="V97" i="2"/>
  <c r="AQ96" i="2"/>
  <c r="W96" i="2"/>
  <c r="V96" i="2"/>
  <c r="AQ95" i="2"/>
  <c r="W95" i="2"/>
  <c r="V95" i="2"/>
  <c r="AQ94" i="2"/>
  <c r="W94" i="2"/>
  <c r="V94" i="2"/>
  <c r="AQ93" i="2"/>
  <c r="W93" i="2"/>
  <c r="V93" i="2"/>
  <c r="AQ92" i="2"/>
  <c r="W92" i="2"/>
  <c r="V92" i="2"/>
  <c r="W91" i="2"/>
  <c r="V91" i="2"/>
  <c r="W90" i="2"/>
  <c r="V90" i="2"/>
  <c r="W89" i="2"/>
  <c r="V89" i="2"/>
  <c r="AQ88" i="2"/>
  <c r="W88" i="2"/>
  <c r="V88" i="2"/>
  <c r="W87" i="2"/>
  <c r="V87" i="2"/>
  <c r="W86" i="2"/>
  <c r="V86" i="2"/>
  <c r="W85" i="2"/>
  <c r="V85" i="2"/>
  <c r="W84" i="2"/>
  <c r="V84" i="2"/>
  <c r="W83" i="2"/>
  <c r="V83" i="2"/>
  <c r="AQ82" i="2"/>
  <c r="W82" i="2"/>
  <c r="V82" i="2"/>
  <c r="AQ81" i="2"/>
  <c r="W81" i="2"/>
  <c r="V81" i="2"/>
  <c r="AQ80" i="2"/>
  <c r="W80" i="2"/>
  <c r="V80" i="2"/>
  <c r="AQ79" i="2"/>
  <c r="AH79" i="2"/>
  <c r="W79" i="2"/>
  <c r="AS79" i="2" s="1"/>
  <c r="AR79" i="2" s="1"/>
  <c r="V79" i="2"/>
  <c r="W78" i="2"/>
  <c r="V78" i="2"/>
  <c r="W77" i="2"/>
  <c r="V77" i="2"/>
  <c r="AQ76" i="2"/>
  <c r="W76" i="2"/>
  <c r="V76" i="2"/>
  <c r="AH75" i="2"/>
  <c r="W75" i="2"/>
  <c r="V75" i="2"/>
  <c r="W74" i="2"/>
  <c r="V74" i="2"/>
  <c r="W73" i="2"/>
  <c r="V73" i="2"/>
  <c r="W72" i="2"/>
  <c r="V72" i="2"/>
  <c r="AQ71" i="2"/>
  <c r="W71" i="2"/>
  <c r="V71" i="2"/>
  <c r="W70" i="2"/>
  <c r="V70" i="2"/>
  <c r="W69" i="2"/>
  <c r="V69" i="2"/>
  <c r="W68" i="2"/>
  <c r="V68" i="2"/>
  <c r="W67" i="2"/>
  <c r="V67" i="2"/>
  <c r="AQ66" i="2"/>
  <c r="W66" i="2"/>
  <c r="V66" i="2"/>
  <c r="W65" i="2"/>
  <c r="V65" i="2"/>
  <c r="W64" i="2"/>
  <c r="V64" i="2"/>
  <c r="W63" i="2"/>
  <c r="V63" i="2"/>
  <c r="AQ62" i="2"/>
  <c r="W62" i="2"/>
  <c r="V62" i="2"/>
  <c r="AQ61" i="2"/>
  <c r="W61" i="2"/>
  <c r="V61" i="2"/>
  <c r="AQ58" i="2"/>
  <c r="W58" i="2"/>
  <c r="V58" i="2"/>
  <c r="AQ57" i="2"/>
  <c r="W57" i="2"/>
  <c r="V57" i="2"/>
  <c r="AQ56" i="2"/>
  <c r="W56" i="2"/>
  <c r="V56" i="2"/>
  <c r="AQ55" i="2"/>
  <c r="W55" i="2"/>
  <c r="V55" i="2"/>
  <c r="AQ54" i="2"/>
  <c r="W54" i="2"/>
  <c r="V54" i="2"/>
  <c r="AQ53" i="2"/>
  <c r="W53" i="2"/>
  <c r="V53" i="2"/>
  <c r="AQ52" i="2"/>
  <c r="W52" i="2"/>
  <c r="V52" i="2"/>
  <c r="AS51" i="2"/>
  <c r="AQ51" i="2"/>
  <c r="AA51" i="2"/>
  <c r="W51" i="2"/>
  <c r="V51" i="2"/>
  <c r="AQ50" i="2"/>
  <c r="W50" i="2"/>
  <c r="V50" i="2"/>
  <c r="AQ49" i="2"/>
  <c r="W49" i="2"/>
  <c r="V49" i="2"/>
  <c r="AQ48" i="2"/>
  <c r="W48" i="2"/>
  <c r="V48" i="2"/>
  <c r="W47" i="2"/>
  <c r="V47" i="2"/>
  <c r="AQ45" i="2"/>
  <c r="W45" i="2"/>
  <c r="V45" i="2"/>
  <c r="AQ44" i="2"/>
  <c r="W44" i="2"/>
  <c r="V44" i="2"/>
  <c r="W43" i="2"/>
  <c r="V43" i="2"/>
  <c r="AQ42" i="2"/>
  <c r="W42" i="2"/>
  <c r="V42" i="2"/>
  <c r="AS41" i="2"/>
  <c r="AR41" i="2" s="1"/>
  <c r="AQ41" i="2"/>
  <c r="W41" i="2"/>
  <c r="V41" i="2"/>
  <c r="AQ40" i="2"/>
  <c r="W40" i="2"/>
  <c r="V40" i="2"/>
  <c r="AQ39" i="2"/>
  <c r="W39" i="2"/>
  <c r="V39" i="2"/>
  <c r="AQ38" i="2"/>
  <c r="W38" i="2"/>
  <c r="V38" i="2"/>
  <c r="AQ37" i="2"/>
  <c r="W37" i="2"/>
  <c r="V37" i="2"/>
  <c r="AQ36" i="2"/>
  <c r="W36" i="2"/>
  <c r="V36" i="2"/>
  <c r="AQ35" i="2"/>
  <c r="W35" i="2"/>
  <c r="V35" i="2"/>
  <c r="AQ34" i="2"/>
  <c r="W34" i="2"/>
  <c r="V34" i="2"/>
  <c r="AQ33" i="2"/>
  <c r="W33" i="2"/>
  <c r="V33" i="2"/>
  <c r="AQ32" i="2"/>
  <c r="W32" i="2"/>
  <c r="V32" i="2"/>
  <c r="AQ31" i="2"/>
  <c r="W31" i="2"/>
  <c r="V31" i="2"/>
  <c r="AQ30" i="2"/>
  <c r="W30" i="2"/>
  <c r="V30" i="2"/>
  <c r="AQ29" i="2"/>
  <c r="W29" i="2"/>
  <c r="V29" i="2"/>
  <c r="W28" i="2"/>
  <c r="V28" i="2"/>
  <c r="W27" i="2"/>
  <c r="V27" i="2"/>
  <c r="W26" i="2"/>
  <c r="V26" i="2"/>
  <c r="W25" i="2"/>
  <c r="V25" i="2"/>
  <c r="AQ24" i="2"/>
  <c r="W24" i="2"/>
  <c r="V24" i="2"/>
  <c r="W23" i="2"/>
  <c r="V23" i="2"/>
  <c r="AQ22" i="2"/>
  <c r="W22" i="2"/>
  <c r="V22" i="2"/>
  <c r="AQ21" i="2"/>
  <c r="W21" i="2"/>
  <c r="V21" i="2"/>
  <c r="AQ20" i="2"/>
  <c r="W20" i="2"/>
  <c r="V20" i="2"/>
  <c r="AQ19" i="2"/>
  <c r="W19" i="2"/>
  <c r="V19" i="2"/>
  <c r="AQ18" i="2"/>
  <c r="W18" i="2"/>
  <c r="V18" i="2"/>
  <c r="AQ17" i="2"/>
  <c r="W17" i="2"/>
  <c r="V17" i="2"/>
  <c r="AQ16" i="2"/>
  <c r="W16" i="2"/>
  <c r="V16" i="2"/>
  <c r="AQ15" i="2"/>
  <c r="W15" i="2"/>
  <c r="V15" i="2"/>
  <c r="AS12" i="2"/>
  <c r="AQ12" i="2"/>
  <c r="W12" i="2"/>
  <c r="V12" i="2"/>
  <c r="AS11" i="2"/>
  <c r="AQ11" i="2"/>
  <c r="W11" i="2"/>
  <c r="V11" i="2"/>
  <c r="AS10" i="2"/>
  <c r="AQ10" i="2"/>
  <c r="W10" i="2"/>
  <c r="V10" i="2"/>
  <c r="AQ9" i="2"/>
  <c r="W9" i="2"/>
  <c r="V9" i="2"/>
  <c r="AS8" i="2"/>
  <c r="AQ8" i="2"/>
  <c r="W8" i="2"/>
  <c r="V8" i="2"/>
  <c r="AS7" i="2"/>
  <c r="AQ7" i="2"/>
  <c r="W7" i="2"/>
  <c r="V7" i="2"/>
  <c r="AS6" i="2"/>
  <c r="AQ6" i="2"/>
  <c r="W6" i="2"/>
  <c r="V6" i="2"/>
  <c r="AS5" i="2"/>
  <c r="AQ5" i="2"/>
  <c r="W5" i="2"/>
  <c r="V5" i="2"/>
  <c r="AQ4" i="2"/>
  <c r="W4" i="2"/>
  <c r="V4" i="2"/>
  <c r="AR1092" i="1"/>
  <c r="W1077" i="1"/>
  <c r="V1077" i="1"/>
  <c r="AQ243" i="1"/>
  <c r="W243" i="1"/>
  <c r="V243" i="1"/>
  <c r="AQ242" i="1"/>
  <c r="W242" i="1"/>
  <c r="V242" i="1"/>
  <c r="AQ241" i="1"/>
  <c r="W241" i="1"/>
  <c r="V241" i="1"/>
  <c r="AQ240" i="1"/>
  <c r="W240" i="1"/>
  <c r="V240" i="1"/>
  <c r="AQ239" i="1"/>
  <c r="W239" i="1"/>
  <c r="V239" i="1"/>
  <c r="AQ236" i="1"/>
  <c r="W236" i="1"/>
  <c r="V236" i="1"/>
  <c r="AQ235" i="1"/>
  <c r="W235" i="1"/>
  <c r="AI235" i="1" s="1"/>
  <c r="AJ235" i="1" s="1"/>
  <c r="V235" i="1"/>
  <c r="AQ234" i="1"/>
  <c r="W234" i="1"/>
  <c r="AI234" i="1" s="1"/>
  <c r="AJ234" i="1" s="1"/>
  <c r="V234" i="1"/>
  <c r="AQ233" i="1"/>
  <c r="W233" i="1"/>
  <c r="AI233" i="1" s="1"/>
  <c r="AJ233" i="1" s="1"/>
  <c r="V233" i="1"/>
  <c r="AQ232" i="1"/>
  <c r="W232" i="1"/>
  <c r="AI232" i="1" s="1"/>
  <c r="AJ232" i="1" s="1"/>
  <c r="V232" i="1"/>
  <c r="AQ231" i="1"/>
  <c r="W231" i="1"/>
  <c r="AI231" i="1" s="1"/>
  <c r="AJ231" i="1" s="1"/>
  <c r="V231" i="1"/>
  <c r="AQ230" i="1"/>
  <c r="W230" i="1"/>
  <c r="AI230" i="1" s="1"/>
  <c r="AJ230" i="1" s="1"/>
  <c r="V230" i="1"/>
  <c r="AQ227" i="1"/>
  <c r="W227" i="1"/>
  <c r="AI227" i="1" s="1"/>
  <c r="AJ227" i="1" s="1"/>
  <c r="V227" i="1"/>
  <c r="AS226" i="1"/>
  <c r="AQ226" i="1"/>
  <c r="W223" i="1"/>
  <c r="V223" i="1"/>
  <c r="AQ222" i="1"/>
  <c r="W222" i="1"/>
  <c r="V222" i="1"/>
  <c r="AQ220" i="1"/>
  <c r="W220" i="1"/>
  <c r="AI220" i="1" s="1"/>
  <c r="AJ220" i="1" s="1"/>
  <c r="V220" i="1"/>
  <c r="AQ219" i="1"/>
  <c r="W219" i="1"/>
  <c r="AI219" i="1" s="1"/>
  <c r="AJ219" i="1" s="1"/>
  <c r="V219" i="1"/>
  <c r="W218" i="1"/>
  <c r="V218" i="1"/>
  <c r="W217" i="1"/>
  <c r="V217" i="1"/>
  <c r="AQ216" i="1"/>
  <c r="W216" i="1"/>
  <c r="AI216" i="1" s="1"/>
  <c r="AJ216" i="1" s="1"/>
  <c r="V216" i="1"/>
  <c r="AQ215" i="1"/>
  <c r="W215" i="1"/>
  <c r="V215" i="1"/>
  <c r="AQ214" i="1"/>
  <c r="W214" i="1"/>
  <c r="AI214" i="1" s="1"/>
  <c r="AJ214" i="1" s="1"/>
  <c r="V214" i="1"/>
  <c r="W213" i="1"/>
  <c r="V213" i="1"/>
  <c r="AQ212" i="1"/>
  <c r="W212" i="1"/>
  <c r="AI212" i="1" s="1"/>
  <c r="AJ212" i="1" s="1"/>
  <c r="V212" i="1"/>
  <c r="AQ211" i="1"/>
  <c r="W211" i="1"/>
  <c r="AI211" i="1" s="1"/>
  <c r="AJ211" i="1" s="1"/>
  <c r="V211" i="1"/>
  <c r="W210" i="1"/>
  <c r="V210" i="1"/>
  <c r="W209" i="1"/>
  <c r="V209" i="1"/>
  <c r="W208" i="1"/>
  <c r="V208" i="1"/>
  <c r="W207" i="1"/>
  <c r="V207" i="1"/>
  <c r="AQ206" i="1"/>
  <c r="W206" i="1"/>
  <c r="V206" i="1"/>
  <c r="AQ205" i="1"/>
  <c r="W205" i="1"/>
  <c r="AI205" i="1" s="1"/>
  <c r="AJ205" i="1" s="1"/>
  <c r="V205" i="1"/>
  <c r="AQ204" i="1"/>
  <c r="W204" i="1"/>
  <c r="AI204" i="1" s="1"/>
  <c r="AJ204" i="1" s="1"/>
  <c r="V204" i="1"/>
  <c r="AQ203" i="1"/>
  <c r="W203" i="1"/>
  <c r="AI203" i="1" s="1"/>
  <c r="AJ203" i="1" s="1"/>
  <c r="V203" i="1"/>
  <c r="AQ202" i="1"/>
  <c r="W202" i="1"/>
  <c r="AI202" i="1" s="1"/>
  <c r="AJ202" i="1" s="1"/>
  <c r="V202" i="1"/>
  <c r="AQ201" i="1"/>
  <c r="W201" i="1"/>
  <c r="AI201" i="1" s="1"/>
  <c r="AJ201" i="1" s="1"/>
  <c r="V201" i="1"/>
  <c r="AQ200" i="1"/>
  <c r="W200" i="1"/>
  <c r="V200" i="1"/>
  <c r="W199" i="1"/>
  <c r="V199" i="1"/>
  <c r="AQ198" i="1"/>
  <c r="W198" i="1"/>
  <c r="AI198" i="1" s="1"/>
  <c r="AJ198" i="1" s="1"/>
  <c r="V198" i="1"/>
  <c r="AQ197" i="1"/>
  <c r="W197" i="1"/>
  <c r="AI197" i="1" s="1"/>
  <c r="AJ197" i="1" s="1"/>
  <c r="V197" i="1"/>
  <c r="AQ196" i="1"/>
  <c r="W196" i="1"/>
  <c r="AI196" i="1" s="1"/>
  <c r="AJ196" i="1" s="1"/>
  <c r="V196" i="1"/>
  <c r="AQ195" i="1"/>
  <c r="W195" i="1"/>
  <c r="AI195" i="1" s="1"/>
  <c r="AJ195" i="1" s="1"/>
  <c r="V195" i="1"/>
  <c r="AQ194" i="1"/>
  <c r="W194" i="1"/>
  <c r="AI194" i="1" s="1"/>
  <c r="AJ194" i="1" s="1"/>
  <c r="V194" i="1"/>
  <c r="AQ193" i="1"/>
  <c r="W193" i="1"/>
  <c r="AI193" i="1" s="1"/>
  <c r="AJ193" i="1" s="1"/>
  <c r="V193" i="1"/>
  <c r="AQ192" i="1"/>
  <c r="W192" i="1"/>
  <c r="V192" i="1"/>
  <c r="W191" i="1"/>
  <c r="V191" i="1"/>
  <c r="W190" i="1"/>
  <c r="V190" i="1"/>
  <c r="W189" i="1"/>
  <c r="V189" i="1"/>
  <c r="AQ188" i="1"/>
  <c r="W188" i="1"/>
  <c r="V188" i="1"/>
  <c r="AQ187" i="1"/>
  <c r="W187" i="1"/>
  <c r="AI187" i="1" s="1"/>
  <c r="AJ187" i="1" s="1"/>
  <c r="V187" i="1"/>
  <c r="AQ186" i="1"/>
  <c r="W186" i="1"/>
  <c r="AI186" i="1" s="1"/>
  <c r="AJ186" i="1" s="1"/>
  <c r="V186" i="1"/>
  <c r="AQ185" i="1"/>
  <c r="W185" i="1"/>
  <c r="AI185" i="1" s="1"/>
  <c r="AJ185" i="1" s="1"/>
  <c r="V185" i="1"/>
  <c r="AQ184" i="1"/>
  <c r="W184" i="1"/>
  <c r="AI184" i="1" s="1"/>
  <c r="AJ184" i="1" s="1"/>
  <c r="V184" i="1"/>
  <c r="AQ183" i="1"/>
  <c r="W183" i="1"/>
  <c r="AI183" i="1" s="1"/>
  <c r="AJ183" i="1" s="1"/>
  <c r="V183" i="1"/>
  <c r="W182" i="1"/>
  <c r="V182" i="1"/>
  <c r="W181" i="1"/>
  <c r="V181" i="1"/>
  <c r="W180" i="1"/>
  <c r="V180" i="1"/>
  <c r="W179" i="1"/>
  <c r="V179" i="1"/>
  <c r="AQ178" i="1"/>
  <c r="W178" i="1"/>
  <c r="AI178" i="1" s="1"/>
  <c r="AJ178" i="1" s="1"/>
  <c r="V178" i="1"/>
  <c r="AQ177" i="1"/>
  <c r="W177" i="1"/>
  <c r="AI177" i="1" s="1"/>
  <c r="AJ177" i="1" s="1"/>
  <c r="V177" i="1"/>
  <c r="AQ176" i="1"/>
  <c r="W176" i="1"/>
  <c r="V176" i="1"/>
  <c r="W175" i="1"/>
  <c r="V175" i="1"/>
  <c r="AQ174" i="1"/>
  <c r="W174" i="1"/>
  <c r="AI174" i="1" s="1"/>
  <c r="AJ174" i="1" s="1"/>
  <c r="V174" i="1"/>
  <c r="AQ173" i="1"/>
  <c r="W173" i="1"/>
  <c r="AI173" i="1" s="1"/>
  <c r="AJ173" i="1" s="1"/>
  <c r="V173" i="1"/>
  <c r="AQ172" i="1"/>
  <c r="W172" i="1"/>
  <c r="AI172" i="1" s="1"/>
  <c r="AJ172" i="1" s="1"/>
  <c r="V172" i="1"/>
  <c r="W171" i="1"/>
  <c r="V171" i="1"/>
  <c r="AQ170" i="1"/>
  <c r="W170" i="1"/>
  <c r="AI170" i="1" s="1"/>
  <c r="AJ170" i="1" s="1"/>
  <c r="V170" i="1"/>
  <c r="AQ169" i="1"/>
  <c r="W169" i="1"/>
  <c r="AI169" i="1" s="1"/>
  <c r="AJ169" i="1" s="1"/>
  <c r="V169" i="1"/>
  <c r="AQ168" i="1"/>
  <c r="W168" i="1"/>
  <c r="V168" i="1"/>
  <c r="AS164" i="1"/>
  <c r="AQ164" i="1"/>
  <c r="AQ163" i="1"/>
  <c r="W163" i="1"/>
  <c r="AI163" i="1" s="1"/>
  <c r="AJ163" i="1" s="1"/>
  <c r="V163" i="1"/>
  <c r="AQ162" i="1"/>
  <c r="W162" i="1"/>
  <c r="AI162" i="1" s="1"/>
  <c r="AJ162" i="1" s="1"/>
  <c r="V162" i="1"/>
  <c r="AQ161" i="1"/>
  <c r="W161" i="1"/>
  <c r="AI161" i="1" s="1"/>
  <c r="AJ161" i="1" s="1"/>
  <c r="V161" i="1"/>
  <c r="AQ160" i="1"/>
  <c r="W160" i="1"/>
  <c r="AI160" i="1" s="1"/>
  <c r="AJ160" i="1" s="1"/>
  <c r="V160" i="1"/>
  <c r="W159" i="1"/>
  <c r="V159" i="1"/>
  <c r="W158" i="1"/>
  <c r="V158" i="1"/>
  <c r="AQ157" i="1"/>
  <c r="W157" i="1"/>
  <c r="AI157" i="1" s="1"/>
  <c r="AJ157" i="1" s="1"/>
  <c r="V157" i="1"/>
  <c r="AQ156" i="1"/>
  <c r="W156" i="1"/>
  <c r="AI156" i="1" s="1"/>
  <c r="AJ156" i="1" s="1"/>
  <c r="V156" i="1"/>
  <c r="AP155" i="1"/>
  <c r="AQ155" i="1" s="1"/>
  <c r="W155" i="1"/>
  <c r="AI155" i="1" s="1"/>
  <c r="AJ155" i="1" s="1"/>
  <c r="V155" i="1"/>
  <c r="AQ154" i="1"/>
  <c r="W154" i="1"/>
  <c r="AI154" i="1" s="1"/>
  <c r="AJ154" i="1" s="1"/>
  <c r="V154" i="1"/>
  <c r="AQ153" i="1"/>
  <c r="W153" i="1"/>
  <c r="AI153" i="1" s="1"/>
  <c r="AJ153" i="1" s="1"/>
  <c r="V153" i="1"/>
  <c r="AQ152" i="1"/>
  <c r="W152" i="1"/>
  <c r="AI152" i="1" s="1"/>
  <c r="AJ152" i="1" s="1"/>
  <c r="V152" i="1"/>
  <c r="AQ151" i="1"/>
  <c r="W151" i="1"/>
  <c r="V151" i="1"/>
  <c r="AQ150" i="1"/>
  <c r="W150" i="1"/>
  <c r="AI150" i="1" s="1"/>
  <c r="AJ150" i="1" s="1"/>
  <c r="V150" i="1"/>
  <c r="AQ149" i="1"/>
  <c r="W149" i="1"/>
  <c r="V149" i="1"/>
  <c r="AQ146" i="1"/>
  <c r="W146" i="1"/>
  <c r="AI146" i="1" s="1"/>
  <c r="AJ146" i="1" s="1"/>
  <c r="V146" i="1"/>
  <c r="AQ145" i="1"/>
  <c r="W145" i="1"/>
  <c r="AI145" i="1" s="1"/>
  <c r="AJ145" i="1" s="1"/>
  <c r="V145" i="1"/>
  <c r="AQ144" i="1"/>
  <c r="W144" i="1"/>
  <c r="AI144" i="1" s="1"/>
  <c r="AJ144" i="1" s="1"/>
  <c r="V144" i="1"/>
  <c r="AQ143" i="1"/>
  <c r="W143" i="1"/>
  <c r="V143" i="1"/>
  <c r="AQ142" i="1"/>
  <c r="W142" i="1"/>
  <c r="V142" i="1"/>
  <c r="AQ141" i="1"/>
  <c r="W141" i="1"/>
  <c r="AI141" i="1" s="1"/>
  <c r="AJ141" i="1" s="1"/>
  <c r="V141" i="1"/>
  <c r="AQ140" i="1"/>
  <c r="W140" i="1"/>
  <c r="V140" i="1"/>
  <c r="AQ139" i="1"/>
  <c r="W139" i="1"/>
  <c r="AI139" i="1" s="1"/>
  <c r="AJ139" i="1" s="1"/>
  <c r="V139" i="1"/>
  <c r="AQ138" i="1"/>
  <c r="W138" i="1"/>
  <c r="AI138" i="1" s="1"/>
  <c r="AJ138" i="1" s="1"/>
  <c r="V138" i="1"/>
  <c r="AQ137" i="1"/>
  <c r="W137" i="1"/>
  <c r="AI137" i="1" s="1"/>
  <c r="AJ137" i="1" s="1"/>
  <c r="V137" i="1"/>
  <c r="AQ136" i="1"/>
  <c r="W136" i="1"/>
  <c r="AI136" i="1" s="1"/>
  <c r="AJ136" i="1" s="1"/>
  <c r="V136" i="1"/>
  <c r="W135" i="1"/>
  <c r="V135" i="1"/>
  <c r="W134" i="1"/>
  <c r="V134" i="1"/>
  <c r="W133" i="1"/>
  <c r="V133" i="1"/>
  <c r="W132" i="1"/>
  <c r="V132" i="1"/>
  <c r="W131" i="1"/>
  <c r="V131" i="1"/>
  <c r="W130" i="1"/>
  <c r="V130" i="1"/>
  <c r="W129" i="1"/>
  <c r="V129" i="1"/>
  <c r="AQ128" i="1"/>
  <c r="W128" i="1"/>
  <c r="AI128" i="1" s="1"/>
  <c r="AJ128" i="1" s="1"/>
  <c r="V128" i="1"/>
  <c r="AQ127" i="1"/>
  <c r="W127" i="1"/>
  <c r="AI127" i="1" s="1"/>
  <c r="AJ127" i="1" s="1"/>
  <c r="V127" i="1"/>
  <c r="W126" i="1"/>
  <c r="V126" i="1"/>
  <c r="AQ125" i="1"/>
  <c r="W125" i="1"/>
  <c r="AI125" i="1" s="1"/>
  <c r="AJ125" i="1" s="1"/>
  <c r="V125" i="1"/>
  <c r="AQ124" i="1"/>
  <c r="W124" i="1"/>
  <c r="V124" i="1"/>
  <c r="AQ123" i="1"/>
  <c r="W123" i="1"/>
  <c r="AI123" i="1" s="1"/>
  <c r="AJ123" i="1" s="1"/>
  <c r="V123" i="1"/>
  <c r="AQ122" i="1"/>
  <c r="W122" i="1"/>
  <c r="AI122" i="1" s="1"/>
  <c r="AJ122" i="1" s="1"/>
  <c r="V122" i="1"/>
  <c r="AQ121" i="1"/>
  <c r="W121" i="1"/>
  <c r="AI121" i="1" s="1"/>
  <c r="AJ121" i="1" s="1"/>
  <c r="V121" i="1"/>
  <c r="AS120" i="1"/>
  <c r="AQ120" i="1"/>
  <c r="W120" i="1"/>
  <c r="V120" i="1"/>
  <c r="AQ119" i="1"/>
  <c r="W119" i="1"/>
  <c r="V119" i="1"/>
  <c r="AQ118" i="1"/>
  <c r="W118" i="1"/>
  <c r="AI118" i="1" s="1"/>
  <c r="AJ118" i="1" s="1"/>
  <c r="V118" i="1"/>
  <c r="AS117" i="1"/>
  <c r="AQ117" i="1"/>
  <c r="W117" i="1"/>
  <c r="V117" i="1"/>
  <c r="AQ116" i="1"/>
  <c r="W116" i="1"/>
  <c r="V116" i="1"/>
  <c r="AQ115" i="1"/>
  <c r="W115" i="1"/>
  <c r="V115" i="1"/>
  <c r="AS114" i="1"/>
  <c r="AR114" i="1" s="1"/>
  <c r="N15" i="6" s="1" a="1"/>
  <c r="N15" i="6" s="1"/>
  <c r="AQ114" i="1"/>
  <c r="W114" i="1"/>
  <c r="V114" i="1"/>
  <c r="AQ113" i="1"/>
  <c r="W113" i="1"/>
  <c r="V113" i="1"/>
  <c r="AS112" i="1"/>
  <c r="AQ112" i="1"/>
  <c r="W112" i="1"/>
  <c r="V112" i="1"/>
  <c r="AQ111" i="1"/>
  <c r="W111" i="1"/>
  <c r="AI111" i="1" s="1"/>
  <c r="AJ111" i="1" s="1"/>
  <c r="V111" i="1"/>
  <c r="AS110" i="1"/>
  <c r="AQ110" i="1"/>
  <c r="W110" i="1"/>
  <c r="V110" i="1"/>
  <c r="W109" i="1"/>
  <c r="V109" i="1"/>
  <c r="W108" i="1"/>
  <c r="V108" i="1"/>
  <c r="AQ107" i="1"/>
  <c r="W107" i="1"/>
  <c r="V107" i="1"/>
  <c r="AQ106" i="1"/>
  <c r="W106" i="1"/>
  <c r="V106" i="1"/>
  <c r="AQ105" i="1"/>
  <c r="W105" i="1"/>
  <c r="V105" i="1"/>
  <c r="W104" i="1"/>
  <c r="V104" i="1"/>
  <c r="W103" i="1"/>
  <c r="V103" i="1"/>
  <c r="AQ102" i="1"/>
  <c r="W102" i="1"/>
  <c r="V102" i="1"/>
  <c r="AQ101" i="1"/>
  <c r="W101" i="1"/>
  <c r="AI101" i="1" s="1"/>
  <c r="AJ101" i="1" s="1"/>
  <c r="V101" i="1"/>
  <c r="AQ100" i="1"/>
  <c r="W100" i="1"/>
  <c r="AI100" i="1" s="1"/>
  <c r="AJ100" i="1" s="1"/>
  <c r="V100" i="1"/>
  <c r="AQ99" i="1"/>
  <c r="W99" i="1"/>
  <c r="V99" i="1"/>
  <c r="AQ98" i="1"/>
  <c r="W98" i="1"/>
  <c r="AI98" i="1" s="1"/>
  <c r="AJ98" i="1" s="1"/>
  <c r="V98" i="1"/>
  <c r="AQ97" i="1"/>
  <c r="W97" i="1"/>
  <c r="AI97" i="1" s="1"/>
  <c r="AJ97" i="1" s="1"/>
  <c r="V97" i="1"/>
  <c r="AQ96" i="1"/>
  <c r="W96" i="1"/>
  <c r="AI96" i="1" s="1"/>
  <c r="AJ96" i="1" s="1"/>
  <c r="V96" i="1"/>
  <c r="AQ95" i="1"/>
  <c r="W95" i="1"/>
  <c r="AI95" i="1" s="1"/>
  <c r="AJ95" i="1" s="1"/>
  <c r="V95" i="1"/>
  <c r="AQ94" i="1"/>
  <c r="W94" i="1"/>
  <c r="V94" i="1"/>
  <c r="AQ93" i="1"/>
  <c r="W93" i="1"/>
  <c r="V93" i="1"/>
  <c r="AQ92" i="1"/>
  <c r="W92" i="1"/>
  <c r="AI92" i="1" s="1"/>
  <c r="AJ92" i="1" s="1"/>
  <c r="V92" i="1"/>
  <c r="AQ91" i="1"/>
  <c r="W91" i="1"/>
  <c r="V91" i="1"/>
  <c r="AQ90" i="1"/>
  <c r="W90" i="1"/>
  <c r="V90" i="1"/>
  <c r="AQ89" i="1"/>
  <c r="W89" i="1"/>
  <c r="V89" i="1"/>
  <c r="AQ88" i="1"/>
  <c r="W88" i="1"/>
  <c r="V88" i="1"/>
  <c r="AQ87" i="1"/>
  <c r="W87" i="1"/>
  <c r="V87" i="1"/>
  <c r="W86" i="1"/>
  <c r="V86" i="1"/>
  <c r="W85" i="1"/>
  <c r="V85" i="1"/>
  <c r="AQ84" i="1"/>
  <c r="W84" i="1"/>
  <c r="AI84" i="1" s="1"/>
  <c r="AJ84" i="1" s="1"/>
  <c r="V84" i="1"/>
  <c r="AQ83" i="1"/>
  <c r="W83" i="1"/>
  <c r="AI83" i="1" s="1"/>
  <c r="AJ83" i="1" s="1"/>
  <c r="V83" i="1"/>
  <c r="W82" i="1"/>
  <c r="V82" i="1"/>
  <c r="W81" i="1"/>
  <c r="V81" i="1"/>
  <c r="AQ80" i="1"/>
  <c r="W80" i="1"/>
  <c r="AI80" i="1" s="1"/>
  <c r="AJ80" i="1" s="1"/>
  <c r="V80" i="1"/>
  <c r="AS79" i="1"/>
  <c r="AQ79" i="1"/>
  <c r="W79" i="1"/>
  <c r="V79" i="1"/>
  <c r="AS78" i="1"/>
  <c r="AQ78" i="1"/>
  <c r="W78" i="1"/>
  <c r="V78" i="1"/>
  <c r="AQ77" i="1"/>
  <c r="W77" i="1"/>
  <c r="AI77" i="1" s="1"/>
  <c r="AJ77" i="1" s="1"/>
  <c r="V77" i="1"/>
  <c r="AQ76" i="1"/>
  <c r="W76" i="1"/>
  <c r="AI76" i="1" s="1"/>
  <c r="AJ76" i="1" s="1"/>
  <c r="V76" i="1"/>
  <c r="AQ75" i="1"/>
  <c r="W75" i="1"/>
  <c r="AI75" i="1" s="1"/>
  <c r="AJ75" i="1" s="1"/>
  <c r="V75" i="1"/>
  <c r="AQ74" i="1"/>
  <c r="W74" i="1"/>
  <c r="AI74" i="1" s="1"/>
  <c r="AJ74" i="1" s="1"/>
  <c r="V74" i="1"/>
  <c r="AQ73" i="1"/>
  <c r="W73" i="1"/>
  <c r="AI73" i="1" s="1"/>
  <c r="AJ73" i="1" s="1"/>
  <c r="V73" i="1"/>
  <c r="AQ72" i="1"/>
  <c r="W72" i="1"/>
  <c r="AI72" i="1" s="1"/>
  <c r="AJ72" i="1" s="1"/>
  <c r="V72" i="1"/>
  <c r="AQ71" i="1"/>
  <c r="W71" i="1"/>
  <c r="AI71" i="1" s="1"/>
  <c r="AJ71" i="1" s="1"/>
  <c r="V71" i="1"/>
  <c r="AQ70" i="1"/>
  <c r="W70" i="1"/>
  <c r="AI70" i="1" s="1"/>
  <c r="AJ70" i="1" s="1"/>
  <c r="V70" i="1"/>
  <c r="AQ69" i="1"/>
  <c r="W69" i="1"/>
  <c r="AI69" i="1" s="1"/>
  <c r="AJ69" i="1" s="1"/>
  <c r="V69" i="1"/>
  <c r="AQ68" i="1"/>
  <c r="W68" i="1"/>
  <c r="AI68" i="1" s="1"/>
  <c r="AJ68" i="1" s="1"/>
  <c r="V68" i="1"/>
  <c r="AQ64" i="1"/>
  <c r="W64" i="1"/>
  <c r="AI64" i="1" s="1"/>
  <c r="AJ64" i="1" s="1"/>
  <c r="V64" i="1"/>
  <c r="AQ63" i="1"/>
  <c r="W63" i="1"/>
  <c r="AI63" i="1" s="1"/>
  <c r="AJ63" i="1" s="1"/>
  <c r="V63" i="1"/>
  <c r="AQ62" i="1"/>
  <c r="W62" i="1"/>
  <c r="AI62" i="1" s="1"/>
  <c r="AJ62" i="1" s="1"/>
  <c r="V62" i="1"/>
  <c r="AQ61" i="1"/>
  <c r="W61" i="1"/>
  <c r="AI61" i="1" s="1"/>
  <c r="AJ61" i="1" s="1"/>
  <c r="V61" i="1"/>
  <c r="AQ60" i="1"/>
  <c r="W60" i="1"/>
  <c r="AI60" i="1" s="1"/>
  <c r="AJ60" i="1" s="1"/>
  <c r="V60" i="1"/>
  <c r="AQ59" i="1"/>
  <c r="W59" i="1"/>
  <c r="AI59" i="1" s="1"/>
  <c r="AJ59" i="1" s="1"/>
  <c r="V59" i="1"/>
  <c r="AQ58" i="1"/>
  <c r="W58" i="1"/>
  <c r="AI58" i="1" s="1"/>
  <c r="AJ58" i="1" s="1"/>
  <c r="V58" i="1"/>
  <c r="AQ57" i="1"/>
  <c r="W57" i="1"/>
  <c r="AI57" i="1" s="1"/>
  <c r="AJ57" i="1" s="1"/>
  <c r="V57" i="1"/>
  <c r="AQ56" i="1"/>
  <c r="W56" i="1"/>
  <c r="AI56" i="1" s="1"/>
  <c r="AJ56" i="1" s="1"/>
  <c r="V56" i="1"/>
  <c r="AQ55" i="1"/>
  <c r="W55" i="1"/>
  <c r="AI55" i="1" s="1"/>
  <c r="AJ55" i="1" s="1"/>
  <c r="V55" i="1"/>
  <c r="AQ54" i="1"/>
  <c r="W54" i="1"/>
  <c r="AI54" i="1" s="1"/>
  <c r="AJ54" i="1" s="1"/>
  <c r="V54" i="1"/>
  <c r="AQ53" i="1"/>
  <c r="W53" i="1"/>
  <c r="AI53" i="1" s="1"/>
  <c r="AJ53" i="1" s="1"/>
  <c r="V53" i="1"/>
  <c r="AP51" i="1"/>
  <c r="AQ51" i="1" s="1"/>
  <c r="W51" i="1"/>
  <c r="AI51" i="1" s="1"/>
  <c r="AJ51" i="1" s="1"/>
  <c r="V51" i="1"/>
  <c r="AQ50" i="1"/>
  <c r="W50" i="1"/>
  <c r="AI50" i="1" s="1"/>
  <c r="AJ50" i="1" s="1"/>
  <c r="V50" i="1"/>
  <c r="AQ49" i="1"/>
  <c r="W49" i="1"/>
  <c r="AI49" i="1" s="1"/>
  <c r="AJ49" i="1" s="1"/>
  <c r="V49" i="1"/>
  <c r="AQ48" i="1"/>
  <c r="W48" i="1"/>
  <c r="AI48" i="1" s="1"/>
  <c r="AJ48" i="1" s="1"/>
  <c r="V48" i="1"/>
  <c r="AS47" i="1"/>
  <c r="AQ47" i="1"/>
  <c r="W47" i="1"/>
  <c r="AI47" i="1" s="1"/>
  <c r="V47" i="1"/>
  <c r="AS46" i="1"/>
  <c r="AQ46" i="1"/>
  <c r="W46" i="1"/>
  <c r="V46" i="1"/>
  <c r="W45" i="1"/>
  <c r="AI45" i="1" s="1"/>
  <c r="V45" i="1"/>
  <c r="W44" i="1"/>
  <c r="AI44" i="1" s="1"/>
  <c r="V44" i="1"/>
  <c r="W43" i="1"/>
  <c r="AI43" i="1" s="1"/>
  <c r="V43" i="1"/>
  <c r="AQ42" i="1"/>
  <c r="W42" i="1"/>
  <c r="AI42" i="1" s="1"/>
  <c r="AJ42" i="1" s="1"/>
  <c r="V42" i="1"/>
  <c r="AQ41" i="1"/>
  <c r="W41" i="1"/>
  <c r="AI41" i="1" s="1"/>
  <c r="AJ41" i="1" s="1"/>
  <c r="V41" i="1"/>
  <c r="AQ40" i="1"/>
  <c r="W40" i="1"/>
  <c r="AI40" i="1" s="1"/>
  <c r="AJ40" i="1" s="1"/>
  <c r="V40" i="1"/>
  <c r="W39" i="1"/>
  <c r="V39" i="1"/>
  <c r="W38" i="1"/>
  <c r="V38" i="1"/>
  <c r="W37" i="1"/>
  <c r="V37" i="1"/>
  <c r="W36" i="1"/>
  <c r="V36" i="1"/>
  <c r="AQ35" i="1"/>
  <c r="W35" i="1"/>
  <c r="AI35" i="1" s="1"/>
  <c r="AJ35" i="1" s="1"/>
  <c r="V35" i="1"/>
  <c r="W34" i="1"/>
  <c r="AI34" i="1" s="1"/>
  <c r="AJ34" i="1" s="1"/>
  <c r="V34" i="1"/>
  <c r="W33" i="1"/>
  <c r="AI33" i="1" s="1"/>
  <c r="AJ33" i="1" s="1"/>
  <c r="V33" i="1"/>
  <c r="AQ32" i="1"/>
  <c r="W32" i="1"/>
  <c r="AI32" i="1" s="1"/>
  <c r="AJ32" i="1" s="1"/>
  <c r="V32" i="1"/>
  <c r="AQ31" i="1"/>
  <c r="W31" i="1"/>
  <c r="AI31" i="1" s="1"/>
  <c r="AJ31" i="1" s="1"/>
  <c r="V31" i="1"/>
  <c r="AQ30" i="1"/>
  <c r="W30" i="1"/>
  <c r="AI30" i="1" s="1"/>
  <c r="AJ30" i="1" s="1"/>
  <c r="V30" i="1"/>
  <c r="AQ29" i="1"/>
  <c r="W29" i="1"/>
  <c r="AI29" i="1" s="1"/>
  <c r="AJ29" i="1" s="1"/>
  <c r="V29" i="1"/>
  <c r="AQ28" i="1"/>
  <c r="W28" i="1"/>
  <c r="V28" i="1"/>
  <c r="AQ27" i="1"/>
  <c r="W27" i="1"/>
  <c r="V27" i="1"/>
  <c r="AQ26" i="1"/>
  <c r="W26" i="1"/>
  <c r="AI26" i="1" s="1"/>
  <c r="AJ26" i="1" s="1"/>
  <c r="V26" i="1"/>
  <c r="AS25" i="1"/>
  <c r="AQ25" i="1"/>
  <c r="W25" i="1"/>
  <c r="AI25" i="1" s="1"/>
  <c r="AJ25" i="1" s="1"/>
  <c r="AQ24" i="1"/>
  <c r="AH24" i="1"/>
  <c r="W24" i="1"/>
  <c r="AI24" i="1" s="1"/>
  <c r="AJ24" i="1" s="1"/>
  <c r="V24" i="1"/>
  <c r="AQ23" i="1"/>
  <c r="AH23" i="1"/>
  <c r="W23" i="1"/>
  <c r="AI23" i="1" s="1"/>
  <c r="AJ23" i="1" s="1"/>
  <c r="V23" i="1"/>
  <c r="AQ22" i="1"/>
  <c r="AH22" i="1"/>
  <c r="W22" i="1"/>
  <c r="AI22" i="1" s="1"/>
  <c r="AJ22" i="1" s="1"/>
  <c r="V22" i="1"/>
  <c r="AJ21" i="1"/>
  <c r="W21" i="1"/>
  <c r="AJ20" i="1"/>
  <c r="W20" i="1"/>
  <c r="AQ19" i="1"/>
  <c r="W19" i="1"/>
  <c r="AI19" i="1" s="1"/>
  <c r="AJ19" i="1" s="1"/>
  <c r="V19" i="1"/>
  <c r="AQ18" i="1"/>
  <c r="V18" i="1"/>
  <c r="AQ17" i="1"/>
  <c r="W17" i="1"/>
  <c r="AI17" i="1" s="1"/>
  <c r="AJ17" i="1" s="1"/>
  <c r="V17" i="1"/>
  <c r="AQ16" i="1"/>
  <c r="W16" i="1"/>
  <c r="AI16" i="1" s="1"/>
  <c r="AJ16" i="1" s="1"/>
  <c r="V16" i="1"/>
  <c r="AS15" i="1"/>
  <c r="AQ15" i="1"/>
  <c r="W15" i="1"/>
  <c r="AI15" i="1" s="1"/>
  <c r="AJ15" i="1" s="1"/>
  <c r="V15" i="1"/>
  <c r="AQ14" i="1"/>
  <c r="W14" i="1"/>
  <c r="AI14" i="1" s="1"/>
  <c r="AJ14" i="1" s="1"/>
  <c r="V14" i="1"/>
  <c r="AJ13" i="1"/>
  <c r="W13" i="1"/>
  <c r="V13" i="1"/>
  <c r="AJ12" i="1"/>
  <c r="W12" i="1"/>
  <c r="V12" i="1"/>
  <c r="AQ11" i="1"/>
  <c r="W11" i="1"/>
  <c r="V11" i="1"/>
  <c r="W9" i="1"/>
  <c r="V9" i="1"/>
  <c r="AQ8" i="1"/>
  <c r="W8" i="1"/>
  <c r="AI8" i="1" s="1"/>
  <c r="AJ8" i="1" s="1"/>
  <c r="V8" i="1"/>
  <c r="AQ7" i="1"/>
  <c r="AJ7" i="1"/>
  <c r="W7" i="1"/>
  <c r="V7" i="1"/>
  <c r="AQ6" i="1"/>
  <c r="W6" i="1"/>
  <c r="AI6" i="1" s="1"/>
  <c r="AJ6" i="1" s="1"/>
  <c r="V6" i="1"/>
  <c r="AQ5" i="1"/>
  <c r="W5" i="1"/>
  <c r="AI5" i="1" s="1"/>
  <c r="AJ5" i="1" s="1"/>
  <c r="V5" i="1"/>
  <c r="AQ4" i="1"/>
  <c r="W4" i="1"/>
  <c r="AI4" i="1" s="1"/>
  <c r="AJ4" i="1" s="1"/>
  <c r="V4" i="1"/>
  <c r="AR1088" i="1" l="1"/>
  <c r="AR997" i="1"/>
  <c r="AR957" i="1"/>
  <c r="AR923" i="1"/>
  <c r="AR808" i="1"/>
  <c r="AR813" i="1"/>
  <c r="E7" i="6"/>
  <c r="AR830" i="1"/>
  <c r="AR701" i="1"/>
  <c r="AW8" i="6"/>
  <c r="AS449" i="1"/>
  <c r="AR449" i="1" s="1"/>
  <c r="AS356" i="1"/>
  <c r="AR356" i="1" s="1"/>
  <c r="AS450" i="1"/>
  <c r="AR450" i="1" s="1"/>
  <c r="AS451" i="1"/>
  <c r="AR451" i="1" s="1"/>
  <c r="AS448" i="1"/>
  <c r="AR448" i="1" s="1"/>
  <c r="AS371" i="1"/>
  <c r="AR371" i="1" s="1"/>
  <c r="AS285" i="2"/>
  <c r="AR285" i="2" s="1"/>
  <c r="AS323" i="1"/>
  <c r="AR323" i="1" s="1"/>
  <c r="AS381" i="1"/>
  <c r="AR381" i="1" s="1"/>
  <c r="AS398" i="1"/>
  <c r="AR398" i="1" s="1"/>
  <c r="AS315" i="2"/>
  <c r="AR315" i="2" s="1"/>
  <c r="AS318" i="1"/>
  <c r="AR318" i="1" s="1"/>
  <c r="AS380" i="1"/>
  <c r="AR380" i="1" s="1"/>
  <c r="AS382" i="1"/>
  <c r="AR382" i="1" s="1"/>
  <c r="AS258" i="2"/>
  <c r="AR258" i="2" s="1"/>
  <c r="AS285" i="1"/>
  <c r="AR285" i="1" s="1"/>
  <c r="AS290" i="1"/>
  <c r="AR290" i="1" s="1"/>
  <c r="AS286" i="1"/>
  <c r="AR286" i="1" s="1"/>
  <c r="AS299" i="1"/>
  <c r="AR299" i="1" s="1"/>
  <c r="AS347" i="1"/>
  <c r="AR347" i="1" s="1"/>
  <c r="AS399" i="1"/>
  <c r="AR399" i="1" s="1"/>
  <c r="AS452" i="1"/>
  <c r="AR452" i="1" s="1"/>
  <c r="N16" i="6" a="1"/>
  <c r="N16" i="6" s="1"/>
  <c r="AS222" i="2"/>
  <c r="AR222" i="2" s="1"/>
  <c r="AS250" i="1"/>
  <c r="AR250" i="1" s="1"/>
  <c r="AS383" i="1"/>
  <c r="AR383" i="1" s="1"/>
  <c r="AS574" i="1"/>
  <c r="AR574" i="1" s="1"/>
  <c r="AS81" i="2"/>
  <c r="AR81" i="2" s="1"/>
  <c r="AS433" i="1"/>
  <c r="AR433" i="1" s="1"/>
  <c r="AS247" i="2"/>
  <c r="AR247" i="2" s="1"/>
  <c r="AS394" i="1"/>
  <c r="AR394" i="1" s="1"/>
  <c r="AS410" i="1"/>
  <c r="AR410" i="1" s="1"/>
  <c r="AS438" i="1"/>
  <c r="AR438" i="1" s="1"/>
  <c r="AS178" i="2"/>
  <c r="AR178" i="2" s="1"/>
  <c r="AS207" i="2"/>
  <c r="AR207" i="2" s="1"/>
  <c r="AS326" i="1"/>
  <c r="AR326" i="1" s="1"/>
  <c r="AS368" i="1"/>
  <c r="AR368" i="1" s="1"/>
  <c r="AS539" i="1"/>
  <c r="AR539" i="1" s="1"/>
  <c r="AS435" i="1"/>
  <c r="AR435" i="1" s="1"/>
  <c r="AS300" i="2"/>
  <c r="AR300" i="2" s="1"/>
  <c r="AS287" i="2"/>
  <c r="AR287" i="2" s="1"/>
  <c r="AL17" i="6"/>
  <c r="G14" i="6"/>
  <c r="AL14" i="6"/>
  <c r="AR599" i="1"/>
  <c r="F15" i="6" s="1"/>
  <c r="K15" i="6" s="1"/>
  <c r="E15" i="6"/>
  <c r="P15" i="6" s="1"/>
  <c r="AF17" i="6"/>
  <c r="W16" i="6" s="1"/>
  <c r="AJ14" i="6"/>
  <c r="AI567" i="1"/>
  <c r="AJ567" i="1" s="1"/>
  <c r="AS567" i="1"/>
  <c r="AS578" i="1"/>
  <c r="AI578" i="1"/>
  <c r="AJ578" i="1" s="1"/>
  <c r="AR567" i="1"/>
  <c r="AT13" i="6"/>
  <c r="AY7" i="6"/>
  <c r="AT6" i="6"/>
  <c r="AT11" i="6"/>
  <c r="AT8" i="6"/>
  <c r="AT12" i="6"/>
  <c r="AT7" i="6"/>
  <c r="AY15" i="6"/>
  <c r="AY16" i="6"/>
  <c r="AT9" i="6"/>
  <c r="AY6" i="6"/>
  <c r="AT14" i="6"/>
  <c r="AY8" i="6"/>
  <c r="AT15" i="6"/>
  <c r="AY9" i="6"/>
  <c r="AT16" i="6"/>
  <c r="AY10" i="6"/>
  <c r="AY11" i="6"/>
  <c r="AY12" i="6"/>
  <c r="AY13" i="6"/>
  <c r="AY14" i="6"/>
  <c r="AT10" i="6"/>
  <c r="AF16" i="6"/>
  <c r="AF15" i="6"/>
  <c r="AI385" i="1"/>
  <c r="AJ385" i="1" s="1"/>
  <c r="AS246" i="1"/>
  <c r="AR246" i="1" s="1"/>
  <c r="AS363" i="1"/>
  <c r="AR363" i="1" s="1"/>
  <c r="AS283" i="1"/>
  <c r="AR283" i="1" s="1"/>
  <c r="AI438" i="1"/>
  <c r="AJ438" i="1" s="1"/>
  <c r="AS265" i="1"/>
  <c r="AR265" i="1" s="1"/>
  <c r="AS387" i="1"/>
  <c r="AR387" i="1" s="1"/>
  <c r="AS573" i="1"/>
  <c r="AR573" i="1" s="1"/>
  <c r="AS378" i="1"/>
  <c r="AR378" i="1" s="1"/>
  <c r="AS557" i="1"/>
  <c r="AS344" i="1"/>
  <c r="AR344" i="1" s="1"/>
  <c r="AS355" i="1"/>
  <c r="AR355" i="1" s="1"/>
  <c r="AS409" i="1"/>
  <c r="AR409" i="1" s="1"/>
  <c r="AS536" i="1"/>
  <c r="AR536" i="1" s="1"/>
  <c r="G16" i="6"/>
  <c r="S16" i="6"/>
  <c r="Q16" i="6"/>
  <c r="S8" i="6"/>
  <c r="S10" i="6"/>
  <c r="S12" i="6"/>
  <c r="S14" i="6"/>
  <c r="S6" i="6"/>
  <c r="S7" i="6"/>
  <c r="S15" i="6"/>
  <c r="S9" i="6"/>
  <c r="S11" i="6"/>
  <c r="S13" i="6"/>
  <c r="AH13" i="6"/>
  <c r="AF14" i="6"/>
  <c r="AH14" i="6"/>
  <c r="AF13" i="6"/>
  <c r="J14" i="6"/>
  <c r="AI565" i="1"/>
  <c r="AJ565" i="1" s="1"/>
  <c r="AS565" i="1"/>
  <c r="AR565" i="1" s="1"/>
  <c r="AL9" i="6"/>
  <c r="AK8" i="6"/>
  <c r="AK7" i="6"/>
  <c r="AL6" i="6"/>
  <c r="AK6" i="6"/>
  <c r="AL10" i="6"/>
  <c r="AK10" i="6"/>
  <c r="AK9" i="6"/>
  <c r="AL8" i="6"/>
  <c r="AL7" i="6"/>
  <c r="AS566" i="1"/>
  <c r="AR566" i="1" s="1"/>
  <c r="AI566" i="1"/>
  <c r="AJ566" i="1" s="1"/>
  <c r="AI563" i="1"/>
  <c r="AJ563" i="1" s="1"/>
  <c r="AS563" i="1"/>
  <c r="AR563" i="1" s="1"/>
  <c r="AG10" i="6" s="1"/>
  <c r="AI557" i="1"/>
  <c r="AJ557" i="1" s="1"/>
  <c r="AI558" i="1"/>
  <c r="AJ558" i="1" s="1"/>
  <c r="AS558" i="1"/>
  <c r="AR558" i="1" s="1"/>
  <c r="AQ562" i="1"/>
  <c r="AS562" i="1" s="1"/>
  <c r="AR562" i="1" s="1"/>
  <c r="AS554" i="1"/>
  <c r="AR554" i="1" s="1"/>
  <c r="AI554" i="1"/>
  <c r="AJ554" i="1" s="1"/>
  <c r="AI556" i="1"/>
  <c r="AJ556" i="1" s="1"/>
  <c r="AS556" i="1"/>
  <c r="AR556" i="1" s="1"/>
  <c r="Q15" i="6"/>
  <c r="J11" i="6"/>
  <c r="Q11" i="6" s="1"/>
  <c r="G11" i="6"/>
  <c r="AI551" i="1"/>
  <c r="AJ551" i="1" s="1"/>
  <c r="AS551" i="1"/>
  <c r="AI552" i="1"/>
  <c r="AJ552" i="1" s="1"/>
  <c r="AS552" i="1"/>
  <c r="AR552" i="1" s="1"/>
  <c r="AS548" i="1"/>
  <c r="AR548" i="1" s="1"/>
  <c r="AI548" i="1"/>
  <c r="AJ548" i="1" s="1"/>
  <c r="AS543" i="1"/>
  <c r="AI543" i="1"/>
  <c r="AJ543" i="1" s="1"/>
  <c r="AS541" i="1"/>
  <c r="AI541" i="1"/>
  <c r="AJ541" i="1" s="1"/>
  <c r="AS540" i="1"/>
  <c r="AI540" i="1"/>
  <c r="AJ540" i="1" s="1"/>
  <c r="AS542" i="1"/>
  <c r="AR542" i="1" s="1"/>
  <c r="AI542" i="1"/>
  <c r="AJ542" i="1" s="1"/>
  <c r="AI547" i="1"/>
  <c r="AJ547" i="1" s="1"/>
  <c r="AS547" i="1"/>
  <c r="AR547" i="1" s="1"/>
  <c r="AI529" i="1"/>
  <c r="AJ529" i="1" s="1"/>
  <c r="AS529" i="1"/>
  <c r="AR529" i="1" s="1"/>
  <c r="AI530" i="1"/>
  <c r="AJ530" i="1" s="1"/>
  <c r="AS530" i="1"/>
  <c r="AR530" i="1" s="1"/>
  <c r="AJ517" i="1"/>
  <c r="AS517" i="1"/>
  <c r="AR517" i="1" s="1"/>
  <c r="AJ518" i="1"/>
  <c r="AS518" i="1"/>
  <c r="AR518" i="1" s="1"/>
  <c r="AS524" i="1"/>
  <c r="AR524" i="1" s="1"/>
  <c r="AI524" i="1"/>
  <c r="AJ524" i="1" s="1"/>
  <c r="AS515" i="1"/>
  <c r="AR515" i="1" s="1"/>
  <c r="AI515" i="1"/>
  <c r="AJ515" i="1" s="1"/>
  <c r="AS516" i="1"/>
  <c r="AR516" i="1" s="1"/>
  <c r="AI516" i="1"/>
  <c r="AJ516" i="1" s="1"/>
  <c r="AI494" i="1"/>
  <c r="AJ494" i="1" s="1"/>
  <c r="AS494" i="1"/>
  <c r="AR494" i="1" s="1"/>
  <c r="AI500" i="1"/>
  <c r="AJ500" i="1" s="1"/>
  <c r="AS500" i="1"/>
  <c r="AI505" i="1"/>
  <c r="AJ505" i="1" s="1"/>
  <c r="AS505" i="1"/>
  <c r="AR505" i="1" s="1"/>
  <c r="AS507" i="1"/>
  <c r="AR507" i="1" s="1"/>
  <c r="AI507" i="1"/>
  <c r="AJ507" i="1" s="1"/>
  <c r="AS508" i="1"/>
  <c r="AR508" i="1" s="1"/>
  <c r="AI508" i="1"/>
  <c r="AJ508" i="1" s="1"/>
  <c r="AS512" i="1"/>
  <c r="AR512" i="1" s="1"/>
  <c r="AI512" i="1"/>
  <c r="AJ512" i="1" s="1"/>
  <c r="AI489" i="1"/>
  <c r="AJ489" i="1" s="1"/>
  <c r="AS489" i="1"/>
  <c r="AR489" i="1" s="1"/>
  <c r="AI490" i="1"/>
  <c r="AJ490" i="1" s="1"/>
  <c r="AS490" i="1"/>
  <c r="AR490" i="1" s="1"/>
  <c r="AS492" i="1"/>
  <c r="AR492" i="1" s="1"/>
  <c r="AI492" i="1"/>
  <c r="AJ492" i="1" s="1"/>
  <c r="AQ493" i="1"/>
  <c r="AS493" i="1"/>
  <c r="AR493" i="1" s="1"/>
  <c r="AS495" i="1"/>
  <c r="AR495" i="1" s="1"/>
  <c r="AI495" i="1"/>
  <c r="AJ495" i="1" s="1"/>
  <c r="AI475" i="1"/>
  <c r="AJ475" i="1" s="1"/>
  <c r="AS475" i="1"/>
  <c r="AR475" i="1" s="1"/>
  <c r="AI477" i="1"/>
  <c r="AJ477" i="1" s="1"/>
  <c r="AS477" i="1"/>
  <c r="AR477" i="1" s="1"/>
  <c r="AS488" i="1"/>
  <c r="AR488" i="1" s="1"/>
  <c r="AI488" i="1"/>
  <c r="AJ488" i="1" s="1"/>
  <c r="AS480" i="1"/>
  <c r="AR480" i="1" s="1"/>
  <c r="AI471" i="1"/>
  <c r="AJ471" i="1" s="1"/>
  <c r="AS471" i="1"/>
  <c r="AR471" i="1" s="1"/>
  <c r="AS476" i="1"/>
  <c r="AR476" i="1" s="1"/>
  <c r="AI476" i="1"/>
  <c r="AJ476" i="1" s="1"/>
  <c r="AS481" i="1"/>
  <c r="AR481" i="1" s="1"/>
  <c r="AI468" i="1"/>
  <c r="AJ468" i="1" s="1"/>
  <c r="AS468" i="1"/>
  <c r="AR468" i="1" s="1"/>
  <c r="AS469" i="1"/>
  <c r="AR469" i="1" s="1"/>
  <c r="AI469" i="1"/>
  <c r="AJ469" i="1" s="1"/>
  <c r="AS470" i="1"/>
  <c r="AR470" i="1" s="1"/>
  <c r="AI470" i="1"/>
  <c r="AJ470" i="1" s="1"/>
  <c r="AI451" i="1"/>
  <c r="AJ451" i="1" s="1"/>
  <c r="AS457" i="1"/>
  <c r="AR457" i="1" s="1"/>
  <c r="AI457" i="1"/>
  <c r="AJ457" i="1" s="1"/>
  <c r="AS458" i="1"/>
  <c r="AR458" i="1" s="1"/>
  <c r="AI458" i="1"/>
  <c r="AJ458" i="1" s="1"/>
  <c r="AS459" i="1"/>
  <c r="AR459" i="1" s="1"/>
  <c r="AI459" i="1"/>
  <c r="AJ459" i="1" s="1"/>
  <c r="AS460" i="1"/>
  <c r="AR460" i="1" s="1"/>
  <c r="AI460" i="1"/>
  <c r="AJ460" i="1" s="1"/>
  <c r="AS461" i="1"/>
  <c r="AR461" i="1" s="1"/>
  <c r="AI461" i="1"/>
  <c r="AJ461" i="1" s="1"/>
  <c r="AS464" i="1"/>
  <c r="AR464" i="1" s="1"/>
  <c r="AI464" i="1"/>
  <c r="AJ464" i="1" s="1"/>
  <c r="AS454" i="1"/>
  <c r="AR454" i="1" s="1"/>
  <c r="AI454" i="1"/>
  <c r="AJ454" i="1" s="1"/>
  <c r="AI447" i="1"/>
  <c r="AJ447" i="1" s="1"/>
  <c r="AS447" i="1"/>
  <c r="AR447" i="1" s="1"/>
  <c r="AI6" i="6" s="1"/>
  <c r="AI434" i="1"/>
  <c r="AJ434" i="1" s="1"/>
  <c r="AQ434" i="1"/>
  <c r="AS434" i="1" s="1"/>
  <c r="AR434" i="1" s="1"/>
  <c r="AS431" i="1"/>
  <c r="AR431" i="1" s="1"/>
  <c r="AI431" i="1"/>
  <c r="AJ431" i="1" s="1"/>
  <c r="AS430" i="1"/>
  <c r="AR430" i="1" s="1"/>
  <c r="AI430" i="1"/>
  <c r="AJ430" i="1" s="1"/>
  <c r="AS432" i="1"/>
  <c r="AR432" i="1" s="1"/>
  <c r="AI432" i="1"/>
  <c r="AJ432" i="1" s="1"/>
  <c r="AI426" i="1"/>
  <c r="AJ426" i="1" s="1"/>
  <c r="AI428" i="1"/>
  <c r="AJ428" i="1" s="1"/>
  <c r="AS428" i="1"/>
  <c r="AR428" i="1" s="1"/>
  <c r="AI429" i="1"/>
  <c r="AJ429" i="1" s="1"/>
  <c r="AS429" i="1"/>
  <c r="AR429" i="1" s="1"/>
  <c r="AQ426" i="1"/>
  <c r="AS426" i="1" s="1"/>
  <c r="AR426" i="1" s="1"/>
  <c r="AS419" i="1"/>
  <c r="AR419" i="1" s="1"/>
  <c r="AS420" i="1"/>
  <c r="AR420" i="1" s="1"/>
  <c r="AS421" i="1"/>
  <c r="AR421" i="1" s="1"/>
  <c r="AI421" i="1"/>
  <c r="AJ421" i="1" s="1"/>
  <c r="AQ422" i="1"/>
  <c r="AS422" i="1" s="1"/>
  <c r="AR422" i="1" s="1"/>
  <c r="AS423" i="1"/>
  <c r="AR423" i="1" s="1"/>
  <c r="AI423" i="1"/>
  <c r="AJ423" i="1" s="1"/>
  <c r="AS418" i="1"/>
  <c r="AR418" i="1" s="1"/>
  <c r="AS417" i="1"/>
  <c r="AR417" i="1" s="1"/>
  <c r="AS416" i="1"/>
  <c r="AR416" i="1" s="1"/>
  <c r="AI412" i="1"/>
  <c r="AJ412" i="1" s="1"/>
  <c r="AS412" i="1"/>
  <c r="AR412" i="1" s="1"/>
  <c r="AS413" i="1"/>
  <c r="AR413" i="1" s="1"/>
  <c r="AI413" i="1"/>
  <c r="AJ413" i="1" s="1"/>
  <c r="AS414" i="1"/>
  <c r="AR414" i="1" s="1"/>
  <c r="AI414" i="1"/>
  <c r="AJ414" i="1" s="1"/>
  <c r="AS415" i="1"/>
  <c r="AR415" i="1" s="1"/>
  <c r="AI405" i="1"/>
  <c r="AJ405" i="1" s="1"/>
  <c r="AS405" i="1"/>
  <c r="AR405" i="1" s="1"/>
  <c r="AI406" i="1"/>
  <c r="AJ406" i="1" s="1"/>
  <c r="AS406" i="1"/>
  <c r="AR406" i="1" s="1"/>
  <c r="AS408" i="1"/>
  <c r="AR408" i="1" s="1"/>
  <c r="AI408" i="1"/>
  <c r="AJ408" i="1" s="1"/>
  <c r="AS411" i="1"/>
  <c r="AR411" i="1" s="1"/>
  <c r="AI411" i="1"/>
  <c r="AJ411" i="1" s="1"/>
  <c r="AI404" i="1"/>
  <c r="AJ404" i="1" s="1"/>
  <c r="AS404" i="1"/>
  <c r="AR404" i="1" s="1"/>
  <c r="AS407" i="1"/>
  <c r="AR407" i="1" s="1"/>
  <c r="AI407" i="1"/>
  <c r="AJ407" i="1" s="1"/>
  <c r="AS402" i="1"/>
  <c r="AR402" i="1" s="1"/>
  <c r="AI402" i="1"/>
  <c r="AJ402" i="1" s="1"/>
  <c r="AQ403" i="1"/>
  <c r="AS403" i="1" s="1"/>
  <c r="AR403" i="1" s="1"/>
  <c r="AS392" i="1"/>
  <c r="AR392" i="1" s="1"/>
  <c r="AS388" i="1"/>
  <c r="AR388" i="1" s="1"/>
  <c r="AS389" i="1"/>
  <c r="AR389" i="1" s="1"/>
  <c r="AI389" i="1"/>
  <c r="AJ389" i="1" s="1"/>
  <c r="AS390" i="1"/>
  <c r="AR390" i="1" s="1"/>
  <c r="AI390" i="1"/>
  <c r="AJ390" i="1" s="1"/>
  <c r="AS393" i="1"/>
  <c r="AR393" i="1" s="1"/>
  <c r="AI388" i="1"/>
  <c r="AJ388" i="1" s="1"/>
  <c r="AS386" i="1"/>
  <c r="AR386" i="1" s="1"/>
  <c r="AI386" i="1"/>
  <c r="AJ386" i="1" s="1"/>
  <c r="AS373" i="1"/>
  <c r="AR373" i="1" s="1"/>
  <c r="AS374" i="1"/>
  <c r="AR374" i="1" s="1"/>
  <c r="AS375" i="1"/>
  <c r="AR375" i="1" s="1"/>
  <c r="AS376" i="1"/>
  <c r="AR376" i="1" s="1"/>
  <c r="AS372" i="1"/>
  <c r="AR372" i="1" s="1"/>
  <c r="AS367" i="1"/>
  <c r="AR367" i="1" s="1"/>
  <c r="AS366" i="1"/>
  <c r="AR366" i="1" s="1"/>
  <c r="AS365" i="1"/>
  <c r="AR365" i="1" s="1"/>
  <c r="AS357" i="1"/>
  <c r="AR357" i="1" s="1"/>
  <c r="AI329" i="1"/>
  <c r="AJ329" i="1" s="1"/>
  <c r="AS329" i="1"/>
  <c r="AI345" i="1"/>
  <c r="AJ345" i="1" s="1"/>
  <c r="AS345" i="1"/>
  <c r="AR345" i="1" s="1"/>
  <c r="AS348" i="1"/>
  <c r="AR348" i="1" s="1"/>
  <c r="AI349" i="1"/>
  <c r="AJ349" i="1" s="1"/>
  <c r="AS349" i="1"/>
  <c r="AR349" i="1" s="1"/>
  <c r="AJ348" i="1"/>
  <c r="AI343" i="1"/>
  <c r="AJ343" i="1" s="1"/>
  <c r="AS343" i="1"/>
  <c r="AR343" i="1" s="1"/>
  <c r="AI335" i="1"/>
  <c r="AJ335" i="1" s="1"/>
  <c r="AS335" i="1"/>
  <c r="AR335" i="1" s="1"/>
  <c r="AS337" i="1"/>
  <c r="AR337" i="1" s="1"/>
  <c r="AS298" i="2"/>
  <c r="AR298" i="2" s="1"/>
  <c r="AI308" i="1"/>
  <c r="AJ308" i="1" s="1"/>
  <c r="AS308" i="1"/>
  <c r="AR308" i="1" s="1"/>
  <c r="AI316" i="1"/>
  <c r="AJ316" i="1" s="1"/>
  <c r="AS316" i="1"/>
  <c r="AR316" i="1" s="1"/>
  <c r="AS317" i="1"/>
  <c r="AR317" i="1" s="1"/>
  <c r="AI317" i="1"/>
  <c r="AJ317" i="1" s="1"/>
  <c r="AI323" i="1"/>
  <c r="AJ323" i="1" s="1"/>
  <c r="AS324" i="1"/>
  <c r="AR324" i="1" s="1"/>
  <c r="AS325" i="1"/>
  <c r="AR325" i="1" s="1"/>
  <c r="AI318" i="1"/>
  <c r="AJ318" i="1" s="1"/>
  <c r="AS321" i="1"/>
  <c r="AR321" i="1" s="1"/>
  <c r="AJ321" i="1"/>
  <c r="AS322" i="1"/>
  <c r="AR322" i="1" s="1"/>
  <c r="AI307" i="1"/>
  <c r="AJ307" i="1" s="1"/>
  <c r="AS307" i="1"/>
  <c r="AR307" i="1" s="1"/>
  <c r="AS15" i="2"/>
  <c r="AS16" i="2"/>
  <c r="AR16" i="2" s="1"/>
  <c r="AS19" i="2"/>
  <c r="AR19" i="2" s="1"/>
  <c r="AS20" i="2"/>
  <c r="AR20" i="2" s="1"/>
  <c r="AS21" i="2"/>
  <c r="AS22" i="2"/>
  <c r="AR22" i="2" s="1"/>
  <c r="AS29" i="2"/>
  <c r="AS31" i="2"/>
  <c r="AR31" i="2" s="1"/>
  <c r="AS32" i="2"/>
  <c r="AS34" i="2"/>
  <c r="AR34" i="2" s="1"/>
  <c r="AS36" i="2"/>
  <c r="AR36" i="2" s="1"/>
  <c r="AS37" i="2"/>
  <c r="AR37" i="2" s="1"/>
  <c r="AS38" i="2"/>
  <c r="AR38" i="2" s="1"/>
  <c r="AS42" i="2"/>
  <c r="AN350" i="2" s="1"/>
  <c r="AS45" i="2"/>
  <c r="AR45" i="2" s="1"/>
  <c r="AS48" i="2"/>
  <c r="AR48" i="2" s="1"/>
  <c r="AS49" i="2"/>
  <c r="AR49" i="2" s="1"/>
  <c r="AS50" i="2"/>
  <c r="AR50" i="2" s="1"/>
  <c r="AS52" i="2"/>
  <c r="AS53" i="2"/>
  <c r="AR53" i="2" s="1"/>
  <c r="AS55" i="2"/>
  <c r="AS56" i="2"/>
  <c r="AR56" i="2" s="1"/>
  <c r="AS57" i="2"/>
  <c r="AR57" i="2" s="1"/>
  <c r="AS61" i="2"/>
  <c r="AR61" i="2" s="1"/>
  <c r="AS62" i="2"/>
  <c r="AR62" i="2" s="1"/>
  <c r="AS66" i="2"/>
  <c r="AS71" i="2"/>
  <c r="AR71" i="2" s="1"/>
  <c r="AS88" i="2"/>
  <c r="AR88" i="2" s="1"/>
  <c r="AS92" i="2"/>
  <c r="AR92" i="2" s="1"/>
  <c r="AS96" i="2"/>
  <c r="AR96" i="2" s="1"/>
  <c r="AS97" i="2"/>
  <c r="AS104" i="2"/>
  <c r="AR104" i="2" s="1"/>
  <c r="AS105" i="2"/>
  <c r="AR105" i="2" s="1"/>
  <c r="AS113" i="2"/>
  <c r="AR113" i="2" s="1"/>
  <c r="AS117" i="2"/>
  <c r="AR117" i="2" s="1"/>
  <c r="AS124" i="2"/>
  <c r="AR124" i="2" s="1"/>
  <c r="AS126" i="2"/>
  <c r="AR126" i="2" s="1"/>
  <c r="AS127" i="2"/>
  <c r="AR127" i="2" s="1"/>
  <c r="AS130" i="2"/>
  <c r="AR130" i="2" s="1"/>
  <c r="AS136" i="2"/>
  <c r="AR136" i="2" s="1"/>
  <c r="AS144" i="2"/>
  <c r="AR144" i="2" s="1"/>
  <c r="AS145" i="2"/>
  <c r="AR145" i="2" s="1"/>
  <c r="AS146" i="2"/>
  <c r="AR146" i="2" s="1"/>
  <c r="AS148" i="2"/>
  <c r="AR148" i="2" s="1"/>
  <c r="AS149" i="2"/>
  <c r="AR149" i="2" s="1"/>
  <c r="AS152" i="2"/>
  <c r="AS155" i="2"/>
  <c r="AR155" i="2" s="1"/>
  <c r="AS162" i="2"/>
  <c r="AS176" i="2"/>
  <c r="AR176" i="2" s="1"/>
  <c r="AS179" i="2"/>
  <c r="AR179" i="2" s="1"/>
  <c r="AS181" i="2"/>
  <c r="AR181" i="2" s="1"/>
  <c r="AS184" i="2"/>
  <c r="AR184" i="2" s="1"/>
  <c r="AS185" i="2"/>
  <c r="AR185" i="2" s="1"/>
  <c r="AS186" i="2"/>
  <c r="AR186" i="2" s="1"/>
  <c r="AS190" i="2"/>
  <c r="AR190" i="2" s="1"/>
  <c r="AS193" i="2"/>
  <c r="AR193" i="2" s="1"/>
  <c r="AS194" i="2"/>
  <c r="AR194" i="2" s="1"/>
  <c r="AS196" i="2"/>
  <c r="AR196" i="2" s="1"/>
  <c r="AS200" i="2"/>
  <c r="AR200" i="2" s="1"/>
  <c r="AS206" i="2"/>
  <c r="AR206" i="2" s="1"/>
  <c r="AS208" i="2"/>
  <c r="AR208" i="2" s="1"/>
  <c r="AS210" i="2"/>
  <c r="AR210" i="2" s="1"/>
  <c r="AS219" i="2"/>
  <c r="AR219" i="2" s="1"/>
  <c r="AS220" i="2"/>
  <c r="AR220" i="2" s="1"/>
  <c r="AS224" i="2"/>
  <c r="AR224" i="2" s="1"/>
  <c r="AS227" i="2"/>
  <c r="AR227" i="2" s="1"/>
  <c r="AS246" i="2"/>
  <c r="AR246" i="2" s="1"/>
  <c r="AS249" i="2"/>
  <c r="AR249" i="2" s="1"/>
  <c r="AS256" i="2"/>
  <c r="AR256" i="2" s="1"/>
  <c r="AS257" i="2"/>
  <c r="AR257" i="2" s="1"/>
  <c r="AS259" i="2"/>
  <c r="AR259" i="2" s="1"/>
  <c r="AS266" i="2"/>
  <c r="AR266" i="2" s="1"/>
  <c r="AS268" i="2"/>
  <c r="AR268" i="2" s="1"/>
  <c r="AS270" i="2"/>
  <c r="AR270" i="2" s="1"/>
  <c r="AS271" i="2"/>
  <c r="AR271" i="2" s="1"/>
  <c r="AS272" i="2"/>
  <c r="AR272" i="2" s="1"/>
  <c r="AS273" i="2"/>
  <c r="AR273" i="2" s="1"/>
  <c r="AS280" i="2"/>
  <c r="AR280" i="2" s="1"/>
  <c r="AS281" i="2"/>
  <c r="AR281" i="2" s="1"/>
  <c r="AS284" i="2"/>
  <c r="AR284" i="2" s="1"/>
  <c r="AS286" i="2"/>
  <c r="AR286" i="2" s="1"/>
  <c r="AS289" i="2"/>
  <c r="AR289" i="2" s="1"/>
  <c r="AS306" i="1"/>
  <c r="AR306" i="1" s="1"/>
  <c r="AI306" i="1"/>
  <c r="AJ306" i="1" s="1"/>
  <c r="AI304" i="1"/>
  <c r="AJ304" i="1" s="1"/>
  <c r="AS304" i="1"/>
  <c r="AR304" i="1" s="1"/>
  <c r="AS248" i="1"/>
  <c r="AR248" i="1" s="1"/>
  <c r="AS296" i="1"/>
  <c r="AR296" i="1" s="1"/>
  <c r="AR42" i="2"/>
  <c r="AS157" i="2"/>
  <c r="AR157" i="2" s="1"/>
  <c r="AS39" i="2"/>
  <c r="AR39" i="2" s="1"/>
  <c r="AS274" i="2"/>
  <c r="AR274" i="2" s="1"/>
  <c r="AS18" i="2"/>
  <c r="AR18" i="2" s="1"/>
  <c r="AS44" i="2"/>
  <c r="AR44" i="2" s="1"/>
  <c r="AS58" i="2"/>
  <c r="AR58" i="2" s="1"/>
  <c r="AS120" i="2"/>
  <c r="AR120" i="2" s="1"/>
  <c r="AS180" i="2"/>
  <c r="AR180" i="2" s="1"/>
  <c r="AS211" i="2"/>
  <c r="AR211" i="2" s="1"/>
  <c r="AS279" i="2"/>
  <c r="AR279" i="2" s="1"/>
  <c r="AS95" i="2"/>
  <c r="AR95" i="2" s="1"/>
  <c r="AS4" i="2"/>
  <c r="AS35" i="2"/>
  <c r="AR35" i="2" s="1"/>
  <c r="AS40" i="2"/>
  <c r="AR40" i="2" s="1"/>
  <c r="AS54" i="2"/>
  <c r="AR54" i="2" s="1"/>
  <c r="AS116" i="2"/>
  <c r="AR116" i="2" s="1"/>
  <c r="AS125" i="2"/>
  <c r="AS275" i="2"/>
  <c r="AR275" i="2" s="1"/>
  <c r="AS288" i="2"/>
  <c r="AR288" i="2" s="1"/>
  <c r="AS80" i="2"/>
  <c r="AR80" i="2" s="1"/>
  <c r="AS111" i="2"/>
  <c r="AR111" i="2" s="1"/>
  <c r="AS169" i="2"/>
  <c r="AR169" i="2" s="1"/>
  <c r="AS173" i="2"/>
  <c r="AR173" i="2" s="1"/>
  <c r="AS177" i="2"/>
  <c r="AS223" i="2"/>
  <c r="AR223" i="2" s="1"/>
  <c r="AS261" i="2"/>
  <c r="AR261" i="2" s="1"/>
  <c r="AS9" i="2"/>
  <c r="AS245" i="2"/>
  <c r="AR245" i="2" s="1"/>
  <c r="AS254" i="1"/>
  <c r="AR254" i="1" s="1"/>
  <c r="AS93" i="2"/>
  <c r="AR93" i="2" s="1"/>
  <c r="AS98" i="2"/>
  <c r="AR98" i="2" s="1"/>
  <c r="AS204" i="2"/>
  <c r="AR204" i="2" s="1"/>
  <c r="AS267" i="2"/>
  <c r="AR267" i="2" s="1"/>
  <c r="AS257" i="1"/>
  <c r="AR257" i="1" s="1"/>
  <c r="AS282" i="1"/>
  <c r="AR282" i="1" s="1"/>
  <c r="AS76" i="2"/>
  <c r="AR76" i="2" s="1"/>
  <c r="AS170" i="2"/>
  <c r="AR170" i="2" s="1"/>
  <c r="AS187" i="2"/>
  <c r="AR187" i="2" s="1"/>
  <c r="AS256" i="1"/>
  <c r="AR256" i="1" s="1"/>
  <c r="AS255" i="1"/>
  <c r="AR255" i="1" s="1"/>
  <c r="AS118" i="2"/>
  <c r="AS175" i="2"/>
  <c r="AR175" i="2" s="1"/>
  <c r="AS183" i="2"/>
  <c r="AR183" i="2" s="1"/>
  <c r="AS225" i="2"/>
  <c r="AR225" i="2" s="1"/>
  <c r="AS17" i="2"/>
  <c r="AR17" i="2" s="1"/>
  <c r="AS33" i="2"/>
  <c r="AR33" i="2" s="1"/>
  <c r="AS123" i="2"/>
  <c r="AR123" i="2" s="1"/>
  <c r="AS188" i="2"/>
  <c r="AR188" i="2" s="1"/>
  <c r="AS252" i="1"/>
  <c r="AR252" i="1" s="1"/>
  <c r="AS226" i="2"/>
  <c r="AR226" i="2" s="1"/>
  <c r="AS255" i="2"/>
  <c r="AR255" i="2" s="1"/>
  <c r="AS128" i="2"/>
  <c r="AR128" i="2" s="1"/>
  <c r="AS248" i="2"/>
  <c r="AR248" i="2" s="1"/>
  <c r="G12" i="6"/>
  <c r="P12" i="6" s="1"/>
  <c r="J12" i="6"/>
  <c r="Q12" i="6" s="1"/>
  <c r="G13" i="6"/>
  <c r="J13" i="6"/>
  <c r="J9" i="6"/>
  <c r="G9" i="6"/>
  <c r="J10" i="6"/>
  <c r="Q10" i="6" s="1"/>
  <c r="G10" i="6"/>
  <c r="J7" i="6"/>
  <c r="G7" i="6"/>
  <c r="G8" i="6"/>
  <c r="J6" i="6"/>
  <c r="G6" i="6"/>
  <c r="AS298" i="1"/>
  <c r="AR298" i="1" s="1"/>
  <c r="AI298" i="1"/>
  <c r="AJ298" i="1" s="1"/>
  <c r="AI293" i="1"/>
  <c r="AJ293" i="1" s="1"/>
  <c r="AS293" i="1"/>
  <c r="AR293" i="1" s="1"/>
  <c r="AI288" i="1"/>
  <c r="AJ288" i="1" s="1"/>
  <c r="AS288" i="1"/>
  <c r="AR288" i="1" s="1"/>
  <c r="AI289" i="1"/>
  <c r="AJ289" i="1" s="1"/>
  <c r="AS289" i="1"/>
  <c r="AR289" i="1" s="1"/>
  <c r="AI291" i="1"/>
  <c r="AJ291" i="1" s="1"/>
  <c r="AS291" i="1"/>
  <c r="AR291" i="1" s="1"/>
  <c r="AI287" i="1"/>
  <c r="AJ287" i="1" s="1"/>
  <c r="AS287" i="1"/>
  <c r="AR287" i="1" s="1"/>
  <c r="AS284" i="1"/>
  <c r="AR284" i="1" s="1"/>
  <c r="AI284" i="1"/>
  <c r="AJ284" i="1" s="1"/>
  <c r="AJ272" i="1"/>
  <c r="AS272" i="1"/>
  <c r="AR272" i="1" s="1"/>
  <c r="AI274" i="1"/>
  <c r="AJ274" i="1" s="1"/>
  <c r="AS274" i="1"/>
  <c r="AR274" i="1" s="1"/>
  <c r="AI275" i="1"/>
  <c r="AJ275" i="1" s="1"/>
  <c r="AS275" i="1"/>
  <c r="AR275" i="1" s="1"/>
  <c r="AI276" i="1"/>
  <c r="AJ276" i="1" s="1"/>
  <c r="AS276" i="1"/>
  <c r="AR276" i="1" s="1"/>
  <c r="AI277" i="1"/>
  <c r="AJ277" i="1" s="1"/>
  <c r="AS277" i="1"/>
  <c r="AR277" i="1" s="1"/>
  <c r="AI266" i="1"/>
  <c r="AJ266" i="1" s="1"/>
  <c r="AS266" i="1"/>
  <c r="AR266" i="1" s="1"/>
  <c r="AI267" i="1"/>
  <c r="AJ267" i="1" s="1"/>
  <c r="AS267" i="1"/>
  <c r="AR267" i="1" s="1"/>
  <c r="AS273" i="1"/>
  <c r="AR273" i="1" s="1"/>
  <c r="AI273" i="1"/>
  <c r="AJ273" i="1" s="1"/>
  <c r="AI262" i="1"/>
  <c r="AJ262" i="1" s="1"/>
  <c r="AS262" i="1"/>
  <c r="AR262" i="1" s="1"/>
  <c r="AS263" i="1"/>
  <c r="AR263" i="1" s="1"/>
  <c r="AI265" i="1"/>
  <c r="AJ265" i="1" s="1"/>
  <c r="AI253" i="1"/>
  <c r="AJ253" i="1" s="1"/>
  <c r="AS253" i="1"/>
  <c r="AR253" i="1" s="1"/>
  <c r="AI251" i="1"/>
  <c r="AJ251" i="1" s="1"/>
  <c r="AS251" i="1"/>
  <c r="AR251" i="1" s="1"/>
  <c r="AI258" i="1"/>
  <c r="AJ258" i="1" s="1"/>
  <c r="AS258" i="1"/>
  <c r="AR258" i="1" s="1"/>
  <c r="AI259" i="1"/>
  <c r="AJ259" i="1" s="1"/>
  <c r="AS259" i="1"/>
  <c r="AR259" i="1" s="1"/>
  <c r="AI260" i="1"/>
  <c r="AJ260" i="1" s="1"/>
  <c r="AJ263" i="1"/>
  <c r="AS260" i="1"/>
  <c r="AR260" i="1" s="1"/>
  <c r="AI247" i="1"/>
  <c r="AJ247" i="1" s="1"/>
  <c r="AS247" i="1"/>
  <c r="AS244" i="1"/>
  <c r="AR244" i="1" s="1"/>
  <c r="AS18" i="1"/>
  <c r="AR18" i="1" s="1"/>
  <c r="AS51" i="1"/>
  <c r="AR51" i="1" s="1"/>
  <c r="AS206" i="1"/>
  <c r="AR206" i="1" s="1"/>
  <c r="AS23" i="1"/>
  <c r="AR23" i="1" s="1"/>
  <c r="AS215" i="1"/>
  <c r="AR215" i="1" s="1"/>
  <c r="AS89" i="1"/>
  <c r="AR89" i="1" s="1"/>
  <c r="AS121" i="1"/>
  <c r="AR121" i="1" s="1"/>
  <c r="AS11" i="1"/>
  <c r="AR11" i="1" s="1"/>
  <c r="AS115" i="1"/>
  <c r="AR115" i="1" s="1"/>
  <c r="AS143" i="1"/>
  <c r="AR143" i="1" s="1"/>
  <c r="AS214" i="1"/>
  <c r="AR214" i="1" s="1"/>
  <c r="AS58" i="1"/>
  <c r="AR58" i="1" s="1"/>
  <c r="AS128" i="1"/>
  <c r="AR128" i="1" s="1"/>
  <c r="AS105" i="1"/>
  <c r="AR105" i="1" s="1"/>
  <c r="AS50" i="1"/>
  <c r="AR50" i="1" s="1"/>
  <c r="AS73" i="1"/>
  <c r="AR73" i="1" s="1"/>
  <c r="AS100" i="1"/>
  <c r="AR100" i="1" s="1"/>
  <c r="AS144" i="1"/>
  <c r="AR144" i="1" s="1"/>
  <c r="AS150" i="1"/>
  <c r="AS96" i="1"/>
  <c r="AR96" i="1" s="1"/>
  <c r="AS198" i="1"/>
  <c r="AR198" i="1" s="1"/>
  <c r="AS203" i="1"/>
  <c r="AR203" i="1" s="1"/>
  <c r="AS137" i="1"/>
  <c r="AS163" i="1"/>
  <c r="AR163" i="1" s="1"/>
  <c r="AS28" i="1"/>
  <c r="AR28" i="1" s="1"/>
  <c r="AS239" i="1"/>
  <c r="AR239" i="1" s="1"/>
  <c r="AS88" i="1"/>
  <c r="AR88" i="1" s="1"/>
  <c r="AS19" i="1"/>
  <c r="AR19" i="1" s="1"/>
  <c r="AS230" i="1"/>
  <c r="AR230" i="1" s="1"/>
  <c r="AS127" i="1"/>
  <c r="AR127" i="1" s="1"/>
  <c r="AS145" i="1"/>
  <c r="AR145" i="1" s="1"/>
  <c r="AS236" i="1"/>
  <c r="AR236" i="1" s="1"/>
  <c r="AS231" i="1"/>
  <c r="AR231" i="1" s="1"/>
  <c r="AS241" i="1"/>
  <c r="AR241" i="1" s="1"/>
  <c r="AS7" i="1"/>
  <c r="AR7" i="1" s="1"/>
  <c r="AS157" i="1"/>
  <c r="AR157" i="1" s="1"/>
  <c r="AS152" i="1"/>
  <c r="AR152" i="1" s="1"/>
  <c r="AS5" i="1"/>
  <c r="AR5" i="1" s="1"/>
  <c r="AS102" i="1"/>
  <c r="AR102" i="1" s="1"/>
  <c r="AS111" i="1"/>
  <c r="AR111" i="1" s="1"/>
  <c r="AS48" i="1"/>
  <c r="AR48" i="1" s="1"/>
  <c r="AS138" i="1"/>
  <c r="AS160" i="1"/>
  <c r="AR160" i="1" s="1"/>
  <c r="AS32" i="1"/>
  <c r="AR32" i="1" s="1"/>
  <c r="AS42" i="1"/>
  <c r="AR42" i="1" s="1"/>
  <c r="AS118" i="1"/>
  <c r="AR118" i="1" s="1"/>
  <c r="AS161" i="1"/>
  <c r="AR161" i="1" s="1"/>
  <c r="AS220" i="1"/>
  <c r="AR220" i="1" s="1"/>
  <c r="AS8" i="1"/>
  <c r="AR8" i="1" s="1"/>
  <c r="AS17" i="1"/>
  <c r="AR17" i="1" s="1"/>
  <c r="AS62" i="1"/>
  <c r="AR62" i="1" s="1"/>
  <c r="AS168" i="1"/>
  <c r="AR168" i="1" s="1"/>
  <c r="AS187" i="1"/>
  <c r="AR187" i="1" s="1"/>
  <c r="AS119" i="1"/>
  <c r="AR119" i="1" s="1"/>
  <c r="AS63" i="1"/>
  <c r="AR63" i="1" s="1"/>
  <c r="AS87" i="1"/>
  <c r="AR87" i="1" s="1"/>
  <c r="AS155" i="1"/>
  <c r="AR155" i="1" s="1"/>
  <c r="AS185" i="1"/>
  <c r="AR185" i="1" s="1"/>
  <c r="AS54" i="1"/>
  <c r="AR54" i="1" s="1"/>
  <c r="AS200" i="1"/>
  <c r="AR200" i="1" s="1"/>
  <c r="AS26" i="1"/>
  <c r="AR26" i="1" s="1"/>
  <c r="AS69" i="1"/>
  <c r="AR69" i="1" s="1"/>
  <c r="AS22" i="1"/>
  <c r="AR22" i="1" s="1"/>
  <c r="AS64" i="1"/>
  <c r="AR64" i="1" s="1"/>
  <c r="AS74" i="1"/>
  <c r="AR74" i="1" s="1"/>
  <c r="AS83" i="1"/>
  <c r="AR83" i="1" s="1"/>
  <c r="AS92" i="1"/>
  <c r="AR92" i="1" s="1"/>
  <c r="AS101" i="1"/>
  <c r="AR101" i="1" s="1"/>
  <c r="AS136" i="1"/>
  <c r="AS59" i="1"/>
  <c r="AR59" i="1" s="1"/>
  <c r="AS97" i="1"/>
  <c r="AR97" i="1" s="1"/>
  <c r="AS106" i="1"/>
  <c r="AR106" i="1" s="1"/>
  <c r="AI206" i="1"/>
  <c r="AJ206" i="1" s="1"/>
  <c r="AS234" i="1"/>
  <c r="AR234" i="1" s="1"/>
  <c r="AS93" i="1"/>
  <c r="AR93" i="1" s="1"/>
  <c r="AS4" i="1"/>
  <c r="AS142" i="1"/>
  <c r="AR142" i="1" s="1"/>
  <c r="AS56" i="1"/>
  <c r="AR56" i="1" s="1"/>
  <c r="AS80" i="1"/>
  <c r="AR80" i="1" s="1"/>
  <c r="AS94" i="1"/>
  <c r="AR94" i="1" s="1"/>
  <c r="AS98" i="1"/>
  <c r="AR98" i="1" s="1"/>
  <c r="AS125" i="1"/>
  <c r="AR125" i="1" s="1"/>
  <c r="AS197" i="1"/>
  <c r="AR197" i="1" s="1"/>
  <c r="AS202" i="1"/>
  <c r="AR202" i="1" s="1"/>
  <c r="AS211" i="1"/>
  <c r="AR211" i="1" s="1"/>
  <c r="AS188" i="1"/>
  <c r="AR188" i="1" s="1"/>
  <c r="AS216" i="1"/>
  <c r="AR216" i="1" s="1"/>
  <c r="AS149" i="1"/>
  <c r="AR149" i="1" s="1"/>
  <c r="AS222" i="1"/>
  <c r="AR222" i="1" s="1"/>
  <c r="AS29" i="1"/>
  <c r="AR29" i="1" s="1"/>
  <c r="AS77" i="1"/>
  <c r="AR77" i="1" s="1"/>
  <c r="AS193" i="1"/>
  <c r="AR193" i="1" s="1"/>
  <c r="AS184" i="1"/>
  <c r="AR184" i="1" s="1"/>
  <c r="AS35" i="1"/>
  <c r="AR35" i="1" s="1"/>
  <c r="AS68" i="1"/>
  <c r="AR68" i="1" s="1"/>
  <c r="AS122" i="1"/>
  <c r="AR122" i="1" s="1"/>
  <c r="AS139" i="1"/>
  <c r="AR139" i="1" s="1"/>
  <c r="AS227" i="1"/>
  <c r="AR227" i="1" s="1"/>
  <c r="AS84" i="1"/>
  <c r="AR84" i="1" s="1"/>
  <c r="AS151" i="1"/>
  <c r="AR151" i="1" s="1"/>
  <c r="AS235" i="1"/>
  <c r="AR235" i="1" s="1"/>
  <c r="AS72" i="1"/>
  <c r="AR72" i="1" s="1"/>
  <c r="AS76" i="1"/>
  <c r="AR76" i="1" s="1"/>
  <c r="AS16" i="1"/>
  <c r="AR16" i="1" s="1"/>
  <c r="AS53" i="1"/>
  <c r="AR53" i="1" s="1"/>
  <c r="AS107" i="1"/>
  <c r="AR107" i="1" s="1"/>
  <c r="AS176" i="1"/>
  <c r="AR176" i="1" s="1"/>
  <c r="AI188" i="1"/>
  <c r="AJ188" i="1" s="1"/>
  <c r="AS192" i="1"/>
  <c r="AI200" i="1"/>
  <c r="AJ200" i="1" s="1"/>
  <c r="AI93" i="1"/>
  <c r="AJ93" i="1" s="1"/>
  <c r="AS172" i="1"/>
  <c r="AR172" i="1" s="1"/>
  <c r="AI236" i="1"/>
  <c r="AJ236" i="1" s="1"/>
  <c r="AS240" i="1"/>
  <c r="AR240" i="1" s="1"/>
  <c r="AS6" i="1"/>
  <c r="AR6" i="1" s="1"/>
  <c r="AS30" i="1"/>
  <c r="AR30" i="1" s="1"/>
  <c r="AS232" i="1"/>
  <c r="AR232" i="1" s="1"/>
  <c r="AS60" i="1"/>
  <c r="AR60" i="1" s="1"/>
  <c r="AI119" i="1"/>
  <c r="AJ119" i="1" s="1"/>
  <c r="AS219" i="1"/>
  <c r="AR219" i="1" s="1"/>
  <c r="AS123" i="1"/>
  <c r="AR123" i="1" s="1"/>
  <c r="AS173" i="1"/>
  <c r="AR173" i="1" s="1"/>
  <c r="AS204" i="1"/>
  <c r="AR204" i="1" s="1"/>
  <c r="AI11" i="1"/>
  <c r="AJ11" i="1" s="1"/>
  <c r="AS27" i="1"/>
  <c r="AR27" i="1" s="1"/>
  <c r="AS31" i="1"/>
  <c r="AR31" i="1" s="1"/>
  <c r="AS57" i="1"/>
  <c r="AR57" i="1" s="1"/>
  <c r="AS156" i="1"/>
  <c r="AR156" i="1" s="1"/>
  <c r="AS124" i="1"/>
  <c r="AR124" i="1" s="1"/>
  <c r="AI149" i="1"/>
  <c r="AJ149" i="1" s="1"/>
  <c r="AS153" i="1"/>
  <c r="AR153" i="1" s="1"/>
  <c r="AS212" i="1"/>
  <c r="AR212" i="1" s="1"/>
  <c r="AS14" i="1"/>
  <c r="AR14" i="1" s="1"/>
  <c r="AS70" i="1"/>
  <c r="AR70" i="1" s="1"/>
  <c r="AI124" i="1"/>
  <c r="AJ124" i="1" s="1"/>
  <c r="AS242" i="1"/>
  <c r="AR242" i="1" s="1"/>
  <c r="AS178" i="1"/>
  <c r="AS40" i="1"/>
  <c r="AR40" i="1" s="1"/>
  <c r="AS113" i="1"/>
  <c r="AR113" i="1" s="1"/>
  <c r="AS170" i="1"/>
  <c r="AR170" i="1" s="1"/>
  <c r="AS174" i="1"/>
  <c r="AR174" i="1" s="1"/>
  <c r="AS24" i="1"/>
  <c r="AR24" i="1" s="1"/>
  <c r="AS41" i="1"/>
  <c r="AR41" i="1" s="1"/>
  <c r="AS140" i="1"/>
  <c r="AR140" i="1" s="1"/>
  <c r="AS154" i="1"/>
  <c r="AR154" i="1" s="1"/>
  <c r="AS183" i="1"/>
  <c r="AR183" i="1" s="1"/>
  <c r="AS195" i="1"/>
  <c r="AR195" i="1" s="1"/>
  <c r="AS243" i="1"/>
  <c r="AR243" i="1" s="1"/>
  <c r="AS71" i="1"/>
  <c r="AR71" i="1" s="1"/>
  <c r="AS169" i="1"/>
  <c r="AR169" i="1" s="1"/>
  <c r="AS201" i="1"/>
  <c r="AR201" i="1" s="1"/>
  <c r="AS82" i="2"/>
  <c r="AR82" i="2" s="1"/>
  <c r="AS55" i="1"/>
  <c r="AR55" i="1" s="1"/>
  <c r="AS116" i="1"/>
  <c r="AR116" i="1" s="1"/>
  <c r="AS196" i="1"/>
  <c r="AR196" i="1" s="1"/>
  <c r="AS233" i="1"/>
  <c r="AR233" i="1" s="1"/>
  <c r="AN338" i="2"/>
  <c r="AN333" i="2"/>
  <c r="AN329" i="2"/>
  <c r="AN339" i="2"/>
  <c r="AN334" i="2"/>
  <c r="AN328" i="2"/>
  <c r="AS205" i="1"/>
  <c r="AR205" i="1" s="1"/>
  <c r="AS49" i="1"/>
  <c r="AR49" i="1" s="1"/>
  <c r="AI94" i="1"/>
  <c r="AJ94" i="1" s="1"/>
  <c r="AS162" i="1"/>
  <c r="AR162" i="1" s="1"/>
  <c r="AS186" i="1"/>
  <c r="AR186" i="1" s="1"/>
  <c r="AR21" i="2"/>
  <c r="AS143" i="2"/>
  <c r="AR143" i="2" s="1"/>
  <c r="AI87" i="1"/>
  <c r="AJ87" i="1" s="1"/>
  <c r="AS146" i="1"/>
  <c r="AR146" i="1" s="1"/>
  <c r="AI168" i="1"/>
  <c r="AJ168" i="1" s="1"/>
  <c r="AR32" i="2"/>
  <c r="AS263" i="2"/>
  <c r="AR263" i="2" s="1"/>
  <c r="AI215" i="1"/>
  <c r="AJ215" i="1" s="1"/>
  <c r="AS75" i="1"/>
  <c r="AR75" i="1" s="1"/>
  <c r="AI140" i="1"/>
  <c r="AJ140" i="1" s="1"/>
  <c r="AI151" i="1"/>
  <c r="AJ151" i="1" s="1"/>
  <c r="AS103" i="2"/>
  <c r="AR103" i="2" s="1"/>
  <c r="AS61" i="1"/>
  <c r="AR61" i="1" s="1"/>
  <c r="AS177" i="1"/>
  <c r="AR177" i="1" s="1"/>
  <c r="AR55" i="2"/>
  <c r="AR125" i="2"/>
  <c r="AS194" i="1"/>
  <c r="AR194" i="1" s="1"/>
  <c r="X339" i="2"/>
  <c r="AR152" i="2"/>
  <c r="AR29" i="2"/>
  <c r="AS192" i="2"/>
  <c r="AR192" i="2" s="1"/>
  <c r="AR52" i="2"/>
  <c r="AR162" i="2"/>
  <c r="AR177" i="2"/>
  <c r="AS95" i="1"/>
  <c r="AR95" i="1" s="1"/>
  <c r="AS141" i="1"/>
  <c r="AR1090" i="1" s="1"/>
  <c r="AS24" i="2"/>
  <c r="AS30" i="2"/>
  <c r="AS94" i="2"/>
  <c r="AR118" i="2"/>
  <c r="M333" i="2"/>
  <c r="N333" i="2"/>
  <c r="L328" i="2"/>
  <c r="AR15" i="2"/>
  <c r="BD1069" i="1" l="1"/>
  <c r="BD1068" i="1"/>
  <c r="BD1067" i="1"/>
  <c r="BD1066" i="1"/>
  <c r="BD1065" i="1"/>
  <c r="BD1064" i="1"/>
  <c r="BD1072" i="1"/>
  <c r="BD1071" i="1"/>
  <c r="BD1070" i="1"/>
  <c r="BD1060" i="1"/>
  <c r="BD1059" i="1"/>
  <c r="BD1058" i="1"/>
  <c r="BD1057" i="1"/>
  <c r="BD1056" i="1"/>
  <c r="BD1055" i="1"/>
  <c r="BD1063" i="1"/>
  <c r="BD1062" i="1"/>
  <c r="BD1061" i="1"/>
  <c r="BD1051" i="1"/>
  <c r="BD1050" i="1"/>
  <c r="BD1049" i="1"/>
  <c r="BD1048" i="1"/>
  <c r="BD1046" i="1"/>
  <c r="BD1045" i="1"/>
  <c r="BD1054" i="1"/>
  <c r="BD1053" i="1"/>
  <c r="BD1052" i="1"/>
  <c r="BD1043" i="1"/>
  <c r="BD1042" i="1"/>
  <c r="BD1040" i="1"/>
  <c r="BD1039" i="1"/>
  <c r="BD1073" i="1"/>
  <c r="BD1044" i="1"/>
  <c r="BD1032" i="1"/>
  <c r="BD1031" i="1"/>
  <c r="BD1030" i="1"/>
  <c r="BD1029" i="1"/>
  <c r="BD1028" i="1"/>
  <c r="BD1027" i="1"/>
  <c r="BD1026" i="1"/>
  <c r="BD1025" i="1"/>
  <c r="BD1036" i="1"/>
  <c r="BD1035" i="1"/>
  <c r="BD1034" i="1"/>
  <c r="BD1033" i="1"/>
  <c r="BD1038" i="1"/>
  <c r="BD1037" i="1"/>
  <c r="BD1023" i="1"/>
  <c r="BD1022" i="1"/>
  <c r="BD1021" i="1"/>
  <c r="BD1020" i="1"/>
  <c r="BD1019" i="1"/>
  <c r="BD1018" i="1"/>
  <c r="BD1017" i="1"/>
  <c r="BD1016" i="1"/>
  <c r="BD1015" i="1"/>
  <c r="BD1014" i="1"/>
  <c r="BD1013" i="1"/>
  <c r="BD1012" i="1"/>
  <c r="BD1011" i="1"/>
  <c r="BD1010" i="1"/>
  <c r="BD1009" i="1"/>
  <c r="BD1008" i="1"/>
  <c r="BD1007" i="1"/>
  <c r="BD1006" i="1"/>
  <c r="BD1003" i="1"/>
  <c r="BD1002" i="1"/>
  <c r="BD1001" i="1"/>
  <c r="BD1000" i="1"/>
  <c r="BD999" i="1"/>
  <c r="BD998" i="1"/>
  <c r="BD1024" i="1"/>
  <c r="BD1005" i="1"/>
  <c r="BD1004" i="1"/>
  <c r="BD997" i="1"/>
  <c r="BD996" i="1"/>
  <c r="BD991" i="1"/>
  <c r="BD990" i="1"/>
  <c r="BD989" i="1"/>
  <c r="BD986" i="1"/>
  <c r="BD985" i="1"/>
  <c r="BD984" i="1"/>
  <c r="BD983" i="1"/>
  <c r="BD992" i="1"/>
  <c r="BD987" i="1"/>
  <c r="BD979" i="1"/>
  <c r="BD978" i="1"/>
  <c r="BD977" i="1"/>
  <c r="BD981" i="1"/>
  <c r="BD980" i="1"/>
  <c r="BD972" i="1"/>
  <c r="BD971" i="1"/>
  <c r="BD970" i="1"/>
  <c r="BD969" i="1"/>
  <c r="BD968" i="1"/>
  <c r="BD975" i="1"/>
  <c r="BD974" i="1"/>
  <c r="BD973" i="1"/>
  <c r="BD963" i="1"/>
  <c r="BD962" i="1"/>
  <c r="BD961" i="1"/>
  <c r="BD966" i="1"/>
  <c r="BD965" i="1"/>
  <c r="BD964" i="1"/>
  <c r="BD959" i="1"/>
  <c r="BD958" i="1"/>
  <c r="BD957" i="1"/>
  <c r="BD956" i="1"/>
  <c r="BD976" i="1"/>
  <c r="BD960" i="1"/>
  <c r="BD995" i="1"/>
  <c r="BD949" i="1"/>
  <c r="BD948" i="1"/>
  <c r="BD947" i="1"/>
  <c r="BD946" i="1"/>
  <c r="BD945" i="1"/>
  <c r="BD944" i="1"/>
  <c r="BD943" i="1"/>
  <c r="BD942" i="1"/>
  <c r="BD941" i="1"/>
  <c r="BD955" i="1"/>
  <c r="BD954" i="1"/>
  <c r="BD953" i="1"/>
  <c r="BD952" i="1"/>
  <c r="BD951" i="1"/>
  <c r="BD950" i="1"/>
  <c r="BD994" i="1"/>
  <c r="BD993" i="1"/>
  <c r="BD982" i="1"/>
  <c r="BD1074" i="1"/>
  <c r="BD936" i="1"/>
  <c r="BD935" i="1"/>
  <c r="BD934" i="1"/>
  <c r="BD933" i="1"/>
  <c r="BD932" i="1"/>
  <c r="BD928" i="1"/>
  <c r="BD927" i="1"/>
  <c r="BD925" i="1"/>
  <c r="BD924" i="1"/>
  <c r="BD923" i="1"/>
  <c r="BD922" i="1"/>
  <c r="BD921" i="1"/>
  <c r="BD937" i="1"/>
  <c r="BD931" i="1"/>
  <c r="BD930" i="1"/>
  <c r="BD929" i="1"/>
  <c r="BD939" i="1"/>
  <c r="BD938" i="1"/>
  <c r="BD914" i="1"/>
  <c r="BD913" i="1"/>
  <c r="BD912" i="1"/>
  <c r="BD911" i="1"/>
  <c r="BD910" i="1"/>
  <c r="BD909" i="1"/>
  <c r="BD908" i="1"/>
  <c r="BD907" i="1"/>
  <c r="BD918" i="1"/>
  <c r="BD917" i="1"/>
  <c r="BD916" i="1"/>
  <c r="BD915" i="1"/>
  <c r="BD920" i="1"/>
  <c r="BD919" i="1"/>
  <c r="BD901" i="1"/>
  <c r="BD900" i="1"/>
  <c r="BD899" i="1"/>
  <c r="BD898" i="1"/>
  <c r="BD897" i="1"/>
  <c r="BD904" i="1"/>
  <c r="BD903" i="1"/>
  <c r="BD902" i="1"/>
  <c r="BD905" i="1"/>
  <c r="BD894" i="1"/>
  <c r="BD893" i="1"/>
  <c r="BD892" i="1"/>
  <c r="BD891" i="1"/>
  <c r="BD890" i="1"/>
  <c r="BD896" i="1"/>
  <c r="BD895" i="1"/>
  <c r="BD940" i="1"/>
  <c r="BD883" i="1"/>
  <c r="BD887" i="1"/>
  <c r="BD886" i="1"/>
  <c r="BD885" i="1"/>
  <c r="BD880" i="1"/>
  <c r="BD879" i="1"/>
  <c r="BD878" i="1"/>
  <c r="BD877" i="1"/>
  <c r="BD876" i="1"/>
  <c r="BD875" i="1"/>
  <c r="BD884" i="1"/>
  <c r="BD882" i="1"/>
  <c r="BD881" i="1"/>
  <c r="BD869" i="1"/>
  <c r="BD868" i="1"/>
  <c r="BD870" i="1"/>
  <c r="BD866" i="1"/>
  <c r="BD865" i="1"/>
  <c r="BD864" i="1"/>
  <c r="BD863" i="1"/>
  <c r="BD862" i="1"/>
  <c r="BD861" i="1"/>
  <c r="BD857" i="1"/>
  <c r="BD859" i="1"/>
  <c r="BD858" i="1"/>
  <c r="BD856" i="1"/>
  <c r="BD867" i="1"/>
  <c r="BD860" i="1"/>
  <c r="BD855" i="1"/>
  <c r="BD854" i="1"/>
  <c r="BD852" i="1"/>
  <c r="BD851" i="1"/>
  <c r="AR12" i="6"/>
  <c r="BD850" i="1"/>
  <c r="BD849" i="1"/>
  <c r="BD848" i="1"/>
  <c r="BD847" i="1"/>
  <c r="BD846" i="1"/>
  <c r="BD845" i="1"/>
  <c r="BD871" i="1"/>
  <c r="BD842" i="1"/>
  <c r="BD841" i="1"/>
  <c r="BD840" i="1"/>
  <c r="BD839" i="1"/>
  <c r="BD844" i="1"/>
  <c r="BD843" i="1"/>
  <c r="BD838" i="1"/>
  <c r="BD828" i="1"/>
  <c r="BD834" i="1"/>
  <c r="BD833" i="1"/>
  <c r="BD832" i="1"/>
  <c r="BD831" i="1"/>
  <c r="BD830" i="1"/>
  <c r="BD836" i="1"/>
  <c r="BD835" i="1"/>
  <c r="BD824" i="1"/>
  <c r="BD823" i="1"/>
  <c r="BD822" i="1"/>
  <c r="BD821" i="1"/>
  <c r="BD820" i="1"/>
  <c r="BD819" i="1"/>
  <c r="BD829" i="1"/>
  <c r="BD827" i="1"/>
  <c r="BD826" i="1"/>
  <c r="BD837" i="1"/>
  <c r="BD816" i="1"/>
  <c r="BD815" i="1"/>
  <c r="BD814" i="1"/>
  <c r="BD813" i="1"/>
  <c r="BD818" i="1"/>
  <c r="BD817" i="1"/>
  <c r="BD810" i="1"/>
  <c r="BD809" i="1"/>
  <c r="BD808" i="1"/>
  <c r="BD807" i="1"/>
  <c r="BD811" i="1"/>
  <c r="BD806" i="1"/>
  <c r="BD805" i="1"/>
  <c r="BD795" i="1"/>
  <c r="BD794" i="1"/>
  <c r="BD793" i="1"/>
  <c r="BD801" i="1"/>
  <c r="BD800" i="1"/>
  <c r="BD799" i="1"/>
  <c r="BD798" i="1"/>
  <c r="BD797" i="1"/>
  <c r="BD796" i="1"/>
  <c r="BD804" i="1"/>
  <c r="BD803" i="1"/>
  <c r="BD802" i="1"/>
  <c r="BD789" i="1"/>
  <c r="BD788" i="1"/>
  <c r="BD787" i="1"/>
  <c r="BD786" i="1"/>
  <c r="BD785" i="1"/>
  <c r="BD784" i="1"/>
  <c r="BD792" i="1"/>
  <c r="BD791" i="1"/>
  <c r="BD790" i="1"/>
  <c r="BD781" i="1"/>
  <c r="BD780" i="1"/>
  <c r="BD779" i="1"/>
  <c r="BD778" i="1"/>
  <c r="BD783" i="1"/>
  <c r="BD782" i="1"/>
  <c r="BD873" i="1"/>
  <c r="BD774" i="1"/>
  <c r="BD773" i="1"/>
  <c r="BD772" i="1"/>
  <c r="BD771" i="1"/>
  <c r="BD770" i="1"/>
  <c r="BD769" i="1"/>
  <c r="BD768" i="1"/>
  <c r="BD767" i="1"/>
  <c r="BD766" i="1"/>
  <c r="BD765" i="1"/>
  <c r="BD812" i="1"/>
  <c r="BD777" i="1"/>
  <c r="BD776" i="1"/>
  <c r="BD775" i="1"/>
  <c r="BD874" i="1"/>
  <c r="BD872" i="1"/>
  <c r="BD889" i="1"/>
  <c r="BD888" i="1"/>
  <c r="BD757" i="1"/>
  <c r="BD756" i="1"/>
  <c r="BD755" i="1"/>
  <c r="BD758" i="1"/>
  <c r="BD753" i="1"/>
  <c r="BD752" i="1"/>
  <c r="BD754" i="1"/>
  <c r="BD751" i="1"/>
  <c r="BD744" i="1"/>
  <c r="BD764" i="1"/>
  <c r="BD747" i="1"/>
  <c r="BD746" i="1"/>
  <c r="BD745" i="1"/>
  <c r="BD743" i="1"/>
  <c r="BD749" i="1"/>
  <c r="BD748" i="1"/>
  <c r="BD750" i="1"/>
  <c r="BD742" i="1"/>
  <c r="BD732" i="1"/>
  <c r="BD738" i="1"/>
  <c r="BD737" i="1"/>
  <c r="BD736" i="1"/>
  <c r="BD735" i="1"/>
  <c r="BD733" i="1"/>
  <c r="BD731" i="1"/>
  <c r="BD741" i="1"/>
  <c r="BD740" i="1"/>
  <c r="BD739" i="1"/>
  <c r="BD727" i="1"/>
  <c r="BD726" i="1"/>
  <c r="BD725" i="1"/>
  <c r="BD724" i="1"/>
  <c r="BD723" i="1"/>
  <c r="BD722" i="1"/>
  <c r="BD718" i="1"/>
  <c r="BD721" i="1"/>
  <c r="BD720" i="1"/>
  <c r="BD719" i="1"/>
  <c r="BD717" i="1"/>
  <c r="BD716" i="1"/>
  <c r="BD713" i="1"/>
  <c r="BD712" i="1"/>
  <c r="BD711" i="1"/>
  <c r="BD729" i="1"/>
  <c r="BD728" i="1"/>
  <c r="BD715" i="1"/>
  <c r="BD714" i="1"/>
  <c r="BD707" i="1"/>
  <c r="BD706" i="1"/>
  <c r="BD705" i="1"/>
  <c r="BD704" i="1"/>
  <c r="BD703" i="1"/>
  <c r="BD702" i="1"/>
  <c r="BD701" i="1"/>
  <c r="BD709" i="1"/>
  <c r="BD708" i="1"/>
  <c r="BD700" i="1"/>
  <c r="BD699" i="1"/>
  <c r="BD698" i="1"/>
  <c r="BD697" i="1"/>
  <c r="BD696" i="1"/>
  <c r="BD695" i="1"/>
  <c r="BD653" i="1"/>
  <c r="BD654" i="1"/>
  <c r="BD655" i="1"/>
  <c r="BD656" i="1"/>
  <c r="BD657" i="1"/>
  <c r="BD658" i="1"/>
  <c r="BD659" i="1"/>
  <c r="BD660" i="1"/>
  <c r="BD661" i="1"/>
  <c r="BD662" i="1"/>
  <c r="BD663" i="1"/>
  <c r="BD664" i="1"/>
  <c r="BD665" i="1"/>
  <c r="BD666" i="1"/>
  <c r="BD667" i="1"/>
  <c r="BD668" i="1"/>
  <c r="BD669" i="1"/>
  <c r="BD670" i="1"/>
  <c r="BD671" i="1"/>
  <c r="BD672" i="1"/>
  <c r="BD673" i="1"/>
  <c r="BD674" i="1"/>
  <c r="BD675" i="1"/>
  <c r="BD676" i="1"/>
  <c r="BD677" i="1"/>
  <c r="BD678" i="1"/>
  <c r="BD679" i="1"/>
  <c r="BD680" i="1"/>
  <c r="BD681" i="1"/>
  <c r="BD682" i="1"/>
  <c r="BD683" i="1"/>
  <c r="BD684" i="1"/>
  <c r="BD685" i="1"/>
  <c r="BD686" i="1"/>
  <c r="BD687" i="1"/>
  <c r="BD688" i="1"/>
  <c r="BD689" i="1"/>
  <c r="BD690" i="1"/>
  <c r="BD692" i="1"/>
  <c r="BD693" i="1"/>
  <c r="BD694" i="1"/>
  <c r="BD710" i="1"/>
  <c r="BD730" i="1"/>
  <c r="BD759" i="1"/>
  <c r="BD760" i="1"/>
  <c r="BD761" i="1"/>
  <c r="BD647" i="1"/>
  <c r="BD642" i="1"/>
  <c r="BD643" i="1"/>
  <c r="BD644" i="1"/>
  <c r="BD762" i="1"/>
  <c r="BD763" i="1"/>
  <c r="AN344" i="2"/>
  <c r="L346" i="2"/>
  <c r="L344" i="2"/>
  <c r="R340" i="2"/>
  <c r="AN347" i="2"/>
  <c r="T337" i="2"/>
  <c r="Y338" i="2"/>
  <c r="AN348" i="2"/>
  <c r="AN345" i="2"/>
  <c r="R349" i="2"/>
  <c r="AR66" i="2"/>
  <c r="Z339" i="2"/>
  <c r="R345" i="2"/>
  <c r="AR331" i="2"/>
  <c r="BD641" i="1"/>
  <c r="BD639" i="1"/>
  <c r="BD652" i="1"/>
  <c r="BD651" i="1"/>
  <c r="BD650" i="1"/>
  <c r="BD1075" i="1"/>
  <c r="AL13" i="6"/>
  <c r="AL16" i="6"/>
  <c r="L15" i="6"/>
  <c r="T15" i="6" s="1"/>
  <c r="W14" i="6"/>
  <c r="O15" i="6"/>
  <c r="W13" i="6"/>
  <c r="BD630" i="1"/>
  <c r="BD629" i="1"/>
  <c r="BD628" i="1"/>
  <c r="BD627" i="1"/>
  <c r="BD626" i="1"/>
  <c r="BD625" i="1"/>
  <c r="BD624" i="1"/>
  <c r="BD623" i="1"/>
  <c r="BD635" i="1"/>
  <c r="BD634" i="1"/>
  <c r="BD633" i="1"/>
  <c r="BD631" i="1"/>
  <c r="BD637" i="1"/>
  <c r="BD636" i="1"/>
  <c r="W15" i="6"/>
  <c r="W12" i="6"/>
  <c r="BD608" i="1"/>
  <c r="BD607" i="1"/>
  <c r="BD606" i="1"/>
  <c r="BD605" i="1"/>
  <c r="BD604" i="1"/>
  <c r="BD603" i="1"/>
  <c r="BD602" i="1"/>
  <c r="BD601" i="1"/>
  <c r="BD600" i="1"/>
  <c r="BD599" i="1"/>
  <c r="BD598" i="1"/>
  <c r="BD597" i="1"/>
  <c r="BD615" i="1"/>
  <c r="BD613" i="1"/>
  <c r="BD612" i="1"/>
  <c r="BD611" i="1"/>
  <c r="BD610" i="1"/>
  <c r="BD609" i="1"/>
  <c r="BD619" i="1"/>
  <c r="BD618" i="1"/>
  <c r="BD617" i="1"/>
  <c r="BD616" i="1"/>
  <c r="BD592" i="1"/>
  <c r="BD590" i="1"/>
  <c r="BD593" i="1"/>
  <c r="BD591" i="1"/>
  <c r="BD589" i="1"/>
  <c r="BD588" i="1"/>
  <c r="BD596" i="1"/>
  <c r="BD595" i="1"/>
  <c r="BD594" i="1"/>
  <c r="BD621" i="1"/>
  <c r="BD620" i="1"/>
  <c r="AR4" i="1"/>
  <c r="BD584" i="1"/>
  <c r="BD583" i="1"/>
  <c r="BD582" i="1"/>
  <c r="BD581" i="1"/>
  <c r="BD638" i="1"/>
  <c r="BD587" i="1"/>
  <c r="BD586" i="1"/>
  <c r="BD585" i="1"/>
  <c r="BD408" i="1"/>
  <c r="BD409" i="1"/>
  <c r="BD410" i="1"/>
  <c r="BD411" i="1"/>
  <c r="BD412" i="1"/>
  <c r="BD413" i="1"/>
  <c r="BD414" i="1"/>
  <c r="BD415" i="1"/>
  <c r="BD416" i="1"/>
  <c r="BD417" i="1"/>
  <c r="BD418" i="1"/>
  <c r="BD419" i="1"/>
  <c r="BD420" i="1"/>
  <c r="BD421" i="1"/>
  <c r="BD422" i="1"/>
  <c r="BD423" i="1"/>
  <c r="BD424" i="1"/>
  <c r="BD425" i="1"/>
  <c r="BD426" i="1"/>
  <c r="BD427" i="1"/>
  <c r="BD428" i="1"/>
  <c r="BD429" i="1"/>
  <c r="BD430" i="1"/>
  <c r="BD431" i="1"/>
  <c r="BD432" i="1"/>
  <c r="BD433" i="1"/>
  <c r="BD434" i="1"/>
  <c r="BD435" i="1"/>
  <c r="BD436" i="1"/>
  <c r="BD437" i="1"/>
  <c r="BD438" i="1"/>
  <c r="BD439" i="1"/>
  <c r="BD440" i="1"/>
  <c r="BD441" i="1"/>
  <c r="BD442" i="1"/>
  <c r="BD443" i="1"/>
  <c r="BD444" i="1"/>
  <c r="BD445" i="1"/>
  <c r="BD446" i="1"/>
  <c r="BD447" i="1"/>
  <c r="BD448" i="1"/>
  <c r="BD449" i="1"/>
  <c r="BD450" i="1"/>
  <c r="BD451" i="1"/>
  <c r="BD452" i="1"/>
  <c r="BD453" i="1"/>
  <c r="BD454" i="1"/>
  <c r="BD455" i="1"/>
  <c r="BD456" i="1"/>
  <c r="BD457" i="1"/>
  <c r="BD458" i="1"/>
  <c r="BD459" i="1"/>
  <c r="BD460" i="1"/>
  <c r="BD461" i="1"/>
  <c r="BD462" i="1"/>
  <c r="BD463" i="1"/>
  <c r="BD464" i="1"/>
  <c r="BD465" i="1"/>
  <c r="BD466" i="1"/>
  <c r="BD467" i="1"/>
  <c r="BD468" i="1"/>
  <c r="BD469" i="1"/>
  <c r="BD470" i="1"/>
  <c r="BD471" i="1"/>
  <c r="BD472" i="1"/>
  <c r="BD473" i="1"/>
  <c r="BD474" i="1"/>
  <c r="BD475" i="1"/>
  <c r="BD476" i="1"/>
  <c r="BD477" i="1"/>
  <c r="BD478" i="1"/>
  <c r="BD479" i="1"/>
  <c r="BD480" i="1"/>
  <c r="BD481" i="1"/>
  <c r="BD482" i="1"/>
  <c r="BD483" i="1"/>
  <c r="BD484" i="1"/>
  <c r="BD485" i="1"/>
  <c r="BD486" i="1"/>
  <c r="BD487" i="1"/>
  <c r="BD488" i="1"/>
  <c r="BD489" i="1"/>
  <c r="BD490" i="1"/>
  <c r="BD491" i="1"/>
  <c r="BD492" i="1"/>
  <c r="BD493" i="1"/>
  <c r="BD494" i="1"/>
  <c r="BD495" i="1"/>
  <c r="BD496" i="1"/>
  <c r="BD497" i="1"/>
  <c r="BD498" i="1"/>
  <c r="BD499" i="1"/>
  <c r="BD500" i="1"/>
  <c r="BD501" i="1"/>
  <c r="BD502" i="1"/>
  <c r="BD503" i="1"/>
  <c r="BD504" i="1"/>
  <c r="BD505" i="1"/>
  <c r="BD506" i="1"/>
  <c r="BD507" i="1"/>
  <c r="BD508" i="1"/>
  <c r="BD509" i="1"/>
  <c r="BD510" i="1"/>
  <c r="BD511" i="1"/>
  <c r="BD512" i="1"/>
  <c r="BD513" i="1"/>
  <c r="BD514" i="1"/>
  <c r="BD515" i="1"/>
  <c r="BD516" i="1"/>
  <c r="BD517" i="1"/>
  <c r="BD518" i="1"/>
  <c r="BD519" i="1"/>
  <c r="BD520" i="1"/>
  <c r="BD521" i="1"/>
  <c r="BD522" i="1"/>
  <c r="BD523" i="1"/>
  <c r="BD524" i="1"/>
  <c r="BD525" i="1"/>
  <c r="BD526" i="1"/>
  <c r="BD527" i="1"/>
  <c r="BD528" i="1"/>
  <c r="BD529" i="1"/>
  <c r="BD530" i="1"/>
  <c r="BD531" i="1"/>
  <c r="BD532" i="1"/>
  <c r="BD533" i="1"/>
  <c r="BD534" i="1"/>
  <c r="BD535" i="1"/>
  <c r="BD536" i="1"/>
  <c r="BD537" i="1"/>
  <c r="BD538" i="1"/>
  <c r="BD539" i="1"/>
  <c r="BD540" i="1"/>
  <c r="BD541" i="1"/>
  <c r="BD542" i="1"/>
  <c r="BD543" i="1"/>
  <c r="BD544" i="1"/>
  <c r="BD545" i="1"/>
  <c r="BD546" i="1"/>
  <c r="BD547" i="1"/>
  <c r="BD548" i="1"/>
  <c r="BD549" i="1"/>
  <c r="BD550" i="1"/>
  <c r="BD551" i="1"/>
  <c r="BD552" i="1"/>
  <c r="BD553" i="1"/>
  <c r="BD554" i="1"/>
  <c r="BD555" i="1"/>
  <c r="BD556" i="1"/>
  <c r="BD557" i="1"/>
  <c r="BD558" i="1"/>
  <c r="BD559" i="1"/>
  <c r="BD560" i="1"/>
  <c r="BD561" i="1"/>
  <c r="BD562" i="1"/>
  <c r="BD563" i="1"/>
  <c r="BD564" i="1"/>
  <c r="BD565" i="1"/>
  <c r="BD566" i="1"/>
  <c r="BD403" i="1"/>
  <c r="BD404" i="1"/>
  <c r="BD405" i="1"/>
  <c r="BD406" i="1"/>
  <c r="BD407" i="1"/>
  <c r="BD402" i="1"/>
  <c r="BD401" i="1"/>
  <c r="BD400" i="1"/>
  <c r="BD370" i="1"/>
  <c r="BD371" i="1"/>
  <c r="BD372" i="1"/>
  <c r="BD373" i="1"/>
  <c r="BD374" i="1"/>
  <c r="BD375" i="1"/>
  <c r="BD376" i="1"/>
  <c r="BD377" i="1"/>
  <c r="BD378" i="1"/>
  <c r="BD379" i="1"/>
  <c r="BD380" i="1"/>
  <c r="BD381" i="1"/>
  <c r="BD382" i="1"/>
  <c r="BD383" i="1"/>
  <c r="BD384" i="1"/>
  <c r="BD385" i="1"/>
  <c r="BD386" i="1"/>
  <c r="BD387" i="1"/>
  <c r="BD388" i="1"/>
  <c r="BD389" i="1"/>
  <c r="BD390" i="1"/>
  <c r="BD391" i="1"/>
  <c r="BD392" i="1"/>
  <c r="BD393" i="1"/>
  <c r="BD394" i="1"/>
  <c r="BD395" i="1"/>
  <c r="BD396" i="1"/>
  <c r="BD397" i="1"/>
  <c r="BD398" i="1"/>
  <c r="BD399" i="1"/>
  <c r="BD369" i="1"/>
  <c r="BD5" i="1"/>
  <c r="BD6" i="1"/>
  <c r="BD7" i="1"/>
  <c r="BD8" i="1"/>
  <c r="BD9" i="1"/>
  <c r="BD10" i="1"/>
  <c r="BD11" i="1"/>
  <c r="BD12" i="1"/>
  <c r="BD13" i="1"/>
  <c r="BD14" i="1"/>
  <c r="BD15" i="1"/>
  <c r="BD16" i="1"/>
  <c r="BD17" i="1"/>
  <c r="BD18" i="1"/>
  <c r="BD19" i="1"/>
  <c r="BD20" i="1"/>
  <c r="BD21" i="1"/>
  <c r="BD22" i="1"/>
  <c r="BD23" i="1"/>
  <c r="BD24" i="1"/>
  <c r="BD25" i="1"/>
  <c r="BD26" i="1"/>
  <c r="BD27" i="1"/>
  <c r="BD28" i="1"/>
  <c r="BD29" i="1"/>
  <c r="BD30" i="1"/>
  <c r="BD31" i="1"/>
  <c r="BD32" i="1"/>
  <c r="BD33" i="1"/>
  <c r="BD34" i="1"/>
  <c r="BD35" i="1"/>
  <c r="BD36" i="1"/>
  <c r="BD37" i="1"/>
  <c r="BD38" i="1"/>
  <c r="BD39" i="1"/>
  <c r="BD40" i="1"/>
  <c r="BD41" i="1"/>
  <c r="BD42" i="1"/>
  <c r="BD43" i="1"/>
  <c r="BD44" i="1"/>
  <c r="BD45" i="1"/>
  <c r="BD46" i="1"/>
  <c r="BD47" i="1"/>
  <c r="BD48" i="1"/>
  <c r="BD49" i="1"/>
  <c r="BD50" i="1"/>
  <c r="BD51" i="1"/>
  <c r="BD52" i="1"/>
  <c r="BD53" i="1"/>
  <c r="BD54" i="1"/>
  <c r="BD55" i="1"/>
  <c r="BD56" i="1"/>
  <c r="BD57" i="1"/>
  <c r="BD58" i="1"/>
  <c r="BD59" i="1"/>
  <c r="BD60" i="1"/>
  <c r="BD61" i="1"/>
  <c r="BD62" i="1"/>
  <c r="BD63" i="1"/>
  <c r="BD64" i="1"/>
  <c r="BD65" i="1"/>
  <c r="BD66" i="1"/>
  <c r="BD67" i="1"/>
  <c r="BD68" i="1"/>
  <c r="BD69" i="1"/>
  <c r="BD70" i="1"/>
  <c r="BD71" i="1"/>
  <c r="BD72" i="1"/>
  <c r="BD73" i="1"/>
  <c r="BD74" i="1"/>
  <c r="BD75" i="1"/>
  <c r="BD76" i="1"/>
  <c r="BD77" i="1"/>
  <c r="BD78" i="1"/>
  <c r="BD79" i="1"/>
  <c r="BD80" i="1"/>
  <c r="BD81" i="1"/>
  <c r="BD82" i="1"/>
  <c r="BD83" i="1"/>
  <c r="BD84" i="1"/>
  <c r="BD85" i="1"/>
  <c r="BD86" i="1"/>
  <c r="BD87" i="1"/>
  <c r="BD88" i="1"/>
  <c r="BD89" i="1"/>
  <c r="BD90" i="1"/>
  <c r="BD91" i="1"/>
  <c r="BD92" i="1"/>
  <c r="BD93" i="1"/>
  <c r="BD94" i="1"/>
  <c r="BD95" i="1"/>
  <c r="BD96" i="1"/>
  <c r="BD97" i="1"/>
  <c r="BD98" i="1"/>
  <c r="BD99" i="1"/>
  <c r="BD100" i="1"/>
  <c r="BD101" i="1"/>
  <c r="BD102" i="1"/>
  <c r="BD103" i="1"/>
  <c r="BD104" i="1"/>
  <c r="BD105" i="1"/>
  <c r="BD106" i="1"/>
  <c r="BD107" i="1"/>
  <c r="BD108" i="1"/>
  <c r="BD109" i="1"/>
  <c r="BD110" i="1"/>
  <c r="BD111" i="1"/>
  <c r="BD112" i="1"/>
  <c r="BD113" i="1"/>
  <c r="BD114" i="1"/>
  <c r="BD115" i="1"/>
  <c r="BD116" i="1"/>
  <c r="BD117" i="1"/>
  <c r="BD118" i="1"/>
  <c r="BD119" i="1"/>
  <c r="BD120" i="1"/>
  <c r="BD121" i="1"/>
  <c r="BD122" i="1"/>
  <c r="BD123" i="1"/>
  <c r="BD124" i="1"/>
  <c r="BD125" i="1"/>
  <c r="BD126" i="1"/>
  <c r="BD127" i="1"/>
  <c r="BD128" i="1"/>
  <c r="BD129" i="1"/>
  <c r="BD130" i="1"/>
  <c r="BD131" i="1"/>
  <c r="BD132" i="1"/>
  <c r="BD133" i="1"/>
  <c r="BD134" i="1"/>
  <c r="BD135" i="1"/>
  <c r="BD136" i="1"/>
  <c r="BD137" i="1"/>
  <c r="BD138" i="1"/>
  <c r="BD139" i="1"/>
  <c r="BD140" i="1"/>
  <c r="BD141" i="1"/>
  <c r="BD142" i="1"/>
  <c r="BD143" i="1"/>
  <c r="BD144" i="1"/>
  <c r="BD145" i="1"/>
  <c r="BD146" i="1"/>
  <c r="BD147" i="1"/>
  <c r="BD148" i="1"/>
  <c r="BD149" i="1"/>
  <c r="BD150" i="1"/>
  <c r="BD151" i="1"/>
  <c r="BD152" i="1"/>
  <c r="BD153" i="1"/>
  <c r="BD154" i="1"/>
  <c r="BD155" i="1"/>
  <c r="BD156" i="1"/>
  <c r="BD157" i="1"/>
  <c r="BD158" i="1"/>
  <c r="BD159" i="1"/>
  <c r="BD160" i="1"/>
  <c r="BD161" i="1"/>
  <c r="BD162" i="1"/>
  <c r="BD163" i="1"/>
  <c r="BD164" i="1"/>
  <c r="BD165" i="1"/>
  <c r="BD166" i="1"/>
  <c r="BD167" i="1"/>
  <c r="BD168" i="1"/>
  <c r="BD169" i="1"/>
  <c r="BD170" i="1"/>
  <c r="BD171" i="1"/>
  <c r="BD172" i="1"/>
  <c r="BD173" i="1"/>
  <c r="BD174" i="1"/>
  <c r="BD175" i="1"/>
  <c r="BD176" i="1"/>
  <c r="BD177" i="1"/>
  <c r="BD178" i="1"/>
  <c r="BD179" i="1"/>
  <c r="BD180" i="1"/>
  <c r="BD181" i="1"/>
  <c r="BD182" i="1"/>
  <c r="BD183" i="1"/>
  <c r="BD184" i="1"/>
  <c r="BD185" i="1"/>
  <c r="BD186" i="1"/>
  <c r="BD187" i="1"/>
  <c r="BD188" i="1"/>
  <c r="BD189" i="1"/>
  <c r="BD190" i="1"/>
  <c r="BD191" i="1"/>
  <c r="BD192" i="1"/>
  <c r="BD193" i="1"/>
  <c r="BD194" i="1"/>
  <c r="BD195" i="1"/>
  <c r="BD196" i="1"/>
  <c r="BD197" i="1"/>
  <c r="BD198" i="1"/>
  <c r="BD199" i="1"/>
  <c r="BD200" i="1"/>
  <c r="BD201" i="1"/>
  <c r="BD202" i="1"/>
  <c r="BD203" i="1"/>
  <c r="BD204" i="1"/>
  <c r="BD205" i="1"/>
  <c r="BD206" i="1"/>
  <c r="BD207" i="1"/>
  <c r="BD208" i="1"/>
  <c r="BD209" i="1"/>
  <c r="BD210" i="1"/>
  <c r="BD211" i="1"/>
  <c r="BD212" i="1"/>
  <c r="BD213" i="1"/>
  <c r="BD214" i="1"/>
  <c r="BD215" i="1"/>
  <c r="BD216" i="1"/>
  <c r="BD217" i="1"/>
  <c r="BD218" i="1"/>
  <c r="BD219" i="1"/>
  <c r="BD220" i="1"/>
  <c r="BD221" i="1"/>
  <c r="BD222" i="1"/>
  <c r="BD223" i="1"/>
  <c r="BD224" i="1"/>
  <c r="BD225" i="1"/>
  <c r="BD226" i="1"/>
  <c r="BD227" i="1"/>
  <c r="BD228" i="1"/>
  <c r="BD229" i="1"/>
  <c r="BD230" i="1"/>
  <c r="BD231" i="1"/>
  <c r="BD232" i="1"/>
  <c r="BD233" i="1"/>
  <c r="BD234" i="1"/>
  <c r="BD235" i="1"/>
  <c r="BD236" i="1"/>
  <c r="BD237" i="1"/>
  <c r="BD238" i="1"/>
  <c r="BD239" i="1"/>
  <c r="BD240" i="1"/>
  <c r="BD241" i="1"/>
  <c r="BD242" i="1"/>
  <c r="BD243" i="1"/>
  <c r="BD244" i="1"/>
  <c r="BD245" i="1"/>
  <c r="BD246" i="1"/>
  <c r="BD247" i="1"/>
  <c r="BD248" i="1"/>
  <c r="BD249" i="1"/>
  <c r="BD250" i="1"/>
  <c r="BD251" i="1"/>
  <c r="BD252" i="1"/>
  <c r="BD253" i="1"/>
  <c r="BD254" i="1"/>
  <c r="BD255" i="1"/>
  <c r="BD256" i="1"/>
  <c r="BD257" i="1"/>
  <c r="BD258" i="1"/>
  <c r="BD259" i="1"/>
  <c r="BD260" i="1"/>
  <c r="BD261" i="1"/>
  <c r="BD262" i="1"/>
  <c r="BD263" i="1"/>
  <c r="BD264" i="1"/>
  <c r="BD265" i="1"/>
  <c r="BD266" i="1"/>
  <c r="BD267" i="1"/>
  <c r="BD268" i="1"/>
  <c r="BD269" i="1"/>
  <c r="BD270" i="1"/>
  <c r="BD271" i="1"/>
  <c r="BD272" i="1"/>
  <c r="BD273" i="1"/>
  <c r="BD274" i="1"/>
  <c r="BD275" i="1"/>
  <c r="BD276" i="1"/>
  <c r="BD277" i="1"/>
  <c r="BD278" i="1"/>
  <c r="BD279" i="1"/>
  <c r="BD280" i="1"/>
  <c r="BD281" i="1"/>
  <c r="BD282" i="1"/>
  <c r="BD283" i="1"/>
  <c r="BD284" i="1"/>
  <c r="BD285" i="1"/>
  <c r="BD286" i="1"/>
  <c r="BD287" i="1"/>
  <c r="BD288" i="1"/>
  <c r="BD289" i="1"/>
  <c r="BD290" i="1"/>
  <c r="BD291" i="1"/>
  <c r="BD292" i="1"/>
  <c r="BD293" i="1"/>
  <c r="BD294" i="1"/>
  <c r="BD295" i="1"/>
  <c r="BD296" i="1"/>
  <c r="BD297" i="1"/>
  <c r="BD298" i="1"/>
  <c r="BD299" i="1"/>
  <c r="BD300" i="1"/>
  <c r="BD301" i="1"/>
  <c r="BD302" i="1"/>
  <c r="BD303" i="1"/>
  <c r="BD304" i="1"/>
  <c r="BD305" i="1"/>
  <c r="BD306" i="1"/>
  <c r="BD307" i="1"/>
  <c r="BD308" i="1"/>
  <c r="BD309" i="1"/>
  <c r="BD310" i="1"/>
  <c r="BD311" i="1"/>
  <c r="BD312" i="1"/>
  <c r="BD313" i="1"/>
  <c r="BD314" i="1"/>
  <c r="BD315" i="1"/>
  <c r="BD316" i="1"/>
  <c r="BD317" i="1"/>
  <c r="BD318" i="1"/>
  <c r="BD319" i="1"/>
  <c r="BD320" i="1"/>
  <c r="BD321" i="1"/>
  <c r="BD322" i="1"/>
  <c r="BD323" i="1"/>
  <c r="BD324" i="1"/>
  <c r="BD325" i="1"/>
  <c r="BD326" i="1"/>
  <c r="BD327" i="1"/>
  <c r="BD328" i="1"/>
  <c r="BD329" i="1"/>
  <c r="BD330" i="1"/>
  <c r="BD331" i="1"/>
  <c r="BD332" i="1"/>
  <c r="BD333" i="1"/>
  <c r="BD334" i="1"/>
  <c r="BD335" i="1"/>
  <c r="BD336" i="1"/>
  <c r="BD337" i="1"/>
  <c r="BD338" i="1"/>
  <c r="BD339" i="1"/>
  <c r="BD340" i="1"/>
  <c r="BD341" i="1"/>
  <c r="BD342" i="1"/>
  <c r="BD343" i="1"/>
  <c r="BD344" i="1"/>
  <c r="BD345" i="1"/>
  <c r="BD346" i="1"/>
  <c r="BD347" i="1"/>
  <c r="BD348" i="1"/>
  <c r="BD349" i="1"/>
  <c r="BD350" i="1"/>
  <c r="BD351" i="1"/>
  <c r="BD352" i="1"/>
  <c r="BD353" i="1"/>
  <c r="BD354" i="1"/>
  <c r="BD355" i="1"/>
  <c r="BD356" i="1"/>
  <c r="BD357" i="1"/>
  <c r="BD358" i="1"/>
  <c r="BD359" i="1"/>
  <c r="BD360" i="1"/>
  <c r="BD361" i="1"/>
  <c r="BD362" i="1"/>
  <c r="BD363" i="1"/>
  <c r="BD364" i="1"/>
  <c r="BD365" i="1"/>
  <c r="BD366" i="1"/>
  <c r="BD367" i="1"/>
  <c r="BD368" i="1"/>
  <c r="BD4" i="1"/>
  <c r="BD567" i="1"/>
  <c r="BD568" i="1"/>
  <c r="BD569" i="1"/>
  <c r="BD570" i="1"/>
  <c r="BD571" i="1"/>
  <c r="BD572" i="1"/>
  <c r="BD573" i="1"/>
  <c r="BD574" i="1"/>
  <c r="BD575" i="1"/>
  <c r="BD576" i="1"/>
  <c r="BD577" i="1"/>
  <c r="BD578" i="1"/>
  <c r="BD579" i="1"/>
  <c r="BD580" i="1"/>
  <c r="BD640" i="1"/>
  <c r="BD645" i="1"/>
  <c r="BD646" i="1"/>
  <c r="BD648" i="1"/>
  <c r="BD1076" i="1"/>
  <c r="AR540" i="1"/>
  <c r="AS13" i="6"/>
  <c r="AS9" i="6"/>
  <c r="AS6" i="6"/>
  <c r="E6" i="6"/>
  <c r="P6" i="6" s="1"/>
  <c r="AR541" i="1"/>
  <c r="AX13" i="6"/>
  <c r="AX9" i="6"/>
  <c r="AX6" i="6"/>
  <c r="AR543" i="1"/>
  <c r="AR10" i="6" s="1"/>
  <c r="AS10" i="6"/>
  <c r="AR551" i="1"/>
  <c r="AX7" i="6"/>
  <c r="AR557" i="1"/>
  <c r="AS14" i="6"/>
  <c r="AS8" i="6"/>
  <c r="AS7" i="6"/>
  <c r="AR578" i="1"/>
  <c r="AS16" i="6"/>
  <c r="AS11" i="6"/>
  <c r="E16" i="6"/>
  <c r="E11" i="6"/>
  <c r="AG7" i="6"/>
  <c r="F14" i="6"/>
  <c r="R15" i="6"/>
  <c r="AR1086" i="1"/>
  <c r="R12" i="6"/>
  <c r="AG8" i="6"/>
  <c r="AI10" i="6"/>
  <c r="AR500" i="1"/>
  <c r="AI8" i="6" s="1"/>
  <c r="H8" i="6"/>
  <c r="Q8" i="6" s="1"/>
  <c r="X1080" i="1"/>
  <c r="AR329" i="1"/>
  <c r="H14" i="6"/>
  <c r="Q14" i="6" s="1"/>
  <c r="AR94" i="2"/>
  <c r="AR328" i="2" s="1"/>
  <c r="Z338" i="2"/>
  <c r="AR30" i="2"/>
  <c r="L339" i="2"/>
  <c r="T334" i="2"/>
  <c r="Y339" i="2"/>
  <c r="AR247" i="1"/>
  <c r="E14" i="6"/>
  <c r="P14" i="6" s="1"/>
  <c r="H6" i="6"/>
  <c r="Q6" i="6" s="1"/>
  <c r="H7" i="6"/>
  <c r="Q7" i="6" s="1"/>
  <c r="AR192" i="1"/>
  <c r="F12" i="6" s="1"/>
  <c r="O12" i="6"/>
  <c r="R341" i="2"/>
  <c r="AR138" i="1"/>
  <c r="F7" i="6" s="1"/>
  <c r="P7" i="6"/>
  <c r="AR178" i="1"/>
  <c r="I9" i="6" s="1"/>
  <c r="H9" i="6"/>
  <c r="Q9" i="6" s="1"/>
  <c r="AR137" i="1"/>
  <c r="E8" i="6"/>
  <c r="P8" i="6" s="1"/>
  <c r="E10" i="6"/>
  <c r="P10" i="6" s="1"/>
  <c r="R10" i="6" s="1"/>
  <c r="E9" i="6"/>
  <c r="P9" i="6" s="1"/>
  <c r="E13" i="6"/>
  <c r="P13" i="6" s="1"/>
  <c r="AN343" i="2"/>
  <c r="AR150" i="1"/>
  <c r="H13" i="6"/>
  <c r="Q13" i="6" s="1"/>
  <c r="AR136" i="1"/>
  <c r="AR1094" i="1"/>
  <c r="AR1093" i="1"/>
  <c r="AR1089" i="1"/>
  <c r="AR141" i="1"/>
  <c r="R348" i="2"/>
  <c r="X338" i="2"/>
  <c r="T336" i="2"/>
  <c r="L341" i="2"/>
  <c r="L340" i="2"/>
  <c r="R344" i="2"/>
  <c r="T333" i="2"/>
  <c r="AN342" i="2"/>
  <c r="L345" i="2"/>
  <c r="AR24" i="2"/>
  <c r="AN349" i="2"/>
  <c r="BE1069" i="1" l="1"/>
  <c r="BE1068" i="1"/>
  <c r="BE1067" i="1"/>
  <c r="BE1066" i="1"/>
  <c r="BE1065" i="1"/>
  <c r="BE1064" i="1"/>
  <c r="BE1072" i="1"/>
  <c r="BE1071" i="1"/>
  <c r="BE1070" i="1"/>
  <c r="BE1060" i="1"/>
  <c r="BE1059" i="1"/>
  <c r="BE1058" i="1"/>
  <c r="BE1057" i="1"/>
  <c r="BE1056" i="1"/>
  <c r="BE1055" i="1"/>
  <c r="BE1063" i="1"/>
  <c r="BE1062" i="1"/>
  <c r="BE1061" i="1"/>
  <c r="BE1047" i="1"/>
  <c r="BE1041" i="1"/>
  <c r="BE1051" i="1"/>
  <c r="BE1050" i="1"/>
  <c r="BE1049" i="1"/>
  <c r="BE1048" i="1"/>
  <c r="BE1046" i="1"/>
  <c r="BE1045" i="1"/>
  <c r="BE1054" i="1"/>
  <c r="BE1053" i="1"/>
  <c r="BE1052" i="1"/>
  <c r="BE1043" i="1"/>
  <c r="BE1042" i="1"/>
  <c r="BE1040" i="1"/>
  <c r="BE1039" i="1"/>
  <c r="BE1073" i="1"/>
  <c r="BE1044" i="1"/>
  <c r="BE1032" i="1"/>
  <c r="BE1031" i="1"/>
  <c r="BE1030" i="1"/>
  <c r="BE1029" i="1"/>
  <c r="BE1028" i="1"/>
  <c r="BE1027" i="1"/>
  <c r="BE1026" i="1"/>
  <c r="BE1025" i="1"/>
  <c r="BE1036" i="1"/>
  <c r="BE1035" i="1"/>
  <c r="BE1034" i="1"/>
  <c r="BE1033" i="1"/>
  <c r="BE1038" i="1"/>
  <c r="BE1037" i="1"/>
  <c r="BE1023" i="1"/>
  <c r="BE1022" i="1"/>
  <c r="BE1021" i="1"/>
  <c r="BE1020" i="1"/>
  <c r="BE1019" i="1"/>
  <c r="BE1018" i="1"/>
  <c r="BE1017" i="1"/>
  <c r="BE1016" i="1"/>
  <c r="BE1015" i="1"/>
  <c r="BE1014" i="1"/>
  <c r="BE1013" i="1"/>
  <c r="BE1012" i="1"/>
  <c r="BE1011" i="1"/>
  <c r="BE1010" i="1"/>
  <c r="BE1009" i="1"/>
  <c r="BE1008" i="1"/>
  <c r="BE1007" i="1"/>
  <c r="BE1006" i="1"/>
  <c r="BE1003" i="1"/>
  <c r="BE1002" i="1"/>
  <c r="BE1001" i="1"/>
  <c r="BE1000" i="1"/>
  <c r="BE999" i="1"/>
  <c r="BE998" i="1"/>
  <c r="BE1024" i="1"/>
  <c r="BE1005" i="1"/>
  <c r="BE1004" i="1"/>
  <c r="BE997" i="1"/>
  <c r="BE996" i="1"/>
  <c r="BE988" i="1"/>
  <c r="BE991" i="1"/>
  <c r="BE990" i="1"/>
  <c r="BE989" i="1"/>
  <c r="BE986" i="1"/>
  <c r="BE985" i="1"/>
  <c r="BE984" i="1"/>
  <c r="BE983" i="1"/>
  <c r="BE992" i="1"/>
  <c r="BE987" i="1"/>
  <c r="BE979" i="1"/>
  <c r="BE978" i="1"/>
  <c r="BE977" i="1"/>
  <c r="BE981" i="1"/>
  <c r="BE980" i="1"/>
  <c r="BE967" i="1"/>
  <c r="BE972" i="1"/>
  <c r="BE971" i="1"/>
  <c r="BE970" i="1"/>
  <c r="BE969" i="1"/>
  <c r="BE968" i="1"/>
  <c r="BE975" i="1"/>
  <c r="BE974" i="1"/>
  <c r="BE973" i="1"/>
  <c r="BE963" i="1"/>
  <c r="BE962" i="1"/>
  <c r="BE961" i="1"/>
  <c r="BE966" i="1"/>
  <c r="BE965" i="1"/>
  <c r="BE964" i="1"/>
  <c r="BE959" i="1"/>
  <c r="BE958" i="1"/>
  <c r="BE957" i="1"/>
  <c r="BE956" i="1"/>
  <c r="BE976" i="1"/>
  <c r="BE960" i="1"/>
  <c r="BE995" i="1"/>
  <c r="BE949" i="1"/>
  <c r="BE948" i="1"/>
  <c r="BE947" i="1"/>
  <c r="BE946" i="1"/>
  <c r="BE945" i="1"/>
  <c r="BE944" i="1"/>
  <c r="BE943" i="1"/>
  <c r="BE942" i="1"/>
  <c r="BE941" i="1"/>
  <c r="BE955" i="1"/>
  <c r="BE954" i="1"/>
  <c r="BE953" i="1"/>
  <c r="BE952" i="1"/>
  <c r="BE951" i="1"/>
  <c r="BE950" i="1"/>
  <c r="BE994" i="1"/>
  <c r="BE993" i="1"/>
  <c r="BE982" i="1"/>
  <c r="BE1074" i="1"/>
  <c r="BE936" i="1"/>
  <c r="BE935" i="1"/>
  <c r="BE934" i="1"/>
  <c r="BE933" i="1"/>
  <c r="BE932" i="1"/>
  <c r="BE926" i="1"/>
  <c r="BE928" i="1"/>
  <c r="BE927" i="1"/>
  <c r="BE925" i="1"/>
  <c r="BE924" i="1"/>
  <c r="BE923" i="1"/>
  <c r="BE922" i="1"/>
  <c r="BE921" i="1"/>
  <c r="BE937" i="1"/>
  <c r="BE931" i="1"/>
  <c r="BE930" i="1"/>
  <c r="BE929" i="1"/>
  <c r="BE939" i="1"/>
  <c r="BE938" i="1"/>
  <c r="BE906" i="1"/>
  <c r="BE914" i="1"/>
  <c r="BE913" i="1"/>
  <c r="BE912" i="1"/>
  <c r="BE911" i="1"/>
  <c r="BE910" i="1"/>
  <c r="BE909" i="1"/>
  <c r="BE908" i="1"/>
  <c r="BE907" i="1"/>
  <c r="BE918" i="1"/>
  <c r="BE917" i="1"/>
  <c r="BE916" i="1"/>
  <c r="BE915" i="1"/>
  <c r="BE920" i="1"/>
  <c r="BE919" i="1"/>
  <c r="BE901" i="1"/>
  <c r="BE900" i="1"/>
  <c r="BE899" i="1"/>
  <c r="BE898" i="1"/>
  <c r="BE897" i="1"/>
  <c r="BE904" i="1"/>
  <c r="BE903" i="1"/>
  <c r="BE902" i="1"/>
  <c r="BE905" i="1"/>
  <c r="BE894" i="1"/>
  <c r="BE893" i="1"/>
  <c r="BE892" i="1"/>
  <c r="BE891" i="1"/>
  <c r="BE890" i="1"/>
  <c r="BE896" i="1"/>
  <c r="BE895" i="1"/>
  <c r="BE940" i="1"/>
  <c r="BE883" i="1"/>
  <c r="BE887" i="1"/>
  <c r="BE886" i="1"/>
  <c r="BE885" i="1"/>
  <c r="BE880" i="1"/>
  <c r="BE879" i="1"/>
  <c r="BE878" i="1"/>
  <c r="BE877" i="1"/>
  <c r="BE876" i="1"/>
  <c r="BE875" i="1"/>
  <c r="BE884" i="1"/>
  <c r="BE882" i="1"/>
  <c r="BE881" i="1"/>
  <c r="BE869" i="1"/>
  <c r="BE868" i="1"/>
  <c r="BE870" i="1"/>
  <c r="BE866" i="1"/>
  <c r="BE865" i="1"/>
  <c r="BE864" i="1"/>
  <c r="BE863" i="1"/>
  <c r="BE862" i="1"/>
  <c r="BE861" i="1"/>
  <c r="BE857" i="1"/>
  <c r="BE859" i="1"/>
  <c r="BE858" i="1"/>
  <c r="BE856" i="1"/>
  <c r="BE867" i="1"/>
  <c r="BE860" i="1"/>
  <c r="BE853" i="1"/>
  <c r="BE855" i="1"/>
  <c r="BE854" i="1"/>
  <c r="BE852" i="1"/>
  <c r="BE851" i="1"/>
  <c r="BE850" i="1"/>
  <c r="BE849" i="1"/>
  <c r="BE848" i="1"/>
  <c r="BE847" i="1"/>
  <c r="BE846" i="1"/>
  <c r="BE845" i="1"/>
  <c r="BE871" i="1"/>
  <c r="BE842" i="1"/>
  <c r="BE841" i="1"/>
  <c r="BE840" i="1"/>
  <c r="BE839" i="1"/>
  <c r="BE844" i="1"/>
  <c r="BE843" i="1"/>
  <c r="BE838" i="1"/>
  <c r="BE828" i="1"/>
  <c r="BE834" i="1"/>
  <c r="BE833" i="1"/>
  <c r="BE832" i="1"/>
  <c r="BE831" i="1"/>
  <c r="BE830" i="1"/>
  <c r="BE836" i="1"/>
  <c r="BE835" i="1"/>
  <c r="BE825" i="1"/>
  <c r="BE824" i="1"/>
  <c r="BE823" i="1"/>
  <c r="BE822" i="1"/>
  <c r="BE821" i="1"/>
  <c r="BE820" i="1"/>
  <c r="BE819" i="1"/>
  <c r="BE829" i="1"/>
  <c r="BE827" i="1"/>
  <c r="BE826" i="1"/>
  <c r="BE837" i="1"/>
  <c r="BE816" i="1"/>
  <c r="BE815" i="1"/>
  <c r="BE814" i="1"/>
  <c r="BE813" i="1"/>
  <c r="BE818" i="1"/>
  <c r="BE817" i="1"/>
  <c r="BE810" i="1"/>
  <c r="BE809" i="1"/>
  <c r="BE808" i="1"/>
  <c r="BE807" i="1"/>
  <c r="BE811" i="1"/>
  <c r="BE806" i="1"/>
  <c r="BE805" i="1"/>
  <c r="BE795" i="1"/>
  <c r="BE794" i="1"/>
  <c r="BE793" i="1"/>
  <c r="BE801" i="1"/>
  <c r="BE800" i="1"/>
  <c r="BE799" i="1"/>
  <c r="BE798" i="1"/>
  <c r="BE797" i="1"/>
  <c r="BE796" i="1"/>
  <c r="BE804" i="1"/>
  <c r="BE803" i="1"/>
  <c r="BE802" i="1"/>
  <c r="BE789" i="1"/>
  <c r="BE788" i="1"/>
  <c r="BE787" i="1"/>
  <c r="BE786" i="1"/>
  <c r="BE785" i="1"/>
  <c r="BE784" i="1"/>
  <c r="BE792" i="1"/>
  <c r="BE791" i="1"/>
  <c r="BE790" i="1"/>
  <c r="BE781" i="1"/>
  <c r="BE780" i="1"/>
  <c r="BE779" i="1"/>
  <c r="BE778" i="1"/>
  <c r="BE783" i="1"/>
  <c r="BE782" i="1"/>
  <c r="BE873" i="1"/>
  <c r="BE774" i="1"/>
  <c r="BE773" i="1"/>
  <c r="BE772" i="1"/>
  <c r="BE771" i="1"/>
  <c r="BE770" i="1"/>
  <c r="BE769" i="1"/>
  <c r="BE768" i="1"/>
  <c r="BE767" i="1"/>
  <c r="BE766" i="1"/>
  <c r="BE765" i="1"/>
  <c r="BE812" i="1"/>
  <c r="BE777" i="1"/>
  <c r="BE776" i="1"/>
  <c r="BE775" i="1"/>
  <c r="BE874" i="1"/>
  <c r="BE872" i="1"/>
  <c r="BE889" i="1"/>
  <c r="BE888" i="1"/>
  <c r="BE757" i="1"/>
  <c r="BE756" i="1"/>
  <c r="BE755" i="1"/>
  <c r="BE758" i="1"/>
  <c r="BE753" i="1"/>
  <c r="BE752" i="1"/>
  <c r="BE754" i="1"/>
  <c r="BE751" i="1"/>
  <c r="BE744" i="1"/>
  <c r="BE764" i="1"/>
  <c r="BE747" i="1"/>
  <c r="BE746" i="1"/>
  <c r="BE745" i="1"/>
  <c r="BE743" i="1"/>
  <c r="BE749" i="1"/>
  <c r="BE748" i="1"/>
  <c r="BE750" i="1"/>
  <c r="BE742" i="1"/>
  <c r="BE734" i="1"/>
  <c r="BE732" i="1"/>
  <c r="BE738" i="1"/>
  <c r="BE737" i="1"/>
  <c r="BE736" i="1"/>
  <c r="BE735" i="1"/>
  <c r="BE733" i="1"/>
  <c r="BE731" i="1"/>
  <c r="BE741" i="1"/>
  <c r="BE740" i="1"/>
  <c r="BE739" i="1"/>
  <c r="BE727" i="1"/>
  <c r="BE726" i="1"/>
  <c r="BE725" i="1"/>
  <c r="BE724" i="1"/>
  <c r="BE723" i="1"/>
  <c r="BE722" i="1"/>
  <c r="BE718" i="1"/>
  <c r="BE721" i="1"/>
  <c r="BE720" i="1"/>
  <c r="BE719" i="1"/>
  <c r="BE717" i="1"/>
  <c r="BE716" i="1"/>
  <c r="BE713" i="1"/>
  <c r="BE712" i="1"/>
  <c r="BE711" i="1"/>
  <c r="BE729" i="1"/>
  <c r="BE728" i="1"/>
  <c r="BE715" i="1"/>
  <c r="BE714" i="1"/>
  <c r="BE707" i="1"/>
  <c r="BE706" i="1"/>
  <c r="BE705" i="1"/>
  <c r="BE704" i="1"/>
  <c r="BE703" i="1"/>
  <c r="BE702" i="1"/>
  <c r="BE701" i="1"/>
  <c r="BE691" i="1"/>
  <c r="BE709" i="1"/>
  <c r="BE708" i="1"/>
  <c r="BE700" i="1"/>
  <c r="BE699" i="1"/>
  <c r="BE698" i="1"/>
  <c r="BE697" i="1"/>
  <c r="BE696" i="1"/>
  <c r="BE695" i="1"/>
  <c r="BE710" i="1"/>
  <c r="BE694" i="1"/>
  <c r="BE693" i="1"/>
  <c r="BE692" i="1"/>
  <c r="BE730" i="1"/>
  <c r="BE762" i="1"/>
  <c r="BE763" i="1"/>
  <c r="BE760" i="1"/>
  <c r="BE759" i="1"/>
  <c r="BE690" i="1"/>
  <c r="BE689" i="1"/>
  <c r="BE686" i="1"/>
  <c r="BE685" i="1"/>
  <c r="BE684" i="1"/>
  <c r="BE683" i="1"/>
  <c r="BE682" i="1"/>
  <c r="BE681" i="1"/>
  <c r="BE688" i="1"/>
  <c r="BE687" i="1"/>
  <c r="BE680" i="1"/>
  <c r="BE679" i="1"/>
  <c r="BE678" i="1"/>
  <c r="BE677" i="1"/>
  <c r="BE673" i="1"/>
  <c r="BE672" i="1"/>
  <c r="BE671" i="1"/>
  <c r="BE670" i="1"/>
  <c r="BE669" i="1"/>
  <c r="BE674" i="1"/>
  <c r="BE668" i="1"/>
  <c r="BE667" i="1"/>
  <c r="BE666" i="1"/>
  <c r="BE661" i="1"/>
  <c r="BE660" i="1"/>
  <c r="BE659" i="1"/>
  <c r="BE658" i="1"/>
  <c r="BE657" i="1"/>
  <c r="BE656" i="1"/>
  <c r="BE655" i="1"/>
  <c r="BE654" i="1"/>
  <c r="BE653" i="1"/>
  <c r="BE665" i="1"/>
  <c r="BE664" i="1"/>
  <c r="BE663" i="1"/>
  <c r="BE662" i="1"/>
  <c r="BE676" i="1"/>
  <c r="BE675" i="1"/>
  <c r="BE649" i="1"/>
  <c r="BE642" i="1"/>
  <c r="BE643" i="1"/>
  <c r="BE641" i="1"/>
  <c r="BE639" i="1"/>
  <c r="BE652" i="1"/>
  <c r="BE651" i="1"/>
  <c r="BE650" i="1"/>
  <c r="BE1075" i="1"/>
  <c r="BE761" i="1"/>
  <c r="BE632" i="1"/>
  <c r="U15" i="6"/>
  <c r="BE622" i="1"/>
  <c r="BE630" i="1"/>
  <c r="BE629" i="1"/>
  <c r="BE628" i="1"/>
  <c r="BE627" i="1"/>
  <c r="BE626" i="1"/>
  <c r="BE625" i="1"/>
  <c r="BE624" i="1"/>
  <c r="BE623" i="1"/>
  <c r="BE635" i="1"/>
  <c r="BE634" i="1"/>
  <c r="BE633" i="1"/>
  <c r="BE631" i="1"/>
  <c r="BE637" i="1"/>
  <c r="BE636" i="1"/>
  <c r="BE614" i="1"/>
  <c r="BE647" i="1"/>
  <c r="BE608" i="1"/>
  <c r="BE607" i="1"/>
  <c r="BE606" i="1"/>
  <c r="BE605" i="1"/>
  <c r="BE604" i="1"/>
  <c r="BE603" i="1"/>
  <c r="BE602" i="1"/>
  <c r="BE601" i="1"/>
  <c r="BE600" i="1"/>
  <c r="BE599" i="1"/>
  <c r="BE598" i="1"/>
  <c r="BE597" i="1"/>
  <c r="BE615" i="1"/>
  <c r="BE613" i="1"/>
  <c r="BE612" i="1"/>
  <c r="BE611" i="1"/>
  <c r="BE610" i="1"/>
  <c r="BE609" i="1"/>
  <c r="BE619" i="1"/>
  <c r="BE618" i="1"/>
  <c r="BE617" i="1"/>
  <c r="BE616" i="1"/>
  <c r="BE592" i="1"/>
  <c r="BE590" i="1"/>
  <c r="BE593" i="1"/>
  <c r="BE591" i="1"/>
  <c r="BE589" i="1"/>
  <c r="BE588" i="1"/>
  <c r="BE596" i="1"/>
  <c r="BE595" i="1"/>
  <c r="BE594" i="1"/>
  <c r="BE621" i="1"/>
  <c r="BE620" i="1"/>
  <c r="BE567" i="1"/>
  <c r="BE568" i="1"/>
  <c r="BE569" i="1"/>
  <c r="BE570" i="1"/>
  <c r="BE571" i="1"/>
  <c r="BE572" i="1"/>
  <c r="BE573" i="1"/>
  <c r="BE574" i="1"/>
  <c r="BE575" i="1"/>
  <c r="BE576" i="1"/>
  <c r="BE577" i="1"/>
  <c r="BE578" i="1"/>
  <c r="BE579" i="1"/>
  <c r="BE580" i="1"/>
  <c r="BE640" i="1"/>
  <c r="BE645" i="1"/>
  <c r="BE646" i="1"/>
  <c r="BE648" i="1"/>
  <c r="BE1076" i="1"/>
  <c r="O11" i="6"/>
  <c r="P11" i="6"/>
  <c r="R11" i="6" s="1"/>
  <c r="O16" i="6"/>
  <c r="P16" i="6"/>
  <c r="R16" i="6" s="1"/>
  <c r="AR16" i="6"/>
  <c r="AR11" i="6"/>
  <c r="F16" i="6"/>
  <c r="F11" i="6"/>
  <c r="AG6" i="6"/>
  <c r="AR14" i="6"/>
  <c r="AR8" i="6"/>
  <c r="AR7" i="6"/>
  <c r="AG9" i="6"/>
  <c r="AW7" i="6"/>
  <c r="AI9" i="6"/>
  <c r="AW13" i="6"/>
  <c r="AW9" i="6"/>
  <c r="AW6" i="6"/>
  <c r="AI7" i="6"/>
  <c r="AR13" i="6"/>
  <c r="AR9" i="6"/>
  <c r="AR6" i="6"/>
  <c r="BE584" i="1"/>
  <c r="BE583" i="1"/>
  <c r="BE582" i="1"/>
  <c r="BE581" i="1"/>
  <c r="BE638" i="1"/>
  <c r="BE587" i="1"/>
  <c r="BE586" i="1"/>
  <c r="BE585" i="1"/>
  <c r="BE4" i="1"/>
  <c r="BE5" i="1"/>
  <c r="BE6" i="1"/>
  <c r="BE7" i="1"/>
  <c r="BE8" i="1"/>
  <c r="BE9" i="1"/>
  <c r="BE10" i="1"/>
  <c r="BE11" i="1"/>
  <c r="BE12" i="1"/>
  <c r="BE13" i="1"/>
  <c r="BE14" i="1"/>
  <c r="BE15" i="1"/>
  <c r="BE16" i="1"/>
  <c r="BE17" i="1"/>
  <c r="BE18" i="1"/>
  <c r="BE19" i="1"/>
  <c r="BE20" i="1"/>
  <c r="BE21" i="1"/>
  <c r="BE22" i="1"/>
  <c r="BE23" i="1"/>
  <c r="BE24" i="1"/>
  <c r="BE25" i="1"/>
  <c r="BE26" i="1"/>
  <c r="BE27" i="1"/>
  <c r="BE28" i="1"/>
  <c r="BE29" i="1"/>
  <c r="BE30" i="1"/>
  <c r="BE31" i="1"/>
  <c r="BE32" i="1"/>
  <c r="BE33" i="1"/>
  <c r="BE34" i="1"/>
  <c r="BE35" i="1"/>
  <c r="BE36" i="1"/>
  <c r="BE37" i="1"/>
  <c r="BE38" i="1"/>
  <c r="BE39" i="1"/>
  <c r="BE40" i="1"/>
  <c r="BE41" i="1"/>
  <c r="BE42" i="1"/>
  <c r="BE43" i="1"/>
  <c r="BE44" i="1"/>
  <c r="BE45" i="1"/>
  <c r="BE46" i="1"/>
  <c r="BE47" i="1"/>
  <c r="BE48" i="1"/>
  <c r="BE49" i="1"/>
  <c r="BE50" i="1"/>
  <c r="BE51" i="1"/>
  <c r="BE52" i="1"/>
  <c r="BE53" i="1"/>
  <c r="BE54" i="1"/>
  <c r="BE55" i="1"/>
  <c r="BE56" i="1"/>
  <c r="BE57" i="1"/>
  <c r="BE58" i="1"/>
  <c r="BE59" i="1"/>
  <c r="BE60" i="1"/>
  <c r="BE61" i="1"/>
  <c r="BE62" i="1"/>
  <c r="BE63" i="1"/>
  <c r="BE64" i="1"/>
  <c r="BE65" i="1"/>
  <c r="BE66" i="1"/>
  <c r="BE67" i="1"/>
  <c r="BE68" i="1"/>
  <c r="BE69" i="1"/>
  <c r="BE70" i="1"/>
  <c r="BE71" i="1"/>
  <c r="BE72" i="1"/>
  <c r="BE73" i="1"/>
  <c r="BE74" i="1"/>
  <c r="BE75" i="1"/>
  <c r="BE76" i="1"/>
  <c r="BE77" i="1"/>
  <c r="BE78" i="1"/>
  <c r="BE79" i="1"/>
  <c r="BE80" i="1"/>
  <c r="BE81" i="1"/>
  <c r="BE82" i="1"/>
  <c r="BE83" i="1"/>
  <c r="BE84" i="1"/>
  <c r="BE85" i="1"/>
  <c r="BE86" i="1"/>
  <c r="BE87" i="1"/>
  <c r="BE88" i="1"/>
  <c r="BE89" i="1"/>
  <c r="BE90" i="1"/>
  <c r="BE91" i="1"/>
  <c r="BE92" i="1"/>
  <c r="BE93" i="1"/>
  <c r="BE94" i="1"/>
  <c r="BE95" i="1"/>
  <c r="BE96" i="1"/>
  <c r="BE97" i="1"/>
  <c r="BE98" i="1"/>
  <c r="BE99" i="1"/>
  <c r="BE100" i="1"/>
  <c r="BE101" i="1"/>
  <c r="BE102" i="1"/>
  <c r="BE103" i="1"/>
  <c r="BE104" i="1"/>
  <c r="BE105" i="1"/>
  <c r="BE106" i="1"/>
  <c r="BE107" i="1"/>
  <c r="BE108" i="1"/>
  <c r="BE109" i="1"/>
  <c r="BE110" i="1"/>
  <c r="BE111" i="1"/>
  <c r="BE112" i="1"/>
  <c r="BE113" i="1"/>
  <c r="BE114" i="1"/>
  <c r="BE115" i="1"/>
  <c r="BE116" i="1"/>
  <c r="BE117" i="1"/>
  <c r="BE118" i="1"/>
  <c r="BE119" i="1"/>
  <c r="BE120" i="1"/>
  <c r="BE121" i="1"/>
  <c r="BE122" i="1"/>
  <c r="BE123" i="1"/>
  <c r="BE124" i="1"/>
  <c r="BE125" i="1"/>
  <c r="BE126" i="1"/>
  <c r="BE127" i="1"/>
  <c r="BE128" i="1"/>
  <c r="BE129" i="1"/>
  <c r="BE130" i="1"/>
  <c r="BE131" i="1"/>
  <c r="BE132" i="1"/>
  <c r="BE133" i="1"/>
  <c r="BE134" i="1"/>
  <c r="BE135" i="1"/>
  <c r="BE136" i="1"/>
  <c r="BE137" i="1"/>
  <c r="BE138" i="1"/>
  <c r="BE139" i="1"/>
  <c r="BE140" i="1"/>
  <c r="BE141" i="1"/>
  <c r="BE142" i="1"/>
  <c r="BE143" i="1"/>
  <c r="BE144" i="1"/>
  <c r="BE145" i="1"/>
  <c r="BE146" i="1"/>
  <c r="BE147" i="1"/>
  <c r="BE148" i="1"/>
  <c r="BE149" i="1"/>
  <c r="BE150" i="1"/>
  <c r="BE151" i="1"/>
  <c r="BE152" i="1"/>
  <c r="BE153" i="1"/>
  <c r="BE154" i="1"/>
  <c r="BE155" i="1"/>
  <c r="BE156" i="1"/>
  <c r="BE157" i="1"/>
  <c r="BE158" i="1"/>
  <c r="BE159" i="1"/>
  <c r="BE160" i="1"/>
  <c r="BE161" i="1"/>
  <c r="BE162" i="1"/>
  <c r="BE163" i="1"/>
  <c r="BE164" i="1"/>
  <c r="BE165" i="1"/>
  <c r="BE166" i="1"/>
  <c r="BE167" i="1"/>
  <c r="BE168" i="1"/>
  <c r="BE169" i="1"/>
  <c r="BE170" i="1"/>
  <c r="BE171" i="1"/>
  <c r="BE172" i="1"/>
  <c r="BE173" i="1"/>
  <c r="BE174" i="1"/>
  <c r="BE175" i="1"/>
  <c r="BE176" i="1"/>
  <c r="BE177" i="1"/>
  <c r="BE178" i="1"/>
  <c r="BE179" i="1"/>
  <c r="BE180" i="1"/>
  <c r="BE181" i="1"/>
  <c r="BE182" i="1"/>
  <c r="BE183" i="1"/>
  <c r="BE184" i="1"/>
  <c r="BE185" i="1"/>
  <c r="BE186" i="1"/>
  <c r="BE187" i="1"/>
  <c r="BE188" i="1"/>
  <c r="BE189" i="1"/>
  <c r="BE190" i="1"/>
  <c r="BE191" i="1"/>
  <c r="BE192" i="1"/>
  <c r="BE193" i="1"/>
  <c r="BE194" i="1"/>
  <c r="BE195" i="1"/>
  <c r="BE196" i="1"/>
  <c r="BE197" i="1"/>
  <c r="BE198" i="1"/>
  <c r="BE199" i="1"/>
  <c r="BE200" i="1"/>
  <c r="BE201" i="1"/>
  <c r="BE202" i="1"/>
  <c r="BE203" i="1"/>
  <c r="BE204" i="1"/>
  <c r="BE205" i="1"/>
  <c r="BE206" i="1"/>
  <c r="BE207" i="1"/>
  <c r="BE208" i="1"/>
  <c r="BE209" i="1"/>
  <c r="BE210" i="1"/>
  <c r="BE211" i="1"/>
  <c r="BE212" i="1"/>
  <c r="BE213" i="1"/>
  <c r="BE214" i="1"/>
  <c r="BE215" i="1"/>
  <c r="BE216" i="1"/>
  <c r="BE217" i="1"/>
  <c r="BE218" i="1"/>
  <c r="BE219" i="1"/>
  <c r="BE220" i="1"/>
  <c r="BE221" i="1"/>
  <c r="BE222" i="1"/>
  <c r="BE223" i="1"/>
  <c r="BE224" i="1"/>
  <c r="BE225" i="1"/>
  <c r="BE226" i="1"/>
  <c r="BE227" i="1"/>
  <c r="BE228" i="1"/>
  <c r="BE229" i="1"/>
  <c r="BE230" i="1"/>
  <c r="BE231" i="1"/>
  <c r="BE232" i="1"/>
  <c r="BE233" i="1"/>
  <c r="BE234" i="1"/>
  <c r="BE235" i="1"/>
  <c r="BE236" i="1"/>
  <c r="BE237" i="1"/>
  <c r="BE238" i="1"/>
  <c r="BE239" i="1"/>
  <c r="BE240" i="1"/>
  <c r="BE241" i="1"/>
  <c r="BE242" i="1"/>
  <c r="BE243" i="1"/>
  <c r="BE244" i="1"/>
  <c r="BE245" i="1"/>
  <c r="BE246" i="1"/>
  <c r="BE247" i="1"/>
  <c r="BE248" i="1"/>
  <c r="BE249" i="1"/>
  <c r="BE250" i="1"/>
  <c r="BE251" i="1"/>
  <c r="BE252" i="1"/>
  <c r="BE253" i="1"/>
  <c r="BE254" i="1"/>
  <c r="BE255" i="1"/>
  <c r="BE256" i="1"/>
  <c r="BE257" i="1"/>
  <c r="BE258" i="1"/>
  <c r="BE259" i="1"/>
  <c r="BE260" i="1"/>
  <c r="BE261" i="1"/>
  <c r="BE262" i="1"/>
  <c r="BE263" i="1"/>
  <c r="BE264" i="1"/>
  <c r="BE265" i="1"/>
  <c r="BE266" i="1"/>
  <c r="BE267" i="1"/>
  <c r="BE268" i="1"/>
  <c r="BE269" i="1"/>
  <c r="BE270" i="1"/>
  <c r="BE271" i="1"/>
  <c r="BE272" i="1"/>
  <c r="BE273" i="1"/>
  <c r="BE274" i="1"/>
  <c r="BE275" i="1"/>
  <c r="BE276" i="1"/>
  <c r="BE277" i="1"/>
  <c r="BE278" i="1"/>
  <c r="BE279" i="1"/>
  <c r="BE280" i="1"/>
  <c r="BE281" i="1"/>
  <c r="BE282" i="1"/>
  <c r="BE283" i="1"/>
  <c r="BE284" i="1"/>
  <c r="BE285" i="1"/>
  <c r="BE286" i="1"/>
  <c r="BE287" i="1"/>
  <c r="BE288" i="1"/>
  <c r="BE289" i="1"/>
  <c r="BE290" i="1"/>
  <c r="BE291" i="1"/>
  <c r="BE292" i="1"/>
  <c r="BE293" i="1"/>
  <c r="BE294" i="1"/>
  <c r="BE295" i="1"/>
  <c r="BE296" i="1"/>
  <c r="BE297" i="1"/>
  <c r="BE298" i="1"/>
  <c r="BE299" i="1"/>
  <c r="BE300" i="1"/>
  <c r="BE301" i="1"/>
  <c r="BE302" i="1"/>
  <c r="BE303" i="1"/>
  <c r="BE304" i="1"/>
  <c r="BE305" i="1"/>
  <c r="BE306" i="1"/>
  <c r="BE307" i="1"/>
  <c r="BE308" i="1"/>
  <c r="BE309" i="1"/>
  <c r="BE310" i="1"/>
  <c r="BE311" i="1"/>
  <c r="BE312" i="1"/>
  <c r="BE313" i="1"/>
  <c r="BE314" i="1"/>
  <c r="BE315" i="1"/>
  <c r="BE316" i="1"/>
  <c r="BE317" i="1"/>
  <c r="BE318" i="1"/>
  <c r="BE319" i="1"/>
  <c r="BE320" i="1"/>
  <c r="BE321" i="1"/>
  <c r="BE322" i="1"/>
  <c r="BE323" i="1"/>
  <c r="BE324" i="1"/>
  <c r="BE325" i="1"/>
  <c r="BE326" i="1"/>
  <c r="BE327" i="1"/>
  <c r="BE328" i="1"/>
  <c r="BE329" i="1"/>
  <c r="BE330" i="1"/>
  <c r="BE331" i="1"/>
  <c r="BE332" i="1"/>
  <c r="BE333" i="1"/>
  <c r="BE334" i="1"/>
  <c r="BE335" i="1"/>
  <c r="BE336" i="1"/>
  <c r="BE337" i="1"/>
  <c r="BE338" i="1"/>
  <c r="BE339" i="1"/>
  <c r="BE340" i="1"/>
  <c r="BE341" i="1"/>
  <c r="BE342" i="1"/>
  <c r="BE343" i="1"/>
  <c r="BE344" i="1"/>
  <c r="BE345" i="1"/>
  <c r="BE346" i="1"/>
  <c r="BE347" i="1"/>
  <c r="BE348" i="1"/>
  <c r="BE349" i="1"/>
  <c r="BE350" i="1"/>
  <c r="BE351" i="1"/>
  <c r="BE352" i="1"/>
  <c r="BE353" i="1"/>
  <c r="BE354" i="1"/>
  <c r="BE355" i="1"/>
  <c r="BE356" i="1"/>
  <c r="BE357" i="1"/>
  <c r="BE358" i="1"/>
  <c r="BE359" i="1"/>
  <c r="BE360" i="1"/>
  <c r="BE361" i="1"/>
  <c r="BE362" i="1"/>
  <c r="BE363" i="1"/>
  <c r="BE364" i="1"/>
  <c r="BE365" i="1"/>
  <c r="BE366" i="1"/>
  <c r="BE367" i="1"/>
  <c r="BE368" i="1"/>
  <c r="BE369" i="1"/>
  <c r="BE370" i="1"/>
  <c r="BE371" i="1"/>
  <c r="BE372" i="1"/>
  <c r="BE373" i="1"/>
  <c r="BE374" i="1"/>
  <c r="BE375" i="1"/>
  <c r="BE376" i="1"/>
  <c r="BE377" i="1"/>
  <c r="BE378" i="1"/>
  <c r="BE379" i="1"/>
  <c r="BE380" i="1"/>
  <c r="BE381" i="1"/>
  <c r="BE382" i="1"/>
  <c r="BE383" i="1"/>
  <c r="BE384" i="1"/>
  <c r="BE385" i="1"/>
  <c r="BE386" i="1"/>
  <c r="BE387" i="1"/>
  <c r="BE388" i="1"/>
  <c r="BE389" i="1"/>
  <c r="BE390" i="1"/>
  <c r="BE391" i="1"/>
  <c r="BE392" i="1"/>
  <c r="BE393" i="1"/>
  <c r="BE394" i="1"/>
  <c r="BE395" i="1"/>
  <c r="BE396" i="1"/>
  <c r="BE397" i="1"/>
  <c r="BE398" i="1"/>
  <c r="BE399" i="1"/>
  <c r="BE400" i="1"/>
  <c r="BE401" i="1"/>
  <c r="BE402" i="1"/>
  <c r="BE403" i="1"/>
  <c r="BE404" i="1"/>
  <c r="BE405" i="1"/>
  <c r="BE406" i="1"/>
  <c r="BE407" i="1"/>
  <c r="BE408" i="1"/>
  <c r="BE409" i="1"/>
  <c r="BE410" i="1"/>
  <c r="BE411" i="1"/>
  <c r="BE412" i="1"/>
  <c r="BE413" i="1"/>
  <c r="BE414" i="1"/>
  <c r="BE415" i="1"/>
  <c r="BE416" i="1"/>
  <c r="BE417" i="1"/>
  <c r="BE418" i="1"/>
  <c r="BE419" i="1"/>
  <c r="BE420" i="1"/>
  <c r="BE421" i="1"/>
  <c r="BE422" i="1"/>
  <c r="BE423" i="1"/>
  <c r="BE424" i="1"/>
  <c r="BE425" i="1"/>
  <c r="BE426" i="1"/>
  <c r="BE427" i="1"/>
  <c r="BE428" i="1"/>
  <c r="BE429" i="1"/>
  <c r="BE430" i="1"/>
  <c r="BE431" i="1"/>
  <c r="BE432" i="1"/>
  <c r="BE433" i="1"/>
  <c r="BE434" i="1"/>
  <c r="BE435" i="1"/>
  <c r="BE436" i="1"/>
  <c r="BE437" i="1"/>
  <c r="BE438" i="1"/>
  <c r="BE439" i="1"/>
  <c r="BE440" i="1"/>
  <c r="BE441" i="1"/>
  <c r="BE442" i="1"/>
  <c r="BE443" i="1"/>
  <c r="BE444" i="1"/>
  <c r="BE445" i="1"/>
  <c r="BE446" i="1"/>
  <c r="BE447" i="1"/>
  <c r="BE448" i="1"/>
  <c r="BE449" i="1"/>
  <c r="BE450" i="1"/>
  <c r="BE451" i="1"/>
  <c r="BE452" i="1"/>
  <c r="BE453" i="1"/>
  <c r="BE454" i="1"/>
  <c r="BE455" i="1"/>
  <c r="BE456" i="1"/>
  <c r="BE457" i="1"/>
  <c r="BE458" i="1"/>
  <c r="BE459" i="1"/>
  <c r="BE460" i="1"/>
  <c r="BE461" i="1"/>
  <c r="BE462" i="1"/>
  <c r="BE463" i="1"/>
  <c r="BE464" i="1"/>
  <c r="BE465" i="1"/>
  <c r="BE466" i="1"/>
  <c r="BE467" i="1"/>
  <c r="BE468" i="1"/>
  <c r="BE469" i="1"/>
  <c r="BE470" i="1"/>
  <c r="BE471" i="1"/>
  <c r="BE472" i="1"/>
  <c r="BE473" i="1"/>
  <c r="BE474" i="1"/>
  <c r="BE475" i="1"/>
  <c r="BE476" i="1"/>
  <c r="BE477" i="1"/>
  <c r="BE478" i="1"/>
  <c r="BE479" i="1"/>
  <c r="BE480" i="1"/>
  <c r="BE481" i="1"/>
  <c r="BE482" i="1"/>
  <c r="BE483" i="1"/>
  <c r="BE484" i="1"/>
  <c r="BE485" i="1"/>
  <c r="BE486" i="1"/>
  <c r="BE487" i="1"/>
  <c r="BE488" i="1"/>
  <c r="BE489" i="1"/>
  <c r="BE490" i="1"/>
  <c r="BE491" i="1"/>
  <c r="BE492" i="1"/>
  <c r="BE493" i="1"/>
  <c r="BE494" i="1"/>
  <c r="BE495" i="1"/>
  <c r="BE496" i="1"/>
  <c r="BE497" i="1"/>
  <c r="BE498" i="1"/>
  <c r="BE499" i="1"/>
  <c r="BE500" i="1"/>
  <c r="BE501" i="1"/>
  <c r="BE502" i="1"/>
  <c r="BE503" i="1"/>
  <c r="BE504" i="1"/>
  <c r="BE505" i="1"/>
  <c r="BE506" i="1"/>
  <c r="BE507" i="1"/>
  <c r="BE508" i="1"/>
  <c r="BE509" i="1"/>
  <c r="BE510" i="1"/>
  <c r="BE511" i="1"/>
  <c r="BE512" i="1"/>
  <c r="BE513" i="1"/>
  <c r="BE514" i="1"/>
  <c r="BE515" i="1"/>
  <c r="BE516" i="1"/>
  <c r="BE517" i="1"/>
  <c r="BE518" i="1"/>
  <c r="BE519" i="1"/>
  <c r="BE520" i="1"/>
  <c r="BE521" i="1"/>
  <c r="BE522" i="1"/>
  <c r="BE523" i="1"/>
  <c r="BE524" i="1"/>
  <c r="BE525" i="1"/>
  <c r="BE526" i="1"/>
  <c r="BE527" i="1"/>
  <c r="BE528" i="1"/>
  <c r="BE529" i="1"/>
  <c r="BE530" i="1"/>
  <c r="BE531" i="1"/>
  <c r="BE532" i="1"/>
  <c r="BE533" i="1"/>
  <c r="BE534" i="1"/>
  <c r="BE535" i="1"/>
  <c r="BE536" i="1"/>
  <c r="BE537" i="1"/>
  <c r="BE538" i="1"/>
  <c r="BE539" i="1"/>
  <c r="BE540" i="1"/>
  <c r="BE541" i="1"/>
  <c r="BE542" i="1"/>
  <c r="BE543" i="1"/>
  <c r="BE544" i="1"/>
  <c r="BE545" i="1"/>
  <c r="BE546" i="1"/>
  <c r="BE547" i="1"/>
  <c r="BE548" i="1"/>
  <c r="BE549" i="1"/>
  <c r="BE550" i="1"/>
  <c r="BE551" i="1"/>
  <c r="BE552" i="1"/>
  <c r="BE553" i="1"/>
  <c r="BE554" i="1"/>
  <c r="BE555" i="1"/>
  <c r="BE556" i="1"/>
  <c r="BE557" i="1"/>
  <c r="BE558" i="1"/>
  <c r="BE559" i="1"/>
  <c r="BE560" i="1"/>
  <c r="BE561" i="1"/>
  <c r="BE562" i="1"/>
  <c r="BE563" i="1"/>
  <c r="BE564" i="1"/>
  <c r="BE565" i="1"/>
  <c r="BE566" i="1"/>
  <c r="AR1095" i="1"/>
  <c r="AS1092" i="1" s="1"/>
  <c r="R13" i="6"/>
  <c r="R9" i="6"/>
  <c r="R7" i="6"/>
  <c r="R6" i="6"/>
  <c r="R14" i="6"/>
  <c r="R8" i="6"/>
  <c r="N11" i="6" a="1"/>
  <c r="N11" i="6" s="1"/>
  <c r="O9" i="6"/>
  <c r="O6" i="6"/>
  <c r="O10" i="6"/>
  <c r="O7" i="6"/>
  <c r="O14" i="6"/>
  <c r="I14" i="6"/>
  <c r="K14" i="6" s="1"/>
  <c r="O13" i="6"/>
  <c r="O8" i="6"/>
  <c r="AS1093" i="1"/>
  <c r="F6" i="6"/>
  <c r="F13" i="6"/>
  <c r="F9" i="6"/>
  <c r="I12" i="6"/>
  <c r="I10" i="6"/>
  <c r="I7" i="6"/>
  <c r="I6" i="6"/>
  <c r="I13" i="6"/>
  <c r="I8" i="6"/>
  <c r="AS1094" i="1"/>
  <c r="F8" i="6"/>
  <c r="F10" i="6"/>
  <c r="AR325" i="2"/>
  <c r="K11" i="6" l="1"/>
  <c r="L11" i="6"/>
  <c r="L16" i="6"/>
  <c r="K16" i="6"/>
  <c r="L8" i="6"/>
  <c r="U8" i="6" s="1"/>
  <c r="L14" i="6"/>
  <c r="N14" i="6" a="1"/>
  <c r="N14" i="6" s="1"/>
  <c r="N13" i="6" a="1"/>
  <c r="N13" i="6" s="1"/>
  <c r="N12" i="6" a="1"/>
  <c r="N12" i="6" s="1"/>
  <c r="N10" i="6" a="1"/>
  <c r="N10" i="6" s="1"/>
  <c r="N9" i="6" a="1"/>
  <c r="N9" i="6" s="1"/>
  <c r="N8" i="6" a="1"/>
  <c r="N8" i="6" s="1"/>
  <c r="N7" i="6" a="1"/>
  <c r="N7" i="6" s="1"/>
  <c r="N6" i="6" a="1"/>
  <c r="N6" i="6" s="1"/>
  <c r="K10" i="6"/>
  <c r="L10" i="6"/>
  <c r="K7" i="6"/>
  <c r="L7" i="6"/>
  <c r="U7" i="6" s="1"/>
  <c r="K12" i="6"/>
  <c r="L12" i="6"/>
  <c r="K9" i="6"/>
  <c r="L9" i="6"/>
  <c r="L13" i="6"/>
  <c r="L6" i="6"/>
  <c r="K6" i="6"/>
  <c r="K8" i="6"/>
  <c r="K13" i="6"/>
  <c r="U10" i="6" l="1"/>
  <c r="AJ16" i="6"/>
  <c r="X15" i="6" s="1"/>
  <c r="AJ17" i="6"/>
  <c r="X10" i="6" s="1"/>
  <c r="U13" i="6"/>
  <c r="U14" i="6"/>
  <c r="U12" i="6"/>
  <c r="U16" i="6"/>
  <c r="T16" i="6"/>
  <c r="U11" i="6"/>
  <c r="T11" i="6"/>
  <c r="U9" i="6"/>
  <c r="AH15" i="6"/>
  <c r="T12" i="6"/>
  <c r="T13" i="6"/>
  <c r="T9" i="6"/>
  <c r="T14" i="6"/>
  <c r="T7" i="6"/>
  <c r="T10" i="6"/>
  <c r="T6" i="6"/>
  <c r="U6" i="6"/>
  <c r="T8" i="6"/>
  <c r="X9" i="6" l="1"/>
  <c r="X16" i="6"/>
  <c r="X12" i="6"/>
  <c r="X14" i="6"/>
  <c r="X13"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<sst xmlns="http://schemas.openxmlformats.org/spreadsheetml/2006/main" count="14708" uniqueCount="5068">
  <si>
    <t xml:space="preserve">                           EVENT</t>
  </si>
  <si>
    <t xml:space="preserve">PRESENT   </t>
  </si>
  <si>
    <t>EXP</t>
  </si>
  <si>
    <t>D/H</t>
  </si>
  <si>
    <t>TRIGGER</t>
  </si>
  <si>
    <t>ORDER</t>
  </si>
  <si>
    <t>SETUP</t>
  </si>
  <si>
    <t>GAME PLAY</t>
  </si>
  <si>
    <t>RESULTS</t>
  </si>
  <si>
    <t>OBSERVATIONS</t>
  </si>
  <si>
    <t>DIFFERENT PERSPECTIVE</t>
  </si>
  <si>
    <t>RISK MANAGEMENT / STRATEGY UPDATES</t>
  </si>
  <si>
    <t>STATISTICAL ANALYSIS</t>
  </si>
  <si>
    <t>MONTH</t>
  </si>
  <si>
    <t>DATE2</t>
  </si>
  <si>
    <t>entry time</t>
  </si>
  <si>
    <t>DAY</t>
  </si>
  <si>
    <t>MAJOR EVENT</t>
  </si>
  <si>
    <t>ACTION</t>
  </si>
  <si>
    <t xml:space="preserve">CONTRACT </t>
  </si>
  <si>
    <t>A</t>
  </si>
  <si>
    <t>E</t>
  </si>
  <si>
    <t>B</t>
  </si>
  <si>
    <t>REACTIVE | response to price action</t>
  </si>
  <si>
    <t>PROACTIVE  | expectations after consideration</t>
  </si>
  <si>
    <t>SIGNALS  | technical indicators/models</t>
  </si>
  <si>
    <t>CODE</t>
  </si>
  <si>
    <t>CODE2</t>
  </si>
  <si>
    <t>O,S,F</t>
  </si>
  <si>
    <t>E QTY</t>
  </si>
  <si>
    <t>X QTY</t>
  </si>
  <si>
    <t>MAX SHOT</t>
  </si>
  <si>
    <t>B/S</t>
  </si>
  <si>
    <t>TICK SIZE</t>
  </si>
  <si>
    <t>MIN TICK VALUE ADJUSTED</t>
  </si>
  <si>
    <t>TECHNICAL</t>
  </si>
  <si>
    <t>FUNDAMENTAL</t>
  </si>
  <si>
    <t>CURVES</t>
  </si>
  <si>
    <t>ENTRY</t>
  </si>
  <si>
    <t>ENTRY LOGIC</t>
  </si>
  <si>
    <t>STOPLOSS</t>
  </si>
  <si>
    <t>STOPLOSS LOGIC</t>
  </si>
  <si>
    <t>PLANNED EXIT</t>
  </si>
  <si>
    <t>PLANNED EXIT LOGIC</t>
  </si>
  <si>
    <t>BACKUP PLAN</t>
  </si>
  <si>
    <t>WORST CASE REWARD/RISK</t>
  </si>
  <si>
    <t>WORST CASE LOSS/LOT</t>
  </si>
  <si>
    <t>WORST CASE LOSS</t>
  </si>
  <si>
    <t>PLANNED DURATION</t>
  </si>
  <si>
    <t>DURATION LOGIC</t>
  </si>
  <si>
    <t xml:space="preserve">DURATION </t>
  </si>
  <si>
    <t>(M/H/D/W) | W - &gt; DAYS</t>
  </si>
  <si>
    <t>exit date/time</t>
  </si>
  <si>
    <t>EXIT</t>
  </si>
  <si>
    <t>PNL (PRICE)</t>
  </si>
  <si>
    <t>TOTAL PROFIT</t>
  </si>
  <si>
    <t>PNL ($) SINGLE ORDER</t>
  </si>
  <si>
    <t>W/L</t>
  </si>
  <si>
    <t>REMARKS 1</t>
  </si>
  <si>
    <t>REMARKS 2</t>
  </si>
  <si>
    <t>REMARKS 3</t>
  </si>
  <si>
    <t>PERSPECTIVE 1</t>
  </si>
  <si>
    <t>PERSPECTIVE 2</t>
  </si>
  <si>
    <t>PERSPECTIVE 3</t>
  </si>
  <si>
    <t>REMARKS 4</t>
  </si>
  <si>
    <t>REMARKS 5</t>
  </si>
  <si>
    <t>REMARKS 6</t>
  </si>
  <si>
    <t>ROLLING PnL</t>
  </si>
  <si>
    <t>ROLLING PnL/LOT</t>
  </si>
  <si>
    <t>rolling sum of orders</t>
  </si>
  <si>
    <t>Column1</t>
  </si>
  <si>
    <t>October 22 live</t>
  </si>
  <si>
    <t>OCT.22</t>
  </si>
  <si>
    <t>1253PM</t>
  </si>
  <si>
    <t>THU</t>
  </si>
  <si>
    <t>S23 SPD</t>
  </si>
  <si>
    <t>IR</t>
  </si>
  <si>
    <t>W</t>
  </si>
  <si>
    <t>S</t>
  </si>
  <si>
    <t>RESISTANCE ZONE (60-0)</t>
  </si>
  <si>
    <t>Scalping</t>
  </si>
  <si>
    <t>MOST FLUCTUATIONS IN THE CURVE</t>
  </si>
  <si>
    <t>GIVING SPACE FOR RANGE</t>
  </si>
  <si>
    <t>buy at 3 and sell at 2 | 2 lots</t>
  </si>
  <si>
    <t>&lt;1</t>
  </si>
  <si>
    <t>NEXT 1ST HALF SESSION</t>
  </si>
  <si>
    <t>1hr 30mins</t>
  </si>
  <si>
    <t>H</t>
  </si>
  <si>
    <t>226pm</t>
  </si>
  <si>
    <t>Scalping 101; it feels hard to get fills in live/ in the current mkt structure</t>
  </si>
  <si>
    <t>observe the current mkt structure 1st</t>
  </si>
  <si>
    <t xml:space="preserve">LUCK 100  </t>
  </si>
  <si>
    <t>948AM</t>
  </si>
  <si>
    <t>FRI</t>
  </si>
  <si>
    <t>RESISTANCE ZONE (60--)</t>
  </si>
  <si>
    <t>buy at -2</t>
  </si>
  <si>
    <t>EXIT ORDERED AT MKT OPEN | FILL 425AM</t>
  </si>
  <si>
    <t>D</t>
  </si>
  <si>
    <t>exit at cost | luck100</t>
  </si>
  <si>
    <t>range changed to -2 and 0</t>
  </si>
  <si>
    <t>use 1 lot for now</t>
  </si>
  <si>
    <t>if range changes get out at cost; if wait, then depending on luck more as time passes</t>
  </si>
  <si>
    <t>downtrend so try to get fills on the short side</t>
  </si>
  <si>
    <t>NEED TO WAIT AND WATCH; NO FAMILIAR MKT STRUCTURE</t>
  </si>
  <si>
    <t>2nd session mkt open</t>
  </si>
  <si>
    <t>buy dec 23 95.88  (coz 1 leg at dec23 stuck ; s @ 95.88)</t>
  </si>
  <si>
    <t>EXIT ORDERED AT MKT OPEN | FILL 425 AM</t>
  </si>
  <si>
    <t>got legged in the 2nd order (hedge order didnt hit - ?); avoid multiple entries for now</t>
  </si>
  <si>
    <t>got stuck at piq = 0 at sep23 95.88</t>
  </si>
  <si>
    <t>LUCK 100 (SAW THE OUTRIGHTS direction and took the right call/gamble)</t>
  </si>
  <si>
    <t>AVOID MULTIPLE ORDERS (for now); USE 1 LOT AT A TIME and at 1 strategy; ESPECIALLY USING OUTRIGHTS</t>
  </si>
  <si>
    <t>use GTC for the legged backup or exit at market; will be lucky if market in range</t>
  </si>
  <si>
    <t>stick to plan; 1 lot at a time; avoid herd mentality</t>
  </si>
  <si>
    <t>425AM</t>
  </si>
  <si>
    <t>MON</t>
  </si>
  <si>
    <t>S23 SPD CALENDAR</t>
  </si>
  <si>
    <t>CALENDAR ORDDER EXECUTED; fll alert delay as well</t>
  </si>
  <si>
    <t>HAVE TO WAIT FOR A BETTER MKT STRUCTURE</t>
  </si>
  <si>
    <t>J24 SPD</t>
  </si>
  <si>
    <t>R</t>
  </si>
  <si>
    <t>SUPPORT @ -1</t>
  </si>
  <si>
    <t>exit at cost; if range shifts by 2 ticks; + ALREADY S ORDER @ -1</t>
  </si>
  <si>
    <t>entry order after 1pm - exit ordered mkt open in nxt session</t>
  </si>
  <si>
    <t>11 oct | 538am</t>
  </si>
  <si>
    <t>Defensive position | taking pos at the rare, low hitting side of Scalping</t>
  </si>
  <si>
    <t>got legged in exit for 5 mins</t>
  </si>
  <si>
    <t>Observe mkts | TIMEOUT; (MOVE CAME AFTER NAB 5 P10 Out went down; luck100?); NXT DAY GBP GDP, US PPI; TODAY A LOT OF SPEECHES; Uncertain idea</t>
  </si>
  <si>
    <t>AVOID HERD MENTALITY/ OPINIONS</t>
  </si>
  <si>
    <t>TUE</t>
  </si>
  <si>
    <t>NAB Business Confidence (Sep) | (P10 A5)</t>
  </si>
  <si>
    <t>(OUTRIGHTS WENT DOWN 9BPS)</t>
  </si>
  <si>
    <t>for 2 star or 3 star if no forecasts are there check from previous but dont write it off; cancel all orders no matter what; ppl ate losses heavily and couldnt react</t>
  </si>
  <si>
    <t>be aware of speeches as well</t>
  </si>
  <si>
    <t>WED</t>
  </si>
  <si>
    <t>US PPI (P-0.2% F0.2% A0.4%) + ECB PRES. SPEECH @7pm (MOVEMENT HERE)</t>
  </si>
  <si>
    <t>spds moved up</t>
  </si>
  <si>
    <t>806am</t>
  </si>
  <si>
    <t>ACTUAL PRICE @ -1 (DEFENSIVE) BUT RANGE CHANGED AT 10MIN TIMEFRAME: -2 TO -4 SO TOOK IN DIRECTION OF CURVE TRADES</t>
  </si>
  <si>
    <t>exit at cost; if range shifts by 2 ticks; WILL HAVE 1 MORE ORDER IN CALENDAR DURING EVENT AT -1; &amp; TRY TO EXIT AT NEXT SESSION OPEN</t>
  </si>
  <si>
    <t>BY WEEKEND OR TUE; NO MAJOR EVENT TILL TUE AFTER FRI US CPI</t>
  </si>
  <si>
    <t>2 sessions</t>
  </si>
  <si>
    <t>14 oct 22 1016am</t>
  </si>
  <si>
    <t>LESS DEFENSIVE POSITION (in the direction of curve trading + range changed with little strength  -2 to -4; can hold till 6pm + backup ready at -1 or will hold order in calendar)</t>
  </si>
  <si>
    <t>BACKUP READY @ -1; EXIT BY WEEKEND (WILL HAVE 1 MORE ORDER IN CALENDAR DURING EVENT AT -1; &amp; TRY TO EXIT AT NEXT SESSION OPEN)</t>
  </si>
  <si>
    <t>Selling leg quote triggered; exit</t>
  </si>
  <si>
    <t xml:space="preserve">constanly lock screen or entry orders only + keep clearing order qty </t>
  </si>
  <si>
    <t>US CORE CPI MOM SEP (P0.6% F0.5% A0.6%)</t>
  </si>
  <si>
    <t>OUTRIGHTS WENT DOWN BY 10-13BP (EXCEPT 1ST); SPDS WENT DOWN 1BP; went down till 18 bp within 1 hour</t>
  </si>
  <si>
    <t>EXPECTING BELOW OR EQUAL, LONG OUTRIGHTS IN IRc3,c6, momentum based trading within an hour; household down, higher weightage, food up but lower weightage</t>
  </si>
  <si>
    <t>SPECULATION WOULD HAVE FAILED IN OUTRIGHTS (8-10BP LOSS)</t>
  </si>
  <si>
    <t>double check b4 puting order</t>
  </si>
  <si>
    <t>US CPI YOY (P8.3% F8.1% A8.2%)</t>
  </si>
  <si>
    <t>MAR23 -15 SEP23 -14BP (WITHIN 10MINS)</t>
  </si>
  <si>
    <t>845am</t>
  </si>
  <si>
    <t>1 DAY</t>
  </si>
  <si>
    <t>18 0ct 22 440am</t>
  </si>
  <si>
    <t>buying side quote triggered; entry (entry 2.5mins single legged)</t>
  </si>
  <si>
    <t>selling side triggered; exit (legged for 2.5mins)</t>
  </si>
  <si>
    <t>Observe mkts | TIMEOUT | w8 n watch</t>
  </si>
  <si>
    <t>315am</t>
  </si>
  <si>
    <t>NZD CPI QOQ (F1.6% A2.2%)</t>
  </si>
  <si>
    <t>OUTRIGHTS MOVED 3-5BP)</t>
  </si>
  <si>
    <t>1221pm</t>
  </si>
  <si>
    <t>M24 SPD</t>
  </si>
  <si>
    <t>RANGE OF -4 TO -6 (WEAKER SIDE) + direction of kink trades</t>
  </si>
  <si>
    <t>sell at -3 if uptrend happens and exit at -4</t>
  </si>
  <si>
    <t>1 day</t>
  </si>
  <si>
    <t>4.5 hrs</t>
  </si>
  <si>
    <t>458pm</t>
  </si>
  <si>
    <t>CALENDAR ORDER EXIT; SAME SESSION INACTIVELY</t>
  </si>
  <si>
    <t>market is dead after 12am for belly</t>
  </si>
  <si>
    <t>3.35pm</t>
  </si>
  <si>
    <t>0 or cost</t>
  </si>
  <si>
    <t>nxt session</t>
  </si>
  <si>
    <t>~ A DAY</t>
  </si>
  <si>
    <t>19 OCT 22 3.05AM</t>
  </si>
  <si>
    <t>selling side quote triggered; entry (entry 19mins single legged)</t>
  </si>
  <si>
    <t>ACE!</t>
  </si>
  <si>
    <t>443am</t>
  </si>
  <si>
    <t>BUY AT -2, EXIT AT -1</t>
  </si>
  <si>
    <t>19 OCT 426 AM</t>
  </si>
  <si>
    <t>GOT LEGGED AND VOLUME AGAINST</t>
  </si>
  <si>
    <t>DID NOT W8 FOR 2ND LEG . EXIT AT COST; AS GETTING LEGGED A LOT; RIGHT CALL AS HAD TO W8 A LOT AND MKTS WERE MOVING FAST</t>
  </si>
  <si>
    <t>USE CALENDARS FOR EXIT IN SD23 IF ORDER NOT IN MKT OPEN; CANT USE MORE LOTS</t>
  </si>
  <si>
    <t>313AM</t>
  </si>
  <si>
    <t>5hrs</t>
  </si>
  <si>
    <t>buying side quote triggered; entry (entry 10mins single legged)</t>
  </si>
  <si>
    <t>CANT FIND DEF. TRADES; TIMEOUT 2 d</t>
  </si>
  <si>
    <t>AUD Employment change (F25K A0.9K)</t>
  </si>
  <si>
    <t>OUTRIGHTS (12-15BP DOWN) FRONT SPD UP BY  4-8BP BELLY WENT DOWN BY 1-2 FORMING A REW RANGE</t>
  </si>
  <si>
    <t>AUD Unemployment rate (F3.5% A3.5%)</t>
  </si>
  <si>
    <t>415am</t>
  </si>
  <si>
    <t>DM22 SPD CALENDAR</t>
  </si>
  <si>
    <t>RESISTANCE ZONE (66-70)</t>
  </si>
  <si>
    <t>BP ABOVE 25BP (28.1BP in mkt open); PREVIOUSLY WHENEVER BP BREACHES THE STANDARD BP EXPECTED IT SETTLES LOWER THAN THAT BY MKT END</t>
  </si>
  <si>
    <t>MKT SETTLE OR NEXT SESSION (~60)</t>
  </si>
  <si>
    <t>SELL @ 70 (STOPLOSS TRADING WITH SL AT 74) AND SL 1 AT 72</t>
  </si>
  <si>
    <t>MKT SETTLE OR next to next SESSION settle (~60,61)</t>
  </si>
  <si>
    <t>1 hr</t>
  </si>
  <si>
    <t>BETTING AGAINST THE SENTIMENT OF HIGHER THAN 25 BP</t>
  </si>
  <si>
    <t xml:space="preserve">(26,25,0,25,25,25,25,20) =&gt; 72.5 | 17 OCT SETTLE (24.3,19.5,0,16,21.3,20.4,17.4) =&gt; 58 | 18 OCT SETTLE AFTER BULLOCK + MINUTES (26.5,21.1,-0.9,21.1,21,19.3,19.2) =&gt;61.3 | 18 OCT SETTLE (24.8,20.1,0,20.7,18.5,18.8,16.6) </t>
  </si>
  <si>
    <t>AS SHORT TERM TRADE + GOT 70 SO EARLY EXIT AT COST AS WANTED TO HOLD 1 LOT ONLY</t>
  </si>
  <si>
    <t>DID NOT RESPECT THE RESISTANCE ZONE</t>
  </si>
  <si>
    <t>DISCIPLINE -  FOLLOW ORDER MGMT RULE - 1 LOT MAX 2 LOTS AT DEFENSIVE POSITION OR ACCEPT DEFEAT</t>
  </si>
  <si>
    <t>DONT TRADE IN YBAC1-YBAC2 BASED ON PRICING; NEED A BIGGER ACC. OR/AND EXP. TO HANDLE THE HEAT</t>
  </si>
  <si>
    <t>63,64</t>
  </si>
  <si>
    <t>MKT SETTLE OR NEXT SESSION (~60,61) OR FRIDAY EXIT / previous resistance becomes support; zone (62-65) / FIBONACCI 10min SUPPORT zone near 66 / pricing based (62-64)</t>
  </si>
  <si>
    <t>SELL @ 73 (STOPLOSS TRADING WITH SL AT 75)</t>
  </si>
  <si>
    <t>MKT SETTLE OR next to next SESSION settle (~60,61) / previous resistance becomes support; zone (62-65)</t>
  </si>
  <si>
    <t>&gt; a day</t>
  </si>
  <si>
    <t>21 oct 844am</t>
  </si>
  <si>
    <t>L</t>
  </si>
  <si>
    <t xml:space="preserve">BETTING AGAINST THE SENTIMENT OF HIGHER THAN 25 BP | (26,25,0,25,25,25,25,20) =&gt; 72.5 BP | 17 OCT SETTLE (24.3,19.5,0,16,21.3,20.4,17.4) =&gt; 58 | 18 OCT SETTLE AFTER BULLOCK + MINUTES (26.5,21.1,-0.9,21.1,21,19.3,19.2) =&gt;61.3 | 18 OCT SETTLE (24.8,20.1,0,20.7,18.5,18.8,16.6) </t>
  </si>
  <si>
    <t>SL</t>
  </si>
  <si>
    <t>CONSIDER FRA VALUES OF THAT DAY (WHICHEVER YOU RE USING FOR BP COMPARISON); TRACK FRA</t>
  </si>
  <si>
    <t>TA - after a low volatility box is made (NEAR 60,61) a big move is expected; direction not known;</t>
  </si>
  <si>
    <t>in this case there was no downfall or bearish confirmation once the trending candle was over =&gt; still traders did not sell to book profit; more move is left; (dm23 went till 77 b4 session close)</t>
  </si>
  <si>
    <t>SnR zone was breached and did not respect it. This Resistance can become a new support ZONE (around 70)</t>
  </si>
  <si>
    <t>AOTC can cancel your target; so keep in mind if target not defined or thinking of pulling out later</t>
  </si>
  <si>
    <t>till MKT SETTLE (~60,61) OR FRIDAY EXIT / previous resistance becomes support; zone (62-65) / FIBONACCI 10min SUPPORT zone near 66 / pricing based (62-64) | CONSIDERING FRA + VWAP 67 CLOSE</t>
  </si>
  <si>
    <t>8hrs</t>
  </si>
  <si>
    <t>20 OCT 22 1.30PM</t>
  </si>
  <si>
    <t>want to hold one lot after today's settle or tomorrow's mkt structure | very fast decision wrt market; less planned trade | EVENTS AHEAD +TECHNICAL AGAINST + cant afford SL($) now; later or find +ve expectancy edge</t>
  </si>
  <si>
    <t>TIMEOUT | OBSERVE MKTS | DONT TRADE UNTIL YOU SEE SOMETHING STRONG</t>
  </si>
  <si>
    <t>NO CLEAR READ ON MARKETS (D22 SPD)</t>
  </si>
  <si>
    <t>Nobody cares about pricing (until RBA makes the decision)</t>
  </si>
  <si>
    <t>TOO EARLY ENTRY, CAME DOWN TILL 68 ON MONDAY 2ND SESSION START (???)</t>
  </si>
  <si>
    <t>SELF FULFILLING PROPHECY</t>
  </si>
  <si>
    <t>taking losses also a part of strat; minimize it either by good entry or some time duration of a trade, but cant avoid it</t>
  </si>
  <si>
    <t>PRICING - NEED MORE TIME AND EXPERIENCE</t>
  </si>
  <si>
    <t xml:space="preserve">lot size in a trade for now 1 if its not an edge; </t>
  </si>
  <si>
    <t>TIMEOUT - observe mkt; selective; 2 lots where edge and defensive</t>
  </si>
  <si>
    <t>Avoid risky bets till $360 ($180 in reserve)</t>
  </si>
  <si>
    <t>ONLY CURVE TRADING</t>
  </si>
  <si>
    <t>952am</t>
  </si>
  <si>
    <t>US 10Y BOND YIELD ABOVE 08 LEVEL; EXITING POSITIONS/selloff</t>
  </si>
  <si>
    <t xml:space="preserve">OUTRIGHTS MOVED LOW HIGH VOLATILITY DOWN </t>
  </si>
  <si>
    <t>M23 FLY CALENDAR</t>
  </si>
  <si>
    <t>F</t>
  </si>
  <si>
    <t>RESISTANCE ZONE (6~-01)</t>
  </si>
  <si>
    <t>Anomaly | DEC22 FLY 32 M23 FLY 29 (TOO HIGH + DELTA ANOMALY spd fly)</t>
  </si>
  <si>
    <t>~21 or LESS</t>
  </si>
  <si>
    <t>DELTAS ANTICIPATION</t>
  </si>
  <si>
    <t>1-2 WEEKS</t>
  </si>
  <si>
    <t>DATA driven moves ahead</t>
  </si>
  <si>
    <t>4 T DAYS</t>
  </si>
  <si>
    <t>26 oct 22 8.31pm</t>
  </si>
  <si>
    <t>DOUBLE FILLED; QH=1 (HIT IT WHILE SELLING; DONT BE IN QUEUE; MIGHT BE ISSUE EXITING) | BUYING SIDE TRIGGERED FIRST (BUYING AT 28)</t>
  </si>
  <si>
    <t>exit 1 lot at cost</t>
  </si>
  <si>
    <t>exit 1 lot at 25 (got double filled while exiting) | datas nxt day + momentum weakening | LUCK100 | MOMENTUM WAS GETTING WEAKER NEAR 24</t>
  </si>
  <si>
    <t>if multiple lots available, let 1 lot run with trailing sl</t>
  </si>
  <si>
    <t>BUY AND HODL; IF MORE LOTS RIDE 1 LOT WITH TRAILING SL AT 1 TICK P</t>
  </si>
  <si>
    <t>8.37am</t>
  </si>
  <si>
    <t>M24 SPD CALENDAR</t>
  </si>
  <si>
    <t>TUE 542pm</t>
  </si>
  <si>
    <t>RISKY (OPPOSITE DIRECTION OF KINK)</t>
  </si>
  <si>
    <t>KINK SHIFTING TOWARDS BACK (DEC23 -&gt; MAR24)</t>
  </si>
  <si>
    <t>TOO LONG; EXIT FROM OUTRIGHTS</t>
  </si>
  <si>
    <t>1052AM</t>
  </si>
  <si>
    <t>930pm</t>
  </si>
  <si>
    <t>KINK SHIFTING TOWARDS BACK (DEC23 -&gt; MAR24, JUN24)</t>
  </si>
  <si>
    <t>1248pm</t>
  </si>
  <si>
    <t>J24 SPD CALENDAR</t>
  </si>
  <si>
    <t>RESISTANCE ZONE (6---4)</t>
  </si>
  <si>
    <t>8.10pm</t>
  </si>
  <si>
    <t>KINK PLATEAU AT -7 (M24, J24)</t>
  </si>
  <si>
    <t>MON | TUE</t>
  </si>
  <si>
    <t>SUPPORT @ -</t>
  </si>
  <si>
    <t>EXIT BOTH FROM CALENDAR (ASE WAS LATE THIS TIME)</t>
  </si>
  <si>
    <t>mkt close 1st session hit (11am)</t>
  </si>
  <si>
    <t>exit at cost</t>
  </si>
  <si>
    <t>10hrs</t>
  </si>
  <si>
    <t>915pm</t>
  </si>
  <si>
    <t>timeout</t>
  </si>
  <si>
    <t>1.03pm</t>
  </si>
  <si>
    <t>9HRS</t>
  </si>
  <si>
    <t>1020PM</t>
  </si>
  <si>
    <t>CPI YOY (P6.1% F7% A7.3%)</t>
  </si>
  <si>
    <t>DEC22 SPD,FLY WENT UP; REST REMAINED SAME; (HIT AT MARKET WHEN HEDGING B4 EVENT)</t>
  </si>
  <si>
    <t>DM23 FLY WANTED TO GO LONG AT 25 , 24 ; DID NOT GET THE PRICE ; NEXT TIME HIT AT MKT PRICE IF HEDGING SENSE IS STRONG</t>
  </si>
  <si>
    <t xml:space="preserve">COULD HAVE GOT 8-9 TICKS </t>
  </si>
  <si>
    <t>EVENT ME PIQ NAHI DEKHTE; HIT ON MARKET</t>
  </si>
  <si>
    <t>EITHER MAR 23 FLY SHOULD GO DOWN OR ELSE DEC22 FLY SHOULD GO UP; RIGHT READ; SO MAR23 FLY SHORT AND DEC22 FLY LONG (EQUAL LOTS)</t>
  </si>
  <si>
    <t>COULD NOT LONG DEC22 FLY; VOLUME CAME AND PRICE ROSE BEFORE ENTRY; + 7 IN DEC22 FLY AND -3 IN MAR23 FLY (EQUAL LOTS)</t>
  </si>
  <si>
    <t>FOR LIMITED LOTS USE CONSERVATIVELY; EVEN IF DOUBLE FILLED, EXIT AT COST</t>
  </si>
  <si>
    <t>CPI QOQ Q3 (P1.8% F1.6% A1.8%)</t>
  </si>
  <si>
    <t>Trade anomalies (if any) with lower downside &amp; hit the hedges on event day (the other side of the anomaly)</t>
  </si>
  <si>
    <t>if neutral; bulls or bears will try to come right at the last minute to give a confirmation</t>
  </si>
  <si>
    <t>DOUBLE FILLED LOT EXIT AT COST (CALENDAR)</t>
  </si>
  <si>
    <t>422AM</t>
  </si>
  <si>
    <t>We now expect the Reserve Bank Board to raise the cash rate by 50 basis points in November for a terminal rate of 3.85% by March, revised up from 3.6%. WESTPAC (Odd timings for westpac) | unexpected event</t>
  </si>
  <si>
    <t xml:space="preserve">SPD | FLY MOVED 2-3 TICKS  </t>
  </si>
  <si>
    <t>AVOID TRADING IF YOU DONT UNDERSTAND MKT STRUCTURE OR HAVE A GOOD READ ON MARKETS;; WAIT AND WATCH</t>
  </si>
  <si>
    <t>545pm</t>
  </si>
  <si>
    <t>ECB HIKES 75 BP (2%)</t>
  </si>
  <si>
    <t>US GDP (P-0.6% F 2.4% A2.6%)</t>
  </si>
  <si>
    <t>(BY CLOSE D22 SPD WENT DOWN 3BP, M23 J23 SPD DOWN, TAIL END SPDS DOWN BY 1 BP | Outrights went up by ~10bp)</t>
  </si>
  <si>
    <t>AUD PPI YOY (P5.6% A6.4%) | PPI QOQ (P1.4% A1.6%)</t>
  </si>
  <si>
    <t>625AM</t>
  </si>
  <si>
    <t>SUPPORT @ -9,-10; IF REBOUND MOMENTUM DOES NOT COME, EXIT AT 1 TICK OR COST</t>
  </si>
  <si>
    <t>IF RANGE CHANGES THEN -8 | EXIT B4 RBA HIKE</t>
  </si>
  <si>
    <t>COST OR IF RANGE CHANGES THEN -8 | buy at -10</t>
  </si>
  <si>
    <t>~ 1 day</t>
  </si>
  <si>
    <t>31 oct 22 614am</t>
  </si>
  <si>
    <t>SINGLE LEGGED 4 MINS</t>
  </si>
  <si>
    <t>SINCE CALENDAR ALSO EXECUTED; NEED TO EXIT ASAP (at least 1 LOT) | RANGE CHANGED -8,-10 EXIT @ -8</t>
  </si>
  <si>
    <t>exit via calendar; nxt day hike</t>
  </si>
  <si>
    <t>WENT UP TO -6 B4 RBA HIKE</t>
  </si>
  <si>
    <t xml:space="preserve">LOOKED THE CHART BUT DID NOT CHECK THE EXCEL; LAZY </t>
  </si>
  <si>
    <t>630AM</t>
  </si>
  <si>
    <t>COST</t>
  </si>
  <si>
    <t>8.5 hrs</t>
  </si>
  <si>
    <t>2.50pm</t>
  </si>
  <si>
    <t>exit from calendar</t>
  </si>
  <si>
    <t>used TT RETRY for the hitting orders as well; make sure to use tt retry 5mins b4 and CHANGE ORDER TYPE (CLICK!) TO LIMIT THEN HIT AT MKT OPEN</t>
  </si>
  <si>
    <t>640AM</t>
  </si>
  <si>
    <t>~ 1 DAY</t>
  </si>
  <si>
    <t>31 oct 22 3.45am</t>
  </si>
  <si>
    <t>WAKE UP; not a defensive trade</t>
  </si>
  <si>
    <t>WENT UP TO -5 B4 RBA HIKE</t>
  </si>
  <si>
    <t>removed the outright exit order early in the 2nd session as ther ewere gaps (slow volatile illiquid mkt) chances of staying legged is high | try again when mkt finds a range or some liquidity | keep the calendar order active or exit at cost (while still a chance)</t>
  </si>
  <si>
    <t>AUD RETAIL SALES MOM (SEP) (P0.6% F0.6% A0.6%)</t>
  </si>
  <si>
    <t>NO MOVE</t>
  </si>
  <si>
    <t>330pm</t>
  </si>
  <si>
    <t>EUR CPI YOU (OCT) | (P9.9% F10.2% A10.75)</t>
  </si>
  <si>
    <t>NO MAJOR MOVE</t>
  </si>
  <si>
    <t>IF LOWER THAN EXPECTED IS BEARISH FOR AUD THEN OUTRIGHTS SHOULD FALL &amp; vice versa</t>
  </si>
  <si>
    <t>HOLD FLIES FOR &gt;=1 DAY (WEEK) | SPDS MAX 2 DAYS; VIEWS ARE CORRECT (for now, but for short durations)</t>
  </si>
  <si>
    <t>November 22 live</t>
  </si>
  <si>
    <t>NOV.22</t>
  </si>
  <si>
    <t>RBA HIKES 25BP (2.85%)</t>
  </si>
  <si>
    <t>OUTRIGHTS -15BP TO -3,+3BPS, D22 SPD WENT UP TILL 65 ! THEN CAME DOWN 56BP, medium volatility in spds</t>
  </si>
  <si>
    <t>4.45.01pm</t>
  </si>
  <si>
    <t>COST IF RANGE CHANGES</t>
  </si>
  <si>
    <t>~12 HRS</t>
  </si>
  <si>
    <t>2 nov 22 452am</t>
  </si>
  <si>
    <t>EXIT ASAP (did not)</t>
  </si>
  <si>
    <t>4.45.30pm</t>
  </si>
  <si>
    <t xml:space="preserve">S23 SPD  </t>
  </si>
  <si>
    <t>CALENDAR IS GETTING TRIGGERED FIRST</t>
  </si>
  <si>
    <t>buying side triggered first</t>
  </si>
  <si>
    <t>EXIT 4 LOTS IN CALENDAR TOGETHER | ACE!</t>
  </si>
  <si>
    <t>5.57PM</t>
  </si>
  <si>
    <t>Support @ 0,-1</t>
  </si>
  <si>
    <t>STRONG RESISTANCE AT 3</t>
  </si>
  <si>
    <t>EXIT - PIQ important</t>
  </si>
  <si>
    <t>9.41pm</t>
  </si>
  <si>
    <t>D23 SPD CALENDAR</t>
  </si>
  <si>
    <t>Resistance @2,-1</t>
  </si>
  <si>
    <t>cost</t>
  </si>
  <si>
    <t xml:space="preserve">EXIT 1 AT COST </t>
  </si>
  <si>
    <t>range changed to -4.-2; exit at cost</t>
  </si>
  <si>
    <t>wait and watch tails</t>
  </si>
  <si>
    <t>FED HIKES 75BP</t>
  </si>
  <si>
    <t>428AM</t>
  </si>
  <si>
    <t>S23 CALENDAR</t>
  </si>
  <si>
    <t xml:space="preserve">COST </t>
  </si>
  <si>
    <t>1.30hrs</t>
  </si>
  <si>
    <t>603am</t>
  </si>
  <si>
    <t>ISM, NFP SOMP - unexpected illiquid volatility anticipated, avoid outright execution</t>
  </si>
  <si>
    <t>1050am</t>
  </si>
  <si>
    <t>COST (via outrights)</t>
  </si>
  <si>
    <t>3 HRS</t>
  </si>
  <si>
    <t>232PM</t>
  </si>
  <si>
    <t>635am</t>
  </si>
  <si>
    <t>Resistance @-4 x 2 (kink plateau 1,-1</t>
  </si>
  <si>
    <t>-4 x 2 (kink plateau region anticipation)</t>
  </si>
  <si>
    <t>1.20pm</t>
  </si>
  <si>
    <t>weak position</t>
  </si>
  <si>
    <t>wait and watch</t>
  </si>
  <si>
    <t>314PM</t>
  </si>
  <si>
    <t>buying side triggered</t>
  </si>
  <si>
    <t>945PM</t>
  </si>
  <si>
    <t xml:space="preserve">S23 SPD </t>
  </si>
  <si>
    <t>Scalping (LEGGED IR DEC23)</t>
  </si>
  <si>
    <t>30MINS</t>
  </si>
  <si>
    <t>M</t>
  </si>
  <si>
    <t>LEGGED</t>
  </si>
  <si>
    <t>absence of chart pattern</t>
  </si>
  <si>
    <t>late order input</t>
  </si>
  <si>
    <t>RANGE PLAY MIGHT BE A BETTER OPTION</t>
  </si>
  <si>
    <t>THE chart pattern is imp.</t>
  </si>
  <si>
    <t>451am</t>
  </si>
  <si>
    <t>9 nov 745am</t>
  </si>
  <si>
    <t>exit b4 us cpi</t>
  </si>
  <si>
    <t>540am</t>
  </si>
  <si>
    <t>Resistance @ -2,-1</t>
  </si>
  <si>
    <t>-0.04/-0.05</t>
  </si>
  <si>
    <t>-2,-1 SUPPORT; INCREASE POSITION</t>
  </si>
  <si>
    <t>early exit b4 us cpi</t>
  </si>
  <si>
    <t>nxt morning session reached tgt</t>
  </si>
  <si>
    <t>selling in belly spds</t>
  </si>
  <si>
    <t>116pm</t>
  </si>
  <si>
    <t>Support zone @ -8,-10</t>
  </si>
  <si>
    <t>~8hrs</t>
  </si>
  <si>
    <t>luck 100</t>
  </si>
  <si>
    <t>hold till 1 session before event</t>
  </si>
  <si>
    <t>305pm</t>
  </si>
  <si>
    <t xml:space="preserve">selling pressure at 3,2 </t>
  </si>
  <si>
    <t>0,-1</t>
  </si>
  <si>
    <t>1 (if no move b4 us cpi)</t>
  </si>
  <si>
    <t>~20hrs</t>
  </si>
  <si>
    <t>9 nov 1042am</t>
  </si>
  <si>
    <t>can give a (temp.) b/o during event</t>
  </si>
  <si>
    <t>423am</t>
  </si>
  <si>
    <t>S23 FLY outright</t>
  </si>
  <si>
    <t>KINK TRADING (shouldn't be negative) | kink @ M24, J24 spds</t>
  </si>
  <si>
    <t>sufficient hedge orders present + downside low</t>
  </si>
  <si>
    <t>high exposure</t>
  </si>
  <si>
    <t>buildup till 1 (anticipation near 23rd nov) till after meeting</t>
  </si>
  <si>
    <t>1 week</t>
  </si>
  <si>
    <t>exit @ 5 with 1 payup outrights</t>
  </si>
  <si>
    <t>payup 1 at 2 | filled at 3; exit 1 at 5 or 6</t>
  </si>
  <si>
    <t>exit 2 flies at 5 (if possible); rest hodl</t>
  </si>
  <si>
    <t>Remember - 1 at a time from outright &amp; take proactively (preferably with 1 payup on either legs) | timing can be improved if sufficient orders are present in hedging side</t>
  </si>
  <si>
    <t>avoid outrights in s23, d23, m24</t>
  </si>
  <si>
    <t>1.39PM</t>
  </si>
  <si>
    <t>M23 SPD CALENDAR</t>
  </si>
  <si>
    <t>Support zone (25-23) | previous resistence | touched once before</t>
  </si>
  <si>
    <t>GOOD RISK REWARD IF HAWKISH DATA</t>
  </si>
  <si>
    <t>Support zone | LTQ&gt;=100</t>
  </si>
  <si>
    <t>&gt;=29</t>
  </si>
  <si>
    <t>retracement anticipation till 29 (previous area of interest)</t>
  </si>
  <si>
    <t>1 session (cpi)</t>
  </si>
  <si>
    <t>715pm</t>
  </si>
  <si>
    <t>SL WITH ASK &lt;=150 &amp; PAYUP 1 triggered</t>
  </si>
  <si>
    <t>CONSIDER PAYUP SITUATION FOR SL FOR MAX LOSS</t>
  </si>
  <si>
    <t>USE SIMPLE SL! WITH NO PAYUP IN SPDS or put at 1 worse price for sl</t>
  </si>
  <si>
    <t>403pm</t>
  </si>
  <si>
    <t>KINK TRADING (Payup 1 @ 2) 1 tick bad price</t>
  </si>
  <si>
    <t>1 WEEK</t>
  </si>
  <si>
    <t>~1 week</t>
  </si>
  <si>
    <t>17 nov 22 1024am</t>
  </si>
  <si>
    <t>nxt buy at 1; if exit not possible</t>
  </si>
  <si>
    <t>GG!</t>
  </si>
  <si>
    <t>CHECK RULES B4 USING ASE, ALWAYS (MIGHT HAVE CHANGED AS PER MKTS)</t>
  </si>
  <si>
    <t>US CPI (MOM) OCT (P0.4% F0.6% A0.4%)</t>
  </si>
  <si>
    <t>outrights 10-20 bp up, front spds down by 8, 6, 3 bp | belly back up by 1,2 bp</t>
  </si>
  <si>
    <t>US CPI (YOY) OCT (P8.2% F8% A7.7%)</t>
  </si>
  <si>
    <t>US CORE CPI (MOM) OCT (P0.6% F0.5% A0.3%)</t>
  </si>
  <si>
    <t>S23 FLY CALENDAR manually</t>
  </si>
  <si>
    <t>failed attempt at fly KINK TRADING (shouldn't be negative) | kink @ M24, D23 spds |</t>
  </si>
  <si>
    <t>(manually for 2) got at 3 (limit issue)</t>
  </si>
  <si>
    <t>7,8,9</t>
  </si>
  <si>
    <t>1 week +</t>
  </si>
  <si>
    <t>21 nov 22 1156pm</t>
  </si>
  <si>
    <t>HOLD LONGER</t>
  </si>
  <si>
    <t>WENT TILL 9 on 23 nov</t>
  </si>
  <si>
    <t>MKT open</t>
  </si>
  <si>
    <t>Support zone breaks (trying trend)</t>
  </si>
  <si>
    <t>wrong call (early exit)</t>
  </si>
  <si>
    <t>Liquidity gap to boom (from 20)</t>
  </si>
  <si>
    <t>D22 M23 trades only in SIM</t>
  </si>
  <si>
    <t>W8 for confirmation in the DAILY timeframe</t>
  </si>
  <si>
    <t>20 buy was a better call (since 22-20 was buying zone) | previous resistancetested once and broken nxt time</t>
  </si>
  <si>
    <t>THINK OF BUYING AT THE LOWER LEVEL OF A SUPPORT ZONE (TO GET THE BEST RRR) | IF YOU DONT GET DONT TAKE THAT TRADE | FOR RESISTANCE ZONE TAKE THE UPPER LEVEL FOR SHORTING POSITION</t>
  </si>
  <si>
    <t>CAN USE ASE TO GET THE BETTER LEVEL PRICE</t>
  </si>
  <si>
    <t>456am</t>
  </si>
  <si>
    <t xml:space="preserve">  </t>
  </si>
  <si>
    <t>22 nov 718am</t>
  </si>
  <si>
    <t>Nxt buy @ 0 | not 1</t>
  </si>
  <si>
    <t>DE-FLY would have given profits quicker (with D23 FLY SELL @ 4 or 3) went till 0</t>
  </si>
  <si>
    <t>nxt time Capture atleast 1 De-fly (for anomaly)</t>
  </si>
  <si>
    <t>HOLD LONGER =&gt; RESPECT THE TARGET (at least w 1 lot) | HODL longer</t>
  </si>
  <si>
    <t>445 AM</t>
  </si>
  <si>
    <t>RESISTANCE ZONE (6--01)</t>
  </si>
  <si>
    <t>EXIT @ COST (BAD RRR as per current mkt state)</t>
  </si>
  <si>
    <t>~2 days</t>
  </si>
  <si>
    <t>14 nov 22 10.45pm</t>
  </si>
  <si>
    <t>~5am</t>
  </si>
  <si>
    <t>Scalping + kink trading (shouldnt go positive)</t>
  </si>
  <si>
    <t>~3days</t>
  </si>
  <si>
    <t>5.30am</t>
  </si>
  <si>
    <t>14 nov 22 10.45pm, 15 nov 4.52pm</t>
  </si>
  <si>
    <t>exit @ -4,-6</t>
  </si>
  <si>
    <t>605am</t>
  </si>
  <si>
    <t>kink trading (shouldnt go positive)</t>
  </si>
  <si>
    <t>15 nov 5.20pm</t>
  </si>
  <si>
    <t>changed tgt by 1 tick aftr mins</t>
  </si>
  <si>
    <t>mad</t>
  </si>
  <si>
    <t>came back to same levels b4 US CPI aftr RBA mins.</t>
  </si>
  <si>
    <t>kind of mean reversion</t>
  </si>
  <si>
    <t>630am</t>
  </si>
  <si>
    <t>failed attempt at fly (increase lot limits)</t>
  </si>
  <si>
    <t>exit @ cost (as failed attempt at fly)</t>
  </si>
  <si>
    <t>15 nov 22 1010am</t>
  </si>
  <si>
    <t xml:space="preserve">exit @ cost/1 tick (as failed attempt at fly) + lot of exposure in fly contracts </t>
  </si>
  <si>
    <t>2.23pm</t>
  </si>
  <si>
    <t>M23 FLY outright</t>
  </si>
  <si>
    <t>RESISTANCE ZONE (61-11)</t>
  </si>
  <si>
    <t>CURVE ANOMALY (DE-FLY M23 14 B J23 12 S . FLY)</t>
  </si>
  <si>
    <t>0.14 (WITH PAYUP 1 x1)</t>
  </si>
  <si>
    <t>18 w 1 payup</t>
  </si>
  <si>
    <t>momentum getting weaker (greed)</t>
  </si>
  <si>
    <t>2 weeks</t>
  </si>
  <si>
    <t>b4 rba meet</t>
  </si>
  <si>
    <t>16 nov 340pm</t>
  </si>
  <si>
    <t>failed execution (M23 DEFLY @ 3,2,1)</t>
  </si>
  <si>
    <t>USE ASE OF CALENDARS (121)</t>
  </si>
  <si>
    <t>got double filled (use 1 leg for quoting)</t>
  </si>
  <si>
    <t>3.49am</t>
  </si>
  <si>
    <t xml:space="preserve">M23 DE-FLY MANUALLY </t>
  </si>
  <si>
    <t>RESISTANCE ZONE (6&gt;--4)</t>
  </si>
  <si>
    <t>CURVE ANOMALY</t>
  </si>
  <si>
    <t>&gt;=6 | 3</t>
  </si>
  <si>
    <t>US CPI levels</t>
  </si>
  <si>
    <t>exit asap at &gt;=3</t>
  </si>
  <si>
    <t>CAN SELL &gt;=5</t>
  </si>
  <si>
    <t>EXIT @ COST</t>
  </si>
  <si>
    <t>nxt time try at 0 manually; worse case @ 1 or 2 | try getting the difficult price first</t>
  </si>
  <si>
    <t>De-Fly sucks; Always try to take @ the best price | never in the mkt</t>
  </si>
  <si>
    <t xml:space="preserve"> </t>
  </si>
  <si>
    <t>Manually worked (failed execution (M23 DEFLY @ 3,2,1))</t>
  </si>
  <si>
    <t>J23 FLY CALENDAR</t>
  </si>
  <si>
    <t>M23 DE-FLY</t>
  </si>
  <si>
    <t>-2 | ?</t>
  </si>
  <si>
    <t>&gt;=6 &amp; try @ 8 (since high level at US CPI @ 10) so 2 ticks below | 3</t>
  </si>
  <si>
    <t>US CPI levels back</t>
  </si>
  <si>
    <t>2 WEEKS</t>
  </si>
  <si>
    <t>3 week +</t>
  </si>
  <si>
    <t xml:space="preserve">6 dec 22 2 sessions | near 2nd session end </t>
  </si>
  <si>
    <t>ASE OF CALENDAR FOR FLY (121); SMOOTH EXECUTION | js23 S 13 triggered</t>
  </si>
  <si>
    <t>LOOK AT INDIVIDUAL SPDS</t>
  </si>
  <si>
    <t>HOLD LONGER | timeout | HODL TRADE</t>
  </si>
  <si>
    <t>Never hold DEFLY longer than a week; exit at cost if necessary</t>
  </si>
  <si>
    <t>cant use SL, have to exit @ hit or manually</t>
  </si>
  <si>
    <t xml:space="preserve">Avoid Defly/Fly trades; outrights are better as they have SL with payup; hel 8 ticks anti </t>
  </si>
  <si>
    <t>better to exit in a range mkt at the extreme prices</t>
  </si>
  <si>
    <t>use ase to check the best price possible at the current mkt</t>
  </si>
  <si>
    <t>CLUTCH!</t>
  </si>
  <si>
    <t>US PPI MOM (OCT) | (p0.2% f0.3% a0%)</t>
  </si>
  <si>
    <t>outrights went up ~7bp (medium volatility) front spds went down by 2 bps</t>
  </si>
  <si>
    <t>WPI QOQ (P0.8% F0.9% A1%)</t>
  </si>
  <si>
    <t>outrights went up  | front spd went down by 3, 2,4,5,7 spds up by 1bp | low to medium volatility | leading indicator of CPI</t>
  </si>
  <si>
    <t>738am</t>
  </si>
  <si>
    <t>S24 SPD CALENDAR</t>
  </si>
  <si>
    <t>RESISTANCE ZONE (6---6)</t>
  </si>
  <si>
    <t>Scalping (TRY IN FAR CURVE)</t>
  </si>
  <si>
    <t>17 nov 22 710pm</t>
  </si>
  <si>
    <t>340pm</t>
  </si>
  <si>
    <t>3.58pm</t>
  </si>
  <si>
    <t>DOUBLE FILLED | EXITING @ COST</t>
  </si>
  <si>
    <t>USE 1 LEG AS ACTIVE QUOTING (IF USING CALENDAR ASE; PREFERABLY 2ND LEG OR MANUALLY CANCEL THE LEG WHERE CHANCES ARE SLIM)</t>
  </si>
  <si>
    <t xml:space="preserve">TIMEOUT </t>
  </si>
  <si>
    <t>USE 1 LEG AS ACTIVE QUOTING (IF USING CALENDAR ASE; PREFERABLY 2ND LEG)</t>
  </si>
  <si>
    <t>US Retail Sales MOM OCT (P0% F1% A1.3%)</t>
  </si>
  <si>
    <t>no major move is spds flies</t>
  </si>
  <si>
    <t>Unemp rate (p3.5% f3.6% a3.4%)</t>
  </si>
  <si>
    <t>237pm</t>
  </si>
  <si>
    <t>RESISTANCE ZONE (6---7)</t>
  </si>
  <si>
    <t>710pm</t>
  </si>
  <si>
    <t>943pm</t>
  </si>
  <si>
    <t>Support @ -9,-10</t>
  </si>
  <si>
    <t>max till tue</t>
  </si>
  <si>
    <t>LOWE SPEAKS</t>
  </si>
  <si>
    <t>4 days</t>
  </si>
  <si>
    <t>22 nov 730am</t>
  </si>
  <si>
    <t>520am</t>
  </si>
  <si>
    <t>J23 SPD</t>
  </si>
  <si>
    <t>de fly manual attempt @ -1</t>
  </si>
  <si>
    <t xml:space="preserve">make defly @ 0,1 B / J23  fly @ 13 S </t>
  </si>
  <si>
    <t>18 nov 2nd session end</t>
  </si>
  <si>
    <t>failed execution; early exit</t>
  </si>
  <si>
    <t>get the best price of an individual contract first;  if early exit is required it will be easy</t>
  </si>
  <si>
    <t>TIMEOUT | ?</t>
  </si>
  <si>
    <t>2, 3 LOTS; Defensive stats | .</t>
  </si>
  <si>
    <t>Comeback when the states change | .</t>
  </si>
  <si>
    <t>RBNZ HIKES BY 75BP  (P3.5% F4.25% A4.25% )</t>
  </si>
  <si>
    <t>DM22 44 OPEN TO 41| REST ALL ALMOST SAME | BY MKT CLOSE DM 22 WAS AT 49 | (Maybe preparing for US initial jobless or just as usual cutting SLs</t>
  </si>
  <si>
    <t>735am</t>
  </si>
  <si>
    <t>RESISTANCE ZONE (6---3)</t>
  </si>
  <si>
    <t>2d</t>
  </si>
  <si>
    <t>time</t>
  </si>
  <si>
    <t>858am</t>
  </si>
  <si>
    <t>Value area @ -5</t>
  </si>
  <si>
    <t>area of interest</t>
  </si>
  <si>
    <t>2 days</t>
  </si>
  <si>
    <t>25 nov 22 110pm</t>
  </si>
  <si>
    <t>Fri exit plan</t>
  </si>
  <si>
    <t>1010AM</t>
  </si>
  <si>
    <t>FRI LOWE speaks + near meeting</t>
  </si>
  <si>
    <t>5 d</t>
  </si>
  <si>
    <t>30 nov 905am</t>
  </si>
  <si>
    <t>1142 am</t>
  </si>
  <si>
    <t>22 hrs</t>
  </si>
  <si>
    <t>24 nov 938am</t>
  </si>
  <si>
    <t>fun</t>
  </si>
  <si>
    <t>1232pm</t>
  </si>
  <si>
    <t>445AM</t>
  </si>
  <si>
    <t>SnR (55-57)</t>
  </si>
  <si>
    <t>pS-&gt;R (55-57)</t>
  </si>
  <si>
    <t>3 ticks worse case</t>
  </si>
  <si>
    <t>Vwap (3m) + 3 ticks</t>
  </si>
  <si>
    <t>740AM</t>
  </si>
  <si>
    <t>ride till trailing SL was 52 (w/o payup) and tgt was 51 | converted to GTC OCO 2 | never cancel the order aftr OCO2 is active</t>
  </si>
  <si>
    <t>Luck 100 | TIMEOUT</t>
  </si>
  <si>
    <t xml:space="preserve">Based on obs, it was driven only by FRA OIS </t>
  </si>
  <si>
    <t>Remember to check payup condition b4 SL order</t>
  </si>
  <si>
    <t>Near expiry, rollover and fra are more effective than events; respect that</t>
  </si>
  <si>
    <t>OCO 2 works (use the trailing SL w/o Payup)</t>
  </si>
  <si>
    <t>604AM, 940am</t>
  </si>
  <si>
    <t>-0.08x2</t>
  </si>
  <si>
    <t>cost / 1 tick loss</t>
  </si>
  <si>
    <t xml:space="preserve">1 lot was planned; dont get influenced </t>
  </si>
  <si>
    <t>Retail Sales (P0.6% F0.5% A-0.2%)</t>
  </si>
  <si>
    <t>later on outrights went up by 5-7bp</t>
  </si>
  <si>
    <t>936AM</t>
  </si>
  <si>
    <t>Support -9,-10</t>
  </si>
  <si>
    <t>1 d</t>
  </si>
  <si>
    <t>29 nov ~10am</t>
  </si>
  <si>
    <t>Obscure view @ back</t>
  </si>
  <si>
    <t>1140am</t>
  </si>
  <si>
    <t>30 nov 22 330pm</t>
  </si>
  <si>
    <t>450PM</t>
  </si>
  <si>
    <t>M23 DE FLY</t>
  </si>
  <si>
    <t>RESISTANCE ZONE (6&gt;--8)</t>
  </si>
  <si>
    <t>BP distribution</t>
  </si>
  <si>
    <t>CURVE ANOMALY + Rollover</t>
  </si>
  <si>
    <t>&gt;=4</t>
  </si>
  <si>
    <t>aftr rba meet - dec expiry</t>
  </si>
  <si>
    <t>ROLL SEASONALITY</t>
  </si>
  <si>
    <t>3w+</t>
  </si>
  <si>
    <t>6 dec 22 (mostly near 2nd session end), 7 dec 22  (mostly near 2nd session end), thu 8 dec 22 1019am</t>
  </si>
  <si>
    <t>went to -2 @ hit as well (manually @-3,-4); nxt time wait for a better price in anomaly  when in non event; went till -6 @ hit</t>
  </si>
  <si>
    <t>taking 2 lots at this price was also a mistake</t>
  </si>
  <si>
    <t>exit 1 at 5</t>
  </si>
  <si>
    <t>emotions can affect these strats where duration is long; so avoid larger lots or reserve some lots for a better price, especially near the event of the duration/(s) | 1 lot should be available for a better opportunity always; opportunity cost</t>
  </si>
  <si>
    <t>followed the plan; (duration is still sensible if its a fly or better de-fly)</t>
  </si>
  <si>
    <t>if anomaly is found; have at least 1 lot for a better price near the event duration ending; and can try to exit individually at diffent time, depends on the contract and mkt state (trend to range), curve, etc.</t>
  </si>
  <si>
    <t>went till 12! (wait longer in flies/deflies nxt time)</t>
  </si>
  <si>
    <t>HODL TRADE</t>
  </si>
  <si>
    <t>NO NEW POSITIONS | timeout</t>
  </si>
  <si>
    <t>THU Powell speaks 1 dec 22</t>
  </si>
  <si>
    <t xml:space="preserve">obscure read </t>
  </si>
  <si>
    <t>622 pm</t>
  </si>
  <si>
    <t>CPI (p7.3% f7.4% a6.9%)</t>
  </si>
  <si>
    <t>DEC22 WENT TILL prev Sz 35 from 47 then 44 within minutes, back spds went down then came back to initial levels</t>
  </si>
  <si>
    <t>Opportunity lies @ extreme SnR zones; at any event stay alert/active to put orders at extreme prices</t>
  </si>
  <si>
    <t>Retracements can be your strength; use excel; reach early and execute</t>
  </si>
  <si>
    <t xml:space="preserve"> S24 SPD CALENDAR</t>
  </si>
  <si>
    <t>S @ -9</t>
  </si>
  <si>
    <t>S @ -10</t>
  </si>
  <si>
    <t>1d,2d</t>
  </si>
  <si>
    <t>1 dec 22142pm, 2 dec 22 230pm</t>
  </si>
  <si>
    <t>early exit b4 fri | both aotc</t>
  </si>
  <si>
    <t>1hr</t>
  </si>
  <si>
    <t>730am</t>
  </si>
  <si>
    <t>lost confidence, so 1 lot; avoid such exposure for long time, next time</t>
  </si>
  <si>
    <t>AVOID PRIMARY TRADES (for now) &amp; more risky (&gt;=60$ loss/lot) trades | (dm22 spd, outrigths)</t>
  </si>
  <si>
    <t>Go for lagging, secondary, tertiary trades (front flies, bellies/tails spds &amp; flies)</t>
  </si>
  <si>
    <t>WORK ON EVENT TRADING (CATEGORIZE THEM)</t>
  </si>
  <si>
    <t>Primary trades in SIM, PAT trading in sim</t>
  </si>
  <si>
    <t>Near expiry, rollover and fra-ois are more effective than events; respect that</t>
  </si>
  <si>
    <t xml:space="preserve">Always have 1 lot for an extreme price </t>
  </si>
  <si>
    <t>Avoid Defly/Fly trades at first; outrights are better as they have SL with payup; w8 for extreme price against your direction; spds are best | if taking make sure with ltd lots atnd only 1 lot at 1 price; Time duration should be mentioned</t>
  </si>
  <si>
    <t>December 22 live</t>
  </si>
  <si>
    <t>DEC.22</t>
  </si>
  <si>
    <t>630pm</t>
  </si>
  <si>
    <t>RESISTANCE ZONE (6---)</t>
  </si>
  <si>
    <t>21 hrs</t>
  </si>
  <si>
    <t>5 dec 332am</t>
  </si>
  <si>
    <t>MIN. 2 MAX 3,4 LOTS (EXCEPT OUTRIGHTS)</t>
  </si>
  <si>
    <t>FLIES DEFLIES 1 LOT AT 1 PRICE (ENTER ONLY IF UPSIDE IS &gt;=3)</t>
  </si>
  <si>
    <t>RBA HIKES BY 25 BP (3.1%) | STAEMENT - not near to pause yet</t>
  </si>
  <si>
    <t>EVENT</t>
  </si>
  <si>
    <t xml:space="preserve">IR M24 </t>
  </si>
  <si>
    <t>O</t>
  </si>
  <si>
    <t>Ret (trying)</t>
  </si>
  <si>
    <t>few mins.</t>
  </si>
  <si>
    <t>Trying ret. | need to work more (mostly the timing + SL)</t>
  </si>
  <si>
    <t>GDP QOQ (Q3) (P0.9%, F0.7%, A0.6%) | GDP YOY (Q3) (P3.6%, 6.2%, 5.9%)</t>
  </si>
  <si>
    <t>less movement anticipated ahead; reduce trade frequencies for at least 1 week (&amp; observe) trade at extremes, with larger lots (min.2, max 4)</t>
  </si>
  <si>
    <t xml:space="preserve">trade big with less frequency at extremes </t>
  </si>
  <si>
    <t>DEFENSIVE STRATS WITH 2,3,4 LOTS</t>
  </si>
  <si>
    <t>THU, MON</t>
  </si>
  <si>
    <t>S @ -9,-10</t>
  </si>
  <si>
    <t>bias of recession odds less; shouldnt go down</t>
  </si>
  <si>
    <t>downside is less</t>
  </si>
  <si>
    <t>till tue/fri</t>
  </si>
  <si>
    <t xml:space="preserve">fomc </t>
  </si>
  <si>
    <t>2 HRS</t>
  </si>
  <si>
    <t>519AM</t>
  </si>
  <si>
    <t>ALL aotc entry</t>
  </si>
  <si>
    <t xml:space="preserve">chances of aotc at the back </t>
  </si>
  <si>
    <t>258 AM</t>
  </si>
  <si>
    <t>range high + should not be positive bias</t>
  </si>
  <si>
    <t>7 hrs</t>
  </si>
  <si>
    <t>Someone hit 1752 buy orders at 1 on mkt open (by mistake probably)</t>
  </si>
  <si>
    <t xml:space="preserve">Other's mistakes are the reason for inefficiency in markets; dont avoid putting orders in those regions; </t>
  </si>
  <si>
    <t>might even get AOTC</t>
  </si>
  <si>
    <t>OTHER'S MISTAKE - strat</t>
  </si>
  <si>
    <t>US PPI MoM (Nov) (p0.3% f0.2% a0.3%)</t>
  </si>
  <si>
    <t>Outrights went down 4bps then ret 1, no major move in spds</t>
  </si>
  <si>
    <t>2.58AM</t>
  </si>
  <si>
    <t>RESISTANCE ZONE (6---2)</t>
  </si>
  <si>
    <t>Scalping + bias of recession odds less; shouldnt go down</t>
  </si>
  <si>
    <t>-0.08 OR -0.07</t>
  </si>
  <si>
    <t>TRY 1 LOT AT A TIME/ BE PROACTIVE DURING MOVES</t>
  </si>
  <si>
    <t>AFTR FOMC</t>
  </si>
  <si>
    <t>8 d</t>
  </si>
  <si>
    <t>20 DEC 945AM</t>
  </si>
  <si>
    <t>EXIT BY TUE END</t>
  </si>
  <si>
    <t>*BOJ RAISES UPPER BAND LIMIT ON YIELD TARGET TO ABOUT 0.5%</t>
  </si>
  <si>
    <t>742PM</t>
  </si>
  <si>
    <t>US core CPI (MOM) (Nov) (p0.3% f0.3% a0.3%)</t>
  </si>
  <si>
    <t>Outrigths went up 4-7bps by eos)</t>
  </si>
  <si>
    <t>US CPI (YOY) (Nov) (p7.7% f 7.3% a7.1%) | US CPI MOM (Nov) (p0.4% f0.3% a0.1%)</t>
  </si>
  <si>
    <t>front spds were up b4 event then went down aftr event (4bps range)</t>
  </si>
  <si>
    <t>slowdown in the movement in mkts</t>
  </si>
  <si>
    <t>update - backs (m24s j24s s24s) shots - min. 2 max. 5</t>
  </si>
  <si>
    <t>750am</t>
  </si>
  <si>
    <t>-0.07 or -0.06 -&gt; -8</t>
  </si>
  <si>
    <t>TRY 1 LOT AT A TIME</t>
  </si>
  <si>
    <t>Lesser recession odds pricing bet (near -6)</t>
  </si>
  <si>
    <t>Recession always follows hike cycles; historically</t>
  </si>
  <si>
    <t>1030am</t>
  </si>
  <si>
    <t>bias of recession odds less; shouldnt go down MUCH (wrong)</t>
  </si>
  <si>
    <t>-0.07 OR -0.06</t>
  </si>
  <si>
    <t>19 dec 22 2nd session</t>
  </si>
  <si>
    <t>1143am</t>
  </si>
  <si>
    <t>bias of recession odds less; shouldnt go down MUCH</t>
  </si>
  <si>
    <t>Sz</t>
  </si>
  <si>
    <t>-0.07 OR -0.06 -&gt; -8</t>
  </si>
  <si>
    <t>21 DEC 22 3AM, 526am</t>
  </si>
  <si>
    <t>Risk taking (large lots)</t>
  </si>
  <si>
    <t>EXIT AFTR GDP (would have been too L8)</t>
  </si>
  <si>
    <t>Time's up | Would have held longer if time was available | 21 dec 22 THE END</t>
  </si>
  <si>
    <t>1230am</t>
  </si>
  <si>
    <t>FED hikes by 50bp (4.5%)</t>
  </si>
  <si>
    <t>outrights starts to go down; no major moves (s23 s went down till -4 and m24 s went down till -10 j23 s went up till 11) | "no one can predict recession accurately"</t>
  </si>
  <si>
    <t>S @ -9,-10!</t>
  </si>
  <si>
    <t xml:space="preserve">bias of recession odds less; shouldnt go down MUCH + betting for equilibrium at 8 | but recession odds have increased a little + betting for equilibrium at 8 </t>
  </si>
  <si>
    <t>-0.07 OR -0.08</t>
  </si>
  <si>
    <t>5d</t>
  </si>
  <si>
    <t>Employment change (p32 f19 a64k)</t>
  </si>
  <si>
    <t>DM23 SPD CALENDAR</t>
  </si>
  <si>
    <t>within a week</t>
  </si>
  <si>
    <t>Unemployment rate (p3.4% f3.4% a3.4%)</t>
  </si>
  <si>
    <t>754am</t>
  </si>
  <si>
    <t>J23 SPD CALENDAR</t>
  </si>
  <si>
    <t>bias of less hikes in J23 QTR</t>
  </si>
  <si>
    <t>&lt;=8 | try for 7</t>
  </si>
  <si>
    <t>1.34PM</t>
  </si>
  <si>
    <t>did not want to hold till FRI</t>
  </si>
  <si>
    <t>less confidence, not proactive + invalid behaviour near end of term</t>
  </si>
  <si>
    <t>nxt day 1st session went till 9</t>
  </si>
  <si>
    <t>830am</t>
  </si>
  <si>
    <t>IR went down by 7-8 bp | whole spd curve went up  (all by 3-4bp) | outrigts all move and went even more up in the nxt 2 sessions! (till 21 dec 22)</t>
  </si>
  <si>
    <t>Rz @ -2,-3</t>
  </si>
  <si>
    <t>Should not be positive (less downside) + hedge for M24 spd as D23 fly was trading at all time highs of 7,8</t>
  </si>
  <si>
    <t>-0.05 or Scratch</t>
  </si>
  <si>
    <t>Eq bm</t>
  </si>
  <si>
    <t>1D</t>
  </si>
  <si>
    <t>21 DEC 22 1224PM</t>
  </si>
  <si>
    <t>TIME UP!</t>
  </si>
  <si>
    <t>only exit orders 19th onwards | NO ENTRY ORDERS</t>
  </si>
  <si>
    <t>The End.</t>
  </si>
  <si>
    <t>Mean reversion works a lot, so if a temporary move comes, odds are in favor for reversion/retracements</t>
  </si>
  <si>
    <t>Retracements provide better odds and better RRR</t>
  </si>
  <si>
    <t>Statistical advantage trades have higher odds, if combined with S/R  zones</t>
  </si>
  <si>
    <t>Always better to leave few lots for an even better entry</t>
  </si>
  <si>
    <t>LOTS - (20 LOTS LIMIT - FRONTS 1,2 | BELLIES 2,3 | BACKS 3,4,5) | DECENT COMBOS @ DIFFERENT PRICES</t>
  </si>
  <si>
    <t>need to be more confident &amp; careful in front spds/ mostly 1st one</t>
  </si>
  <si>
    <t>21 Dec22 break</t>
  </si>
  <si>
    <t>GG</t>
  </si>
  <si>
    <t>BREAK</t>
  </si>
  <si>
    <t>January 23 live</t>
  </si>
  <si>
    <t>JAN</t>
  </si>
  <si>
    <t>Gradualism - back to basics; start from defensive trades</t>
  </si>
  <si>
    <t>Q1. Statistical Analysis</t>
  </si>
  <si>
    <t>Q2 . ML</t>
  </si>
  <si>
    <t>Q3 . Models/Framework to outperform | C.A.S.</t>
  </si>
  <si>
    <t>Q4 . Automation</t>
  </si>
  <si>
    <t>Avoid fronts only with 1 lot with alternate positions</t>
  </si>
  <si>
    <t>Start from mid, then back spds w 2 lots (Jan23)</t>
  </si>
  <si>
    <t>No outrights full month | only in sim</t>
  </si>
  <si>
    <t>1247pm</t>
  </si>
  <si>
    <t>Ranged state (45 - 44)</t>
  </si>
  <si>
    <t>0.40 or below (will get more opportunity)</t>
  </si>
  <si>
    <t>10mins</t>
  </si>
  <si>
    <t>12 57pm</t>
  </si>
  <si>
    <t>early exit just to get started</t>
  </si>
  <si>
    <t>less intuition/IDEA of mkts</t>
  </si>
  <si>
    <t>623pm</t>
  </si>
  <si>
    <t>S@ -9,-10</t>
  </si>
  <si>
    <t>Aftr MON/FRI</t>
  </si>
  <si>
    <t>1d</t>
  </si>
  <si>
    <t>5 jan 1020pm</t>
  </si>
  <si>
    <t>821pm</t>
  </si>
  <si>
    <t>Liq gap (36-41)</t>
  </si>
  <si>
    <t>pricing wise 31 (better risk reward)</t>
  </si>
  <si>
    <t>bias against more hikes in Q2 (should be below 37)</t>
  </si>
  <si>
    <t>less downside (45,44)</t>
  </si>
  <si>
    <t>&lt;=36</t>
  </si>
  <si>
    <t>Liq gap + pricing</t>
  </si>
  <si>
    <t>buy more @43, 45</t>
  </si>
  <si>
    <t>Aftr MON</t>
  </si>
  <si>
    <t xml:space="preserve">2d </t>
  </si>
  <si>
    <t>6 jan 910pm</t>
  </si>
  <si>
    <t>Event exit</t>
  </si>
  <si>
    <t>827pm</t>
  </si>
  <si>
    <t>Liq gap (15-19)</t>
  </si>
  <si>
    <t>pricing wise 13-10</t>
  </si>
  <si>
    <t>less downside (18,19)</t>
  </si>
  <si>
    <t>&lt;=10</t>
  </si>
  <si>
    <t>Buy more @ 18, 20 (sl@22)</t>
  </si>
  <si>
    <t>by TUE (WED - Retail sales) / scratch or 1 tick</t>
  </si>
  <si>
    <t>pricing wise 13-11</t>
  </si>
  <si>
    <t>Buy more @ 20 (sl@23)</t>
  </si>
  <si>
    <t>4d</t>
  </si>
  <si>
    <t>11 jan cpi + retail sales</t>
  </si>
  <si>
    <t>HODL</t>
  </si>
  <si>
    <t>1035am</t>
  </si>
  <si>
    <t>IR M24</t>
  </si>
  <si>
    <t>farthest from mode/mean than the rest</t>
  </si>
  <si>
    <t>bias against 415bp hike(~400 or below)</t>
  </si>
  <si>
    <t>&gt;=95.9 or 95.92</t>
  </si>
  <si>
    <t>ret. + too high bp in that IR</t>
  </si>
  <si>
    <t>sell J24 @ 95.96 (MJ23 SPD LONG @ -11)</t>
  </si>
  <si>
    <t>by nxt session end</t>
  </si>
  <si>
    <t>9h</t>
  </si>
  <si>
    <t>early exit (need more loss limit) + more research | nxt month nxt ir</t>
  </si>
  <si>
    <t>sl (shifted) | early exit</t>
  </si>
  <si>
    <t>look for shorter duration trades</t>
  </si>
  <si>
    <t>respected inverted hammer (prev. candle)</t>
  </si>
  <si>
    <t>do not hold for &gt;=9h; work only on strategies that will take mins. (max 1 hr) for IR</t>
  </si>
  <si>
    <t>Early entry; need more risk tolerance</t>
  </si>
  <si>
    <t>104pm</t>
  </si>
  <si>
    <t>17h</t>
  </si>
  <si>
    <t>6 jan 23 544am</t>
  </si>
  <si>
    <t>508am</t>
  </si>
  <si>
    <t>Ranged (-8 to -10)</t>
  </si>
  <si>
    <t>10-Jan-2023 357am</t>
  </si>
  <si>
    <t>1004am</t>
  </si>
  <si>
    <t>pricing wise 13-12</t>
  </si>
  <si>
    <t>CURVE ANOMALY IN FLY AND DEFLY of J23 (main cause could be J23 spd more bcoz s23 doesnt move much away from 0 and should not be +ve)</t>
  </si>
  <si>
    <t>13 jan 625am</t>
  </si>
  <si>
    <t>HODL / 8</t>
  </si>
  <si>
    <t>1028am</t>
  </si>
  <si>
    <t>Ranged (-6 to -8)</t>
  </si>
  <si>
    <t>1 scalping + 1bias towards negative side</t>
  </si>
  <si>
    <t>~8h, 2D</t>
  </si>
  <si>
    <t>9 JAN 23 3:00:00 (-7), 10/1/23 525AM</t>
  </si>
  <si>
    <t>637PM</t>
  </si>
  <si>
    <t>HIGHS</t>
  </si>
  <si>
    <t>~32</t>
  </si>
  <si>
    <t>3d</t>
  </si>
  <si>
    <t>11 jan 23 1139am</t>
  </si>
  <si>
    <t>aotc | LUCK100</t>
  </si>
  <si>
    <t>biggest ride so far (10 ticks)</t>
  </si>
  <si>
    <t xml:space="preserve">NFP (Dec) (p256k f200k a223k) </t>
  </si>
  <si>
    <t>Outrights went up by 7-8bp in 30mins</t>
  </si>
  <si>
    <t>US Unemployment rate (Dec) (p3.6% f3.7% A3.5%)</t>
  </si>
  <si>
    <t>Front spds went 1 tick up then down, rest same</t>
  </si>
  <si>
    <t>709PM</t>
  </si>
  <si>
    <t>TILL NXT TUE HODL</t>
  </si>
  <si>
    <t>13 jan 202pm</t>
  </si>
  <si>
    <t>biggest ride so far | GG!</t>
  </si>
  <si>
    <t>Can check DeFly for anomalies and take positions in the direction of curve or bias</t>
  </si>
  <si>
    <t>854pm</t>
  </si>
  <si>
    <t>Scratch (as prev. Sz should retrace)</t>
  </si>
  <si>
    <t>12d</t>
  </si>
  <si>
    <t>18 jan 255pm, 20 JAN 3545AM</t>
  </si>
  <si>
    <t>SOLD 1 @ -13</t>
  </si>
  <si>
    <t>910PM</t>
  </si>
  <si>
    <t>Ranged (-6,-5 to -8)</t>
  </si>
  <si>
    <t>13 Jan 23 658am</t>
  </si>
  <si>
    <t>918pm</t>
  </si>
  <si>
    <t>D24 SPD CALENDAR</t>
  </si>
  <si>
    <t>S @ -3</t>
  </si>
  <si>
    <t>Sz@5</t>
  </si>
  <si>
    <t>20 jan 23 747am FRI</t>
  </si>
  <si>
    <t>950pm</t>
  </si>
  <si>
    <t>Stat arb.</t>
  </si>
  <si>
    <t>3 weeks</t>
  </si>
  <si>
    <t>25 jan 715am</t>
  </si>
  <si>
    <t>2w+</t>
  </si>
  <si>
    <t>sold 1 @ -4, 1 @ -5</t>
  </si>
  <si>
    <t>CPI + RETAIL SALES</t>
  </si>
  <si>
    <t>2w</t>
  </si>
  <si>
    <t>20 jan 147pm</t>
  </si>
  <si>
    <t>EXIT @ -13</t>
  </si>
  <si>
    <t>2w+, exit and start fresh</t>
  </si>
  <si>
    <t>1138am</t>
  </si>
  <si>
    <t>1w</t>
  </si>
  <si>
    <t>17 Jan 0414am</t>
  </si>
  <si>
    <t>sold 1 @ -7</t>
  </si>
  <si>
    <t>1156AM</t>
  </si>
  <si>
    <t>B4 FRI</t>
  </si>
  <si>
    <t>ACE!!</t>
  </si>
  <si>
    <t>Exit based on event data; good that 2 lots are there</t>
  </si>
  <si>
    <t>Use min. 2 lots at extremes or Extreme value zones (SzRz)</t>
  </si>
  <si>
    <t>9-Jan-2023, 10 jan 23 628am</t>
  </si>
  <si>
    <t>1045pm</t>
  </si>
  <si>
    <t>EXIT @ -12 | TOO LATE AND WAITED TOO LONG | STILL HAVE 4 @ -14 FOR -12</t>
  </si>
  <si>
    <t>CPI  YOY Q4 (P6.9% F7% A7.3%)</t>
  </si>
  <si>
    <t>No major moves</t>
  </si>
  <si>
    <t>Retail sales MOM Nov (p-0.2% f0.6% a1.45)</t>
  </si>
  <si>
    <t>650AM</t>
  </si>
  <si>
    <t>12 jan 725am</t>
  </si>
  <si>
    <t>906am</t>
  </si>
  <si>
    <t>Ranged (-10 to -8)</t>
  </si>
  <si>
    <t>1W+</t>
  </si>
  <si>
    <t>19 JAN 430AM</t>
  </si>
  <si>
    <t>EXIT @ -10</t>
  </si>
  <si>
    <t xml:space="preserve">12-Jan-2023, 13 jan 23 </t>
  </si>
  <si>
    <t>832 am</t>
  </si>
  <si>
    <t>1W</t>
  </si>
  <si>
    <t>242pm</t>
  </si>
  <si>
    <t>Stat arb (2 to -2)</t>
  </si>
  <si>
    <t>2.5d</t>
  </si>
  <si>
    <r>
      <rPr>
        <b/>
        <sz val="10"/>
        <color rgb="FF333333"/>
        <rFont val="Calibri"/>
        <family val="2"/>
      </rPr>
      <t>US Core CPI (MoM) (Dec</t>
    </r>
    <r>
      <rPr>
        <b/>
        <sz val="10"/>
        <color rgb="FF434343"/>
        <rFont val="Calibri"/>
        <family val="2"/>
      </rPr>
      <t>) (P0.2% F0.3% A0.3%)</t>
    </r>
  </si>
  <si>
    <t>Outrights were going up since last session; aftr release, no major moves (fluctuations around the mean of day's range) | 723 pm IR  going up</t>
  </si>
  <si>
    <r>
      <rPr>
        <b/>
        <sz val="10"/>
        <color rgb="FF333333"/>
        <rFont val="Calibri"/>
        <family val="2"/>
      </rPr>
      <t>CPI (MoM) (Dec</t>
    </r>
    <r>
      <rPr>
        <b/>
        <sz val="10"/>
        <color rgb="FF434343"/>
        <rFont val="Calibri"/>
        <family val="2"/>
      </rPr>
      <t>) (p0.1% f0% a-0.1%)</t>
    </r>
  </si>
  <si>
    <t>Dovish data | IR should go up | but they were already up since session start and prev session</t>
  </si>
  <si>
    <r>
      <rPr>
        <b/>
        <sz val="10"/>
        <color rgb="FF333333"/>
        <rFont val="Calibri"/>
        <family val="2"/>
      </rPr>
      <t>CPI (YoY) (Dec</t>
    </r>
    <r>
      <rPr>
        <b/>
        <sz val="10"/>
        <color rgb="FF434343"/>
        <rFont val="Calibri"/>
        <family val="2"/>
      </rPr>
      <t>) (p7.1% f6.5% a6.5%)</t>
    </r>
  </si>
  <si>
    <r>
      <rPr>
        <b/>
        <sz val="10"/>
        <color rgb="FF333333"/>
        <rFont val="Calibri"/>
        <family val="2"/>
      </rPr>
      <t>Initial Jobless Claim</t>
    </r>
    <r>
      <rPr>
        <b/>
        <sz val="10"/>
        <color rgb="FF434343"/>
        <rFont val="Calibri"/>
        <family val="2"/>
      </rPr>
      <t>s (p206k f215k a205k)</t>
    </r>
  </si>
  <si>
    <t>658am</t>
  </si>
  <si>
    <t>Ranged (-9 to -6)</t>
  </si>
  <si>
    <t>2.5h</t>
  </si>
  <si>
    <t>13 jan 928am</t>
  </si>
  <si>
    <t>LMAO | dont boast free money</t>
  </si>
  <si>
    <t>luck100</t>
  </si>
  <si>
    <t>925am</t>
  </si>
  <si>
    <t>5h</t>
  </si>
  <si>
    <t>308pm</t>
  </si>
  <si>
    <t>1026am</t>
  </si>
  <si>
    <t>IR S24</t>
  </si>
  <si>
    <t xml:space="preserve">FFRz + downtrend (cycle) </t>
  </si>
  <si>
    <t>~96.28</t>
  </si>
  <si>
    <t>&lt;5h</t>
  </si>
  <si>
    <t>~18h</t>
  </si>
  <si>
    <t>457am</t>
  </si>
  <si>
    <t>Liq gap (maybe) (96.35-96.28)</t>
  </si>
  <si>
    <t>did not follow time duration plan</t>
  </si>
  <si>
    <t>SL skipped (w payup as well!) | Liq gap of 3 ticks!</t>
  </si>
  <si>
    <t>Liq gap to ret.</t>
  </si>
  <si>
    <r>
      <rPr>
        <b/>
        <sz val="10"/>
        <color rgb="FF333333"/>
        <rFont val="Calibri"/>
        <family val="2"/>
      </rPr>
      <t>Westpac Consumer Sentiment (Jan</t>
    </r>
    <r>
      <rPr>
        <b/>
        <sz val="10"/>
        <color rgb="FF434343"/>
        <rFont val="Calibri"/>
        <family val="2"/>
      </rPr>
      <t>) (p3% a5%)</t>
    </r>
  </si>
  <si>
    <t>Outrights went up (liq gaps @ back, of 2-3 ticks)</t>
  </si>
  <si>
    <t>Trade with low lots | uncertain mkts</t>
  </si>
  <si>
    <t>512am</t>
  </si>
  <si>
    <t>Stat arb (2 to -2) + new ranged (-4 to -1)</t>
  </si>
  <si>
    <t>11h</t>
  </si>
  <si>
    <t>347pm</t>
  </si>
  <si>
    <t>512am, 623am</t>
  </si>
  <si>
    <t>Stat arb. (Never below -10)</t>
  </si>
  <si>
    <t>4h</t>
  </si>
  <si>
    <t>17 jan 918am</t>
  </si>
  <si>
    <t>915am</t>
  </si>
  <si>
    <t>1h</t>
  </si>
  <si>
    <t>17 jan 1020am</t>
  </si>
  <si>
    <t>should follow if it has retraced back</t>
  </si>
  <si>
    <t>betting on historical patterns, similar happened last time, ONE LAST TRY</t>
  </si>
  <si>
    <t>practise trading short term trades first</t>
  </si>
  <si>
    <t>short term trades might even offer less risk (if not better risk reward)</t>
  </si>
  <si>
    <t>BOJ : no change in yield  cap</t>
  </si>
  <si>
    <t>Outrights went up by 6-8bps</t>
  </si>
  <si>
    <t>850am</t>
  </si>
  <si>
    <t xml:space="preserve">Momentum </t>
  </si>
  <si>
    <t>&lt;1h</t>
  </si>
  <si>
    <t>SL w payup 1</t>
  </si>
  <si>
    <t>Wrong bias</t>
  </si>
  <si>
    <t>stat arb.</t>
  </si>
  <si>
    <t>22H</t>
  </si>
  <si>
    <t>920am</t>
  </si>
  <si>
    <t>IR D23</t>
  </si>
  <si>
    <t>Ret. trying</t>
  </si>
  <si>
    <t>1056am</t>
  </si>
  <si>
    <t>early exit (seeing buying pressure) + mkt close</t>
  </si>
  <si>
    <t>TIMEOUT</t>
  </si>
  <si>
    <t xml:space="preserve">Work on Scaling up </t>
  </si>
  <si>
    <t>LOTS - (20 LOTS LIMIT - FRONTS 2,2 | BELLIES 3,5 | BACKS 3,4,5) | DECENT COMBOS @ DIFFERENT PRICES</t>
  </si>
  <si>
    <t>Back to Defensive trades + Scalping @ back (w bigger lots)</t>
  </si>
  <si>
    <r>
      <rPr>
        <b/>
        <sz val="10"/>
        <color rgb="FF333333"/>
        <rFont val="Calibri"/>
        <family val="2"/>
      </rPr>
      <t>US Core Retail Sales (MoM) (Dec</t>
    </r>
    <r>
      <rPr>
        <b/>
        <sz val="10"/>
        <color rgb="FF434343"/>
        <rFont val="Calibri"/>
        <family val="2"/>
      </rPr>
      <t>) (P-0.6% F-0.4% A-1.1%)</t>
    </r>
  </si>
  <si>
    <t>OUTRIGTHS  went little up (3-4bp)</t>
  </si>
  <si>
    <r>
      <rPr>
        <b/>
        <sz val="10"/>
        <color rgb="FF333333"/>
        <rFont val="Calibri"/>
        <family val="2"/>
      </rPr>
      <t>US Retail Sales (MoM) (Dec</t>
    </r>
    <r>
      <rPr>
        <b/>
        <sz val="10"/>
        <color rgb="FF434343"/>
        <rFont val="Calibri"/>
        <family val="2"/>
      </rPr>
      <t>) (-1% -0.8% -1.1%)</t>
    </r>
  </si>
  <si>
    <t>outrights should have gone up more</t>
  </si>
  <si>
    <r>
      <rPr>
        <b/>
        <sz val="10"/>
        <color rgb="FF333333"/>
        <rFont val="Calibri"/>
        <family val="2"/>
      </rPr>
      <t>PPI (MoM) (Dec</t>
    </r>
    <r>
      <rPr>
        <b/>
        <sz val="10"/>
        <color rgb="FF434343"/>
        <rFont val="Calibri"/>
        <family val="2"/>
      </rPr>
      <t>) (p0.2% f-0.1% a-0.5%)</t>
    </r>
  </si>
  <si>
    <t xml:space="preserve">Outrigths went up 6-7 bp within 35mins; Then went up 3-4 more </t>
  </si>
  <si>
    <t>Stat arb. (Never @ -14) + 1000 lots spoofer</t>
  </si>
  <si>
    <t xml:space="preserve">Scalping </t>
  </si>
  <si>
    <t>3D</t>
  </si>
  <si>
    <t>23 JAN 430AM</t>
  </si>
  <si>
    <t>SOLD 1 @ -14/ SCRATCHED | 4 @ -13</t>
  </si>
  <si>
    <t>732PM</t>
  </si>
  <si>
    <t>Ranged(-8 to -6)</t>
  </si>
  <si>
    <t>Scalping (w more lots)</t>
  </si>
  <si>
    <t>12H</t>
  </si>
  <si>
    <t>19 JAN 23 EVENT</t>
  </si>
  <si>
    <t>SOLD 3 @ -7</t>
  </si>
  <si>
    <t>750PM</t>
  </si>
  <si>
    <t>Ret.</t>
  </si>
  <si>
    <t>803PM</t>
  </si>
  <si>
    <t>liq gap to ret followed later on</t>
  </si>
  <si>
    <t>wait 40-45 mins then observe liq gap; if temporary move fundamentally then bet on ret</t>
  </si>
  <si>
    <t>40MINS</t>
  </si>
  <si>
    <t>830PM</t>
  </si>
  <si>
    <t>747PM</t>
  </si>
  <si>
    <t>Stat arb. (-12)</t>
  </si>
  <si>
    <t>10h</t>
  </si>
  <si>
    <t>19 jan 530pm</t>
  </si>
  <si>
    <t>TIMEOUT!! | NO IR TRADES</t>
  </si>
  <si>
    <t>IR TRADES IN SIM TILL MAR | ONLY 2 TRADES/MONTH</t>
  </si>
  <si>
    <t>JUST NUMBERS; SAME PROCESS AND STRATEGIES WITH HIGHER LOTS, IN THE LONG RUN (TILL FEB)</t>
  </si>
  <si>
    <t>930, 942 pm</t>
  </si>
  <si>
    <t>Ret. + lagging (rest all ir 4-5 down from highs; this only 2)</t>
  </si>
  <si>
    <t>3 ticks + new high</t>
  </si>
  <si>
    <t>~50% ret till mkt close</t>
  </si>
  <si>
    <t>2h</t>
  </si>
  <si>
    <t>1139pm</t>
  </si>
  <si>
    <t>BAD DISCIPLINE</t>
  </si>
  <si>
    <t>HV 2 B STRONG IN DEFENSE</t>
  </si>
  <si>
    <r>
      <rPr>
        <b/>
        <sz val="10"/>
        <color rgb="FF333333"/>
        <rFont val="Calibri"/>
        <family val="2"/>
      </rPr>
      <t>Employment Change (Dec</t>
    </r>
    <r>
      <rPr>
        <b/>
        <sz val="10"/>
        <color rgb="FF434343"/>
        <rFont val="Calibri"/>
        <family val="2"/>
      </rPr>
      <t>) (P58.3k f 22.5k a-14.6k)</t>
    </r>
  </si>
  <si>
    <t>Outrights went up 9-11 ticks | V. Dovish</t>
  </si>
  <si>
    <r>
      <rPr>
        <b/>
        <sz val="10"/>
        <color rgb="FF333333"/>
        <rFont val="Calibri"/>
        <family val="2"/>
      </rPr>
      <t>Unemployment Rate (Dec</t>
    </r>
    <r>
      <rPr>
        <b/>
        <sz val="10"/>
        <color rgb="FF434343"/>
        <rFont val="Calibri"/>
        <family val="2"/>
      </rPr>
      <t>) (p3.4% f3.4% a3.5%)</t>
    </r>
  </si>
  <si>
    <t>Front spd down 6-7 ticks, 2nd spd  down 1-2 tick</t>
  </si>
  <si>
    <t>Participation Rate (Dec) (p66.8% f66.8% a66.6%)</t>
  </si>
  <si>
    <t>no ret till 1.5 hrs in outrights</t>
  </si>
  <si>
    <t>Momentum + bias</t>
  </si>
  <si>
    <t>20mins</t>
  </si>
  <si>
    <t>620am</t>
  </si>
  <si>
    <t>exit @ top (initial move 40 mins) | retraced 3-4 bp went up 7 bp more</t>
  </si>
  <si>
    <t xml:space="preserve">1st IR win </t>
  </si>
  <si>
    <t>Mkt respecting Dovish side; moves in that direction more than Hawkish side</t>
  </si>
  <si>
    <t>4.5h</t>
  </si>
  <si>
    <t>scalp</t>
  </si>
  <si>
    <t>1156am,140pm</t>
  </si>
  <si>
    <t>sold 1 at 24, 23</t>
  </si>
  <si>
    <t>could have held longer; would have been wrong</t>
  </si>
  <si>
    <t>3w</t>
  </si>
  <si>
    <t>30 jan 849am, 6 feb 122pm</t>
  </si>
  <si>
    <t>1@-4</t>
  </si>
  <si>
    <t>843am</t>
  </si>
  <si>
    <t>23 jan 1213pm</t>
  </si>
  <si>
    <t>918am</t>
  </si>
  <si>
    <t>11.5h</t>
  </si>
  <si>
    <t>845pm</t>
  </si>
  <si>
    <t>1025am</t>
  </si>
  <si>
    <t>IB FEB23</t>
  </si>
  <si>
    <t>IB</t>
  </si>
  <si>
    <t>BP expectations towards 25 bp (bp long IB short) (jan 1.5, feb 20.5 price) | 16bp to 20bp</t>
  </si>
  <si>
    <t>757pm</t>
  </si>
  <si>
    <t>1st IB trade, 1st IB win</t>
  </si>
  <si>
    <t>went 2 prices more in favour in the same time! | use the advantage of momentum and take at least 1 tick extra</t>
  </si>
  <si>
    <r>
      <rPr>
        <b/>
        <sz val="10"/>
        <color rgb="FF333333"/>
        <rFont val="Calibri"/>
        <family val="2"/>
      </rPr>
      <t>US Initial Jobless Claim</t>
    </r>
    <r>
      <rPr>
        <b/>
        <sz val="10"/>
        <color rgb="FF434343"/>
        <rFont val="Calibri"/>
        <family val="2"/>
      </rPr>
      <t>s (P205K F214K A190K)</t>
    </r>
  </si>
  <si>
    <t>no major move</t>
  </si>
  <si>
    <t>330am</t>
  </si>
  <si>
    <t>RESISTANCE ZONE (6S--0)</t>
  </si>
  <si>
    <t>Hedge for M24 SPD | 3 D23 FLY</t>
  </si>
  <si>
    <t>SCRATCH OR 1 TICK</t>
  </si>
  <si>
    <t>ONLY A HEDGE FOR M24 SPD</t>
  </si>
  <si>
    <t>24 jan 950am</t>
  </si>
  <si>
    <t>exit @ -8</t>
  </si>
  <si>
    <t>S @ 6</t>
  </si>
  <si>
    <t>bias towards some hikes (worst is 2)</t>
  </si>
  <si>
    <t>450am</t>
  </si>
  <si>
    <t>Ranged (-2 to -4) + S@-2</t>
  </si>
  <si>
    <t>10 15am</t>
  </si>
  <si>
    <t>814am</t>
  </si>
  <si>
    <t>20-Jan-2023, 23 jan 23</t>
  </si>
  <si>
    <t>742pm, 430am</t>
  </si>
  <si>
    <t>Hedge for M24 SPD | 3 D23 FLY + D23 DEFLY Anomaly</t>
  </si>
  <si>
    <t>Avoid dm23, mj23, mj24</t>
  </si>
  <si>
    <t>746PM</t>
  </si>
  <si>
    <t>Should not be more than 0 (less downside)</t>
  </si>
  <si>
    <t>345AM</t>
  </si>
  <si>
    <t>12h</t>
  </si>
  <si>
    <t>empty grid after a long time (ony d24spd left)</t>
  </si>
  <si>
    <t xml:space="preserve">mkt retraced a lot </t>
  </si>
  <si>
    <t>D3m -&gt; FF same chart</t>
  </si>
  <si>
    <r>
      <rPr>
        <b/>
        <sz val="10"/>
        <color rgb="FF333333"/>
        <rFont val="Calibri"/>
        <family val="2"/>
      </rPr>
      <t>CPI (QoQ) (Q4</t>
    </r>
    <r>
      <rPr>
        <b/>
        <sz val="10"/>
        <color rgb="FF434343"/>
        <rFont val="Calibri"/>
        <family val="2"/>
      </rPr>
      <t>) (P1.8% F1.6% A1.9%)</t>
    </r>
  </si>
  <si>
    <t>OUTRIGHTS went down in gap  and then more 7 then 7-8bp (total change 14bp) net 7bp in 40 mins | later went down 10+ basis MORE (17+ bps) | sentiment changed from 0-25 to 25-50bp hike</t>
  </si>
  <si>
    <t xml:space="preserve">(THU) 26TH JAN holiday + US gdp data + jobless claims </t>
  </si>
  <si>
    <t>NEW MKT STATE : temp. dovish</t>
  </si>
  <si>
    <r>
      <rPr>
        <b/>
        <sz val="10"/>
        <color rgb="FF333333"/>
        <rFont val="Calibri"/>
        <family val="2"/>
      </rPr>
      <t>CPI (YoY) (Q4</t>
    </r>
    <r>
      <rPr>
        <b/>
        <sz val="10"/>
        <color rgb="FF434343"/>
        <rFont val="Calibri"/>
        <family val="2"/>
      </rPr>
      <t>) (P7.3% F7.5% A7.8%)</t>
    </r>
  </si>
  <si>
    <t>front spd went up (3-4bp)</t>
  </si>
  <si>
    <r>
      <rPr>
        <b/>
        <sz val="10"/>
        <color rgb="FF333333"/>
        <rFont val="Calibri"/>
        <family val="2"/>
      </rPr>
      <t>Trimmed Mean CPI (QoQ) (Q4</t>
    </r>
    <r>
      <rPr>
        <b/>
        <sz val="10"/>
        <color rgb="FF434343"/>
        <rFont val="Calibri"/>
        <family val="2"/>
      </rPr>
      <t>) (P1.5% F1.6% A1.7%)</t>
    </r>
  </si>
  <si>
    <t xml:space="preserve">IR J24 </t>
  </si>
  <si>
    <t>Momentum</t>
  </si>
  <si>
    <t>CPI more &gt; Int rate more &gt; IR down</t>
  </si>
  <si>
    <t>40min</t>
  </si>
  <si>
    <t>GG (did not want to trade for short side, still went for it)</t>
  </si>
  <si>
    <t>Went til 96.43 (but in 2hrs)</t>
  </si>
  <si>
    <t>went till 96.35 till mkt close (17 ticks) | Mkt respected a lot for ultra hawkish (probably one last)</t>
  </si>
  <si>
    <t>Use 2 lots; Exit 1 within 1 hr; hold the remaining if momentum supports or scratch</t>
  </si>
  <si>
    <t>Bias of less than 25 bp (but very high CPI so avoid trades in IB at the moment)</t>
  </si>
  <si>
    <t>50min</t>
  </si>
  <si>
    <t>bp can go beyond 25 temp.</t>
  </si>
  <si>
    <t>sentiment changed from 0-25 to 25-50bp hike</t>
  </si>
  <si>
    <t>LOTS CHANGE : 1,2,3 -&gt; 2,4,6</t>
  </si>
  <si>
    <t>IR still 1</t>
  </si>
  <si>
    <t>Ranged/LiqGap &amp;/OR in the direction of curve/defensive -&gt; 6</t>
  </si>
  <si>
    <t>Enter in momentum not heat</t>
  </si>
  <si>
    <t>Book profits with partial lots @ safe entry, carry remaining as per mkt</t>
  </si>
  <si>
    <t>S@6</t>
  </si>
  <si>
    <t>Scalping + should go up (temporarily)</t>
  </si>
  <si>
    <t>0.1 or 0.08</t>
  </si>
  <si>
    <t>27 JAN 616AM</t>
  </si>
  <si>
    <t>exit by session end</t>
  </si>
  <si>
    <t>low conviction aftr 6 had too many sellers</t>
  </si>
  <si>
    <t>949pm</t>
  </si>
  <si>
    <t>Ranged (-6,-5 to -3,-2))</t>
  </si>
  <si>
    <t>27 jan 559am</t>
  </si>
  <si>
    <t>420AM</t>
  </si>
  <si>
    <t>47mins</t>
  </si>
  <si>
    <t>507am</t>
  </si>
  <si>
    <t>free money</t>
  </si>
  <si>
    <t>PPI YOY Q4 (P6.4% F6.3% A5.8%)</t>
  </si>
  <si>
    <t>PPI QOQ Q4 (P1.9% F1.7% A0.7%)</t>
  </si>
  <si>
    <t>Ranged (-2 to -4,-5)</t>
  </si>
  <si>
    <t>30 jan 23 706pm</t>
  </si>
  <si>
    <t>Scratched half (2 @ -2) because of massive block buying</t>
  </si>
  <si>
    <t>early exit as can enter again with more lots</t>
  </si>
  <si>
    <t>221pm</t>
  </si>
  <si>
    <t>Sz @ -9 + Ranged (-9 to -11)</t>
  </si>
  <si>
    <t>terminal closing to 4% (steep kink/more negative values)</t>
  </si>
  <si>
    <t xml:space="preserve">Bias of cuts + recession odds </t>
  </si>
  <si>
    <t>&lt;=-11</t>
  </si>
  <si>
    <t>31 jan 750am</t>
  </si>
  <si>
    <t>gg</t>
  </si>
  <si>
    <t>Retail Sales (MoM) (Dec) (p1.4% f-0.3% a-3.9%)</t>
  </si>
  <si>
    <t>Outrights went up 4 ticks and retracd within 7mins | ultra dovish</t>
  </si>
  <si>
    <t>IR S23</t>
  </si>
  <si>
    <t>5mins</t>
  </si>
  <si>
    <t>event</t>
  </si>
  <si>
    <t>Very weak move, considering data</t>
  </si>
  <si>
    <t>Stat arb works (only for spds) at extremes; use 3 lots each at different prices, hold the best one for at least 3-5d</t>
  </si>
  <si>
    <t>Trade less frequently with more lots; (EXTREME cases w more conviction use 5 lots)</t>
  </si>
  <si>
    <t>Only play ranged in sticky contracts (s23 spd)</t>
  </si>
  <si>
    <t>February 23 live</t>
  </si>
  <si>
    <t>FEB</t>
  </si>
  <si>
    <t>INITIAL INCREMENT: (3,4,5 -&gt; 5,7,8)</t>
  </si>
  <si>
    <t>Only in defensive strats</t>
  </si>
  <si>
    <t>Only Defensive strats increment; rest previous levels</t>
  </si>
  <si>
    <t>Long timeframe strats</t>
  </si>
  <si>
    <t>1214am</t>
  </si>
  <si>
    <t>Ranged (-2 to -4)</t>
  </si>
  <si>
    <t>&lt;= -0.03</t>
  </si>
  <si>
    <t>529am</t>
  </si>
  <si>
    <t>1230AM</t>
  </si>
  <si>
    <t>FED HIKES BY 25 BP (4.75%)</t>
  </si>
  <si>
    <t>No major moves b4 speech</t>
  </si>
  <si>
    <t>FED'S POWELL: DISINFLATIONARY PROCESS IS AT AN EARLY STAGE</t>
  </si>
  <si>
    <t>Outrigths moved up 5-6 ticks | front spd was already up in prev session, went down 3 ticks | rest all spds moved 1 tick up and down (mostly up)</t>
  </si>
  <si>
    <t>1250PM</t>
  </si>
  <si>
    <t>Ranged (-11 to -9)</t>
  </si>
  <si>
    <t>exit aftr RBA (TUE)</t>
  </si>
  <si>
    <t>3 feb 830pm</t>
  </si>
  <si>
    <t>scratch 1 monday since opposite of curve + a little aggressive with 3 lots</t>
  </si>
  <si>
    <t>231pm</t>
  </si>
  <si>
    <t>Sz(4,2)</t>
  </si>
  <si>
    <t>bias against 0  + scalping</t>
  </si>
  <si>
    <t>exit b4 RBA (TUE)</t>
  </si>
  <si>
    <t>aggressive trade (only defensive trades????)</t>
  </si>
  <si>
    <t>can go more negative</t>
  </si>
  <si>
    <t>LOST DISCIPLINE/DID NOT PLAN AHEAD OF RBA HIKE (NEW MKT STATE POSSIBLE)</t>
  </si>
  <si>
    <t>DONT APPLY AGGRESSIVE STRATS (WITH MORE THAN USUAL LOTS) B4 POSSIBLY NEW MKT STATE</t>
  </si>
  <si>
    <t>PLAY on DEFENSIVE strats with more lots first</t>
  </si>
  <si>
    <t>659pm</t>
  </si>
  <si>
    <t xml:space="preserve">Stat arb. </t>
  </si>
  <si>
    <t>too many cuts too soon</t>
  </si>
  <si>
    <t>&gt;=10</t>
  </si>
  <si>
    <t>3 feb 806pm</t>
  </si>
  <si>
    <t>717pm</t>
  </si>
  <si>
    <t>bias towards some hikes for the case of pause and then hikes</t>
  </si>
  <si>
    <t xml:space="preserve">should not have hikes </t>
  </si>
  <si>
    <t>exit 2 @ 1</t>
  </si>
  <si>
    <t>early exit bcoz can go negativve + 3RD FRA 1!(pricing wise -8,-12)</t>
  </si>
  <si>
    <t>FRA driven move (3rd fra 12 -&gt; 4)</t>
  </si>
  <si>
    <t>730PM</t>
  </si>
  <si>
    <t>Sz(20,19)</t>
  </si>
  <si>
    <t>~23,24</t>
  </si>
  <si>
    <t>middle of pricing range (max being 27)</t>
  </si>
  <si>
    <t>7pm event</t>
  </si>
  <si>
    <t>Sz(-5,-6) + ranged (-5 to -2)</t>
  </si>
  <si>
    <t xml:space="preserve">Bias towards too many cuts </t>
  </si>
  <si>
    <t>~ -0.03</t>
  </si>
  <si>
    <t xml:space="preserve">defensive entry </t>
  </si>
  <si>
    <t>exit 1 @ -4</t>
  </si>
  <si>
    <t>3 feb 436pm</t>
  </si>
  <si>
    <t>Scratched 2 @ 2</t>
  </si>
  <si>
    <t>holding 2 lots till event; can get better entry</t>
  </si>
  <si>
    <r>
      <rPr>
        <b/>
        <sz val="10"/>
        <color rgb="FF333333"/>
        <rFont val="Calibri"/>
        <family val="2"/>
      </rPr>
      <t>Nonfarm Payrolls (Jan</t>
    </r>
    <r>
      <rPr>
        <b/>
        <sz val="10"/>
        <color rgb="FF434343"/>
        <rFont val="Calibri"/>
        <family val="2"/>
      </rPr>
      <t>) (P260K F185K A517K)</t>
    </r>
  </si>
  <si>
    <t>Outrights went down 3-4 ticks initially then went down 10+ticks (6-7ticks in 1 hr)</t>
  </si>
  <si>
    <r>
      <rPr>
        <b/>
        <sz val="10"/>
        <color rgb="FF333333"/>
        <rFont val="Calibri"/>
        <family val="2"/>
      </rPr>
      <t>Unemployment Rate (Jan</t>
    </r>
    <r>
      <rPr>
        <b/>
        <sz val="10"/>
        <color rgb="FF434343"/>
        <rFont val="Calibri"/>
        <family val="2"/>
      </rPr>
      <t>) (p3.5% f3.6% a3.4%)</t>
    </r>
  </si>
  <si>
    <t>IR J24</t>
  </si>
  <si>
    <t>Momentum + RZ in excel (Rz D)</t>
  </si>
  <si>
    <t>705pm</t>
  </si>
  <si>
    <t>enter with more lots if allof the important data is strong and/or hold (partial lots) for 15-45mins</t>
  </si>
  <si>
    <t>6MINS</t>
  </si>
  <si>
    <t>706PM</t>
  </si>
  <si>
    <t xml:space="preserve">WENT TILL 96.56 </t>
  </si>
  <si>
    <t>WAIT TILL 4-5 TICKS WITH 1 LOT AT LEAST (min variance; so w8 10mins- 15mins)</t>
  </si>
  <si>
    <t>wait 20mins at least if not going anti</t>
  </si>
  <si>
    <t>lagging trades hold a little longer</t>
  </si>
  <si>
    <t>Entering once with defined lots better (more lots when data is very strong and is supported by markets)</t>
  </si>
  <si>
    <t>went till 96.32</t>
  </si>
  <si>
    <t>So my strength is in entering once with defined lots rather than adding on positions (cant hold longer as less conviction + experience)</t>
  </si>
  <si>
    <t>Enter once (with more lots if data is respected by mkts and is very strong as well)</t>
  </si>
  <si>
    <t>724pm</t>
  </si>
  <si>
    <t>can go 0 or negative if no more hikes</t>
  </si>
  <si>
    <t>738pm</t>
  </si>
  <si>
    <t>NO MORE conviction</t>
  </si>
  <si>
    <t>Defensive trades only with more lots (5,7) + lagging trades</t>
  </si>
  <si>
    <t>816PM</t>
  </si>
  <si>
    <t>848PM</t>
  </si>
  <si>
    <t>540AM</t>
  </si>
  <si>
    <t>Ranged (-3,-5)</t>
  </si>
  <si>
    <t>Curve anomaly (j23 fly long or s23 fly short) s23 common + in direction of curve</t>
  </si>
  <si>
    <t>&lt;=-5</t>
  </si>
  <si>
    <t>7 FEB 1040AM</t>
  </si>
  <si>
    <t>Scratched 3 @ -3  | 2 @ -5</t>
  </si>
  <si>
    <r>
      <rPr>
        <b/>
        <sz val="10"/>
        <color rgb="FF333333"/>
        <rFont val="Calibri"/>
        <family val="2"/>
      </rPr>
      <t>Retail Sales (QoQ) (Q4</t>
    </r>
    <r>
      <rPr>
        <b/>
        <sz val="10"/>
        <color rgb="FF434343"/>
        <rFont val="Calibri"/>
        <family val="2"/>
      </rPr>
      <t>) (p0.2% f-0.6% a-0.2%)</t>
    </r>
  </si>
  <si>
    <t>NO MOVE (outrigths were already down 3-5 ticks)</t>
  </si>
  <si>
    <t>6 feb 23, 7 feb 23</t>
  </si>
  <si>
    <t>714am, 648am</t>
  </si>
  <si>
    <t>Rz @ (6 to 8)</t>
  </si>
  <si>
    <t>should go towards 0 (bias of less hikes)</t>
  </si>
  <si>
    <t>4 ticks affordable</t>
  </si>
  <si>
    <t>0 or 3</t>
  </si>
  <si>
    <t>hold till aftr event</t>
  </si>
  <si>
    <t>bias towards 0</t>
  </si>
  <si>
    <t>1123pm</t>
  </si>
  <si>
    <t>Add 1 more nxt session | done | SCRATCHED 1 @ 5</t>
  </si>
  <si>
    <t>1138AM</t>
  </si>
  <si>
    <t>S23 FLY CALENDAR</t>
  </si>
  <si>
    <t>Rz @ (8-10)</t>
  </si>
  <si>
    <t>s23 s @ -3 | d23 b @ -11</t>
  </si>
  <si>
    <t>&lt;=6</t>
  </si>
  <si>
    <t>hold till aftr event | FRI</t>
  </si>
  <si>
    <t>7 FEB 1154AM</t>
  </si>
  <si>
    <t>D23 EXIT @ -12 | S23 @ -5</t>
  </si>
  <si>
    <t>258am</t>
  </si>
  <si>
    <t>Ranged (-1 to -5)</t>
  </si>
  <si>
    <t>Curve anomaly (j23 fly long or s23 fly short) s23 common + in direction of curve + bias of not positive</t>
  </si>
  <si>
    <t>9 feb 23 411pm</t>
  </si>
  <si>
    <t>exit 3 @ -5 (EVENT) | 2 @ -6</t>
  </si>
  <si>
    <t>6AM</t>
  </si>
  <si>
    <t>RBA HIKES 25BP (3.35%)</t>
  </si>
  <si>
    <t>OUTRIGHTS WENT DOWN 10+BP as statement marginally hawkish</t>
  </si>
  <si>
    <t>bias of long side</t>
  </si>
  <si>
    <t xml:space="preserve">scratch -9 </t>
  </si>
  <si>
    <t>2D</t>
  </si>
  <si>
    <t>9feb 657pm, 10 FEB 425AM</t>
  </si>
  <si>
    <t>1 @-10</t>
  </si>
  <si>
    <t>Scratch</t>
  </si>
  <si>
    <t>aggressive</t>
  </si>
  <si>
    <t>UNCLEAR view @ backs due to growth concerns</t>
  </si>
  <si>
    <t>scale down in far backs &amp; kink (2,3,5) and hold less duration</t>
  </si>
  <si>
    <t>SZ @ -1</t>
  </si>
  <si>
    <t>Should not be positive (less downside)</t>
  </si>
  <si>
    <t>-6 to -8</t>
  </si>
  <si>
    <t>16 FEB 23 6AM</t>
  </si>
  <si>
    <t>exit 2@-5, 2@-6 &gt;&gt; all @-4</t>
  </si>
  <si>
    <t>short @-3 3, -2 4 | DONE</t>
  </si>
  <si>
    <t xml:space="preserve">stat arb </t>
  </si>
  <si>
    <t>10 FEB 435AM</t>
  </si>
  <si>
    <t>scratched 1 \ Scratched 2 @ -16 (since growth expectations bad in 23,24); entered again @ -16</t>
  </si>
  <si>
    <t>ranged mkt (can just scalp till thu)</t>
  </si>
  <si>
    <t>respecting the patience | wrong direction; scratched 1</t>
  </si>
  <si>
    <t>940AM</t>
  </si>
  <si>
    <t>Stat arb -13 (1st time) + liq gap @-12</t>
  </si>
  <si>
    <t>hold till thu</t>
  </si>
  <si>
    <t>14 FEB 724PM</t>
  </si>
  <si>
    <t>SCRATCH | 2@-15</t>
  </si>
  <si>
    <t>held longer from long side | could have exited at -12 the same day</t>
  </si>
  <si>
    <t>growth bad -&gt; can go lower | enter shorting side</t>
  </si>
  <si>
    <t>Sz @ -12</t>
  </si>
  <si>
    <t>Hedge for remaining S23 spd</t>
  </si>
  <si>
    <t>156pm</t>
  </si>
  <si>
    <t>4,5</t>
  </si>
  <si>
    <t>1040AM</t>
  </si>
  <si>
    <t>should retrace a little</t>
  </si>
  <si>
    <t>1.5h</t>
  </si>
  <si>
    <t>1255pm</t>
  </si>
  <si>
    <t>Since can go higher | did go till 35 during Powell speech later at night</t>
  </si>
  <si>
    <t>1247am</t>
  </si>
  <si>
    <t>425am</t>
  </si>
  <si>
    <t xml:space="preserve">TIMEOUT | no new entries till FRI </t>
  </si>
  <si>
    <t>SCALE DOWN</t>
  </si>
  <si>
    <t>3AM</t>
  </si>
  <si>
    <t>LIQ GAP FROM 41 TO 44 (later entry as well)</t>
  </si>
  <si>
    <t>BIAS TOWARDS 38</t>
  </si>
  <si>
    <t>Bias of lesser hikes</t>
  </si>
  <si>
    <t>41 - 38</t>
  </si>
  <si>
    <t>5am</t>
  </si>
  <si>
    <t>aggressive entry</t>
  </si>
  <si>
    <t>Pricing ~48</t>
  </si>
  <si>
    <t>NOT A MKT TO ENTER WITH MORE LOTS IN SINGLE PRICES</t>
  </si>
  <si>
    <t>448AM, 609AM</t>
  </si>
  <si>
    <t>should go towards 0 (bias of less hikes in these qtrs)</t>
  </si>
  <si>
    <t>6,7</t>
  </si>
  <si>
    <t>13 FEB 412AM</t>
  </si>
  <si>
    <t>EXIT 9</t>
  </si>
  <si>
    <t>SOMP FEB23 | Inflation is expected to decline in near term</t>
  </si>
  <si>
    <t>outrights were already down; went up then came down again; 1st spd already up, stayed there for a while, 2nd, 3rd spd went up then retraced 1 tick, backs no major move but selling pressure occured</t>
  </si>
  <si>
    <t>Uncertain mkts | avoid multiple contracts @ back (use (2,3,5)) | mid and fronts can go with 1,2; avoid 1st contract</t>
  </si>
  <si>
    <t>11am</t>
  </si>
  <si>
    <t>Prev Sz</t>
  </si>
  <si>
    <t>bias towards down</t>
  </si>
  <si>
    <t>13 feb 23 608am</t>
  </si>
  <si>
    <t xml:space="preserve">Short 2 more for hedge as well for j24 spd </t>
  </si>
  <si>
    <t>hold, exit @ -11</t>
  </si>
  <si>
    <t>924pm</t>
  </si>
  <si>
    <t>&gt;6, NEAR 0</t>
  </si>
  <si>
    <t>NXT BUY @ 15x2</t>
  </si>
  <si>
    <t>HOLD</t>
  </si>
  <si>
    <t>13 feb 23 909am</t>
  </si>
  <si>
    <t>exit @ 9</t>
  </si>
  <si>
    <t>hold till 15 and buy 2 @ 15</t>
  </si>
  <si>
    <t>Avoid shorting front spds</t>
  </si>
  <si>
    <t>Hawkish state @ front | cuts should shift far back | kink shift back anticipation</t>
  </si>
  <si>
    <t>SCALE DOWN | (1,2,3)</t>
  </si>
  <si>
    <t>TIMEOUT | TRADE LESS FREQUENTLY AND WITH LESSER LOTS</t>
  </si>
  <si>
    <t>MKT not in a state where you can take more lots @ 1 price | take few lots @ different prices</t>
  </si>
  <si>
    <t>Avoid trading | TIMEOUT FOR SOME TIME</t>
  </si>
  <si>
    <t>412AM</t>
  </si>
  <si>
    <t>Should not be positive</t>
  </si>
  <si>
    <t>15 feb 748pm</t>
  </si>
  <si>
    <t>Will remember this!</t>
  </si>
  <si>
    <t>16 feb 330am</t>
  </si>
  <si>
    <t>mkt in a hawkish state</t>
  </si>
  <si>
    <t>10pm</t>
  </si>
  <si>
    <t>9feb 411pm</t>
  </si>
  <si>
    <t>Transferred above</t>
  </si>
  <si>
    <t>7PM</t>
  </si>
  <si>
    <t>US CORE CPI MOM (JAN) (P0.4%, F0.4% A0.4%)</t>
  </si>
  <si>
    <t>OUTRIGHTS MOVED DOWN 7-8 TICKS RETRACED 3-4 TICKS | NO MAJOR MOVE</t>
  </si>
  <si>
    <t>Nxt session v late ret of outrights</t>
  </si>
  <si>
    <t>10 ticks ret. in IR</t>
  </si>
  <si>
    <t>very late move downwards of 10 ticks</t>
  </si>
  <si>
    <t>US CPI MOM JAN (P-0,1% F0.5% A0.5%)</t>
  </si>
  <si>
    <t>outrights went down more @ 930pm</t>
  </si>
  <si>
    <t>US CPI YOY JAN (P6.5% F6.2% A6.5%)</t>
  </si>
  <si>
    <t>slight hawkish</t>
  </si>
  <si>
    <t>US CORE CPI YOY JAN (P5.7% F5.5% A 5.6%)</t>
  </si>
  <si>
    <t>14 feb 23, 15 feb 23, 16 FEB 23</t>
  </si>
  <si>
    <t>757PM, mkt open, EVENT</t>
  </si>
  <si>
    <t>BAD GROWTH + CUTS SHOULD BE PRICED IN</t>
  </si>
  <si>
    <t>Scalping+BIAS towards more cuts</t>
  </si>
  <si>
    <t>&gt;=-11</t>
  </si>
  <si>
    <t>add more @-9</t>
  </si>
  <si>
    <t>Scalp</t>
  </si>
  <si>
    <t>exit 3 @ -11</t>
  </si>
  <si>
    <t>912 pm</t>
  </si>
  <si>
    <t>Sz @ 15</t>
  </si>
  <si>
    <t>more cuts if more hikes</t>
  </si>
  <si>
    <t>bias of less hikes</t>
  </si>
  <si>
    <t>nxt entry would be @20</t>
  </si>
  <si>
    <t>&lt;=12</t>
  </si>
  <si>
    <t>still very hawkish till end of 23</t>
  </si>
  <si>
    <t>258AM</t>
  </si>
  <si>
    <t>safe exit</t>
  </si>
  <si>
    <t>505AM</t>
  </si>
  <si>
    <t>17feb 12am</t>
  </si>
  <si>
    <t>Scalp/scratch</t>
  </si>
  <si>
    <t>Sz @ 1,2</t>
  </si>
  <si>
    <t>max ret. @ -4</t>
  </si>
  <si>
    <t>645am</t>
  </si>
  <si>
    <t>hodl</t>
  </si>
  <si>
    <t>US Core Retail Sales (MoM) (Jan) (P-0.9% F0.8% A2.3%)</t>
  </si>
  <si>
    <t>Outrights went down very little as compared to data, retraced half | 1st spd went up 1tick, 2nd spd went down from 19 to 16 3rd spd went up 2ticks, backs went up 1tick</t>
  </si>
  <si>
    <t>US Retail Sales (MoM) (Jan) (P-1.1% F1.8% A3%)</t>
  </si>
  <si>
    <t>Employment change Jan (p-14.6k f20k a-11k)</t>
  </si>
  <si>
    <t>Outrights went up 5-8ticks | 1st spd down 5 ticks 2nd spd down 4 ticks rest same | only 1 tick moves @ back can scalp asap | data was negative (not less positive) so move was strong</t>
  </si>
  <si>
    <t>follow transition phase, no risky bets</t>
  </si>
  <si>
    <t>comeback in 2nd half of month slow and steady</t>
  </si>
  <si>
    <t>book 1 tick intraday</t>
  </si>
  <si>
    <t xml:space="preserve">Expectations 20k but actual -ve so miss by a big difference; move (even if temporary) should come </t>
  </si>
  <si>
    <t>Unemployment change (p3.5% f3.5% a3.7%)</t>
  </si>
  <si>
    <t>high dovish</t>
  </si>
  <si>
    <t>Track IB trades; if false move can retrace</t>
  </si>
  <si>
    <t>IB Apr ~ 96.35 short</t>
  </si>
  <si>
    <t xml:space="preserve">IR S24 </t>
  </si>
  <si>
    <t>30mins</t>
  </si>
  <si>
    <t>636am</t>
  </si>
  <si>
    <t>Hit @ 2 price below</t>
  </si>
  <si>
    <t>623 am</t>
  </si>
  <si>
    <t>Hit @ best mkt price</t>
  </si>
  <si>
    <t>18h</t>
  </si>
  <si>
    <t>17 feb 12am</t>
  </si>
  <si>
    <t>11pm</t>
  </si>
  <si>
    <t>11PM</t>
  </si>
  <si>
    <t>EARLY EXIT AS OPPOSITE OF CURVE AND MOMENTUM</t>
  </si>
  <si>
    <t>624am</t>
  </si>
  <si>
    <t>Ranged (49 to 46)</t>
  </si>
  <si>
    <t>20 mins</t>
  </si>
  <si>
    <t>644am</t>
  </si>
  <si>
    <t>next entry @ 51,52</t>
  </si>
  <si>
    <t>912pm</t>
  </si>
  <si>
    <t>Rz (51 to 54)</t>
  </si>
  <si>
    <t>~0.48</t>
  </si>
  <si>
    <t>range (changes)</t>
  </si>
  <si>
    <t>20 feb 648am</t>
  </si>
  <si>
    <t>705am</t>
  </si>
  <si>
    <t>21 feb 1058am</t>
  </si>
  <si>
    <t>scratch</t>
  </si>
  <si>
    <t>then start cutting</t>
  </si>
  <si>
    <t>EXIT B4 WED</t>
  </si>
  <si>
    <t>747am</t>
  </si>
  <si>
    <t>Rz @ -9</t>
  </si>
  <si>
    <t>24 feb 925am, 27 feb 648am</t>
  </si>
  <si>
    <t>if hits -9 scratch 4 | done</t>
  </si>
  <si>
    <t>scratched 2 | scratched 2</t>
  </si>
  <si>
    <t>EXIT B4 THU | exit 1 b4 fri 2nd session</t>
  </si>
  <si>
    <t>753am</t>
  </si>
  <si>
    <t>Rz @ -12 + ranged (-12 to -15)</t>
  </si>
  <si>
    <t>Scalping + more cuts in these qtrs</t>
  </si>
  <si>
    <t>23 feb 443pm</t>
  </si>
  <si>
    <t>a little defensive</t>
  </si>
  <si>
    <t>Should go down | upside risk low</t>
  </si>
  <si>
    <t>EXIT B4 THU</t>
  </si>
  <si>
    <t>446am</t>
  </si>
  <si>
    <t>Ranged (1 to 3)</t>
  </si>
  <si>
    <t>6h</t>
  </si>
  <si>
    <t>1058am</t>
  </si>
  <si>
    <t>MAX 2 ENTRIES</t>
  </si>
  <si>
    <t>ACE</t>
  </si>
  <si>
    <t>6am</t>
  </si>
  <si>
    <t>RBA minutes | 1) Pause was not discussed 2) 50bp argument was mainly from wages angles, and more persistent inflation than previously thought </t>
  </si>
  <si>
    <t>1st 3 spds moved up and retraced</t>
  </si>
  <si>
    <t>Dont hesitate if 2 ticks anti with more lots | get used to it | only a multiplier</t>
  </si>
  <si>
    <t>MAX 2 ENTRIES | Check stat analysis</t>
  </si>
  <si>
    <t>Selective Defensive, direction of curve | 0,7,8 | if touched &gt; 2 ticks if flipped &gt; scalp</t>
  </si>
  <si>
    <t>DO NOT DISCUSS W ANYONE!</t>
  </si>
  <si>
    <t>533AM</t>
  </si>
  <si>
    <t>Rz @ 3,4</t>
  </si>
  <si>
    <t>2 or scratch</t>
  </si>
  <si>
    <t>depends on better price</t>
  </si>
  <si>
    <t>short @ 5 and hold for ret</t>
  </si>
  <si>
    <t>Catch this session; exit nxt session or day</t>
  </si>
  <si>
    <t>WPI QOQ Q4 (P1% F1% A0.8%)</t>
  </si>
  <si>
    <t>Outrights were already down went up so 2-3 ticks aftr hitting | front spd went down aftr going up (till d23 spd) | backs no major move</t>
  </si>
  <si>
    <t>if it beats previous (0.7%) then up | if &gt;1% down</t>
  </si>
  <si>
    <t>front Spd went down more later</t>
  </si>
  <si>
    <t>WPI YOY (P3.1% F3.5% A3.3%)</t>
  </si>
  <si>
    <t>few mins</t>
  </si>
  <si>
    <t xml:space="preserve">aftr data leading ones started to fall and was only 2 ticks in the money | quick exit + would have gone for short trade </t>
  </si>
  <si>
    <t>Nxt time take a front spd trade (if not at extreme)</t>
  </si>
  <si>
    <t>RBNZ HIKES BY 50BP (4.75%)</t>
  </si>
  <si>
    <t>No big move | 75 BPS WERE CONSIDERED | MONETARY CONDITIONS NEED TO TIGHTEN FURTHER</t>
  </si>
  <si>
    <t>IB Apr 96.32 short | 15bp | missed again; hit nxt time dont think</t>
  </si>
  <si>
    <t>Selective Defensive, direction of curve |3,4,5 &gt; 0,7,8 | if touched &gt; 2 ticks | if flipped &gt; scalp</t>
  </si>
  <si>
    <t>Rz @ -14, -13</t>
  </si>
  <si>
    <t>50mins</t>
  </si>
  <si>
    <t>910AM</t>
  </si>
  <si>
    <t>Liq gap (52 to 48)</t>
  </si>
  <si>
    <t>626pm</t>
  </si>
  <si>
    <t>TIMEOUT AFTR THIS WEEK</t>
  </si>
  <si>
    <t>did not want to hold long</t>
  </si>
  <si>
    <t>went till 56 easily 23 feb 4pm</t>
  </si>
  <si>
    <t>nxt time take 2 entries somehow | exit 1 @ the specified liq gap end and hold the other w trailing SL @ scratch+1 level</t>
  </si>
  <si>
    <t>US GDP (QoQ) (Q4) (P3.2% F2.9% A2.7%)</t>
  </si>
  <si>
    <t>No big moves</t>
  </si>
  <si>
    <t>US Initial jobless claims (p194k f200k a192k)</t>
  </si>
  <si>
    <t>7pm</t>
  </si>
  <si>
    <t>US core PCE index MOM Jan (p0.4% f0.4% a0.6%)</t>
  </si>
  <si>
    <t>Outrights went down by 9-10bp and stayed there till 1230am</t>
  </si>
  <si>
    <t>WED Aud cpi + gdp data &gt; mkt state can change</t>
  </si>
  <si>
    <t>recession odds are higher now + cuts will be sooner (around m24 to s24)</t>
  </si>
  <si>
    <t>Terminal can go and stay around 5%; US effect</t>
  </si>
  <si>
    <t>US core PCE index YOY Jan (p4.6% f4.3% a4.7%)</t>
  </si>
  <si>
    <t>1130pm</t>
  </si>
  <si>
    <t>Stat arb (21 above) + gap &amp; potential SL hits | moved from 18 to 23 (6ticks) | var 75 3-4ticks | ret</t>
  </si>
  <si>
    <t>20 or 21 (mostly 21) | exit 1 at 21</t>
  </si>
  <si>
    <t>Gap</t>
  </si>
  <si>
    <t>enter 2 @ 27</t>
  </si>
  <si>
    <t>mon</t>
  </si>
  <si>
    <t>tue retail sales</t>
  </si>
  <si>
    <t>27 feb 320pm</t>
  </si>
  <si>
    <t>Hold till 2nd half | TOUCHED 20 then 2nd session went back to 23</t>
  </si>
  <si>
    <t>scratched 1 | 2</t>
  </si>
  <si>
    <t>should have exited @ 21 x 1</t>
  </si>
  <si>
    <t>if going against direction of curve, exit within next session, if ret was the plan</t>
  </si>
  <si>
    <t xml:space="preserve">not a holding market; trade frequently </t>
  </si>
  <si>
    <t>AUD Retail sales (p-3.9% f1.5% a1.9%)</t>
  </si>
  <si>
    <t>Outrights moved up instead of down</t>
  </si>
  <si>
    <t>FEW MINS</t>
  </si>
  <si>
    <t>mkt was already up so took a short position | started going up! |later realized it came down from the top already | only when big misses occur it will continue to go down</t>
  </si>
  <si>
    <t>Look at lead lag once (like the fronts) | if no move there, avoid trading</t>
  </si>
  <si>
    <t>Went down to 95.91 in 30mins | shit move</t>
  </si>
  <si>
    <t>CPI expectations were dovish int down ir up | already up; Retail sales hawkish int up ir down &gt; came down but tom cpi dovish so respected that</t>
  </si>
  <si>
    <t>Avoid trading in retails sales of AUD | not important</t>
  </si>
  <si>
    <t>Never trade wrt volume; nxt level spoofing</t>
  </si>
  <si>
    <t>Hawkish bias</t>
  </si>
  <si>
    <t>3 &gt; scratch</t>
  </si>
  <si>
    <t>Rz @ 4</t>
  </si>
  <si>
    <t>1 mar 948AM</t>
  </si>
  <si>
    <t>Pause bias after Mar 1 data</t>
  </si>
  <si>
    <t>1254pm</t>
  </si>
  <si>
    <t xml:space="preserve">Recession bias </t>
  </si>
  <si>
    <t>-0.12 or -0.11 &gt;&gt; -11</t>
  </si>
  <si>
    <t xml:space="preserve">touched -12 + recession bias </t>
  </si>
  <si>
    <t>After RBA</t>
  </si>
  <si>
    <t>b4 lowe speech wed</t>
  </si>
  <si>
    <t>6 Mar 534pm</t>
  </si>
  <si>
    <t>with world curve view</t>
  </si>
  <si>
    <t>Transition phase : intraday + flexibility in lot sizes</t>
  </si>
  <si>
    <t>Stat arb can work only for 1 session | avoid</t>
  </si>
  <si>
    <t>Use trailing SL in outrights and book partial profits</t>
  </si>
  <si>
    <t>Lookout for potential resistnce zones (via SR zones or MAs and partial book around those zones)</t>
  </si>
  <si>
    <t>The side that you enter from is important in terms of clip sizego steady in uncertain or transforming market; with reduced shot and clip</t>
  </si>
  <si>
    <t xml:space="preserve">there should be a balance b/w no. of positions (contract wise) and the size of individual positions per contract </t>
  </si>
  <si>
    <t>March 23 live</t>
  </si>
  <si>
    <t>MAR</t>
  </si>
  <si>
    <t>CPI (YoY) (p8.4% f8.1% a7.4%)</t>
  </si>
  <si>
    <t>Outrights went up (10 ticks after hit ret aftr 40mins) | front spds down by 6-9 ticks | backs up then ret 1 ticks</t>
  </si>
  <si>
    <t>Bonds both went up | since CPI (JAN) was recent and GDP QOQ (OCT) | Mkt will respect more the recent one (CPI in this case) so give that more weightage</t>
  </si>
  <si>
    <t>GDP (QoQ) (Q4) (p0.6% f0.8% a0.5%)</t>
  </si>
  <si>
    <t>Both data dovish | cpi a little ultra dovish</t>
  </si>
  <si>
    <t xml:space="preserve">IR S23 </t>
  </si>
  <si>
    <t>Momentum + cases + lead lag 1st ir</t>
  </si>
  <si>
    <t>48MINS</t>
  </si>
  <si>
    <t>Exit via hit + had Trailing SL</t>
  </si>
  <si>
    <t>delay in release; keep open multiple sources + listen to sir announcing it if data not displayed</t>
  </si>
  <si>
    <t xml:space="preserve">Mar 1, Mar 3 </t>
  </si>
  <si>
    <t>EVENT, 110am</t>
  </si>
  <si>
    <t>converted 7&gt;&gt;all lots to s24 fly @ -1</t>
  </si>
  <si>
    <t>Rz @ -13</t>
  </si>
  <si>
    <t>supporting data domestic and world</t>
  </si>
  <si>
    <t>Recession bias + Scalping</t>
  </si>
  <si>
    <t>Scalping since touched -13 | exit all -15/-14 if get -13</t>
  </si>
  <si>
    <t>rba tue</t>
  </si>
  <si>
    <t>3 mar 432am</t>
  </si>
  <si>
    <t>Scratch | world curve behaviour</t>
  </si>
  <si>
    <t>cut at 1 tick loss (only) if s24 spd is exit at -11</t>
  </si>
  <si>
    <t>TRY THESE PLAY TILL FRI | sl</t>
  </si>
  <si>
    <t>if there COULD be less hikes there COULD be less cuts | thats why the back spreads moved up</t>
  </si>
  <si>
    <t>Cant adjust this quickly, yet; take the losses</t>
  </si>
  <si>
    <t>LOOK FOR OPPORTUNITIES WHERE  THE MASSES CANT SEEM TO THINK THAT THEY CAN LOSE MUCH | THINK ABOUT STRONG BIASES AND SEE HOW CAN THAT FAIL, FIND CASES OF IT FAILING, BECAUSE IF AND WHEN IT MIGHT FAIL THERE WILL BE SHIFT AND EXTREME MOVES</t>
  </si>
  <si>
    <t>Always have some reserves per play/strategy available to take up new strategy when shocks happen</t>
  </si>
  <si>
    <t>Dont put all money available as risk implied; or reduce the risk by tightening the SL or partial SLs at different prices going anti</t>
  </si>
  <si>
    <t>Fell victim to liq gap | from now always have few lots reserved for this to happen | especially if exit plan is not within FEW hours (1-3)</t>
  </si>
  <si>
    <t>Ret</t>
  </si>
  <si>
    <t>mean of value ranges + near settle</t>
  </si>
  <si>
    <t>7h</t>
  </si>
  <si>
    <t>1.30pm</t>
  </si>
  <si>
    <t>Nxt session exit @ 2 var</t>
  </si>
  <si>
    <t>move did not come</t>
  </si>
  <si>
    <t>TRY THESE PLAY TILL FRI</t>
  </si>
  <si>
    <t>8AM</t>
  </si>
  <si>
    <t>Rz @ -13, -12</t>
  </si>
  <si>
    <t>Scalping + recession bias</t>
  </si>
  <si>
    <t>did not touch -12 | if touched -12 exit -14 all</t>
  </si>
  <si>
    <t>3 mar ~4,5am</t>
  </si>
  <si>
    <t>Against majority of world curves</t>
  </si>
  <si>
    <t>Mkt moves in gaps when changing theme; at extreme variances</t>
  </si>
  <si>
    <t>Ranges and zones create anchoring effect in such times</t>
  </si>
  <si>
    <t xml:space="preserve">Mkt moves a lot in small time in shocks or 1 session </t>
  </si>
  <si>
    <t>TIP : Use fewer lots and if the extreme is broken take position to scalp | Maybe try with fewer lots to add position in momentum and not heat</t>
  </si>
  <si>
    <t>Keep the SL(s) all times | dont use TT OCO always forflexibility but TT Stop should be there</t>
  </si>
  <si>
    <t>Treasury 10-year yields topped 4% for the first time since November, signaling the Fed’s warnings of higher-for-longer rates are finally sinking in</t>
  </si>
  <si>
    <t>1020am</t>
  </si>
  <si>
    <t>-13 or -12</t>
  </si>
  <si>
    <t>touched -12 exit -14 all</t>
  </si>
  <si>
    <t>6 mar 920am</t>
  </si>
  <si>
    <t>Scalp | against world curve views &gt;&gt; SCRATCH</t>
  </si>
  <si>
    <t>D23 SPD WENT TILL -6 (SHOULD HAVE SHORTED S23 FLY WHEN S23 +VE AND D23 -10)</t>
  </si>
  <si>
    <t>Had a bias that d23 would go up when it was @ -12 | and s23 spd should not have been too positive | so s23 fly short</t>
  </si>
  <si>
    <t>3.5hrs</t>
  </si>
  <si>
    <t>437pm</t>
  </si>
  <si>
    <t>aotc fill entry @ 3 | luck100</t>
  </si>
  <si>
    <t>846pm</t>
  </si>
  <si>
    <t>3 MAR 3AM</t>
  </si>
  <si>
    <t>110am</t>
  </si>
  <si>
    <t>Rz @ -11</t>
  </si>
  <si>
    <t>15h</t>
  </si>
  <si>
    <t>432pm</t>
  </si>
  <si>
    <t>go for d23 fly short x 3</t>
  </si>
  <si>
    <t>5m</t>
  </si>
  <si>
    <t>303AM</t>
  </si>
  <si>
    <t xml:space="preserve">Aftr RBA </t>
  </si>
  <si>
    <t>6 mar414am</t>
  </si>
  <si>
    <t>supports pause &amp; not many hikes in that qtr</t>
  </si>
  <si>
    <t>Aftr RBA | hodl</t>
  </si>
  <si>
    <t>Very unpredictable | scale down in usual strats | go for intraday</t>
  </si>
  <si>
    <t xml:space="preserve">Cuts wont be spread out (as fewer cuts than hikes) expect 3 backs </t>
  </si>
  <si>
    <t>sacrifice Tc in 1st entry | so 2nd one should be more than 50% and overall exposure should now be less | might take some time to get better view | directional outrights can be increased | holding period of all should be as less as possible</t>
  </si>
  <si>
    <t>HYPE YOURSELF FOR EVERY WIN AFTER A BIG LOSS |It has to come from within</t>
  </si>
  <si>
    <t>TRACK US CURVE + WORLD CURVES ON A DAILY BASIS BUT DONT TRY TO MIMIC | ONLY IF ALMOST ALL CURVES ARE BEHAVING IN A SIMILAR MANNER THEN MAY BE BE CAUTIOUS OR TAKE THOSE TRADES</t>
  </si>
  <si>
    <t xml:space="preserve">0,7,8 | m23 same session, rest whites 2 sessions (&gt;1d), belly &amp; backs 1d, j24 s24 2d </t>
  </si>
  <si>
    <t>No 10 lot trades this month/mkt state until you increase the Amount available by a lot</t>
  </si>
  <si>
    <t>0,7,8 for 2 MONTHS | min 3 (IR) | but same frequency of trading &gt;&gt; less | only pick up when chances are high and HOLDING DURATION WILL BE LESS with a good RISK-REWARD</t>
  </si>
  <si>
    <t xml:space="preserve">After RBA 10 lot quick scalps </t>
  </si>
  <si>
    <t xml:space="preserve">open RBA website in incognito </t>
  </si>
  <si>
    <t>Tgt of at least 2 ticks &gt; enter | scalp | 7 lots</t>
  </si>
  <si>
    <t>some consecutive Spds are moving anti to each other &gt; providing more movements in flies (s23 fly m24 fly)</t>
  </si>
  <si>
    <t>Short s23 fly 5 lots @ 10</t>
  </si>
  <si>
    <t>Everything is 50:50 so intraday opportunities will come | extreme jo bhi jaega jahan se 2 tick mil hi jaega; imagine those situations &gt;&gt; enter there and scalp with 7 lots</t>
  </si>
  <si>
    <t>1 session 1 entry per contract | no more 6 months | select 1 white and 1 red | if any 1 white / red gets filled cancel the rest | entry should be in a way such that scalp will be quick and easy | tip: var + 2 pe for backs</t>
  </si>
  <si>
    <t>Recession aa skta h but cuts nhi honge (zyada) since hikes nhi honge (zyada) | higher for longer</t>
  </si>
  <si>
    <t>thinking obscure &gt;&gt; cut positions and rethink the scenario</t>
  </si>
  <si>
    <t>Avoid looking at volume (bid ask qty) | That should not influence your decision</t>
  </si>
  <si>
    <t>440am</t>
  </si>
  <si>
    <t xml:space="preserve">S24 FLY </t>
  </si>
  <si>
    <t>KINK TRADING | Right side of kink should not be positive</t>
  </si>
  <si>
    <t>-0.03 to -0.04 | try partial exits; do not exit all at once take 2-3 shots for exit</t>
  </si>
  <si>
    <t>kink shifting can happen + downside risk is less</t>
  </si>
  <si>
    <t>Should take more @ 1 (10 lots more)</t>
  </si>
  <si>
    <t>until it gets to tgt! | #LEVERAGE</t>
  </si>
  <si>
    <t>Whole month if it takes it</t>
  </si>
  <si>
    <t>13 MAR 1005PM</t>
  </si>
  <si>
    <t>d24 @ -8 b s24 @ -9 s (mar 1, mar 3)</t>
  </si>
  <si>
    <t>at least 2 ticks | so look for 3 tick exit (when -4)</t>
  </si>
  <si>
    <t>d24 downside of 2 ticks (-10) s24 downside of 3 ticks (-6) | either of those would be 2nd entry (~1) worse case 0 | w 10 lots | high chances during US timings</t>
  </si>
  <si>
    <t>I think its called fly cause you have to catch the best price</t>
  </si>
  <si>
    <t>lost more than planned (by a lot) | this should not be repeated</t>
  </si>
  <si>
    <t>DENIAL</t>
  </si>
  <si>
    <t>Retail sales MOM (p1.9% f1.9% a1.9%)</t>
  </si>
  <si>
    <t>no move</t>
  </si>
  <si>
    <t>9am</t>
  </si>
  <si>
    <t>RBA HIKES BY 25 BP (3.6%)</t>
  </si>
  <si>
    <t xml:space="preserve">DOVISH STANCE (APR 25BP 50/50) | OUTRIGTHS WENT UP (but were in big gaps of 4 bps; so avoided this time) for 25 mins </t>
  </si>
  <si>
    <t>RBA:  THE MONTHLY CPI INDICATOR SUGGESTS THAT INFLATION HAS PEAKED IN AUSTRALIA | GROWTH HAS SLOWED</t>
  </si>
  <si>
    <t>315AM</t>
  </si>
  <si>
    <t>RBA GOV LOWE: IF DATA BEFORE NEXT BOARD MEETING SUGGESTS A PAUSE, WE WILL DO THAT |  GOV LOWE: WE ARE CLOSER TO A PAUSE ON RATES</t>
  </si>
  <si>
    <t>645PM</t>
  </si>
  <si>
    <t>US ADP Nonfarm Employment Change (Feb) (p119k f200k a242k)</t>
  </si>
  <si>
    <t>1236am</t>
  </si>
  <si>
    <t>if get d23 -8 scratch + take -13 with 14 lots and scalp</t>
  </si>
  <si>
    <t>3h</t>
  </si>
  <si>
    <t>348am</t>
  </si>
  <si>
    <t>Sz @ -12 | might get better entry (FRI + NFP + US Unemp.)</t>
  </si>
  <si>
    <t>went to -10!</t>
  </si>
  <si>
    <t>159am</t>
  </si>
  <si>
    <t>Not many cuts in that qtr</t>
  </si>
  <si>
    <t>10min</t>
  </si>
  <si>
    <t>308am</t>
  </si>
  <si>
    <t>v hard to get -8</t>
  </si>
  <si>
    <t>Make few flies to hold longer if feasible for prices that were hard to get</t>
  </si>
  <si>
    <t>D23 fly @2 missed (downside of 2-3ticks only) if went down you could have added more this traded 6 nxt session itself! | nxt time go for 5,10,10 lots @ each price 2,1,0 respectively</t>
  </si>
  <si>
    <t>if a price was not challenged much + did not break that level; make fly with at least half the lots, in that direction (make it as 1st leg) |ALWAYS, ALWAYS BETTER!! (In terms of risk reward + % win + very little downside amount) | basically do kink trading with that</t>
  </si>
  <si>
    <t>341am</t>
  </si>
  <si>
    <t>get more @ -10</t>
  </si>
  <si>
    <t>734am</t>
  </si>
  <si>
    <t xml:space="preserve">
US Nonfarm Payrolls (Feb) (p504K f205k a311k)</t>
  </si>
  <si>
    <t>Gap in outrights of 6-7bp! (then respected NFP in the end) | front spd went down 1-2bp, backs me PIQ 0 and 1 tick moves</t>
  </si>
  <si>
    <t>US Unemployment Rate (Feb) (p3.4% f3.4% a3.6%)</t>
  </si>
  <si>
    <t>8PM Outrights went up by 5bp</t>
  </si>
  <si>
    <t>FDIC: SVB BANK IS FIRST INSURED INSTITUTION TO FAIL THIS YEAR | SVB, the 16th largest bank in the U.S., no longer exists. The Feds have taken over. As much as $151 billion may be gone. | S&amp;P500 YTD @ 0%</t>
  </si>
  <si>
    <t>OUTRIGHTS WENT UP 10+ BP LATER AFTER 10PM</t>
  </si>
  <si>
    <t>CONVERTED to d23 fly @ 2</t>
  </si>
  <si>
    <t>BUY 5 M24 -10 FOR D23 FLY @ 2 x 5</t>
  </si>
  <si>
    <t>Avoid taking aggressive positions into further events (when uncertainty is high) short term trades will be preferable</t>
  </si>
  <si>
    <t>8PM</t>
  </si>
  <si>
    <t>D23 FLY</t>
  </si>
  <si>
    <t>Kink Trading</t>
  </si>
  <si>
    <t>should not go negative</t>
  </si>
  <si>
    <t>6 to 8,9</t>
  </si>
  <si>
    <t xml:space="preserve">historical </t>
  </si>
  <si>
    <t>get more @ 2,1</t>
  </si>
  <si>
    <t>13 mar834pm</t>
  </si>
  <si>
    <t>HOLD AT LEAST 1 W 2 lots | rest hold till lasty week of March | but exit b4 RBA in profit only | Can go till 8,9 later on</t>
  </si>
  <si>
    <t>d23 -8 m24 -11</t>
  </si>
  <si>
    <t>SL &gt;&gt; Holding period</t>
  </si>
  <si>
    <t>Need to change perception quickly</t>
  </si>
  <si>
    <t>130am, 158am</t>
  </si>
  <si>
    <t>SAT</t>
  </si>
  <si>
    <t>Max gone -0.06</t>
  </si>
  <si>
    <t>~ 0,-2 or else exit b4 CPI</t>
  </si>
  <si>
    <t>13 mar 339am</t>
  </si>
  <si>
    <t>Exit half b4 Tue cpi</t>
  </si>
  <si>
    <t>went to -2,-1 nxt AUD session!</t>
  </si>
  <si>
    <t>13 MAR 347AM</t>
  </si>
  <si>
    <t>Make half fly at 1 | total 15 D23fly @ 2 | ask sir</t>
  </si>
  <si>
    <t>v hard to get -9 | LOL aftr svb</t>
  </si>
  <si>
    <t xml:space="preserve">D23 FLY </t>
  </si>
  <si>
    <t>D23 @ -8 M24 @ -10</t>
  </si>
  <si>
    <t>short extra 5 lots of s23 defly @6 (must) | 13,14 as well w 10 lot</t>
  </si>
  <si>
    <t>J23 SPD S @ 21,24 --&gt; 5, 10</t>
  </si>
  <si>
    <t xml:space="preserve">News reactive mkts </t>
  </si>
  <si>
    <t>Be open to extreme cases | 0 ,cuts, etc.</t>
  </si>
  <si>
    <t xml:space="preserve">If outrights are retracing | chances are front spds (whites) might retrace as well </t>
  </si>
  <si>
    <t xml:space="preserve">can take bigger bets for pause trigger events | CBs want such data </t>
  </si>
  <si>
    <t>515pm</t>
  </si>
  <si>
    <t>IR D24</t>
  </si>
  <si>
    <t>USD/JPY -ve corr (trying)</t>
  </si>
  <si>
    <t>525pm</t>
  </si>
  <si>
    <t>negatively corr. (5m try) | especially when going down</t>
  </si>
  <si>
    <t>621PM</t>
  </si>
  <si>
    <t xml:space="preserve">Fly exit at worse price if range breaks | try to put SL in the contract which starts moving anti </t>
  </si>
  <si>
    <t>3H</t>
  </si>
  <si>
    <t>10PM</t>
  </si>
  <si>
    <t>RIP ACCOUNT</t>
  </si>
  <si>
    <t>RIP CURVE + LIQUIDITY IN SPREADS</t>
  </si>
  <si>
    <t>TIMEOUT | CURVE DISAPPEARS</t>
  </si>
  <si>
    <t>No outrigths | only momentum @ numeric data releases</t>
  </si>
  <si>
    <t xml:space="preserve">Only trade your strength with more lots | do curve trades (flies) with few lots </t>
  </si>
  <si>
    <t>As a river does, the market move along the way of the least resistance, and the way, in its turn, is defined by the shape of the river bed</t>
  </si>
  <si>
    <t>change of perception is key</t>
  </si>
  <si>
    <t>UNIVERSAL LOTS TRADES (POSITIVE EXPECTANCY SHOULD HELP YOU SEE +VE)</t>
  </si>
  <si>
    <t>S23 SPD 8 SHORT MISS</t>
  </si>
  <si>
    <t>S24 FLY AFTR SQUEEZE 15 SHORT MISS!!</t>
  </si>
  <si>
    <t>(thinking: if i was in profit would have taken that trade)</t>
  </si>
  <si>
    <t>TRADING SQUEEZE (LIQ GAP CHARACTERISTICS) IF BOTH LEGS OF FLY GOING ANTI | TAKE TRADES WITH THE AVERAGE CLIP SIZE</t>
  </si>
  <si>
    <t>6pm</t>
  </si>
  <si>
    <t>US Core CPI (MoM) (Feb) (p0.4% f0.4% a0.5%)</t>
  </si>
  <si>
    <t>NO MOVE | NO LIQUIDITY</t>
  </si>
  <si>
    <t>when firm says cut =&gt; a lot of traders are stuck =&gt; driving prices to extremes =&gt; enter with multiple entries in such places after the move slows</t>
  </si>
  <si>
    <t>US CPI (MoM) (Feb) (P0.5% F0.4% A0.4%)</t>
  </si>
  <si>
    <t>US CPI (YoY) (Feb) (p6.4% f6% a6%)</t>
  </si>
  <si>
    <t>MAR.II</t>
  </si>
  <si>
    <t>VW</t>
  </si>
  <si>
    <t>737am</t>
  </si>
  <si>
    <t>Observe fluctuations | take the resistance after markets have played a little</t>
  </si>
  <si>
    <t>went till -2 by 10am (3.5h)</t>
  </si>
  <si>
    <t>838am</t>
  </si>
  <si>
    <t>343PM</t>
  </si>
  <si>
    <t>2H 20M</t>
  </si>
  <si>
    <t>6PM</t>
  </si>
  <si>
    <t>was 1 tick anti</t>
  </si>
  <si>
    <t>US Core Retail Sales (MoM) (Feb) (P2.4% F-0.1% A-0.1%)</t>
  </si>
  <si>
    <t>NOT MUCH MOVEMENT IN OUTRIGHTS | SPDS MOVED 1,2 TICKS</t>
  </si>
  <si>
    <t>US PPI (MoM) (Feb) (p0.3% f0.3% a-0.1%)</t>
  </si>
  <si>
    <t>Move came on the  upside in outrights after 48mins  (5-6ticks) | can get 1-2 ticks worse price after release</t>
  </si>
  <si>
    <t>Wait for squeezes / liq gap and absurd prices to go full wolf | 7,8 for 2nd entry at +50% delta</t>
  </si>
  <si>
    <t xml:space="preserve">did not take any trades as labour data tom </t>
  </si>
  <si>
    <t>US Retail Sales (MoM) (Feb) (P3.2% F-0.3% A-0.4%)</t>
  </si>
  <si>
    <t>front outrigth the biggest mover now | starts ret aftr 1h | retraced almost full by 2h</t>
  </si>
  <si>
    <t>Employment Change (Feb) (P-11.9K F48.5K A64.6K)</t>
  </si>
  <si>
    <t>Unemployment rate (p3.7% f</t>
  </si>
  <si>
    <t>2MINS</t>
  </si>
  <si>
    <t>632AM</t>
  </si>
  <si>
    <t>DEFINED SL (5TICKS MAX) | WENT 5 TICKS BELOW LATER</t>
  </si>
  <si>
    <t>ENTER AFTER SOME TIME @ BETTER PRICE IN EVENTS</t>
  </si>
  <si>
    <t>IR J23</t>
  </si>
  <si>
    <t>12 MIN</t>
  </si>
  <si>
    <t>642 am</t>
  </si>
  <si>
    <t>603AM</t>
  </si>
  <si>
    <t>609AM</t>
  </si>
  <si>
    <t>622AM</t>
  </si>
  <si>
    <t>FEW SECONDS</t>
  </si>
  <si>
    <t>702AM</t>
  </si>
  <si>
    <t>4M</t>
  </si>
  <si>
    <t>706AM</t>
  </si>
  <si>
    <t>IR going 4-5 ticks anti first | when that happens enter</t>
  </si>
  <si>
    <t>7AM, 8am</t>
  </si>
  <si>
    <t>Scalp + curve anomaly</t>
  </si>
  <si>
    <t>3 lots scratched</t>
  </si>
  <si>
    <t>no move | no holding for long</t>
  </si>
  <si>
    <t>TIMEOUT | BLUNDER OF 100$ | asuume its nov22</t>
  </si>
  <si>
    <t>SEE THE CAP TARGET | 1,2,3 DEFENSIVE TRADES ONLY (if you can find any!)</t>
  </si>
  <si>
    <t>Look for squeezes or extreme momentum</t>
  </si>
  <si>
    <t xml:space="preserve">Ignore Herd </t>
  </si>
  <si>
    <t>Short term trades only | not more than 1,2 hr (max 1 session)</t>
  </si>
  <si>
    <t>Selective trades | trade less frequently</t>
  </si>
  <si>
    <t xml:space="preserve">TAKE SMALL TGTS SLOWLY STEADILY </t>
  </si>
  <si>
    <t>TRY BY MAR END CAP 100$ - 260$</t>
  </si>
  <si>
    <t>ONLY CARE ABOUT THIS PROCESS AND NOTHING ELSE | WILL NEED PATIENCE | TAKE THE TIME LET THE MKTS COME TO YOU</t>
  </si>
  <si>
    <t>1,2,3 DEFENSIVE TRADES ONLY</t>
  </si>
  <si>
    <t>CAP 100$ - 260$</t>
  </si>
  <si>
    <t>trade nxt week | only observe (max 1 scalp)</t>
  </si>
  <si>
    <t>12 30pm</t>
  </si>
  <si>
    <t>19MINS</t>
  </si>
  <si>
    <t>12 49PM</t>
  </si>
  <si>
    <t>1 TICK SL | 2 TICKS TARGET</t>
  </si>
  <si>
    <t>129pm</t>
  </si>
  <si>
    <t>26MINS</t>
  </si>
  <si>
    <t>156PM</t>
  </si>
  <si>
    <t>D23 SPD READ BAD</t>
  </si>
  <si>
    <t>s23 d23 5th price ret | m24 j24 s24 4th price | safe to say 5th price safest for ret</t>
  </si>
  <si>
    <t>144pm</t>
  </si>
  <si>
    <t>212PM</t>
  </si>
  <si>
    <t>4H</t>
  </si>
  <si>
    <t>159PM</t>
  </si>
  <si>
    <t>11MIN</t>
  </si>
  <si>
    <t>211PM</t>
  </si>
  <si>
    <t>213PM</t>
  </si>
  <si>
    <t>17mins</t>
  </si>
  <si>
    <t>230pm</t>
  </si>
  <si>
    <t>practised scalping with 1 lot in the new mkt state with tt stop | tgt2 sl1 after judgement</t>
  </si>
  <si>
    <t>Try intraday in spds &amp; outrights in sim (with new thinking)</t>
  </si>
  <si>
    <t>US Initial jobless claims(212k f205k a192k)</t>
  </si>
  <si>
    <t>Ret + Liq gap (1 to 4 so far)</t>
  </si>
  <si>
    <t>45MINS</t>
  </si>
  <si>
    <t>ECB HIKES 50BP (3.5%) | Lagarde: No trade off between price stability and financial stability &lt;3</t>
  </si>
  <si>
    <t>1ST SPD WENT UP 2ND SPD WENT UP INITIALLY THEN DOWN</t>
  </si>
  <si>
    <t>Ret + Liq gap (4 to 8 so far)</t>
  </si>
  <si>
    <t>17 MAR 713PM</t>
  </si>
  <si>
    <t>Liq gap: have the max lots (3 in 1,2,3,) @ the desired price; wait for better price | then start hitting if move goes without giving much opportunity in further prices</t>
  </si>
  <si>
    <t>Place 3 in those zones</t>
  </si>
  <si>
    <t>8h</t>
  </si>
  <si>
    <t>17 mar 340pm</t>
  </si>
  <si>
    <t>This might be your strength : 1,2,3 this should always be the 3 lot one irrespective of existing positions | will help | follow the process</t>
  </si>
  <si>
    <t>712PM</t>
  </si>
  <si>
    <t>Previous curve  structure (not anymore)</t>
  </si>
  <si>
    <t>20min</t>
  </si>
  <si>
    <t>920PM</t>
  </si>
  <si>
    <t>Momentum + hurting</t>
  </si>
  <si>
    <t>17 mar 303am</t>
  </si>
  <si>
    <t>AOTC entry</t>
  </si>
  <si>
    <t>130pm</t>
  </si>
  <si>
    <t>BANK SHARES FALL EUR, ASIA</t>
  </si>
  <si>
    <t>Outrights kept going up with very less resistance</t>
  </si>
  <si>
    <t>TIMEOUT | Observe the markets</t>
  </si>
  <si>
    <t>532pm</t>
  </si>
  <si>
    <t>VW + ret</t>
  </si>
  <si>
    <t>Should not be positive much | cuts are expected worldview</t>
  </si>
  <si>
    <t>&gt; 4 less chance</t>
  </si>
  <si>
    <t>&gt;=-1</t>
  </si>
  <si>
    <t>negative bias + ret till -2 if doesnt go higher</t>
  </si>
  <si>
    <t>21 mar 819am</t>
  </si>
  <si>
    <t>606pm</t>
  </si>
  <si>
    <t>ret</t>
  </si>
  <si>
    <t>4 ticks should not go after this range (-2 to -7) | 7,9 max | max @ -10</t>
  </si>
  <si>
    <t>scalping</t>
  </si>
  <si>
    <t>16m</t>
  </si>
  <si>
    <t>622pm</t>
  </si>
  <si>
    <t>entered @ momentum (ie aftr traded -7 and went to -6 and -5)| ig</t>
  </si>
  <si>
    <t>AOTC Exit | 12 buys only</t>
  </si>
  <si>
    <t>went back to -6</t>
  </si>
  <si>
    <t>outrights : after L.gap if it starts to retrace , w8 for a big player and go on that direction if it provides less resistance</t>
  </si>
  <si>
    <t>711pm</t>
  </si>
  <si>
    <t>CUTS bias</t>
  </si>
  <si>
    <t>727pm</t>
  </si>
  <si>
    <t xml:space="preserve">TRADE ON FOMC with empty grid and only extremes | mkt will (could) change a lot </t>
  </si>
  <si>
    <t>Fear and Greed Index - Investor Sentiment | CNN</t>
  </si>
  <si>
    <t>735AM</t>
  </si>
  <si>
    <t>45M</t>
  </si>
  <si>
    <t>530AM</t>
  </si>
  <si>
    <t>went till -2 | 6am</t>
  </si>
  <si>
    <t>still fine</t>
  </si>
  <si>
    <t>451AM</t>
  </si>
  <si>
    <t>RET + LIQ GAP</t>
  </si>
  <si>
    <t>20M</t>
  </si>
  <si>
    <t>514AM</t>
  </si>
  <si>
    <t>DONT CHANGE THE DIRECTION OF TRADES, YET</t>
  </si>
  <si>
    <t>went till -4 (from -9 empty) | 6am</t>
  </si>
  <si>
    <t>trust Lg</t>
  </si>
  <si>
    <t>Trade only in one direction (especially if it gives you profit); no need to do counter trend trading</t>
  </si>
  <si>
    <t>RBA MINUTES</t>
  </si>
  <si>
    <t>INFLATION TOO HIGH; INT RATES LOW; FURTHER TIGHTENING NEEDED</t>
  </si>
  <si>
    <t>Dont enter a trade if only 1 tick is possible (at least 2 ticks essential then worse case can exit in 1 tick.scratch, 1 tick loss)</t>
  </si>
  <si>
    <t>w8 till FOMC for scaling up</t>
  </si>
  <si>
    <t>610am</t>
  </si>
  <si>
    <t>IB APR23</t>
  </si>
  <si>
    <t>FURTHER HIKES EXPECTED | WORSE CASE IS PAUSE | NOT CUTS | 0 &amp; 25BP</t>
  </si>
  <si>
    <t xml:space="preserve">-2 bp (should be b/w 0 and 25bp) not cuts | worse case exit is 96.43 (profit) </t>
  </si>
  <si>
    <t>IF CUTS SENTIMENT DEVELOPS</t>
  </si>
  <si>
    <t>96.32, 96.435</t>
  </si>
  <si>
    <t>12BP,  1BP</t>
  </si>
  <si>
    <t>HOW MANY CUTS CAN BE PRICED IN | IF IT GETS OVERPRICED THEN TAKE 2ND ENTRY</t>
  </si>
  <si>
    <t>1203pm</t>
  </si>
  <si>
    <t>exit half b4 session end | b4 fomc try full exit  | half exit done</t>
  </si>
  <si>
    <t xml:space="preserve">if FOMC HIKES 25bp -&gt; RBA 0 or 25bp | if FOMC pauses -&gt; RBA 0 </t>
  </si>
  <si>
    <t>Move did not come | better to enter more in momentum or get a  better price to enter | did not get the opportunity to enter in momentum</t>
  </si>
  <si>
    <t>W/O Aussie pit, move is very slow</t>
  </si>
  <si>
    <t>904am</t>
  </si>
  <si>
    <t>906AM</t>
  </si>
  <si>
    <t>852am</t>
  </si>
  <si>
    <t>Trying ranged : Sz accumulation (lower side)</t>
  </si>
  <si>
    <t>2 ticks</t>
  </si>
  <si>
    <t>96.55 (vwap 96.56 downwards)</t>
  </si>
  <si>
    <t>mean reversion (as no move)</t>
  </si>
  <si>
    <t>902am</t>
  </si>
  <si>
    <t>trying ranged in outright</t>
  </si>
  <si>
    <t>move did not come so out early | did not come aftr 30mins | went anti 1 tick</t>
  </si>
  <si>
    <t>EMPTY GRID B4 FOMC | DONE</t>
  </si>
  <si>
    <t>Catch extremes range with scaled up lots on FRI | alt entries @ W and consec. @ R</t>
  </si>
  <si>
    <t>SCALE UP AFTR FOMC irrespective of outcome | use emergency fund if required</t>
  </si>
  <si>
    <t>Ranged, scalping (short time) multi entry from ext, ret working</t>
  </si>
  <si>
    <t>1015PM</t>
  </si>
  <si>
    <t>If recession &gt; hikes (less chance of cuts there in the long run)</t>
  </si>
  <si>
    <t>23 mar 258am</t>
  </si>
  <si>
    <t>SCRATCHED 1</t>
  </si>
  <si>
    <t>just scratch</t>
  </si>
  <si>
    <t>FED HIKES BY 25BP (5%)| RAISES RATES AND SOEMHOW CAME DOVISH (PAUSE LATER) | WILL MAKE MEETING- BY-MEETING DECISIONS BASED ON TOTALITY OF DATA</t>
  </si>
  <si>
    <t>STUPID MOVES FOR NXT MONTH AND A HALF</t>
  </si>
  <si>
    <t>STAY ALERT | USE SMALL LOTS AND LESS HOLDING PERIOD</t>
  </si>
  <si>
    <t>EXTREME CHOPPY MKTS | MAYBE THINGS WONT MAKE SENSE | DONT EXPECT SWING TRADES</t>
  </si>
  <si>
    <t>REDUCE AVG CLIP SIZE TILL MAY!!</t>
  </si>
  <si>
    <t>SCALPER TRADER'S HEAVEN | check daily ranges and if that breaks cut | ranges 7, (4/5), (4/5), 4,4,4 | go for backs @ 4 extremes,5th as well and just take 1 tick | try with 2 lots each</t>
  </si>
  <si>
    <t>KEY would be to enter in a price that you have to hold for less time to scalp | 1 tick only | the faster the better</t>
  </si>
  <si>
    <t>MAKE MORE MONEY BY WAITING FOR SOME CONFIRMATION</t>
  </si>
  <si>
    <t>most uncertain quarter possibly</t>
  </si>
  <si>
    <t>possibly a new cycle from now</t>
  </si>
  <si>
    <t>30s</t>
  </si>
  <si>
    <t>259am</t>
  </si>
  <si>
    <t>1H</t>
  </si>
  <si>
    <t xml:space="preserve">Scalping w scale up (still a little conservative) | enter as per contract | enter from where at least 2 ticks can be possible </t>
  </si>
  <si>
    <t>Scalping practised | go for aggressive scaling up with defined risk and discipline</t>
  </si>
  <si>
    <t>dont judge after few trades | at least 1-2 weeks</t>
  </si>
  <si>
    <t>&amp; be selective | put orders at multiple but not nearby (cancel the nearby one if one is filled); especially if in the same direction</t>
  </si>
  <si>
    <t>DO NOT JUDGE AFTER FEW TRADES | AFTER 1 IF NOT PROFITABLE IN 1 THEN 2 WEEKS | trust the system | if not few weeks go full 1 month</t>
  </si>
  <si>
    <t>And stay alert + avoid when illiquid or near some event or info about cutting position or change of perception</t>
  </si>
  <si>
    <t>changing perception will be key in such trades going further</t>
  </si>
  <si>
    <t>check the balance after a state change (especially a major one) + longer durration (avoid checking frequently) | TRUST THE SYSTEM AND PROCESS</t>
  </si>
  <si>
    <t>Have multiple option and manage OVERALL IMPLIED RISK ACCORDINGLY</t>
  </si>
  <si>
    <t>only 1 tick is working | can get 2nd entry begining from 2 tick target if range gets correctly selected</t>
  </si>
  <si>
    <t>3 levels are required (try w 112)</t>
  </si>
  <si>
    <t>those who have deeper pockets should win in the long run if they followed a systematic trading style</t>
  </si>
  <si>
    <t>you are just borrowing it kid</t>
  </si>
  <si>
    <t>1222PM</t>
  </si>
  <si>
    <t>656pm</t>
  </si>
  <si>
    <t>Look from where you will have higher chances of winning | bet there</t>
  </si>
  <si>
    <t>change perception accordingly</t>
  </si>
  <si>
    <t>CLOSING TIME IS 130AM</t>
  </si>
  <si>
    <t>NO need to cancel the 1st target order | that can be used for ret if it comes to that</t>
  </si>
  <si>
    <t>114PM, 3PM</t>
  </si>
  <si>
    <t>330PM, 717pm</t>
  </si>
  <si>
    <t>8pm</t>
  </si>
  <si>
    <t>24 mar 315am</t>
  </si>
  <si>
    <t>1212am</t>
  </si>
  <si>
    <t>yellen anticipation</t>
  </si>
  <si>
    <t>Scalping + Sz</t>
  </si>
  <si>
    <t>715am</t>
  </si>
  <si>
    <t>Full 10 lots sl present @ -9 (5 lots hard SL 5 lots qty&gt;=157) &gt;&gt; half lots (5) hard stop @ -9 &gt;&gt; can enter @ better price with 5 lots if squeeze happens or can enter @ -8,-7 if momentum changes in favour</t>
  </si>
  <si>
    <t xml:space="preserve">Observe till 540am </t>
  </si>
  <si>
    <t>half lots sl present @ -10</t>
  </si>
  <si>
    <t>Full 10 lots sl present @ -9 (5 lots hard SL 5 lots qty&gt;=157)</t>
  </si>
  <si>
    <t>412am</t>
  </si>
  <si>
    <t>5H</t>
  </si>
  <si>
    <t>917am</t>
  </si>
  <si>
    <t>WENT TO -7 (EMPTY AND THEN SELLERS) &gt;&gt; PERCEPTION CHANGE (TGT SHOULD BE -6 | IF COMES TO -5 SHORTING MAKES SENSE) AS -6 WAS A GOOD SZ FOR A LONG TIME AND CAN GO TO -8 AS WELL)</t>
  </si>
  <si>
    <t>EXIT ONLY ON 2ND SESSION AND ENTRY WITH MIN AVG CLIP (5) B4 CLOSE IF ANY ANOMALY OR EXTREME IS OBSERVED | PROBABLY FEW CLOSING POSITIONS</t>
  </si>
  <si>
    <t>half lots sl present @ -10 (shifted above)</t>
  </si>
  <si>
    <t>no more a strong Sz (-6) after this session for some TIME</t>
  </si>
  <si>
    <t>sellers/selling @-7 -5 is a good to sell price</t>
  </si>
  <si>
    <t>Change of perception &gt;&gt; maths is same but better one is perception change (-7 to -5  or -7 to -6 then if -5 bthen -5 to -6 | 2nd option seems more reasonable and intraday which seems right for the current mkt) | buyers for -6 are more than -5 (dont know the reasoning behind it but seems a better one and gives more freedom for fresh entry)</t>
  </si>
  <si>
    <t>416AM</t>
  </si>
  <si>
    <t>tue ret sales |thu us gdp | fri us core pce &gt;&gt; possible mkt states change</t>
  </si>
  <si>
    <t>selective aggressive alternate contracts and only extreme order with max lots (10) in the other alternates</t>
  </si>
  <si>
    <t>Outrights moves 10 -12 ticks for no reason then retraces 40-50%</t>
  </si>
  <si>
    <t>w8 for people to accumulate or get accumulated then want to scratch &gt;&gt; if unable 1 worse tick sl &gt;&gt; if not anti and get fills &gt;&gt; such cases can happen after big volumes (possible entry)</t>
  </si>
  <si>
    <t>959AM</t>
  </si>
  <si>
    <t>15MIN</t>
  </si>
  <si>
    <t>1015AM</t>
  </si>
  <si>
    <t>1059AM</t>
  </si>
  <si>
    <t>Scalping (BUT MKT CLOSING and 600+orders)</t>
  </si>
  <si>
    <t>1225pm</t>
  </si>
  <si>
    <t>immediately scratch</t>
  </si>
  <si>
    <t>think of it as rupee</t>
  </si>
  <si>
    <t>1059am</t>
  </si>
  <si>
    <t>300am</t>
  </si>
  <si>
    <t>5M</t>
  </si>
  <si>
    <t>305AM</t>
  </si>
  <si>
    <t>RIGGED GAME | CASINO | KNOW WHEN IT GIVES MONEY | W/O CLIENTS OUT OF BUSINESS</t>
  </si>
  <si>
    <t>322AM</t>
  </si>
  <si>
    <t>PARTIAL EXIT @ -9,-10</t>
  </si>
  <si>
    <t>434am</t>
  </si>
  <si>
    <t>552am</t>
  </si>
  <si>
    <t>30m</t>
  </si>
  <si>
    <t>550am</t>
  </si>
  <si>
    <t>EXTREME VOLATILITY</t>
  </si>
  <si>
    <t>34m</t>
  </si>
  <si>
    <t>554am</t>
  </si>
  <si>
    <t>550am, 650am</t>
  </si>
  <si>
    <t>711AM</t>
  </si>
  <si>
    <t>625am</t>
  </si>
  <si>
    <t>817am</t>
  </si>
  <si>
    <t>change of perception as 5 was getting hit so now long -7 better | rather than holding -6 short (5 got empty)</t>
  </si>
  <si>
    <t>w8 if executes as per plan for few sessions | use 2,3,5</t>
  </si>
  <si>
    <t>empty grid b4 tue retail sales | 2nd session only exits | and back to fewer lots</t>
  </si>
  <si>
    <t>650am</t>
  </si>
  <si>
    <t>change of perception as 5 was getting hit so now long -7 better | rather than holding -6 short</t>
  </si>
  <si>
    <t>outrigths went up 10 (range) then ret 5</t>
  </si>
  <si>
    <t>2nd session avoid 5 lots one | trade only 10 lots order</t>
  </si>
  <si>
    <t xml:space="preserve">HOLD        </t>
  </si>
  <si>
    <t>w8 for few sessions TILL FRI | use 2,3,5</t>
  </si>
  <si>
    <t>11pm, 315am</t>
  </si>
  <si>
    <t>scratched all</t>
  </si>
  <si>
    <t>Free money</t>
  </si>
  <si>
    <t>went up to -2 (buyers) 6pm 24 mar (1d)</t>
  </si>
  <si>
    <t>1052am</t>
  </si>
  <si>
    <t>Scalping + RANGED (-6 TO -3)</t>
  </si>
  <si>
    <t>1258pm, 140PM</t>
  </si>
  <si>
    <t>Scratched 3| can get a better price + can handle better trades</t>
  </si>
  <si>
    <t>806pm</t>
  </si>
  <si>
    <t>19h</t>
  </si>
  <si>
    <t>no read of mkts</t>
  </si>
  <si>
    <t>Retail sales MOM Feb (p1.9% f0.1% a0.2%)</t>
  </si>
  <si>
    <t xml:space="preserve">poor move </t>
  </si>
  <si>
    <t>7m</t>
  </si>
  <si>
    <t>608am</t>
  </si>
  <si>
    <t>no strong move in favour + data not a shock/big difference so no point in holding</t>
  </si>
  <si>
    <t>after 40mins 1 tick move in favor | good to cut</t>
  </si>
  <si>
    <t>448AM</t>
  </si>
  <si>
    <t>29 mar 305pm</t>
  </si>
  <si>
    <t>tom CPI FRONT SPD 3-4 OR 6-7 | OUTRIGHT CAN ALSO MOVE 10 TICKS RET AFTR 40MINS | BACKS 2 PRICES LEVEL AS 1 TICK AND THEN RET.</t>
  </si>
  <si>
    <t>scratch half | done</t>
  </si>
  <si>
    <t>nxt tue rba meeting so FRI EMPTY GRID and REDUCE LOT SIZING</t>
  </si>
  <si>
    <t>CPI yoy (p7.4% f7.1% a6.8%)</t>
  </si>
  <si>
    <t xml:space="preserve">useless move </t>
  </si>
  <si>
    <t>AVOID OUTRIGHTS | momentum not working at all</t>
  </si>
  <si>
    <t>Nxt move @ us gdp</t>
  </si>
  <si>
    <t>9H</t>
  </si>
  <si>
    <t>31 mar 325am</t>
  </si>
  <si>
    <t>few min</t>
  </si>
  <si>
    <t>Weaker move than anticipated</t>
  </si>
  <si>
    <t>Avoid outrights further</t>
  </si>
  <si>
    <t>4PM</t>
  </si>
  <si>
    <t>Scalping (Rz @-8)</t>
  </si>
  <si>
    <t>551pm</t>
  </si>
  <si>
    <t>Can get -8</t>
  </si>
  <si>
    <t xml:space="preserve">Bad read, reduce lots or dont add more lots | but dont remove it </t>
  </si>
  <si>
    <t>someone went long on j23-j24 100 lots @ -1 226pm 29 mar</t>
  </si>
  <si>
    <t>721pm</t>
  </si>
  <si>
    <t>S24 SPD</t>
  </si>
  <si>
    <t>30 MAR 330AM</t>
  </si>
  <si>
    <t>Large vol, large holding period, avoid such trades going into weekend b4 us gdp</t>
  </si>
  <si>
    <t>WED rbnz &gt;&gt; max orders at extreme and bigger band of entries (3) 7,15,20 few lots b4 that</t>
  </si>
  <si>
    <t>7am</t>
  </si>
  <si>
    <t>31 mar 11am, 508pm</t>
  </si>
  <si>
    <t>not a 7 lot trade (2 lots extra) | too out 3 @ -4</t>
  </si>
  <si>
    <t xml:space="preserve">M24 SPD </t>
  </si>
  <si>
    <t>630PM</t>
  </si>
  <si>
    <t>AOTC entry &amp; EXIT</t>
  </si>
  <si>
    <t>US Initial Jobless Claims (P191K F196K A198k)</t>
  </si>
  <si>
    <t>Outrights went 5 ticks down in 1 hr</t>
  </si>
  <si>
    <t>GDP (QoQ) (Q4) (P3.2% F2.7% A2.6%)</t>
  </si>
  <si>
    <t>608PM</t>
  </si>
  <si>
    <t>Scalping + ranged (-3 to -7)</t>
  </si>
  <si>
    <t>31 mar 512pm</t>
  </si>
  <si>
    <t xml:space="preserve">as per OI analysis for past 3 days (for outrights) &gt;&gt; should be ranged/sideways (-3 to -5 or -3 to -6)s23 spd </t>
  </si>
  <si>
    <t>OI Decreased for S23 =&gt; people have closed positions while d23 went up or stayed up</t>
  </si>
  <si>
    <t>S23 price down with OI down =&gt; bearish | d23 price down but OI up =&gt; panic selling | d23 falls more than s23 making s23-d23 go up  (-7 to -3) | and now it can go anywhere depending on IR s23 movement | exit b4 fri + core pce</t>
  </si>
  <si>
    <t>US Core PCE price index (MOM) FEB (p0.5% f0.4% a0.3%)</t>
  </si>
  <si>
    <t>No instant move | YT moved up a little</t>
  </si>
  <si>
    <t>Its important we wait for the right volatile days to make money and not start building positions when volatility drops. </t>
  </si>
  <si>
    <t>confidence vs getting carried away. Is it time to be cautious again?</t>
  </si>
  <si>
    <t>Getting caught with position once volatility spikes also mean missing out on trading opportunities  | Economic numbers have potential to change the theme | Positions across figures can lead to big drawdowns</t>
  </si>
  <si>
    <t>Curve trades of flies 1,2 in a month | 1/2 done</t>
  </si>
  <si>
    <t>If increasing go for 2x lots for 2 trades in a month | 1/2 | this is not my style</t>
  </si>
  <si>
    <t>5mins b4 mkt open (1st session) all orders</t>
  </si>
  <si>
    <t>Track world curves more often</t>
  </si>
  <si>
    <t>TRADE LEAST FREQUENTLY (EXAMPLE DEC) AND GOOD AMT OF LOTS</t>
  </si>
  <si>
    <t>HOLD FLIES FOR LONGER AT A GOOD PRICE UNTIL YOU GET PROFIT (WHOLE MONTH IF IT TAKES that) | ONLY CUT IF THEME CHANGES BY A BIG MARGIN | mar 14 : only ltd lots (never more than 50% at stake)</t>
  </si>
  <si>
    <t>Find trades of less holding time</t>
  </si>
  <si>
    <t>KINK TRADING + L.GAP MAX LOTS</t>
  </si>
  <si>
    <t xml:space="preserve">2 outrights trade per event max | take the loss | better luck next time | in the long run you might make money </t>
  </si>
  <si>
    <t>SCALPING NOTES (EVERY DETAILS | WHEN TO TAKE &amp; WHEN TO AVOID WHICH CONTRACT HOW MUCH DOWNSIDE PRECALCULATED) | SL, SL SIZE | HOW TO REACT IF PERCEPTION CHANGES |EVERY F***KING DETAIL | TIME DURATION AS WELL | SO THAT SCRATCH SOME AFTER THAT TIME</t>
  </si>
  <si>
    <t>If L gap arises suddenly; remove nearby entries | dont remove nearby exit | only keep far ones (max 2 hits)</t>
  </si>
  <si>
    <t>Look from where you will have higher chances of winning | bet there; change perception accordingly</t>
  </si>
  <si>
    <t>Dont have a linear model/method to scale up | it should be done as per mkt state</t>
  </si>
  <si>
    <t>April 23 live</t>
  </si>
  <si>
    <t>APR</t>
  </si>
  <si>
    <t>Retail Sales (MoM) (P1.9% F0.2% A0.2%)</t>
  </si>
  <si>
    <t>FULL OF EVENT; THU 1st session to 2nd session - only exits | FRI holiday and imp. US data Mon fresh entries | FORMATION 1k-3k</t>
  </si>
  <si>
    <t>Volatility increase possible | change of theme possible after tue RBA (no trades going into event, especially with heavy lots) UD | pa on wed RBNZ + US NFE, NM PMI (pa+sc) A,UA | THU home free (Scalping exits) B | FRI holiday</t>
  </si>
  <si>
    <t>entry direction is crucial | no whites should be positive</t>
  </si>
  <si>
    <t>world curves: fronts going down and backs going up (IR) | short entry in whites and long entry in reds might be preferred</t>
  </si>
  <si>
    <t>730pm</t>
  </si>
  <si>
    <t>US ISM Manufacturing PMI (Mar) (P47.7 F47.5 A46.5)</t>
  </si>
  <si>
    <t>Outrights went up | bonds went up | oil price soars as OPEC cuts production</t>
  </si>
  <si>
    <t>734pm</t>
  </si>
  <si>
    <t xml:space="preserve">J24 SPD </t>
  </si>
  <si>
    <t>not many cuts bias</t>
  </si>
  <si>
    <t>Less liquidity + less positions around events</t>
  </si>
  <si>
    <t>Reduce the position | scratched 3</t>
  </si>
  <si>
    <t>a lot of false moves; dont get stuck with more lots as we get closer to the real one</t>
  </si>
  <si>
    <t>745pm</t>
  </si>
  <si>
    <t>D24 SPD</t>
  </si>
  <si>
    <t>aftr RBA</t>
  </si>
  <si>
    <t>EVENT, 6 apr 730am</t>
  </si>
  <si>
    <t>Volume has gone low | can capitalize in the rare events</t>
  </si>
  <si>
    <t>dont get squeezed or get ready for it</t>
  </si>
  <si>
    <t>scratched 4</t>
  </si>
  <si>
    <t>had to cut on THU (FRI HOLIDAY) as no chance | ALWAYS CUT POSITIONS 1 DAY B4 LAST DAY B4 BIG HOLIDAY</t>
  </si>
  <si>
    <t>848pm</t>
  </si>
  <si>
    <t>Scalping + STAT ARB + should be &gt; d23,m24 (both @-7)</t>
  </si>
  <si>
    <t>5 apr 9am</t>
  </si>
  <si>
    <t>Hodl</t>
  </si>
  <si>
    <t>7AM</t>
  </si>
  <si>
    <t>Scalping + trap (-5 to -8)</t>
  </si>
  <si>
    <t>19m</t>
  </si>
  <si>
    <t>719am</t>
  </si>
  <si>
    <t xml:space="preserve">-7 has v.good PIQ so long entry better </t>
  </si>
  <si>
    <t>not worth the risk of scalping with any lots (UD)</t>
  </si>
  <si>
    <t>50:50 for 0 or 25bps</t>
  </si>
  <si>
    <t>Stat arb</t>
  </si>
  <si>
    <t>few cuts over there + world curve</t>
  </si>
  <si>
    <t>thu exit</t>
  </si>
  <si>
    <t>6 apr 711am</t>
  </si>
  <si>
    <t>5 apr 759am</t>
  </si>
  <si>
    <t>10am</t>
  </si>
  <si>
    <t>RBA PAUSES (3.6%)</t>
  </si>
  <si>
    <t xml:space="preserve">Outrigths moved up | front spds had Liq gap (went up to down) </t>
  </si>
  <si>
    <t>S23 spd -2 or -3 missed (should have kept 7-12 lots)</t>
  </si>
  <si>
    <t>443PM</t>
  </si>
  <si>
    <t>Scalping + ranged (-3 to -8,-7)</t>
  </si>
  <si>
    <t>3.5h</t>
  </si>
  <si>
    <t>815pm</t>
  </si>
  <si>
    <t>JOLTs Job Openings (Feb) (p10.5 f10.4 a9.9)</t>
  </si>
  <si>
    <t>decline is good as growth good | outrights went up few bps backs had sellers in gaps</t>
  </si>
  <si>
    <t>RBNZ hikes 50bp (5.25%)</t>
  </si>
  <si>
    <t>Outrights went up then retraced a little (up by 5 then ret 2-3) | full spd curve came down then retraced 1 tick the next session</t>
  </si>
  <si>
    <t>Kink @ m24/d23 (one should go up)</t>
  </si>
  <si>
    <t>5 @ -12</t>
  </si>
  <si>
    <t>1238pm</t>
  </si>
  <si>
    <t xml:space="preserve">D23 SPD </t>
  </si>
  <si>
    <t>Scalping + stat arb</t>
  </si>
  <si>
    <t>Sz @ -9 + scalping</t>
  </si>
  <si>
    <t>12.5h</t>
  </si>
  <si>
    <t>750pm</t>
  </si>
  <si>
    <t>818am</t>
  </si>
  <si>
    <t>Sz @ -9</t>
  </si>
  <si>
    <t>20h</t>
  </si>
  <si>
    <t>6 apr 418am</t>
  </si>
  <si>
    <t>change of perception + exit by fri</t>
  </si>
  <si>
    <t>HODL TILL -7</t>
  </si>
  <si>
    <t>837am</t>
  </si>
  <si>
    <t>Scalping + Sz@-8</t>
  </si>
  <si>
    <t>228pm</t>
  </si>
  <si>
    <t>545PM</t>
  </si>
  <si>
    <t>US ADP Nonfarm Employment Change (Mar) (P242K F200K A145k)</t>
  </si>
  <si>
    <t>Growth dull</t>
  </si>
  <si>
    <t>US ISM Non-Manufacturing PMI (Mar) (P55.1 F54.5 A51.2)</t>
  </si>
  <si>
    <t>1159am</t>
  </si>
  <si>
    <t xml:space="preserve">IR D23 </t>
  </si>
  <si>
    <t>tried exit for D23 SPD manually</t>
  </si>
  <si>
    <t>30min</t>
  </si>
  <si>
    <t>101pm</t>
  </si>
  <si>
    <t>all boring get used to this | at least able to minimize losses</t>
  </si>
  <si>
    <t>never attemt again | was worth this last time</t>
  </si>
  <si>
    <t>TT stop in outright | luck100</t>
  </si>
  <si>
    <t>AVOID TRADING ON TUE | ESPECIALLY WITH HEAVY LOTS | OBSERVE &amp; INTRADAY CONTINUE</t>
  </si>
  <si>
    <t>Westpac Consumer Sentiment (Apr) (p0% f1.5% a9.4%)</t>
  </si>
  <si>
    <t xml:space="preserve">whatever mntlty, frmtn : fronts 2x, belly 3x, backs 3x </t>
  </si>
  <si>
    <t>tue - wed (mostly ranged) sc (A) . exit all wed 1st session end | WED 2nd US CPI 6pm. PA (UA) . no sc . ranged backs (a) | THU AUD Labour data PA (UA)  + sc,ranged (b) | FRI US Ret. sales to MON (no major events) Ranged (UA)</t>
  </si>
  <si>
    <t>l.g ua/a (21 entry upto 30), sc w/fronts, belly b (7,10,14) backs/reds b (14,21) , ranged/var b (10,20,21) backs (14,21,30)</t>
  </si>
  <si>
    <t>backs holding p is too long ; better to enter in extreme events when at least 1 tick might be available</t>
  </si>
  <si>
    <t>after a big break (&gt;3d) . pa (b) can be applied</t>
  </si>
  <si>
    <t>be prepared for higher rates (US) | track curve and probability</t>
  </si>
  <si>
    <t>Lookout for China-Taiwan issue | supply side will shock towards recession (global) | near term risk will be very high (3-10) with weight more on 3 (Ir) up | cuts near on to stimulate growth (steep curves both direction) | liquidity will become less (absurd prices) | similar situation during SVB (probably worse)</t>
  </si>
  <si>
    <t>Avoid flies | 6m (at most intraday w tight exits)</t>
  </si>
  <si>
    <t>627am</t>
  </si>
  <si>
    <t>D23 SPD</t>
  </si>
  <si>
    <t>Rz + var.</t>
  </si>
  <si>
    <t>938am</t>
  </si>
  <si>
    <t>4th var</t>
  </si>
  <si>
    <t>1022am</t>
  </si>
  <si>
    <t>7H</t>
  </si>
  <si>
    <t>506pm</t>
  </si>
  <si>
    <t>1046pm</t>
  </si>
  <si>
    <t>12 apr 615am</t>
  </si>
  <si>
    <t>Sz + Scalping</t>
  </si>
  <si>
    <t>13 APR 6PM</t>
  </si>
  <si>
    <t>Scratched 2 x 2 | reducing b4 US CPI | ADDED 2 AGAIN</t>
  </si>
  <si>
    <t>Lookout for IBs and PA, curve anomalies @ extremes</t>
  </si>
  <si>
    <t>ted ret try 1 lot aftr 45mins</t>
  </si>
  <si>
    <t>148pm</t>
  </si>
  <si>
    <t>All of the world curve have d23/m24 as kink (by selling) should not go much up</t>
  </si>
  <si>
    <t>13 apr 404am</t>
  </si>
  <si>
    <t>Scratched 2 | reducing b4 US CPI</t>
  </si>
  <si>
    <t>ADDED 2 AGAIN</t>
  </si>
  <si>
    <t>US CORE CPI (P0.5% F0.4% A0.4%)</t>
  </si>
  <si>
    <t>SPD WENT DOWN (FRONTS) | outrights went up (retraced the whole move in 2 hours (8pm)</t>
  </si>
  <si>
    <t>Bank earnings important</t>
  </si>
  <si>
    <t>Next CPI will be expected to be higher</t>
  </si>
  <si>
    <t>Avoid 3-10 in 2nd session and for longer term and also during high volatility</t>
  </si>
  <si>
    <t>US CPI yoy(P6% F5.2% A5%)</t>
  </si>
  <si>
    <t xml:space="preserve">BONDS WENT UP (NO DISTINCT MOVE IN 3-10) </t>
  </si>
  <si>
    <t>J24 FLY S @ -1 M24 FLY S @-1 | ONE OF THEM WENT TO -2 |AYF</t>
  </si>
  <si>
    <t>Back flies short | with 15 lots @ -1 during extreme moves</t>
  </si>
  <si>
    <t>events | back flies @ good prices</t>
  </si>
  <si>
    <t>US CPI MOM (P0.4% F0.2% A0.1%)</t>
  </si>
  <si>
    <t>This doesnt have OPEC effect nxt read</t>
  </si>
  <si>
    <t>markets are not breaking ranges much | @ extremes entries are good and should be with heavier lots (by at least 2x) in any spreads</t>
  </si>
  <si>
    <t>Rz (-4,-3)</t>
  </si>
  <si>
    <t>less downside in the up (as dovish data) cuts wont shift backwards and should retrace</t>
  </si>
  <si>
    <t>14 apr 702am</t>
  </si>
  <si>
    <t>dont ride w/o Trailing SL</t>
  </si>
  <si>
    <t>could have made 200 more (use tt stop if event is nearby)</t>
  </si>
  <si>
    <t>LUCK100</t>
  </si>
  <si>
    <t>-7 HIT AVAILABLE | NEXT SESSION WENT TO -5, THE NXT SESSION AFTR THAT 4 EMTY</t>
  </si>
  <si>
    <t>STUPID MKT | NO POINT IN HODLING | USE TRAILING SL | AT LEAST FOR 50% OF LOTS</t>
  </si>
  <si>
    <t>13 apr 5am</t>
  </si>
  <si>
    <t>1032PM</t>
  </si>
  <si>
    <t>should not go up (+ve much)</t>
  </si>
  <si>
    <t>14 apr 1143am</t>
  </si>
  <si>
    <t xml:space="preserve">scratched 1 </t>
  </si>
  <si>
    <t>Employment Change (Mar) (p64.6k f20k a53k)</t>
  </si>
  <si>
    <t xml:space="preserve">outrights went down a few bps | </t>
  </si>
  <si>
    <t>Unemployment Rate (Mar) (p3.5% f3.6% a3.5%)</t>
  </si>
  <si>
    <t>15m</t>
  </si>
  <si>
    <t>740am</t>
  </si>
  <si>
    <t xml:space="preserve">Change of sentiment | (stupid but adapt) short at better price might be available </t>
  </si>
  <si>
    <t>overconfidence/greed led to carelessness | use Trailing SL when such trend exist (at least for 50% of lots) | LUCK100</t>
  </si>
  <si>
    <t>SMALL RANGED MKT | FRUSTRATING . TRY TO FIND ADVANTAGE FOR SUCH MKTS</t>
  </si>
  <si>
    <t>US Initital jobless claims (p228k f232k a239K)</t>
  </si>
  <si>
    <t>NXT WEEK THU NZ CPI | B4 THAT ANNOUNCEMENTS MIGHT MOVE MKTS | RANGED (B) EXTREMES (UA)</t>
  </si>
  <si>
    <t>FRI DEAD MKTS | TRY TEDS IN THESE MARKETS . SCALPING</t>
  </si>
  <si>
    <t>US PPI MOM MAR (P-0.1% F0.1% A-0.5%)</t>
  </si>
  <si>
    <t>US Retail Sales MoM (MAR) (p-0.2% f-0.4% a-1%)</t>
  </si>
  <si>
    <t>outrights went down (lol) | should have gone up</t>
  </si>
  <si>
    <t>US Core retail sales (p0% f-0.3% a-0.8%)</t>
  </si>
  <si>
    <t>US bank results came good | JPM better than expected |JPMorgan CEO Dimon: People Need To Be Prepared For Higher Rates For Longer</t>
  </si>
  <si>
    <t>oi</t>
  </si>
  <si>
    <t>Michigan Inflation Expectations (Apr) (p3.6% f3.5% a4.6%)</t>
  </si>
  <si>
    <t xml:space="preserve">huge stat anomaly | maybe bcoz of oil | FEAR | 7TH SIGMA </t>
  </si>
  <si>
    <t>Hawkish sentiment | fronts might not go down much, might not go positive much for sustained period | higher for longer stance by banks</t>
  </si>
  <si>
    <t xml:space="preserve"> [US] mild recession | so not much steepening | not many cuts as well (for now)</t>
  </si>
  <si>
    <t>avoid multi layers</t>
  </si>
  <si>
    <t xml:space="preserve">TED,3-10 increases =&gt; risk in near term increases; vice versa | TED (3M-3Y) SHORTER, 3Y-10Y (LONGER) </t>
  </si>
  <si>
    <t>358AM</t>
  </si>
  <si>
    <t>10H</t>
  </si>
  <si>
    <t>aotc exit</t>
  </si>
  <si>
    <t>558AM,925pm</t>
  </si>
  <si>
    <t>cuts shifting backward (should) | if not downside less (can be scratched)</t>
  </si>
  <si>
    <t>18 apr 1251pm</t>
  </si>
  <si>
    <t>aotc entry</t>
  </si>
  <si>
    <t>Diesel showing economic slowdown</t>
  </si>
  <si>
    <t>634pm</t>
  </si>
  <si>
    <t>Scalping + Downside above till 1</t>
  </si>
  <si>
    <t>if 0 then scratch -2</t>
  </si>
  <si>
    <t>18 apr 1135am, 5pm</t>
  </si>
  <si>
    <t>be vigilant around reports in absence of releases</t>
  </si>
  <si>
    <t>GS, BOFA, LM TUE</t>
  </si>
  <si>
    <t>scratch as earnings might provide volatility | pa strats lots required | scratched 5</t>
  </si>
  <si>
    <t>RBA MINUTES : FORECASTS IN MAY WILL HELP ASSESS WHEN AND HOW MUCH MORE TIGHTENING NEEDED</t>
  </si>
  <si>
    <t>higher for longer stance</t>
  </si>
  <si>
    <t>bank earnings | pa (ua)</t>
  </si>
  <si>
    <t>Avoid XT on WED | RBA Syndication 2034 | big moves can come on intraday</t>
  </si>
  <si>
    <t>no one sided exposure</t>
  </si>
  <si>
    <t>Not much hikes</t>
  </si>
  <si>
    <t>2nd entry @ 7</t>
  </si>
  <si>
    <t>945am</t>
  </si>
  <si>
    <t>Change of sentiment | very less chance of 3 in this session + earnings in nxt session</t>
  </si>
  <si>
    <t>went to 6 (4th var)</t>
  </si>
  <si>
    <t>5pm</t>
  </si>
  <si>
    <t>exit all @ -2</t>
  </si>
  <si>
    <t>-7 can be scratched (even 8)</t>
  </si>
  <si>
    <t>1.5d</t>
  </si>
  <si>
    <t>20 apr 412am</t>
  </si>
  <si>
    <t>Hawkish stance in near term (small)</t>
  </si>
  <si>
    <t>missed j23 S @ 7 | no other contract moved | takes these chances nxt time | relative to the entire curve if movement of 1 is less no need to scratch</t>
  </si>
  <si>
    <t>removing orders should be avoided now with small lots</t>
  </si>
  <si>
    <t>120pm</t>
  </si>
  <si>
    <t>fewer cuts | should go up</t>
  </si>
  <si>
    <t>19 apr 1130am</t>
  </si>
  <si>
    <t xml:space="preserve">Watch for relative movement in entire curve | if low in full curve then ret. of the anomaly can be taken </t>
  </si>
  <si>
    <t>927AM</t>
  </si>
  <si>
    <t>Syndication of 2034 bonds : very high demand of 61bn at the final clear price</t>
  </si>
  <si>
    <t>XT went up more than yt | 3-10 went down to Sz (36)</t>
  </si>
  <si>
    <t>1130AM</t>
  </si>
  <si>
    <t>UK CPI (YoY) (Mar) (P10.4% F9.8% A10.1%)</t>
  </si>
  <si>
    <t>front Spds went up</t>
  </si>
  <si>
    <t>UK 	CPI (MoM) (Mar) (P1.1% F0.5% A0.8%)</t>
  </si>
  <si>
    <t>3-10 went down 3ticks</t>
  </si>
  <si>
    <t>1134am</t>
  </si>
  <si>
    <t>YT-XT</t>
  </si>
  <si>
    <t>BONDS</t>
  </si>
  <si>
    <t>Ret. + Sz till 36 + quoted lowest range of Day</t>
  </si>
  <si>
    <t>111pm</t>
  </si>
  <si>
    <t>Exit as Bond markets major effect</t>
  </si>
  <si>
    <t>Observe | nxt trade nxt month! | ASE all of it is SHIT | Avoid for now | TRY NEW RULES IN ASE FOR 3-10</t>
  </si>
  <si>
    <t>luck100 | went to 34.5 by 145pm!</t>
  </si>
  <si>
    <t>Follow money flow not the herd</t>
  </si>
  <si>
    <t>1145AM</t>
  </si>
  <si>
    <t xml:space="preserve">Cuts later @ far + kink Near j24 by selling </t>
  </si>
  <si>
    <t>-10 can be scratched</t>
  </si>
  <si>
    <t>21 APR 420AM</t>
  </si>
  <si>
    <t>1158AM</t>
  </si>
  <si>
    <t xml:space="preserve">Added 2 as EU cpi weak </t>
  </si>
  <si>
    <t>Converted to FLY @ 6 | reducing the risk by almost half</t>
  </si>
  <si>
    <t>EU 	CPI (YoY) (Mar) (P8.5% F6.9% A6.9%)</t>
  </si>
  <si>
    <t>No move | dovish expectations were true</t>
  </si>
  <si>
    <t>EU 	CPI (MoM) (Mar) (P0.8% F0.9% A0.9%)</t>
  </si>
  <si>
    <t>EU Core CPI (YoY) (Mar) (P5.6% F5.6% A5.6%)</t>
  </si>
  <si>
    <t>348PM</t>
  </si>
  <si>
    <t>20 apr 1256am</t>
  </si>
  <si>
    <t>523PM</t>
  </si>
  <si>
    <t>Converted to S23 FLY @ 6</t>
  </si>
  <si>
    <t>613PM</t>
  </si>
  <si>
    <t>S23 FLY</t>
  </si>
  <si>
    <t>Not much cuts this year so D23 should go up + less hikes in S23 QTR (maybe bias + 0 can be scratched!)</t>
  </si>
  <si>
    <t xml:space="preserve">Curve anomaly S23 fly &gt; J23 fly </t>
  </si>
  <si>
    <t>2 TICKS AFFORDABLE</t>
  </si>
  <si>
    <t>&gt;12h</t>
  </si>
  <si>
    <t xml:space="preserve">20 apr 445am, </t>
  </si>
  <si>
    <t>S23 fly @ 7 J23 fly @ 6</t>
  </si>
  <si>
    <t>exit s23 @ 0 | d23 @-6</t>
  </si>
  <si>
    <t>Exit d23 spd all @ -5 (8)</t>
  </si>
  <si>
    <t>1031PM</t>
  </si>
  <si>
    <t>Not many near term cuts in 23 so SHOULD NOT BE KINK | Kink shifting towards back (maybe bias)</t>
  </si>
  <si>
    <t>24 apr 1009am</t>
  </si>
  <si>
    <t xml:space="preserve">8 lots (half of TOTAL M24 EXPOSURE) exit @ -9 rest &gt;=-8 (partial) </t>
  </si>
  <si>
    <t>Exit all | dont want to hold</t>
  </si>
  <si>
    <t xml:space="preserve">THU </t>
  </si>
  <si>
    <t>NZ CPI QOQ Q1 (P1.4% F1.7% A1.2%)</t>
  </si>
  <si>
    <t>NZ YOY Q1 (P7.2 F7.1% A6.7%)</t>
  </si>
  <si>
    <t>could be lagging effect | need more downfall</t>
  </si>
  <si>
    <t>RBA review meeting | A major change recommended by the Panel is the establishment of separate boards for monetary policy and the governance of the Bank. | The Review includes a number of recommendations for how the Board works, including the frequency of meetings  | We will publish a detailed response later this year after the necessary work has been completed.</t>
  </si>
  <si>
    <t>Today 2nd session exits | nxt session (FRI) all exit &amp; only intraday with small lots | NO NIGHT SESSION TRADING</t>
  </si>
  <si>
    <t>ECB MEMBER: APRIL INFLATION TO DETERMINE SIZE OF MAY HIKE</t>
  </si>
  <si>
    <t>MAY HAVE TO HIKE RATES AGAIN IN JUNE, JULY</t>
  </si>
  <si>
    <t xml:space="preserve">Hawkish EZ, US (World) </t>
  </si>
  <si>
    <t>935AM</t>
  </si>
  <si>
    <t>136pm, 26 APR 23 123AM</t>
  </si>
  <si>
    <t>Exit half @ -5 (5) | 3 left</t>
  </si>
  <si>
    <t>D23 FLY WAS NEGATIVE WENT TO 5,6 as kink shifted backwards</t>
  </si>
  <si>
    <t>front kink buy had less downside as well when Curve disappeared as well</t>
  </si>
  <si>
    <t>ECB MINUTES</t>
  </si>
  <si>
    <t>A VERY LARGE MAJORITY AGREED WITH MR LANE’S PROPOSAL TO RAISE THE ECB’S KEY INTEREST RATES BY 50 BASIS POINTS</t>
  </si>
  <si>
    <t>Hawkish sentitment in EZ</t>
  </si>
  <si>
    <t xml:space="preserve">US Initial Jobless Claims (Cons 240k, Prev 239k A245K) </t>
  </si>
  <si>
    <t>Poor move</t>
  </si>
  <si>
    <t>20 apr 21 apr</t>
  </si>
  <si>
    <t>810pm, 544am</t>
  </si>
  <si>
    <t>26 APR 123AM</t>
  </si>
  <si>
    <t>EXIT ALL -5 (14)</t>
  </si>
  <si>
    <t xml:space="preserve">RECESSION FEARS HAVE INCREASED (US) | AUS BETTER THAN US </t>
  </si>
  <si>
    <t>sl w payup?!</t>
  </si>
  <si>
    <t>SHOULD HAVE PUT SL FOR PARTIAL LOTS</t>
  </si>
  <si>
    <t>ALWAYS HAVE PARTIAL/HALF LOTS SL. whats wrong? its the unanticipated events that causes losses</t>
  </si>
  <si>
    <t>810pm</t>
  </si>
  <si>
    <t>EXIT ALL -10 (31) | 19 , -11, 14 . -10</t>
  </si>
  <si>
    <t>17 , -11, 14 . -10</t>
  </si>
  <si>
    <t>MONEY MARKETS HAVE BIGGEST OUTFLOW SINCE 2020 | ALL &amp; ONLY EXITS ON FRI WITH STOPS | SHOULD REVERT TILL -10 BY NXT WEEK</t>
  </si>
  <si>
    <t>If more hikes then more cuts | curve steepening (temporarily)</t>
  </si>
  <si>
    <t>CUT PARTIAL IF STRAT IS NOT STRONG ENOUGH | REDUCING RISK</t>
  </si>
  <si>
    <t>IF TGT IS MORE , BUT LESS CHANCE | CHURN 70% OF ORDER (EXIT IF MOVE SLOWS)</t>
  </si>
  <si>
    <t>412am, 1037 AM, 7PM</t>
  </si>
  <si>
    <t>fewer cuts + pricing wise -7 is a great price</t>
  </si>
  <si>
    <t>5D</t>
  </si>
  <si>
    <t>26 APR 229AM</t>
  </si>
  <si>
    <t xml:space="preserve">BAD READ  | EXIT ALL </t>
  </si>
  <si>
    <t>A LITTLE HIGHER VOLATILITY | MEDIUM STATE | 50% QRTLE</t>
  </si>
  <si>
    <t>no move, reducing stake, scratched 4</t>
  </si>
  <si>
    <t>26 apr 4am</t>
  </si>
  <si>
    <t>UK Retail Sales (MoM) (Mar) (p1.1% f-0.5% a-0.9%)</t>
  </si>
  <si>
    <t>US Services PMI (Apr) (P52 F51 A53.7)</t>
  </si>
  <si>
    <t>GOOD FOR GROWTH (2%) + NOT CONTRACTIONARY + FED CAN GO FOR MORE HIKES | bonds ir went down few bp, 3-10 went down</t>
  </si>
  <si>
    <t>REMINDER RBA MINUTES : FORECASTS IN MAY WILL HELP ASSESS WHEN AND HOW MUCH MORE TIGHTENING NEEDED</t>
  </si>
  <si>
    <t>OPEC OIL, SO CPI SHOULD COME HIGH = MORE HIKES = HAWKISH (FRONT SPDS GO UP) | MORE CUTS POSSIBLE AT BACKS</t>
  </si>
  <si>
    <t>TUE HOLIDAY | MON EXIT (IF POSSIBLE) / REDUCE POSITIONS</t>
  </si>
  <si>
    <t>WED - AUD CPI qoq (PA (UA) EXIT ALL POSITIONS BY 7AM (dovish expectations!) | USsually no major move but ret 60-70% front spds &amp; IR in 40mins</t>
  </si>
  <si>
    <t>thu US GDP (BACKS EMPTY) CONTRACTIONARY expectations (can make good flies or play ret by nxt session)</t>
  </si>
  <si>
    <t>FRI EUR GDP</t>
  </si>
  <si>
    <t>philly fed has always contracted b4 a recession (not a causality) + people sentiment might temporarily change</t>
  </si>
  <si>
    <t>debt ceiling can be worrying if something extreme happens | bonds will have a trend | ride it</t>
  </si>
  <si>
    <t>CB Consumer Confidence (Apr) (p104.2 f104 a101.3)</t>
  </si>
  <si>
    <t>powell wont be clear / will confuse mkt when hikes and pause | bcoz cuts are sure then credit might increase and that can mess up his work | can pause for long time (6m to 1y)</t>
  </si>
  <si>
    <t>New Home Sales (Mar) (p623k f630k a683k)</t>
  </si>
  <si>
    <t>FRC SITUATION WENT SOUTH | WHEN THIS SETTLES, RETRACE WITH THE SAME LOTS (24,21)</t>
  </si>
  <si>
    <t>FIRST REPUBLIC BANK EXTENDS PLUNGE TO 50%</t>
  </si>
  <si>
    <t>1020pm</t>
  </si>
  <si>
    <t>Sz (-3) (shaorter tf)</t>
  </si>
  <si>
    <t>5.5h</t>
  </si>
  <si>
    <t>26 apr 406am</t>
  </si>
  <si>
    <t>It’s fine to not make expected money in current positions. Advantage of having no positions is way higher than making money on current positions.</t>
  </si>
  <si>
    <t>D/UD FOR ALL STRATS</t>
  </si>
  <si>
    <t>CPI (QoQ) (Q1) (p1.9% f1.3% a1.4%)</t>
  </si>
  <si>
    <t>LGAP IN SPDS WHITES</t>
  </si>
  <si>
    <t>CPI (YoY) (Q1) (p7.8% f6.9% a7%)</t>
  </si>
  <si>
    <t>Trimmed Mean CPI (QoQ) (Q1) (p1.7% f1.4% a1.2%)</t>
  </si>
  <si>
    <t>Lg3 (event) + VAR</t>
  </si>
  <si>
    <t>17m</t>
  </si>
  <si>
    <t>717am</t>
  </si>
  <si>
    <t>Lg7,8 (bottom!) +VAR</t>
  </si>
  <si>
    <t>20m</t>
  </si>
  <si>
    <t>720am</t>
  </si>
  <si>
    <t>US GDP Q1(1.1%)</t>
  </si>
  <si>
    <t>US GDP: S24 FLY 0,-1 TRY</t>
  </si>
  <si>
    <t>96.405 ib may23 SHORT 2 LOTS | GR8 RR</t>
  </si>
  <si>
    <t>6 WINS NET of 20 lots 1 tick in 1 month (May) --&gt; 5k</t>
  </si>
  <si>
    <t>ALWAYS CUT POSITIONS 1 DAY B4 LAST DAY B4 BIG HOLIDAY</t>
  </si>
  <si>
    <t>SMALL RANGED MKT . THINGS CAN CHANGE VERY QUICKY AND BY A LOT (IN TERMS OF COST NOT TICKS!) | NO POINT IN HOLDING FOR LONG ALL YOUR POSITIONS</t>
  </si>
  <si>
    <t>overconfidence/greed led to carelessness | use Trailing SL when such trend exist (at least for 50% of lots) | Time to initiate Trailing SL should be when it reaches the other end of variance or it gets overvalued that opposite pressure might arise</t>
  </si>
  <si>
    <t>USE TT STOP IF EVENT IS NEARBY AFTER A DECENT PRICE ENTRY</t>
  </si>
  <si>
    <t>May 23 live</t>
  </si>
  <si>
    <t>MAY</t>
  </si>
  <si>
    <t xml:space="preserve">Tue RBA MEETING | pa, VAR HL75 (A) . 15, 22 | EZ CPI, LOWE speaks scalping (ud) | </t>
  </si>
  <si>
    <t>WED NZ Labour | aud ret sales | NFE, ISM NM PMI, FED INTEREST RATE, avoid morning session (only intraday with small lots IN 1ST session) | pa (a), var (a) whole curve in 2nd session</t>
  </si>
  <si>
    <t>THU ECB INTEREST RATE DECISION (var aggressive) (a)</t>
  </si>
  <si>
    <t>FRI US UE, NFP, INTRADAY var def(a)| no retry orders | BACKS BELLIES RANGE (B), var (A)</t>
  </si>
  <si>
    <t>6 20LOT WINS</t>
  </si>
  <si>
    <t>705AM</t>
  </si>
  <si>
    <t>IB MAY 23</t>
  </si>
  <si>
    <t>RR 0:24.5</t>
  </si>
  <si>
    <t>Pricing wise 96.435 @ 0</t>
  </si>
  <si>
    <t>923am</t>
  </si>
  <si>
    <t>did not take IOCR from RBA site (3.57 not 3.6)</t>
  </si>
  <si>
    <t>+690$ lost opportunity | u have to be willing to lose some | trust the RISK REWARD</t>
  </si>
  <si>
    <t xml:space="preserve">DO NOT LISTEN TO ANYONE'S VIEW | TRUST THE RR, math, systemic trading </t>
  </si>
  <si>
    <t>View changed in the end bcoz of an article "this might be the peak of RBA hike cycle" | ignore these; just trust the RR</t>
  </si>
  <si>
    <t>when people cant fathom to lose money; you have asymmetric risk and thats where you make the most money | Nxt TIME IGNORING THESE NEWS &amp; VIEWS will be KEY</t>
  </si>
  <si>
    <t xml:space="preserve">u hv 2 b willing to lose some </t>
  </si>
  <si>
    <t>RBA HIKES 25 BP (3.85%)</t>
  </si>
  <si>
    <t>curve steepening (&gt;75th quartile moves)</t>
  </si>
  <si>
    <t>theme changed | spike state --&gt; high chance of ret/scalping | EUR CPI stick to intraday | def scalp + var aggressive (2 levels only)</t>
  </si>
  <si>
    <t xml:space="preserve">Var </t>
  </si>
  <si>
    <t>1-2H</t>
  </si>
  <si>
    <t>THEME CHANGE HAS LESS CHANCES OF VAR TO SUCCEED</t>
  </si>
  <si>
    <t>RET  + var10 (&gt;75hl)</t>
  </si>
  <si>
    <t>within 1 h</t>
  </si>
  <si>
    <t>Var 4</t>
  </si>
  <si>
    <t>Var + Sz (-9,-10)</t>
  </si>
  <si>
    <t>230PM</t>
  </si>
  <si>
    <t>EUR CPI (YoY) (Apr) (P6.9% F7% A7%)</t>
  </si>
  <si>
    <t>No move</t>
  </si>
  <si>
    <t>EUR Core CPI (YoY) (P5.7% F5.75 A5.6%)</t>
  </si>
  <si>
    <t>451pm</t>
  </si>
  <si>
    <t>LOWE: SOME FURTHER TIGHTENING MAY BE REQUIRED TO MEET THAT TIMEFRAME | LOWE: IF WE CAN GET INFLATION TO 3% IN TWO YEARS THAT WOULD BE GOOD OUTCOME</t>
  </si>
  <si>
    <t>619pm</t>
  </si>
  <si>
    <t>NOT MUCH RESPECT FOR ANY LEVELS | STAY ALERT, IF ANTI --&gt; CUT</t>
  </si>
  <si>
    <t>1st session</t>
  </si>
  <si>
    <t>3 may 950pm</t>
  </si>
  <si>
    <t>Retail Sales (MoM) (Mar)  (p0.2% f0.3% a0.4%)</t>
  </si>
  <si>
    <t>FED HIKES BY 25BP (5.25%)</t>
  </si>
  <si>
    <t>We have managed last few days well but real bank crisis move is still pending. As a group we should be prepared and assume that this move is round the corner. It’s fine if move doesnot happen.</t>
  </si>
  <si>
    <t>Better to keep positions light. Cut positions if required. Use volatility to make money.</t>
  </si>
  <si>
    <t>215AM</t>
  </si>
  <si>
    <t>Not many cuts</t>
  </si>
  <si>
    <t>6H</t>
  </si>
  <si>
    <t>Curve steepening</t>
  </si>
  <si>
    <t>Stick to intraday | scalping | try reds more</t>
  </si>
  <si>
    <t>Avoid heavy lots in Whites | Go big in reds | no 6 months | Try flies</t>
  </si>
  <si>
    <t>Scalping mkt with consecutive levels . OVER</t>
  </si>
  <si>
    <t>Stat arb working (S)</t>
  </si>
  <si>
    <t>4AM</t>
  </si>
  <si>
    <t>Sz (-8 to -10)</t>
  </si>
  <si>
    <t>YT JUN23</t>
  </si>
  <si>
    <t>YT</t>
  </si>
  <si>
    <t>Selling pressure candle (hammer like) (4) + Rz 96.99, 97 (15) + B/D possible from 96.98</t>
  </si>
  <si>
    <t xml:space="preserve">ATR, dynamic (4th from best ask INCLUDING best ask) </t>
  </si>
  <si>
    <t>~ 96.94</t>
  </si>
  <si>
    <t>3 . 6</t>
  </si>
  <si>
    <t>8am</t>
  </si>
  <si>
    <t>In 40 mins 2-3 ticks profit possible</t>
  </si>
  <si>
    <t>converted to FLY</t>
  </si>
  <si>
    <t>1054am</t>
  </si>
  <si>
    <t>J23 FLY (manually)</t>
  </si>
  <si>
    <t>US front flies @ same levels by selling</t>
  </si>
  <si>
    <t>Dovish view (cuts entering in front spd or cuts going out of 2nd spd)</t>
  </si>
  <si>
    <t>13,14</t>
  </si>
  <si>
    <t>3&gt;&gt;5</t>
  </si>
  <si>
    <t>HOLD AT LEAST HALF TILL SOME BANK COLLAPSE NXT WEEK! | exit by 12 may</t>
  </si>
  <si>
    <t>8 may 558pm, 9 ,may 12am</t>
  </si>
  <si>
    <t>J23 0 S; S23 -10 B</t>
  </si>
  <si>
    <t>went to 12, retraced to 7</t>
  </si>
  <si>
    <t>Hold 7; Short 8 more at best available price, treat that separately | exit &lt; 4 (if in direction) | All manual exit</t>
  </si>
  <si>
    <t>JPMORGAN ASSET MANAGEMENT'S DAVIS: THIS IS DEFINITELY THE END OF THE HIKING CYCLE FOR THE FED. --&gt; dOVISH in the long run</t>
  </si>
  <si>
    <t>1135am</t>
  </si>
  <si>
    <t>J24 FLY (manually)</t>
  </si>
  <si>
    <t>Cuts + right of kink should not go positive + less cuts at back so fly should go negative direction (chances are more)</t>
  </si>
  <si>
    <t>0,1</t>
  </si>
  <si>
    <t>Should not go in this direction</t>
  </si>
  <si>
    <t>5 may 10am,11am</t>
  </si>
  <si>
    <t>J24 -12 S; S24 -10 B</t>
  </si>
  <si>
    <t>Exit from ASE | Manual exits/entry can be seen from ASE, when ASE is available and in naked lots are less/ empty in both legs, if no nearby event, can exit/enter partially</t>
  </si>
  <si>
    <t>ECB HIKES 25BP (3.75%)</t>
  </si>
  <si>
    <t>ILLIQUID MARKETS</t>
  </si>
  <si>
    <t>HL75 wont work in whites; so avoid, theme change having better RR is to be preferred, no multi level orders (remove aggressive ones if move is strong)</t>
  </si>
  <si>
    <t>638AM</t>
  </si>
  <si>
    <t>S24 FLY (manually)</t>
  </si>
  <si>
    <t>-7,-8</t>
  </si>
  <si>
    <t>S24 -9 B, D24 -5 S</t>
  </si>
  <si>
    <t>US UR (P3.5% F3.6% A3.4%)</t>
  </si>
  <si>
    <t xml:space="preserve">FRI </t>
  </si>
  <si>
    <t>RR</t>
  </si>
  <si>
    <t>Should not go much on positive direction + near end hike cycle + priing wise less positive</t>
  </si>
  <si>
    <t>0 (exception US CPI) (worse 4)</t>
  </si>
  <si>
    <t>&lt;0</t>
  </si>
  <si>
    <t>6d</t>
  </si>
  <si>
    <t>8 may 558pm, 9 ,may 12am, 11 may</t>
  </si>
  <si>
    <t>shifted to j23 leg only; as j23 fly lowest level was 5 + Better rr + chances of spd differential to expand is more in long run + highest positve short can be held for longer</t>
  </si>
  <si>
    <t>went to -4,-5 :) as soon as i cut</t>
  </si>
  <si>
    <t>WENT TO -5 (-6 EMPTY!) ON THU 2ND SESSION</t>
  </si>
  <si>
    <t>230AM</t>
  </si>
  <si>
    <t>D23 6m SPD (manual)</t>
  </si>
  <si>
    <t>VAR (HL75+,5th)</t>
  </si>
  <si>
    <t>d23, m24 : one should go down</t>
  </si>
  <si>
    <t>8 may 430am</t>
  </si>
  <si>
    <t>d23, m24 anyone goes down tt stop in the other for scratch/scratch</t>
  </si>
  <si>
    <t>banks crisis not over so might come down again</t>
  </si>
  <si>
    <t>went to 29 in nxt 3mins! (W/o reversal)  |exit via 6M SPD</t>
  </si>
  <si>
    <t>WED US CPI . EMPTY GRID by tue 2nd session | OPEC effect might be there in CPI on the Hawkish side (temporarily) | PA (A), no Scalping in the entire curve | Belly Backs (Mar Jun Sep Dec 24) Trade var 2 levels (make Fly, DeFly 1 lvl hold the extreme)</t>
  </si>
  <si>
    <t xml:space="preserve">Fly entries possible (eother manually or ASE </t>
  </si>
  <si>
    <t>Try belly 1 TED (D23,M24,J24) after US CPI , Whenever dead state of YT 45</t>
  </si>
  <si>
    <t>FRI EMPTY GRID | VAR 2 LVLS 10,10 . BELLY &amp; BACKS ONLY</t>
  </si>
  <si>
    <t>M24 FLY (manually)</t>
  </si>
  <si>
    <t xml:space="preserve">Rz </t>
  </si>
  <si>
    <t>Can hve more cuts</t>
  </si>
  <si>
    <t>M24 fly @ -1,0</t>
  </si>
  <si>
    <t>4D</t>
  </si>
  <si>
    <t>11 may 1238PM</t>
  </si>
  <si>
    <t>10 fly @ -1</t>
  </si>
  <si>
    <t>exit ASE -2, Manually -3</t>
  </si>
  <si>
    <t>8 may, 9 may</t>
  </si>
  <si>
    <t>858PM, 730pm</t>
  </si>
  <si>
    <t>good value zone</t>
  </si>
  <si>
    <t>Can have more cuts priced in than hikes + if risk increases IR up, spds down</t>
  </si>
  <si>
    <t>9 may 126pm, 10 may 920am</t>
  </si>
  <si>
    <t xml:space="preserve">May 9th + may 20th </t>
  </si>
  <si>
    <t>8 lots for fly exit | backup | if both front spds fall cut s23 spd hold j23 fly 7-8 lots</t>
  </si>
  <si>
    <t>Dovish move -&gt; exit j23 fly 8 lots | hawkish -&gt; hold j23 fly, enter at better price, @ s23, as well as j23 fly</t>
  </si>
  <si>
    <t>J24 DEFLY (m)</t>
  </si>
  <si>
    <t>Range (-4,-5 to 0,-1) for S24 fly</t>
  </si>
  <si>
    <t>Back spread differential should be 0 (pause after cuts for longer (no quick hike cycle bias)</t>
  </si>
  <si>
    <t>J24 DEFLY HIGHS @ 2 (J24 F -2, S24 F -4) + Cuts + right of kink should not go positive + less cuts at back so fly should go negative direction (chances are more)</t>
  </si>
  <si>
    <t>ADD 10 MORE @ 4</t>
  </si>
  <si>
    <t>16 may 1035am,1119am</t>
  </si>
  <si>
    <t>Taking Defly through event would be better/easier + better rr</t>
  </si>
  <si>
    <t>S24 FLY B -4 -&gt; -3, J24 FLY S -2 -&gt; -3/-2 by week end</t>
  </si>
  <si>
    <t>D24 -8 S X 10 . J24 -13 x 10 S</t>
  </si>
  <si>
    <t>Retail sales QOQ (p-0.2% f-0.6% a-0.6%)</t>
  </si>
  <si>
    <t>US CORE CPI MOM (APR) (P0.4% F0.4% A0.4%)</t>
  </si>
  <si>
    <t>Front spds go down 2-3 bps in 7mins</t>
  </si>
  <si>
    <t>US CPI MOM (APR) (P0.1% F0.4% A0.4%)</t>
  </si>
  <si>
    <t>Nothing to see here</t>
  </si>
  <si>
    <t>US CPI YOY (APR) (P5% F5% A4.9%)</t>
  </si>
  <si>
    <t>CORE CPI YOY (APR) (P5.6% F5.5% A5.5%)</t>
  </si>
  <si>
    <t>358am</t>
  </si>
  <si>
    <t>7M</t>
  </si>
  <si>
    <t>405am</t>
  </si>
  <si>
    <t>only 8 lots were traded; 7 mine</t>
  </si>
  <si>
    <t>432AM</t>
  </si>
  <si>
    <t>2H</t>
  </si>
  <si>
    <t>612am</t>
  </si>
  <si>
    <t>645AM</t>
  </si>
  <si>
    <t>RBA PATHS WITH 4.8% CASH RATE SHOW INFLATION AT TARGET LATE-'24</t>
  </si>
  <si>
    <t>TIMEOUT | UNCERTAIN MKT STATE | UD in whites | only flies (B) | try backs and belly (m24 onwards)</t>
  </si>
  <si>
    <t>FRI fly entries possible 2nd session | that was THU this week</t>
  </si>
  <si>
    <t>hl 75 var might work | alternate contracts | 2.4.6 | 15lots 1 lvl</t>
  </si>
  <si>
    <t>select 2 whites only</t>
  </si>
  <si>
    <t>W:R 1:3</t>
  </si>
  <si>
    <t>US PPI (MOM) APR (P-0.4% F0.3% A0.2%)</t>
  </si>
  <si>
    <t>front spds went down</t>
  </si>
  <si>
    <t>TIMEOUT | W:R IMPROVE, TRY TEDS AT LEAST 3 IN MONTH</t>
  </si>
  <si>
    <t>REDS FLY + VAR TOTAL FRONTS (7,10) BACKS (20,30) | 15 FLY 15 SPREADS (30) / 15,15 : FRONTS NO MORE THAN 7 (1 LVL) VAR 10</t>
  </si>
  <si>
    <t>TAKE W: R RATIO BELOW 3</t>
  </si>
  <si>
    <t>TARGET ONLY RED FLIES 15,15 OR TARGET WHITE AND RED FLIES | W 7..7, REDS 21,21 | FULL MONTH</t>
  </si>
  <si>
    <t>REDUCE LOTS OF ALL TRADES</t>
  </si>
  <si>
    <t>AVOID 1:1 IN FRONTS | VAR HL75/80 1 LVL . 5 (F) 7(BL) 15(B) | CURVE FLIES . 10 (F) 15,20 (B)</t>
  </si>
  <si>
    <t>MAX F(15) . 5 var, 10 flies | B(35) 10,15 VAR, 25 FLIES</t>
  </si>
  <si>
    <t>3S10S</t>
  </si>
  <si>
    <t>Sz (prev Rz) 60m + 4th var</t>
  </si>
  <si>
    <t xml:space="preserve">US AUD LAG </t>
  </si>
  <si>
    <t>when it goes below 1 tick to 2 tick (29)</t>
  </si>
  <si>
    <t>1103am</t>
  </si>
  <si>
    <t>STICK TO INTRADAY</t>
  </si>
  <si>
    <t>32 hit was available 1140am (40mins w8 if ITM)</t>
  </si>
  <si>
    <t>s23 -6 Scalp 7 and fly short 10 lots @ 10 or above</t>
  </si>
  <si>
    <t>THU LABOUR DATA . 2 W VAR PA (A), B PA (A)</t>
  </si>
  <si>
    <t xml:space="preserve">missed morning liq gap in j23 spd (6 empty to 1; removed 5), fra driven move </t>
  </si>
  <si>
    <t>Avoid FRI trades</t>
  </si>
  <si>
    <t>US CORE RETIAL SALES (MOM) (APR) (P-0.5% F0.4% A0.4%)</t>
  </si>
  <si>
    <t>no moajor move</t>
  </si>
  <si>
    <t xml:space="preserve">VAR 20 | FLY 10 | 10 REDS | WHITES 5,7 </t>
  </si>
  <si>
    <t xml:space="preserve">THU : labour data during event piq, reds flies | 20 1 lvl </t>
  </si>
  <si>
    <t>s23 f S 9,11 so avg 10 x 10 | S24  F B -4 S -2,-1</t>
  </si>
  <si>
    <t>US RETAIL SALES MOM (APR) (P-0.7% F0.8% A0.4%)</t>
  </si>
  <si>
    <t>Wage Price Index (QoQ) (Q1) (P0.8% F0.9% A0.8%)</t>
  </si>
  <si>
    <t>MOMENTUM data + Scalping</t>
  </si>
  <si>
    <t>intraday</t>
  </si>
  <si>
    <t>3-5h</t>
  </si>
  <si>
    <t>737am10am,146am</t>
  </si>
  <si>
    <t>948am</t>
  </si>
  <si>
    <t>M24 FLY</t>
  </si>
  <si>
    <t>957PM</t>
  </si>
  <si>
    <t>Prev Sz to Rz</t>
  </si>
  <si>
    <t>3 ticks</t>
  </si>
  <si>
    <t>RETRACE TILL 8 ELSE SCALP 7</t>
  </si>
  <si>
    <t xml:space="preserve">S23 FLY @ 8,7 </t>
  </si>
  <si>
    <t>18 may 645am</t>
  </si>
  <si>
    <t>converted to fly 7 LOTS</t>
  </si>
  <si>
    <t>1050PM</t>
  </si>
  <si>
    <t>For fly ENTRY</t>
  </si>
  <si>
    <t>18 MAY EVENT</t>
  </si>
  <si>
    <t>fly @ 1 made so reducing previous exposure</t>
  </si>
  <si>
    <t>444am</t>
  </si>
  <si>
    <t>Hedged s23 spd</t>
  </si>
  <si>
    <t>9 after taking 11 (if retraces)</t>
  </si>
  <si>
    <t>SCRATCH . 7 / 6</t>
  </si>
  <si>
    <t xml:space="preserve">Take Nxt when j23 s23 plateau/anomaly structure (preferably &gt;9) </t>
  </si>
  <si>
    <t xml:space="preserve">Carry some </t>
  </si>
  <si>
    <t>19 may 439pm, 23 may 758am, 1130am</t>
  </si>
  <si>
    <t>should be easy to scratch later/ better to not increase exposure and carry overnight | w8 &amp; watch</t>
  </si>
  <si>
    <t>Cut @ -8 or -9 2 lots</t>
  </si>
  <si>
    <t>s23 exit 2x -2 (hawkish sentiment)</t>
  </si>
  <si>
    <t>Should watch individual contracts (spds) prices and their levels which price has higher chances of getting hit -&gt; participate there in equillibrium</t>
  </si>
  <si>
    <t>EMP CHANGE (APR) (P53K F25K A-4.3K)</t>
  </si>
  <si>
    <t>HL 75 like volatility</t>
  </si>
  <si>
    <t>Unemployment rate (APR) (P3.5% F3.5% A3.7%)</t>
  </si>
  <si>
    <t>M24 FLY (C1)</t>
  </si>
  <si>
    <t>Can go lower if cuts gets priced in + less downside above</t>
  </si>
  <si>
    <t>1,2</t>
  </si>
  <si>
    <t>ASE/VWAP -3 FOR -2 OR -1</t>
  </si>
  <si>
    <t>B4 MEETING</t>
  </si>
  <si>
    <t xml:space="preserve">23 may 910am, 25 MAY 642AM, </t>
  </si>
  <si>
    <t>exits @ best tgt -&gt; 5,7,8 lots</t>
  </si>
  <si>
    <t>S24 f exit @ -2 done -&gt; now this exit @ -1</t>
  </si>
  <si>
    <t>TAKE OUT MANUALLY ONLY WHEN 2 TICKS POSSIBLE/ IF NOT THEN YOU GET AT LEAST 1 TICK</t>
  </si>
  <si>
    <t>REDUCE EXPOSURE</t>
  </si>
  <si>
    <t>S24 FLY X 20 will be required to provide hedge for M24 FLY SHORT for the upcoming week</t>
  </si>
  <si>
    <t>converted to S24 fly</t>
  </si>
  <si>
    <t xml:space="preserve">WIN WIN SITUATIONS </t>
  </si>
  <si>
    <t>For S24 FLY B @ -4 / scalping / For M24 fly S 0,1</t>
  </si>
  <si>
    <t>1045AM</t>
  </si>
  <si>
    <t>WIN WIN SITUATIONS CREATED</t>
  </si>
  <si>
    <t>WIN WIN SITUATIONS CAN BE CREATED IN ALTERNATE CONTRACTS FLIES ENTRY, SPDS EXIT</t>
  </si>
  <si>
    <t>843AM</t>
  </si>
  <si>
    <t>Channel 60 + All retracing market</t>
  </si>
  <si>
    <t>Downside less | Better RR (Debt default)</t>
  </si>
  <si>
    <t>1032am</t>
  </si>
  <si>
    <t>EVERY CONTRACT RETRACING AFTER EVENT -&gt; LOWS (KIND OF A LEAD LAG . IR, YT,XT, SPDS, 3-10</t>
  </si>
  <si>
    <t>1040am</t>
  </si>
  <si>
    <t>S24 FLY (C1)</t>
  </si>
  <si>
    <t>Range (-4 to -1)</t>
  </si>
  <si>
    <t xml:space="preserve">Hedge for m24 fly  THROUGH DEBT CEILING </t>
  </si>
  <si>
    <t>ASE/VWAP 1 FOR 2 OR 3</t>
  </si>
  <si>
    <t>1w+</t>
  </si>
  <si>
    <t>19 MAY 744PM, 25 may 725am, 26 MAY 12AM, 30 may 725am</t>
  </si>
  <si>
    <t>CASINO MKT | LUCK RUNS OUT SOON IG</t>
  </si>
  <si>
    <t>exits @ best tgt -&gt; 5,7,8 lots | 10, 10</t>
  </si>
  <si>
    <t>these both RED flies should come to an equillibrium @ -2 or 0 (in any case the optimal exits SHOULD GIVE AT LEAST +3 TICKS TOTAL) try that!</t>
  </si>
  <si>
    <t>Exit 5 @ -2 | no more exits until M24 F EXIT @ AT LEAST -1 | NXT EXITS @ -1</t>
  </si>
  <si>
    <t>Treat it individually now for the week</t>
  </si>
  <si>
    <t>at least +2 ticks at 1 time | risking for +3 is worth it if not then +2</t>
  </si>
  <si>
    <t>US SHOULD NOT DEFAULT | (ACTUAL DEFAULT)</t>
  </si>
  <si>
    <t>Fri closing entries (var 75) alternate contracts</t>
  </si>
  <si>
    <t>WED RBNZ INTEREST RATE DECISION | EMPTY GRID | BACKS AT LEAST HALF EXIT | PA (A) + PA FOR CURVE STRATS (25 REDS FLY) X 2</t>
  </si>
  <si>
    <t>THU GDP | BACKS ENTRY / EXIT (BOTH SIDE VAR)</t>
  </si>
  <si>
    <t>FED COMMENTARY IS HAWKISH (AGAIN) . STILL SOME ROOM FOR INFLATION TO COME BACK SO "HAWKISH PAUSE"</t>
  </si>
  <si>
    <t>TRADE W SMALL AMT OF MONEY | UNCERTAIN TIMES | DEFINED RISK TRADES | KEEP HEDGES AS WELL</t>
  </si>
  <si>
    <t>Hedging will be crucial going forward</t>
  </si>
  <si>
    <t>9PM</t>
  </si>
  <si>
    <t>For fly EXIT</t>
  </si>
  <si>
    <t>22 may 447am</t>
  </si>
  <si>
    <t>TT RETRY CRUCIAL - M24 -13 S x5; J24 -12 S x5; NO TT OCO (manually make the best choice); j24 -13 S tt stop x5 (2 hard 3 condition)</t>
  </si>
  <si>
    <t>Priority is to exit the fly x5 as its heddge is gone as well x5 so better to exit 5 @-1 or 0 try for -2  or s24 fly -1 later with 7,8 lots | so exit at 0 (j24 -13 S is fine as well)</t>
  </si>
  <si>
    <t>REDS 6MDF</t>
  </si>
  <si>
    <t>REDS FLIES | BELLY FLIES</t>
  </si>
  <si>
    <t>FRONTS INTRADAY/FLIES</t>
  </si>
  <si>
    <t>NO HOLDING AFTER THURSDAY</t>
  </si>
  <si>
    <t>INTRADAY / DEFENSIVE  ALL STRATS WITH SLs</t>
  </si>
  <si>
    <t>Scalping (Rz)</t>
  </si>
  <si>
    <t>23 may 1120am</t>
  </si>
  <si>
    <t xml:space="preserve">did not exit at 9! </t>
  </si>
  <si>
    <t>No shorting Whites anymore | ONLY SELECT 1 | NO J23 SCALPING (bad at it)</t>
  </si>
  <si>
    <t>745am</t>
  </si>
  <si>
    <t>J24 TED</t>
  </si>
  <si>
    <t>TED</t>
  </si>
  <si>
    <t>Scalping | ranged mkt/ Rz -48</t>
  </si>
  <si>
    <t>950am</t>
  </si>
  <si>
    <t>Observe belly TEDs capture Leag lag effect (if possible)</t>
  </si>
  <si>
    <t>933am</t>
  </si>
  <si>
    <t xml:space="preserve">Scalping (ranged 28 to 30) </t>
  </si>
  <si>
    <t>BD</t>
  </si>
  <si>
    <t>1008am</t>
  </si>
  <si>
    <t>Avoid 3s10s this week</t>
  </si>
  <si>
    <t>1130am</t>
  </si>
  <si>
    <t>M24 FLY (C2)</t>
  </si>
  <si>
    <t>26 may 328pm, 30 may 750am</t>
  </si>
  <si>
    <t>Take 25 at 3 or 4 (10 @3, 15 @ 4) | Hold these | Cut 5 at 3</t>
  </si>
  <si>
    <t>Fly legged</t>
  </si>
  <si>
    <t>14m</t>
  </si>
  <si>
    <t>1144am</t>
  </si>
  <si>
    <t>US Services PMI (May) (P53.6 F52.6 A55.1)</t>
  </si>
  <si>
    <t>NZ HIKES 25 BP (5.5%) MKT 35BP | DECIDING B/W 0 &amp; 25BP</t>
  </si>
  <si>
    <t>ir j24 long missed by 1 tick | can go for yt nxt time | both gave 4-6ticks</t>
  </si>
  <si>
    <t>745AM</t>
  </si>
  <si>
    <t>D23 FLY (C2)</t>
  </si>
  <si>
    <t>Curve Anomaly + Kink back so front fly cant be negative</t>
  </si>
  <si>
    <t>FRI 2 JUL</t>
  </si>
  <si>
    <t>B4 RBA</t>
  </si>
  <si>
    <t>30 may 758am, 31 MAY 305PM</t>
  </si>
  <si>
    <t>Exit along with M24 FLy only | +1 +2 Ticks possible from both exits together</t>
  </si>
  <si>
    <t>Var 3 | D23</t>
  </si>
  <si>
    <t>Now less chances of cuts this year (until bank news bad) | D23</t>
  </si>
  <si>
    <t>1 jun 944am</t>
  </si>
  <si>
    <t>Exit 1</t>
  </si>
  <si>
    <t>All retracing (Might be lead lag) + better risk reward</t>
  </si>
  <si>
    <t>US session might retrace as opposing views slightly still exist</t>
  </si>
  <si>
    <t>953am</t>
  </si>
  <si>
    <t>Avoided TEDS as same concept trade and tick</t>
  </si>
  <si>
    <t>going anti | ret strength not enough</t>
  </si>
  <si>
    <t>CAUTION: DONT TAKE ALL TRADES OF ONE VIEW AT ONE TIME</t>
  </si>
  <si>
    <t>819am</t>
  </si>
  <si>
    <t>Scalping @ v5</t>
  </si>
  <si>
    <t xml:space="preserve"> M</t>
  </si>
  <si>
    <t>UK CPI (YoY) (Apr) (p10.1% f8.3% a8.7%)</t>
  </si>
  <si>
    <t xml:space="preserve">OUTRIGHTS went down </t>
  </si>
  <si>
    <t>1245PM</t>
  </si>
  <si>
    <t>For S23 fly @12 s</t>
  </si>
  <si>
    <t>957am</t>
  </si>
  <si>
    <t xml:space="preserve">NAKED FLIES, ONE DIRECTIONAL TRADES RISKY | GO FOR COMPLEX STRUCTURES| CONDORS (LTD RISK) </t>
  </si>
  <si>
    <t>BE AWARE OF CROWDED TRADES</t>
  </si>
  <si>
    <t>CHECK OI</t>
  </si>
  <si>
    <t>M24 HIGH OI, NXT IS S23 | OUT</t>
  </si>
  <si>
    <t>D23 SAFE OI (less oi)</t>
  </si>
  <si>
    <t>REDUCE EXPOSURE IN M24 FLY FIRST | NO EXIT OF HEDGES UNTIL NET PNL IS &gt;=+2 FOR SURE (VERY HIGH CHANCE)</t>
  </si>
  <si>
    <t>US GDP QOQ Q1 (p2.6% f1.1% a1.3%)</t>
  </si>
  <si>
    <t>Front spds went up</t>
  </si>
  <si>
    <t>US Initial jobless claims (p225k f250k a229k)</t>
  </si>
  <si>
    <t>640PM</t>
  </si>
  <si>
    <t>924PM</t>
  </si>
  <si>
    <t>1250AM</t>
  </si>
  <si>
    <t>140AM</t>
  </si>
  <si>
    <t>D23 FLY @ 3</t>
  </si>
  <si>
    <t>8H</t>
  </si>
  <si>
    <t>910am</t>
  </si>
  <si>
    <t>Retail Sales (MoM) (Apr)  (P0.4% F0.3% A0%)</t>
  </si>
  <si>
    <t>No major move</t>
  </si>
  <si>
    <t>Fly exec. error</t>
  </si>
  <si>
    <t>30 may 525am</t>
  </si>
  <si>
    <t>TIMEOUT | ALL STRATS D/UD | CONSERVE the nxt week</t>
  </si>
  <si>
    <t>STICK TO FLIES / COMPLEX STRATS</t>
  </si>
  <si>
    <t>AFTER DEBT -&gt; CURVE FLAT TO STEEP (BOTH BELLY , BACK EXPOSURE HEDGED POSITIONS) | 10 LOTS EACH AT 2 LEVELS</t>
  </si>
  <si>
    <t xml:space="preserve">Positions after RBA | iNTRADAY TILL THEN </t>
  </si>
  <si>
    <t xml:space="preserve">Less recession =&gt; more hikes can be absorbed </t>
  </si>
  <si>
    <t>329PM</t>
  </si>
  <si>
    <t xml:space="preserve">Less chances of cuts this year (for now) + less downside + hawkish </t>
  </si>
  <si>
    <t>840pm</t>
  </si>
  <si>
    <t>extra exposure over weekend</t>
  </si>
  <si>
    <t>US Core PCE Price Index (MOM) (Apr) (p0.3% f0.3% a0.4%)</t>
  </si>
  <si>
    <t>Bonds went down 2-4 ticks</t>
  </si>
  <si>
    <t>Ranged (26.5 - 29.5)</t>
  </si>
  <si>
    <t>30 may 417am</t>
  </si>
  <si>
    <t>Range's broken + INtrADAY only (No orders after 8.30am)</t>
  </si>
  <si>
    <t>740pm</t>
  </si>
  <si>
    <t>12+ h</t>
  </si>
  <si>
    <t>30 may 1155am</t>
  </si>
  <si>
    <t>544am</t>
  </si>
  <si>
    <t>JUNE</t>
  </si>
  <si>
    <t>Building approvals MOM (APR) (P-1% F2% A-8.1%)</t>
  </si>
  <si>
    <t>1 TICK SPD MOVEMENT</t>
  </si>
  <si>
    <t>31 MAY 7AM</t>
  </si>
  <si>
    <t>CPI YOY (P7%  F6.3% A6.8%)</t>
  </si>
  <si>
    <t>FRONT IR WENT DOWN BACKS BELLY WENT UP/SAME | YT WENT UP! | FRONT BELLY SPD DOWN | IB went hawkish | IR, IR SPDS, YT WENT DOVISH!</t>
  </si>
  <si>
    <t>TIMEOUT | ONLY EXITS | NO ENTRIES</t>
  </si>
  <si>
    <t>avoid 3S10S | CAN TRY BOND MOMENTUM</t>
  </si>
  <si>
    <t>F 6 . BL 10 . BK 15 ( NO 6M) | scalp/scratch</t>
  </si>
  <si>
    <t>VAR HL 75 1 LVL FRONT . 2 LVL BACKS (RED) . NO CONSECUTIVE | REMOVE IF GOT 1 / REDUCE LVLS</t>
  </si>
  <si>
    <t>red flies | condor | belly | some positions at extremes | 15, 15 | if not then reduce 5,5</t>
  </si>
  <si>
    <t>d23s m24s hl 75 squeeze chance | 10 . 1 lvl | nxt lvl will be for curve anomaly . 10 | 2 lvls 10 (scalp) 20 (fly) | TOTAL 30</t>
  </si>
  <si>
    <t>HL75 backs 2 lvls 15,30 | remove consecutive if fille / reduce 1 lvl | hedges finding easier | TOTAL 45</t>
  </si>
  <si>
    <t xml:space="preserve">IF ILLIQUIDITY reduce 1 lvl </t>
  </si>
  <si>
    <t>s23, d23, m24 still following momentum</t>
  </si>
  <si>
    <t>732am</t>
  </si>
  <si>
    <t>Sz + Var hl75</t>
  </si>
  <si>
    <t>Can make D23 fly @ 0 tgt &gt;=1</t>
  </si>
  <si>
    <t>FRI half exit</t>
  </si>
  <si>
    <t>16H</t>
  </si>
  <si>
    <t>1 JUL 1214AM</t>
  </si>
  <si>
    <t>820am</t>
  </si>
  <si>
    <t>S23 DEFLY</t>
  </si>
  <si>
    <t>Rz @ 11,12 FOR S23 FLY</t>
  </si>
  <si>
    <t>Hedged for D23 fly @ 1</t>
  </si>
  <si>
    <t>After RBA meeting</t>
  </si>
  <si>
    <t>2 jun (505am,532am,240pm,421pm)</t>
  </si>
  <si>
    <t>S23 -1 S D23 -12 B M24 -13 S</t>
  </si>
  <si>
    <t>s23 f 11 s | d23 f 1 b</t>
  </si>
  <si>
    <t>ALL MANUAL EXIT FROM SPDS | D23 SPD EXIT @ -13 FOR +2 , -14 FOR 0</t>
  </si>
  <si>
    <t>Converted to S23 defly @ 11</t>
  </si>
  <si>
    <t>FRI EMPTY GRID (except maybe the defly)</t>
  </si>
  <si>
    <t>TIGHTER POLICY MIGHT BE AHEAD</t>
  </si>
  <si>
    <t>557pm</t>
  </si>
  <si>
    <t>Hedge for CS fail (Work in CF)</t>
  </si>
  <si>
    <t>-3 or scratch</t>
  </si>
  <si>
    <t>range usually -4 to 0</t>
  </si>
  <si>
    <t>0 or -1</t>
  </si>
  <si>
    <t>1 JUL 718PM</t>
  </si>
  <si>
    <t>US JOLTS (P9.7M F9.7M A10.1M)</t>
  </si>
  <si>
    <t>D23 FLY (C1)</t>
  </si>
  <si>
    <t>M24S : For D23 Fly @ 1 (can be scratched) + scalping possible</t>
  </si>
  <si>
    <t>1 jun 955am</t>
  </si>
  <si>
    <t>EXECUTION ERROR | EXITED 200% FROM ASE</t>
  </si>
  <si>
    <t xml:space="preserve"> Check after partial lot exit nxt time!</t>
  </si>
  <si>
    <t>AVOID OBVIOUS/CROWDED TRADES . IF MOVE DOESNT COME IN FAVOUR / STARTS GOING ANTI | solution have some kind of hedge</t>
  </si>
  <si>
    <t>good @ minimizing losses | bad at maximizing losses | nxt time cut 20% at more than 1 tick (if possible)</t>
  </si>
  <si>
    <t>See in longer TF, enter manually in a better price; no multi levels, these are to be held longer; good RR trades, have hedges ready as well (if able to see)</t>
  </si>
  <si>
    <t>Expect Loss . easier regardless the outcome | 0 impact on market, neutralizing your mentality</t>
  </si>
  <si>
    <t>Live thru the losses before hand . staying rational if &amp; when trade setup fails becomes easier | helps against sunk cost fallacy as well</t>
  </si>
  <si>
    <t>Do your own research</t>
  </si>
  <si>
    <t>Flies with back hedges working better . Holding time is big, should scalp few lots, so take few extra</t>
  </si>
  <si>
    <t>Average clip should be on the attacking side; when win streak is getting high, &amp; uncertainty is just around the corner; SCALE DOWN</t>
  </si>
  <si>
    <t>W:R RATIO IS IMPORTANT | FLIES COMBINATIONS | DEFLIES CAN HAVE POSITIVE EXPECTANCY IN THE LONG RUN</t>
  </si>
  <si>
    <t>DONT CHECK IT TOO FREQUENTLY/ CHECK AFTER CAPPING/ MKT STATE CHANGE/TIMEOUTS</t>
  </si>
  <si>
    <t>At extremes take more lots to make flies; else take partially, might even get a better price | never hold more than a week, especially if theme changing events nearby</t>
  </si>
  <si>
    <t>ASE : Keep 1 leg . select the fastr moving one</t>
  </si>
  <si>
    <t>WIN-WIN SITUATIONS CAN BE CREATED IN ALTERNATE CONTRACTS FLIES ENTRY, SPDS EXIT</t>
  </si>
  <si>
    <t>IF L GAP DOESNT GIVE YOU &gt;=2 TICK PROFIT IMMEDIATELY (1HR OR LESS) -&gt; MAKE FLY IF POSSIBLE</t>
  </si>
  <si>
    <t>Take leaves if you dont want to trade a week; that way no one tells you what to do | lack of freedom and flexibility here</t>
  </si>
  <si>
    <t>For fly entries and exit see where value lies in spds, or participation might be higher (chances are that price will be difficult to get but will increase profitability; hence the trade off)</t>
  </si>
  <si>
    <t>NAKED FLIES, ONE DIRECTIONAL TRADES RISKY | GO FOR COMPLEX STRUCTURES| CONDORS (LTD RISK)</t>
  </si>
  <si>
    <t xml:space="preserve">AVOID CROWDED TRADES IF THEME MIGHT CHANGE OR SOME DRASTIC MOVE MIGHT HAPPEN </t>
  </si>
  <si>
    <t>EXECUTION ERROR | EXITED 200% FROM ASE |  Check after partial lot exit | USE 1 LEG for exit (Edit settings)</t>
  </si>
  <si>
    <t>Jun 23 live</t>
  </si>
  <si>
    <t>JUN</t>
  </si>
  <si>
    <t>955am</t>
  </si>
  <si>
    <t>by FRI</t>
  </si>
  <si>
    <t>1142am</t>
  </si>
  <si>
    <t>EUR CPI YOY MAY (P7% F6.3% A6.1%)</t>
  </si>
  <si>
    <t>ALL STRATS B</t>
  </si>
  <si>
    <t>US ADP NFE (MAY) (P291K F170K A278K)</t>
  </si>
  <si>
    <t>US Initial Jobless claims (p230k f235k a232k)</t>
  </si>
  <si>
    <t>718PM</t>
  </si>
  <si>
    <t>S24 FLY</t>
  </si>
  <si>
    <t>Fly exit  -&gt; enter</t>
  </si>
  <si>
    <t>survival</t>
  </si>
  <si>
    <t>706pm</t>
  </si>
  <si>
    <t>For fly</t>
  </si>
  <si>
    <t>hit n run</t>
  </si>
  <si>
    <t>ISM Mf PMI May (47.1 F47 A46.9)</t>
  </si>
  <si>
    <t>BACKS GOING DOWN</t>
  </si>
  <si>
    <t>ALL CLEAR AHEAD FOR FED TO HIKE / HIGHER FOR LONGER</t>
  </si>
  <si>
    <t>CAN STAY THE SAME WITH THE DEBT CEILING CONFIRMED</t>
  </si>
  <si>
    <t>1120PM</t>
  </si>
  <si>
    <t>converted to fly</t>
  </si>
  <si>
    <t>532AM</t>
  </si>
  <si>
    <t>559AM</t>
  </si>
  <si>
    <t>J24 FLY (C1)</t>
  </si>
  <si>
    <t>Ranged (-4 to 0)</t>
  </si>
  <si>
    <t>If cuts shifts backwards | curve flattening case / kink plateau (cf)| scalping</t>
  </si>
  <si>
    <t>-1,0</t>
  </si>
  <si>
    <t>Add  more @ -4 . 20 more</t>
  </si>
  <si>
    <t>7 JUN 756PM</t>
  </si>
  <si>
    <t xml:space="preserve">Added more  </t>
  </si>
  <si>
    <t>US NFP MAY (P294K F180K A339K)</t>
  </si>
  <si>
    <t>Front spd went up | net hawkish view | ir, yt went down, retraced a little | front spds went up much later (near closing hours)</t>
  </si>
  <si>
    <t>847pm</t>
  </si>
  <si>
    <t>Scalping/ret</t>
  </si>
  <si>
    <t>936am</t>
  </si>
  <si>
    <t>US UNEMPLOYMENT RATE (P3.4% F3.5% A3.7%)</t>
  </si>
  <si>
    <t>229am</t>
  </si>
  <si>
    <t>M24 FLY (c1)</t>
  </si>
  <si>
    <t>HEDGE FOR J24 FLY (cs) | cuts shifts in front + M24 DEFLY 3 SHORT IS SAFE</t>
  </si>
  <si>
    <t>1130AM AFTER RBA</t>
  </si>
  <si>
    <t>3 jun 357am, 1153AM</t>
  </si>
  <si>
    <t>Scalping +SZ -10</t>
  </si>
  <si>
    <t>FOR S24 FLY @ -1, 0</t>
  </si>
  <si>
    <t>12 45PM</t>
  </si>
  <si>
    <t>NI b4 meeting</t>
  </si>
  <si>
    <t>504AM</t>
  </si>
  <si>
    <t>FOR D23 FLY B 2</t>
  </si>
  <si>
    <t>2.5h, 4.5h</t>
  </si>
  <si>
    <t>742am, 1112am</t>
  </si>
  <si>
    <t xml:space="preserve">MISSED D23 12 (0 PIQ) MISSED HITTING -11 | WENT TILL 9! (2 TICKS </t>
  </si>
  <si>
    <t>US Services PMI (MAY) (P53.6 F55.1 A54.9)</t>
  </si>
  <si>
    <t xml:space="preserve">TUE . RBA | BACKS (J24,S24,D24,M25) HL75 . 15 2 VAR | 30 3 VAR -&gt; FLIES TRY | AVOID POSITIONAL IN J23,S23 | D23 B | AVOID M24 </t>
  </si>
  <si>
    <t>WED LOWE SPEECH + GDP -&gt; BACKS SCALP | BELLY POSITIONAL</t>
  </si>
  <si>
    <t xml:space="preserve">THU SCALP AGGRESSIVE 7 LOTS | 21 LOTS HL75 | FOLLOW NEWS/ COMMENTS, BANKS </t>
  </si>
  <si>
    <t>FRI -&gt; EMPTY INTRADAY, ENTER PSOITIONAL HEDGED</t>
  </si>
  <si>
    <t>TO HELL W RT | TRADE UR STYLE IMPROVE THE LOTS SIZING</t>
  </si>
  <si>
    <t xml:space="preserve">ALL DEFENSIVE STRATS </t>
  </si>
  <si>
    <t>US ISM NM PMI MAY (P59.6 F57.8 A56.2)</t>
  </si>
  <si>
    <t>D23S S RETRACE . 7 X (-5) . 21 X (-2)</t>
  </si>
  <si>
    <t>M4S 15 X (-9)</t>
  </si>
  <si>
    <t>J24,S24,D24 S S HL75 . 30</t>
  </si>
  <si>
    <t>Converted to Fly</t>
  </si>
  <si>
    <t>10AM</t>
  </si>
  <si>
    <t xml:space="preserve">RBA HIKES 25 BP (4.15%) </t>
  </si>
  <si>
    <t>BIG MOVES WHOLE CURVE (FRONT SPDS WENT UP RETRACED | BELLY LESS MOVEMENT | BACKS 3-4 TICKS MOVEMENT (TOTAL) | outrights 2nd (s23) retraced from the near extreme case price (4-5 ticks)</t>
  </si>
  <si>
    <t>RBA:  FURTHER INCREASE IN INTEREST RATES IS TO PROVIDE GREATER CONFIDENCE THAT INFLATION WILL RETURN TO TARGET WITHIN A REASONABLE TIMEFRAME</t>
  </si>
  <si>
    <t>RBA:  BOARD REMAINS ALERT TO THE RISK THAT EXPECTATIONS OF ONGOING HIGH INFLATION CONTRIBUTE TO LARGER INCREASES IN BOTH PRICES AND WAGES</t>
  </si>
  <si>
    <t>While goods price inflation is slowing, service based inflations is still very high</t>
  </si>
  <si>
    <t xml:space="preserve">growth slowed; labour eased but tight (wow) | </t>
  </si>
  <si>
    <t>10 references to wage growth, tight labour markets &amp; rising unit labour costs in today's RBA statement </t>
  </si>
  <si>
    <t>Ranged</t>
  </si>
  <si>
    <t>Cuts will either go back / stay same (better RR)</t>
  </si>
  <si>
    <t>CURVE FLATTENING</t>
  </si>
  <si>
    <t>RANGE BRK</t>
  </si>
  <si>
    <t>-1, 0</t>
  </si>
  <si>
    <t>Fewer cuts</t>
  </si>
  <si>
    <t xml:space="preserve">1H </t>
  </si>
  <si>
    <t>AFTER EVENT</t>
  </si>
  <si>
    <t>Fewer hikes after NOV23</t>
  </si>
  <si>
    <t>7 jun 745am</t>
  </si>
  <si>
    <t>IB JUL 23</t>
  </si>
  <si>
    <t>Hawkish sentiment might prevail (better RR) AS LONG AS NO CUTS ARE PRICED IN!</t>
  </si>
  <si>
    <t>cut b4 US cpi</t>
  </si>
  <si>
    <t>14 jun 536am</t>
  </si>
  <si>
    <t>7 bp -&gt; 10bp</t>
  </si>
  <si>
    <t>Stat arb (-15 to -17 Sz)</t>
  </si>
  <si>
    <t>COULD BE SCRATCHED IF GOES BELOW -17</t>
  </si>
  <si>
    <t>J24 FLY @ -3 OR -4</t>
  </si>
  <si>
    <t>7 JUN 445AM</t>
  </si>
  <si>
    <t>3 CONVERTED TO J24 FLY @ -3</t>
  </si>
  <si>
    <t>932pm</t>
  </si>
  <si>
    <t>3s10s</t>
  </si>
  <si>
    <t>Sz at -15</t>
  </si>
  <si>
    <t xml:space="preserve">7 jun 237pm </t>
  </si>
  <si>
    <t>Failed the Sz + Fakeout strength not able to read</t>
  </si>
  <si>
    <t>8 BP</t>
  </si>
  <si>
    <t>10bp</t>
  </si>
  <si>
    <t>700AM</t>
  </si>
  <si>
    <t>GDP QOQ Q1 (P0.5% F0.8% A0.2%)</t>
  </si>
  <si>
    <t>added more</t>
  </si>
  <si>
    <t>CONVERTED TO FLY</t>
  </si>
  <si>
    <t>FLY EXIT JUN 24 F -2</t>
  </si>
  <si>
    <t>521pm</t>
  </si>
  <si>
    <t>BOC HIKE SURPRISE 25 BP (4.75%)</t>
  </si>
  <si>
    <t>Bonds ir went down ; ib went down 4-5 ticks | front 3 spds went up 6,3,3 ticks</t>
  </si>
  <si>
    <t>Surprise hike</t>
  </si>
  <si>
    <t>Added more at 6</t>
  </si>
  <si>
    <t>3M</t>
  </si>
  <si>
    <t>NO quick momentum here | BORING</t>
  </si>
  <si>
    <t>went down after 10 mins that also 1 tick 40m 4-5ticks Ret 3 ticks nxt 20-30m</t>
  </si>
  <si>
    <t>Scalping + hedge if outright fails + Sz @ 6</t>
  </si>
  <si>
    <t>1034pm, 8 jun23 8am</t>
  </si>
  <si>
    <t>8 jun 221am, 841am</t>
  </si>
  <si>
    <t>10m</t>
  </si>
  <si>
    <t>732AM</t>
  </si>
  <si>
    <t>J24 FLY m (C1)</t>
  </si>
  <si>
    <t xml:space="preserve">J24 SPD IN BAD POSITION -&gt; CONVERTED TO FLY J24 @ -2 (SAFER IN LONG RUN) </t>
  </si>
  <si>
    <t>9 jun 55pm</t>
  </si>
  <si>
    <t xml:space="preserve">5 j24 s -16 . 10 j24 s -15 </t>
  </si>
  <si>
    <t>807am</t>
  </si>
  <si>
    <t>859am</t>
  </si>
  <si>
    <t>Add more @ -11 x 10</t>
  </si>
  <si>
    <t>9 jun 359am</t>
  </si>
  <si>
    <t>1 tick market | very poor read of markets, avoid trading (especially with higher lots)</t>
  </si>
  <si>
    <t>EMPTY GRID (REDUCE FLY EXPOSURE BY FRI 1ST SESSION END/ FRI END)</t>
  </si>
  <si>
    <t>TIMEOUT | ALL B</t>
  </si>
  <si>
    <t xml:space="preserve">TUE - US CPI | LESS EXPOSURE IN ANY SPD (EXPECT CALENDARS TO GO EMPTY AS WELL) HL85/90 | BE SELCTIVE / BALANCED EXPOSURE | STAY ALERT FOR HEDGES / BETTER OPTIONS </t>
  </si>
  <si>
    <t>WED - FED INTEREST RATE | NO QUOTING ORDERS | IF FEASIBLE AND SHOCK (25BP) TRY IR WHITES (2,3,4)</t>
  </si>
  <si>
    <t>THU - AUS LABOUR DATA | TRY IR WHITES (2,3,4)</t>
  </si>
  <si>
    <t>117PM</t>
  </si>
  <si>
    <t>FLY EXIT TRY</t>
  </si>
  <si>
    <t>422PM</t>
  </si>
  <si>
    <t>FLY EXIT J24 @ -1</t>
  </si>
  <si>
    <t>425PM</t>
  </si>
  <si>
    <t>Converted to fly @ -3</t>
  </si>
  <si>
    <t>US Initial Jobless claims (P233K F235K A261K)</t>
  </si>
  <si>
    <t>758PM</t>
  </si>
  <si>
    <t>S24 FLY m (C1)</t>
  </si>
  <si>
    <t>AUS EMPLOYMENT DATA</t>
  </si>
  <si>
    <t>438AM</t>
  </si>
  <si>
    <t>1150pm</t>
  </si>
  <si>
    <t>INTRADAY 1 TICK WORKING</t>
  </si>
  <si>
    <t>Multi lvl 2 might be better</t>
  </si>
  <si>
    <t>640am</t>
  </si>
  <si>
    <t>M25 SPD</t>
  </si>
  <si>
    <t>Scalping (2 LVL) + Sz -8</t>
  </si>
  <si>
    <t>13 jun 440am</t>
  </si>
  <si>
    <t>not putting tt retry helped!</t>
  </si>
  <si>
    <t>S24 FLY (m) (c1)</t>
  </si>
  <si>
    <t>15 jun 836am, 20 jun 745am</t>
  </si>
  <si>
    <t>gg! wp ACE</t>
  </si>
  <si>
    <t>646AM</t>
  </si>
  <si>
    <t>FED, AUS LABOUR DATA</t>
  </si>
  <si>
    <t>22 left | hold and try to get -1 x 15</t>
  </si>
  <si>
    <t>12PM</t>
  </si>
  <si>
    <t>Cuts might be less priced in + fewer hikes =&gt; Towards 0 like S23 spd (downside is -11 worse case from pricing)</t>
  </si>
  <si>
    <t>7h, 1d</t>
  </si>
  <si>
    <t>9 jun 359am, 13 jun 715pm, 14 JUN 422AM, 535am</t>
  </si>
  <si>
    <t>HODL | 4 left</t>
  </si>
  <si>
    <t>US CORE CPI MOM (MAY) (P0.4% F0.4% A0.4%)</t>
  </si>
  <si>
    <t>US CPI YOY MAY (P4.9% F4.1% A4%)</t>
  </si>
  <si>
    <t>US CPI MOM MAY (P0.4% F0.2% A0.1%)</t>
  </si>
  <si>
    <t>1130PM</t>
  </si>
  <si>
    <t>FED SKIPS 0BP (5.25%)</t>
  </si>
  <si>
    <t>SKIP NOW 2 MORE HIKES IF NEEDED (HAWKISH PAUSE) | 1 TICK MOVEMENT IN SPDS</t>
  </si>
  <si>
    <t>FED interest rate projection Q2 (p5.1% a5.6%)</t>
  </si>
  <si>
    <t>Fewer cuts in 23 + 2 more hikes in US this year</t>
  </si>
  <si>
    <t>m, 7h</t>
  </si>
  <si>
    <t>1205AM, 15 jun event</t>
  </si>
  <si>
    <t>Difficult read on mkts | scratched</t>
  </si>
  <si>
    <t>AUD Unemployment rate (p3.7% f3.7% a3.6%)</t>
  </si>
  <si>
    <t>SPDS went down! IR went down by 10bp then kept going extra 5-7bp</t>
  </si>
  <si>
    <t>TIMEOUT THU | Selective + D fronts &amp; belly</t>
  </si>
  <si>
    <t>FRI - RET.  (D)</t>
  </si>
  <si>
    <t>Let the range form by this week | nxt week news might be movers | scalping selective B</t>
  </si>
  <si>
    <t>Momentum would have failed</t>
  </si>
  <si>
    <t>AUD Employment Change (May) (P-4.3K F15K A75.9K)</t>
  </si>
  <si>
    <t>ECB HIKES 25BP (4%)</t>
  </si>
  <si>
    <t>US CORE RETAIL SALES MOM MAY (P0.4% F0.1% A0.1%)</t>
  </si>
  <si>
    <t>US INITIAL JOBLESS CLAIMS (PP262K F250K A262K)</t>
  </si>
  <si>
    <t>PHILLY FED MFG (P-10.4 F-13.5 A-13.7)</t>
  </si>
  <si>
    <t>US RETAIL SALES MOM MAY (P0.4% F-0.1% A0.3%)</t>
  </si>
  <si>
    <t>nxt bad event will probably price in cuts</t>
  </si>
  <si>
    <t>BOJ can be interesting</t>
  </si>
  <si>
    <t>banks might fail till july due to hikes -&gt; cuts</t>
  </si>
  <si>
    <t>824pm</t>
  </si>
  <si>
    <t>Scalping + stat arb (last sz -10)</t>
  </si>
  <si>
    <t>11H</t>
  </si>
  <si>
    <t>16 JUN 809AM</t>
  </si>
  <si>
    <t>921PM</t>
  </si>
  <si>
    <t>CONVERTED TO 6M | LESSER RISK</t>
  </si>
  <si>
    <t>2 entries equal wts</t>
  </si>
  <si>
    <t>1015pm</t>
  </si>
  <si>
    <t>S24 6M SPD</t>
  </si>
  <si>
    <t>Scalping + stat arb (last sz -10) for both S24 &amp; D24 SPDs</t>
  </si>
  <si>
    <t>already below prev sz by 3 ticks extra 3 ticks should be able to retrace back</t>
  </si>
  <si>
    <t>16 jun 759am</t>
  </si>
  <si>
    <t xml:space="preserve">TIMEOUT | NEW STATE </t>
  </si>
  <si>
    <t>BANK RISK MIGHT BE AROUND THE CORNER | A BLACK SWAN EVENT MIGHT BE ON THE HORIZON AS WELL TILL AUG23</t>
  </si>
  <si>
    <t xml:space="preserve">can trade at least (B) after 20th </t>
  </si>
  <si>
    <t>not many movements | try scalping aggressively at belly backs | hl 50 / oc at fronts (b)</t>
  </si>
  <si>
    <t>BACKS WENT UP (LESS HIKES LESS CUTS (SPREAD OUT)</t>
  </si>
  <si>
    <t>converted to fly @ 0,-1</t>
  </si>
  <si>
    <t>730AM</t>
  </si>
  <si>
    <t>some cuts should be priced in here</t>
  </si>
  <si>
    <t>935am</t>
  </si>
  <si>
    <t>850AM</t>
  </si>
  <si>
    <t>BULLOCK SPEECH | HAVE BEEN WILLING TO ACCEPT MORE GRADUAL RETURN OF INFLATION TO TARGET THAN MANY OTHER CENTRAL BANKS</t>
  </si>
  <si>
    <t>BY WEEKEND INTRADAY (B) (THU)</t>
  </si>
  <si>
    <t>THU empty/ reduce exposure all strats</t>
  </si>
  <si>
    <t>905am</t>
  </si>
  <si>
    <t>IB JUL23</t>
  </si>
  <si>
    <t>12 bp</t>
  </si>
  <si>
    <t>Added more</t>
  </si>
  <si>
    <t>725pm</t>
  </si>
  <si>
    <t>5 CONVERTED TO fly @ 1</t>
  </si>
  <si>
    <t>Kink trade (CS)</t>
  </si>
  <si>
    <t>27 jun 845am</t>
  </si>
  <si>
    <t>J24 -16 B</t>
  </si>
  <si>
    <t>Ace!!</t>
  </si>
  <si>
    <t>949AM</t>
  </si>
  <si>
    <t>S24 FLY (c1)</t>
  </si>
  <si>
    <t>Range (0,-1 to -4,-3)</t>
  </si>
  <si>
    <t>26 JUN 930PM</t>
  </si>
  <si>
    <t>EXIT C1</t>
  </si>
  <si>
    <t>UK CPI YY MAY (P8.7% F8.4% A8.7%)</t>
  </si>
  <si>
    <t>FRONT SPD WENT UP BONDS WENT DOWN</t>
  </si>
  <si>
    <t>still 2 hikes in US</t>
  </si>
  <si>
    <t>10 bp</t>
  </si>
  <si>
    <t>22 JUN 430PM</t>
  </si>
  <si>
    <t>no IB entriies</t>
  </si>
  <si>
    <t>reduce 1 by weekend</t>
  </si>
  <si>
    <t>430PM</t>
  </si>
  <si>
    <t>BOE HIKES 50BP (4%)</t>
  </si>
  <si>
    <t>BONDS WENT DOWN BUT RETRACED MORE THAN INITIAL ! , NO MAJOR MOVE ELSE WHERE</t>
  </si>
  <si>
    <t>Ret of 3-10 can be tried if spikes come form NON AUSSIE / US events (over-reaction in bonds differential can be exploited)</t>
  </si>
  <si>
    <t>544PM</t>
  </si>
  <si>
    <t xml:space="preserve">Range (0,-1 to -4,-3) </t>
  </si>
  <si>
    <t>some cuts should be priced in here (S24)</t>
  </si>
  <si>
    <t>s24 fly s -1,0  (cf -&gt; cs)</t>
  </si>
  <si>
    <t>-3,-4 (-4 entry if after 2w)</t>
  </si>
  <si>
    <t>27 JUN 4AM, 6 JUL 619PM</t>
  </si>
  <si>
    <t>hodl (10 left)</t>
  </si>
  <si>
    <t>CF then add 18 @ 0</t>
  </si>
  <si>
    <t>927pm</t>
  </si>
  <si>
    <t>S23 6m fly</t>
  </si>
  <si>
    <t>Scalping (RANGE)</t>
  </si>
  <si>
    <t>Pricing wise 11 to 13 is the level + SOME CUTS SHOULD FADE (M24)</t>
  </si>
  <si>
    <t>6m Fly (HEDGE)</t>
  </si>
  <si>
    <t>26 jun 7am</t>
  </si>
  <si>
    <t>s23 11 -&gt; 11 ; d23 -12 hold x4 -&gt; -11 x2</t>
  </si>
  <si>
    <t>929PM</t>
  </si>
  <si>
    <t>Scalping + (-4) Rz (RANGE)</t>
  </si>
  <si>
    <t>d23 fly 8 (stat arb) (HEDGE)</t>
  </si>
  <si>
    <t>27 jun 718pm</t>
  </si>
  <si>
    <t xml:space="preserve">m24 -12 -&gt; -11 </t>
  </si>
  <si>
    <t>1054PM</t>
  </si>
  <si>
    <t xml:space="preserve">Pricing wise at extremes </t>
  </si>
  <si>
    <t>23 jun 959am, 1250pm</t>
  </si>
  <si>
    <t xml:space="preserve">Hawkish views in long run | switched to intraday </t>
  </si>
  <si>
    <t>610pm</t>
  </si>
  <si>
    <t>Still more hikes left (pause zone)</t>
  </si>
  <si>
    <t>28 JUN EVENT</t>
  </si>
  <si>
    <t>FLY EXIT S24 -1</t>
  </si>
  <si>
    <t>113PM</t>
  </si>
  <si>
    <t>610PM</t>
  </si>
  <si>
    <t>Fly exit -2 s24</t>
  </si>
  <si>
    <t>TIME TO HEDGE?</t>
  </si>
  <si>
    <t>LOOK FOR DEFLY, COMBINATION, HEDGED FLIES</t>
  </si>
  <si>
    <t>NO FRONTS B4 MEETING | NO BIAS, NO RR, SCALP (B) @ BACKS</t>
  </si>
  <si>
    <t>ONLY INTRADAY ON WED / SCALP SHORT TERM</t>
  </si>
  <si>
    <t>808am</t>
  </si>
  <si>
    <t>Still hawkish bias + still 2 hikes in US</t>
  </si>
  <si>
    <t>28 jun 530pm</t>
  </si>
  <si>
    <t>ULTRA DOVISH SO QUICK EXIT TRY</t>
  </si>
  <si>
    <t>Strat HAS FAILED</t>
  </si>
  <si>
    <t>Went to 5bp! retraced to 11bp nxt day 12bp after that! (made the odds 50:50)</t>
  </si>
  <si>
    <t>AUD CPI (P6.8% F6.1% A5.6%)</t>
  </si>
  <si>
    <t>Ultra dovish | front spds went down for 15m | ir yt retraced in 10 mins | backs 1 tick movement</t>
  </si>
  <si>
    <t>Avoid Red IR s at all cost now | stick to YT (LEARN)</t>
  </si>
  <si>
    <t>NOT SO DOVISH AFTER ALL | MAJOR SENTIMENT - STILL INFLATION HIGH | MEANS MORE HIKES TO COME</t>
  </si>
  <si>
    <t>DONT BE AGRESSIVE HAWK SOON</t>
  </si>
  <si>
    <t>Scalping (Ret)</t>
  </si>
  <si>
    <t>29 jun 2am</t>
  </si>
  <si>
    <t>Stick to intraday/1D b4 RBA</t>
  </si>
  <si>
    <t>YT SEP23</t>
  </si>
  <si>
    <t xml:space="preserve">Retracement </t>
  </si>
  <si>
    <t>Ret mkt</t>
  </si>
  <si>
    <t xml:space="preserve">Went to 96.17 After 40m </t>
  </si>
  <si>
    <t>try for 3:4, 3:5 kind of ratio | use Trailing SL nxt time (aggressive)</t>
  </si>
  <si>
    <t>ret mkt</t>
  </si>
  <si>
    <t>49m</t>
  </si>
  <si>
    <t>749am</t>
  </si>
  <si>
    <t>Stick to intraday/1d b4 RBA</t>
  </si>
  <si>
    <t>1055AM</t>
  </si>
  <si>
    <t>29 JUN 7AM</t>
  </si>
  <si>
    <t>Retail Sales (MoM) (May) (p0% f0.1% a0.7%)</t>
  </si>
  <si>
    <t>IB went down | spds 1,2 tick movement</t>
  </si>
  <si>
    <t>US GDP QOQ Q1 (P2.6% F1.4% A2%)</t>
  </si>
  <si>
    <t xml:space="preserve">FRONTS 1 TICK MOVEMENT up | bonds went down </t>
  </si>
  <si>
    <t>Economy good | more room for hikes or no need to cut near term</t>
  </si>
  <si>
    <t>probably no cuts in this yr</t>
  </si>
  <si>
    <t>919AM</t>
  </si>
  <si>
    <t xml:space="preserve">M24 FLY </t>
  </si>
  <si>
    <t>Scalping + Rz  (M24)</t>
  </si>
  <si>
    <t>M24 FLY STAT ARB + DEFLY CHANCE (front cs -&gt; cf)</t>
  </si>
  <si>
    <t>9 extreme (hold that) / cut if 10 is touched</t>
  </si>
  <si>
    <t>near 4</t>
  </si>
  <si>
    <t>ADD MORE @ 9</t>
  </si>
  <si>
    <t>6 jul 230am</t>
  </si>
  <si>
    <t>converted spd to fly as better odds and lesser risk with longer time</t>
  </si>
  <si>
    <t xml:space="preserve">Will work if some flattening in the front takes place </t>
  </si>
  <si>
    <t>weird markets | odds 50:50</t>
  </si>
  <si>
    <t>After RBA more strats | monday timeout</t>
  </si>
  <si>
    <t>EUR CPI YOY JUN (P6.1% F5.6% A5.5%)</t>
  </si>
  <si>
    <t>NO Fs were given</t>
  </si>
  <si>
    <t>EUR CORE CPI YOY (P5.3% F5.5% A5.4%)</t>
  </si>
  <si>
    <t>EUR UNEMP RATE (MAY) (P6.5% F6.5% A6.5%)</t>
  </si>
  <si>
    <t xml:space="preserve"> Core PCE Price Index (MoM) (May) (P0.4% F0.3% A0.3%)</t>
  </si>
  <si>
    <t>Core PCE Price Index (YoY) (May) (P4.7% F4.7% A4.6%)</t>
  </si>
  <si>
    <t>PCE Price index (YoY) (May) (P4.3% F4.6% A3.8%)</t>
  </si>
  <si>
    <t>Michigan Consumer Sentiment (Jun) (P59.2 F68 A69)</t>
  </si>
  <si>
    <t>IF PIQ is good then dont reduce lots unless lots are also getting reduced</t>
  </si>
  <si>
    <t>F anti -&gt; S Ret Hdg</t>
  </si>
  <si>
    <t>Jul 23 live</t>
  </si>
  <si>
    <t>JUL</t>
  </si>
  <si>
    <t>204AM</t>
  </si>
  <si>
    <t>D23 DEFLY</t>
  </si>
  <si>
    <t>Add 4 more deflies -2 add 10 more @ -4</t>
  </si>
  <si>
    <t>ADDED MORE @ 0</t>
  </si>
  <si>
    <t xml:space="preserve">D23 Defly @ -2 </t>
  </si>
  <si>
    <t>-2,-3</t>
  </si>
  <si>
    <t>4 jul 603am</t>
  </si>
  <si>
    <t>scalp / scratch</t>
  </si>
  <si>
    <t>had to exit b4 rba (wasnt able to cut) | a good excercise sometimes</t>
  </si>
  <si>
    <t>Building Approvals (MoM) (May)  (P-6.8% F2% A20.6%)</t>
  </si>
  <si>
    <t>ib, ir went up</t>
  </si>
  <si>
    <t xml:space="preserve">L GAP TRY </t>
  </si>
  <si>
    <t>NO TT RETRY</t>
  </si>
  <si>
    <t>830pm</t>
  </si>
  <si>
    <t>S24 FLY EXIT -3</t>
  </si>
  <si>
    <t>14h</t>
  </si>
  <si>
    <t>Not in favour</t>
  </si>
  <si>
    <t xml:space="preserve">TUE </t>
  </si>
  <si>
    <t>RBA cash rate unchanged (4.1%)</t>
  </si>
  <si>
    <t>50m</t>
  </si>
  <si>
    <t>1053am</t>
  </si>
  <si>
    <t xml:space="preserve">dec should not have any hikes so small chance of going down (IR) + TIME -&gt; exit </t>
  </si>
  <si>
    <t>4 ticks more by 1135am!</t>
  </si>
  <si>
    <t>IR permanently 2 lots for all ret in 1st 3 irs</t>
  </si>
  <si>
    <t>140PM</t>
  </si>
  <si>
    <t>converted to d23 defly @ 0</t>
  </si>
  <si>
    <t>D23 DEFLY (c1)</t>
  </si>
  <si>
    <t>BETTER ODDS FOR DRAW AT LEAST THAN M24 FLY @ 6</t>
  </si>
  <si>
    <t>1125am</t>
  </si>
  <si>
    <t>D24 6MF (c1)</t>
  </si>
  <si>
    <t>Sz (-6,-7) + ranged (-3,-7)</t>
  </si>
  <si>
    <t xml:space="preserve">cs to cf </t>
  </si>
  <si>
    <t>Both legs taken @ hit</t>
  </si>
  <si>
    <t>EXIT BY TUE</t>
  </si>
  <si>
    <t>d24 exit -14 x3</t>
  </si>
  <si>
    <t>130PM</t>
  </si>
  <si>
    <t>ADP NFE (P267K F228K A497K)</t>
  </si>
  <si>
    <t>WHITE SPDS moved up ir went down</t>
  </si>
  <si>
    <t>SCALE UP AND LOWER FREQUENCIES | WEIRD CURVE</t>
  </si>
  <si>
    <t xml:space="preserve">EMPTY GRID BY MON2ND, TUE | EMPTY ALL (AT LEAST W) | ONLY FLIES HOLD ; HAVE ROOM FOR ERROR 15WDF 12RDF </t>
  </si>
  <si>
    <t xml:space="preserve">THU - US activity | lg, pa (A), reds (UA) hedged </t>
  </si>
  <si>
    <t>fri - Only reds (B)</t>
  </si>
  <si>
    <t>Initial jobless (p236k f245k a248k)</t>
  </si>
  <si>
    <t>715PM</t>
  </si>
  <si>
    <t>Services PMI (P54.9 F54.1 A54.4)</t>
  </si>
  <si>
    <t>ISM Non mfg PMI (P50.3 F51 A53.9)</t>
  </si>
  <si>
    <t>FRONT SPDS WENT UP</t>
  </si>
  <si>
    <t>JOLTS (P10M F9.9M A9.8M)</t>
  </si>
  <si>
    <t>EXIT BY MON/ FRI HALF</t>
  </si>
  <si>
    <t>12+h</t>
  </si>
  <si>
    <t>7 jul 1115am,12pm, 605PM</t>
  </si>
  <si>
    <t>ALL HAWKISH - MORE HIKES TO COME NO PAUSE SOON</t>
  </si>
  <si>
    <t>Exit conservatively . DONE</t>
  </si>
  <si>
    <t>OI decreased during &amp; afterwards and price went down later on | people exited later on (entry by traders on squeeze of others losses near 30)</t>
  </si>
  <si>
    <t>went to 20 on 12 july (5 days) | 10 ticks from extreme high + stat arb + LG new kind</t>
  </si>
  <si>
    <t>TIME HORIZON | COULD HAVE HELD FEW LOTS FOR LONGER</t>
  </si>
  <si>
    <t>810PM</t>
  </si>
  <si>
    <t>Fly</t>
  </si>
  <si>
    <t>7 jul 605am</t>
  </si>
  <si>
    <t>1210am</t>
  </si>
  <si>
    <t>J24 DEFLY (c1)</t>
  </si>
  <si>
    <t>12in | 18 more can be added</t>
  </si>
  <si>
    <t>733am, 823am</t>
  </si>
  <si>
    <t>15in | 15 more can be added</t>
  </si>
  <si>
    <t>Avg hourly earnings mom jun (p0.3% f0.3% a0.4%)</t>
  </si>
  <si>
    <t>CONSERVATIVE SIZING</t>
  </si>
  <si>
    <t>MON onwards exit | reduce all by tue 1st session | no whites</t>
  </si>
  <si>
    <t>NFP JUN (P306K F225K A209K)</t>
  </si>
  <si>
    <t>Unemp. rate (p3.7% f3.6% a3.6%)</t>
  </si>
  <si>
    <t>930PM</t>
  </si>
  <si>
    <t>Scalping + SZ (-10)</t>
  </si>
  <si>
    <t>10 jul 426am</t>
  </si>
  <si>
    <t>No hedge so scalp immediately | although it might seem like a good trade</t>
  </si>
  <si>
    <t>Fly exit/s24 6mfly -7,-6 (sz)</t>
  </si>
  <si>
    <t>12 jul 9pm</t>
  </si>
  <si>
    <t>failed attempt</t>
  </si>
  <si>
    <t>1023AM</t>
  </si>
  <si>
    <t>Tom rbnz, room for error available | CA (A) . V 3-5 (A) W scalping (intraday)  |  R (18CA,24(CA+V3)) ALT 24 | W V3-5 (9 TO 12) | BONDS 3-10, LEAD LAG, RET LOOKOUT AT LEAST 1 LOT TRADE NECESSARY</t>
  </si>
  <si>
    <t>US CPI | SCALPING / RET (B)</t>
  </si>
  <si>
    <t>Fresh flow of money will be waiting less chance of extreme squeeze | instead positioning/sticky mkt will be in play</t>
  </si>
  <si>
    <t>UK UE RATE (P3.8% F3.8% A45)</t>
  </si>
  <si>
    <t>1154am</t>
  </si>
  <si>
    <t>Scalping (v5) while other HL 50</t>
  </si>
  <si>
    <t>Still hikes left</t>
  </si>
  <si>
    <t>110PM</t>
  </si>
  <si>
    <t>10 more can be added</t>
  </si>
  <si>
    <t xml:space="preserve">ALL INTRADAY FROM HERE ON </t>
  </si>
  <si>
    <t>8 MORE J24 DEFLY &gt;=10</t>
  </si>
  <si>
    <t>S24 FLY -4,-5 | J24 FLY 6,7</t>
  </si>
  <si>
    <t>RBNZ Unchanged 5.5%</t>
  </si>
  <si>
    <t>830AM</t>
  </si>
  <si>
    <t>LOWE SPEAKS | RBA CHANGES</t>
  </si>
  <si>
    <t>Scalping + hl75</t>
  </si>
  <si>
    <t>920AM</t>
  </si>
  <si>
    <t>IB AUG23</t>
  </si>
  <si>
    <t>US CORE CPI JUN YOY (P5.3% F5% A4.8%)</t>
  </si>
  <si>
    <t>DURING PAUSE CYCLE (OR TRANSITION PHASE) MOVEMENT COMES FROM BELLY (BELLY BECOMES LEADING)</t>
  </si>
  <si>
    <t>BELLY MOVED  A LOT (D23 6 M24 5 J24 4)</t>
  </si>
  <si>
    <t>US CPI YOY (P4% F3.1% A3%)</t>
  </si>
  <si>
    <t>US CPI MOM (P0.1% F0.3% A0.2%)</t>
  </si>
  <si>
    <t>Sz (-4)</t>
  </si>
  <si>
    <t>Curve anomaly (not for long duration) (cs - cf)</t>
  </si>
  <si>
    <t>17 JUL 210PM, 18 jul 130pm, 19 JUL 738AM</t>
  </si>
  <si>
    <t>SPD EXIT VB MKT</t>
  </si>
  <si>
    <t>Curve anomaly (cs - cf)</t>
  </si>
  <si>
    <t>12D</t>
  </si>
  <si>
    <t>21 jul 628am, 24 jul 130pm</t>
  </si>
  <si>
    <t>J24 F 5 S24 FLY -4 ENTRY ASSUME</t>
  </si>
  <si>
    <t xml:space="preserve">Assume the maximum traded price for j24 spd } -12 as that gets neutralized from d23 defly </t>
  </si>
  <si>
    <t>J24 S -12</t>
  </si>
  <si>
    <t>711PM</t>
  </si>
  <si>
    <t>Rz (10) + RET</t>
  </si>
  <si>
    <t>DEFLATION/RECESSION FEARS MIGHT STILL BE THERE</t>
  </si>
  <si>
    <t>NEAR 5</t>
  </si>
  <si>
    <t>ADD MORE @ 13.5</t>
  </si>
  <si>
    <t>1H,3H</t>
  </si>
  <si>
    <t>838Pm, 1020PM</t>
  </si>
  <si>
    <t>BOC HIKES 25BP (5%)</t>
  </si>
  <si>
    <t>9pm</t>
  </si>
  <si>
    <t>305PM</t>
  </si>
  <si>
    <t>WEIRD MKT + a lot of exposure</t>
  </si>
  <si>
    <t>Scalping + HL75 V6</t>
  </si>
  <si>
    <t>1033pm</t>
  </si>
  <si>
    <t>M24 FLY (c1.2)</t>
  </si>
  <si>
    <t>Scalping (DEAD) M24 + STAT ARBM24 FLY @9</t>
  </si>
  <si>
    <t>CUTS MIGHT SHIFT FORWARD</t>
  </si>
  <si>
    <t>IF J24 UNSUCCESSFUL EXIT THEN FLY @ 9</t>
  </si>
  <si>
    <t>5,6</t>
  </si>
  <si>
    <t>FLY SHORT @ 9 OR 8</t>
  </si>
  <si>
    <t>6D</t>
  </si>
  <si>
    <t>19 jul 738am</t>
  </si>
  <si>
    <t>better odds, rr w fly</t>
  </si>
  <si>
    <t>VB SPD MKT EXITS</t>
  </si>
  <si>
    <t>1021am</t>
  </si>
  <si>
    <t xml:space="preserve">Technical works | try somethings in IR, YT </t>
  </si>
  <si>
    <t xml:space="preserve">TECHNICAL (A) </t>
  </si>
  <si>
    <t>ENTRIES TIME SHOULD BE STRETCHED IN IB | MIGHT GIVE BETTER ENTRIES WITH TIME | SO 2ND ENTRY SHOULD NOT BE THE NXT DAY ALTERNATE DAYS AT LEAST</t>
  </si>
  <si>
    <t>Volumes have slightly increased in IBs recently</t>
  </si>
  <si>
    <t>UK GDP MOM MAY (P0.2% F-0.3% A-0.1%)</t>
  </si>
  <si>
    <t>No Fs were given</t>
  </si>
  <si>
    <t>S24 FLY (c1.2)</t>
  </si>
  <si>
    <t>Range (-4 to 0)</t>
  </si>
  <si>
    <t>10D</t>
  </si>
  <si>
    <t>17 JUL 143PM, 24 JUL 423PM</t>
  </si>
  <si>
    <t>US INITIAL JOBLESS CLAIMS (P249K F250K A237K)</t>
  </si>
  <si>
    <t>PPI MOM JUL (P-0.4% F0.2% A0.1%)</t>
  </si>
  <si>
    <t>1240pm</t>
  </si>
  <si>
    <t>Popular sentiment - 1 final hike in Aug, cuts might shift front | at least pause</t>
  </si>
  <si>
    <t>EXIT M24 SPD -5 ALL (x20) (D23 DF EXIT 1.5)</t>
  </si>
  <si>
    <t>Cuts should shift front</t>
  </si>
  <si>
    <t>d23 defly exit ~1</t>
  </si>
  <si>
    <t>2am</t>
  </si>
  <si>
    <t>725am</t>
  </si>
  <si>
    <t>CHINA GDP (YoY) (Q2) (P 4.5% F7.3% A6.3%)</t>
  </si>
  <si>
    <t>110pm</t>
  </si>
  <si>
    <t>d23 defly exit ~1 / m24 fly exit</t>
  </si>
  <si>
    <t>EXIT ALL B4 FRI | JPY CPI</t>
  </si>
  <si>
    <t xml:space="preserve">TUE US Retail sales, CAD CPI, </t>
  </si>
  <si>
    <t xml:space="preserve">WED NZ CPI, EZ CPI, </t>
  </si>
  <si>
    <t>THU Labour data</t>
  </si>
  <si>
    <t>FRI JPY</t>
  </si>
  <si>
    <t>HL75 POSSIBLE IN S23, D23 CONTRACTS | high oi a lot of positions around these contracts | better to reduce some</t>
  </si>
  <si>
    <t>1M</t>
  </si>
  <si>
    <t>18 JUL 4AM</t>
  </si>
  <si>
    <t>820AM</t>
  </si>
  <si>
    <t>FOR D23 DFLY EXIT / m24 fly exit (INITIALLY 20 LOTS)</t>
  </si>
  <si>
    <t>19 JUL 1241PM</t>
  </si>
  <si>
    <t>THOUGHT ALL THE PRESENT POSITIONS AS SPREADS  | GIVES A DIFFERENT PERSPECTIVE | MIGHT BE HEKPFUL FOR VIBRATIONAL MARKETS</t>
  </si>
  <si>
    <t>CHECK @ 12AM</t>
  </si>
  <si>
    <t>1118AM</t>
  </si>
  <si>
    <t>15BP + INTEREST ZONE</t>
  </si>
  <si>
    <t>Add more on US CPI</t>
  </si>
  <si>
    <t>17 JUL 124PM, 19 jul</t>
  </si>
  <si>
    <t>11.5bp -&gt; 14BP (ON LABOUR DATA)</t>
  </si>
  <si>
    <t>Reduce 3 lots by wed | AFTER THU MAX 4 SHOULD BE HELD</t>
  </si>
  <si>
    <t>WENT TO 9BP ON 14TH JUL</t>
  </si>
  <si>
    <t>US Core Retail sales mom jun (p0.1% f0.3% a0.2%)</t>
  </si>
  <si>
    <t>US RETAIL SAILES MOM JUN (P0.3% F0.5% A0.2%)</t>
  </si>
  <si>
    <t>CAD Core CPI MOM JUN (P0.4% F0.5% A-0.1%)</t>
  </si>
  <si>
    <t>CAD CORE CPI YOY JUN (P3.7% F3.5% A3.2%)</t>
  </si>
  <si>
    <t>CAD CPI MOM JUN (P0.4% F0.3% A0.1%)</t>
  </si>
  <si>
    <t>POOR MOVEMENT AS COMPARED TO DATA | IR WENT LITTLE DOWN, SPDS VIB</t>
  </si>
  <si>
    <t>614PM</t>
  </si>
  <si>
    <t>D23 DEFLY EXIT</t>
  </si>
  <si>
    <t>19 JUL 553am</t>
  </si>
  <si>
    <t>12am</t>
  </si>
  <si>
    <t>Scalping + HL50</t>
  </si>
  <si>
    <t>19 JUL 358AM, 411AM</t>
  </si>
  <si>
    <t>450AM</t>
  </si>
  <si>
    <t>AVOID POSITIONAL IN D23, M24 | HECK AVOID WITH HIGHER LOTS FOR NOW | avoid d23 completely</t>
  </si>
  <si>
    <t>INTRADAY SCALPING (B) | 17 lots throughout fronts 8</t>
  </si>
  <si>
    <t>REMOVE IB ORDERS B4 MONTH END</t>
  </si>
  <si>
    <t>UK CPI MOM (P0.7% F0.4% A0.1%)</t>
  </si>
  <si>
    <t>XT WENT UP A LOT | RESPECTED THE DOVISH THIS TIME</t>
  </si>
  <si>
    <t xml:space="preserve">getting greedy slowdown </t>
  </si>
  <si>
    <t>TIMEOUT | NXT WEEK TRADE | INTRADAY (B)</t>
  </si>
  <si>
    <t>NO IB TRADES B4 MEETING</t>
  </si>
  <si>
    <t>UK CPI YOY JUN (P8.7% F8.2% A7.9%)</t>
  </si>
  <si>
    <t>EZ CORE CPI YOY JUN (P5.3% F5.4% A5.5%)</t>
  </si>
  <si>
    <t>NO Fs GIVEN</t>
  </si>
  <si>
    <t>EZ CPI MOM JUN (P0% F0.3% A0.4%)</t>
  </si>
  <si>
    <t>EZ CPI YOY JUN (P6.1% F5.5% A5.5%)</t>
  </si>
  <si>
    <t>919PM</t>
  </si>
  <si>
    <t>1128pm</t>
  </si>
  <si>
    <t>EMP CHANGE (P75.9K F17K A32.6K)</t>
  </si>
  <si>
    <t>TIMEOUT AFTER EXITS | NO POSITIONALS / INTRADAY ONLY</t>
  </si>
  <si>
    <t>ASKS / BIDS ARE JOKE RN</t>
  </si>
  <si>
    <t>EMPTY GRID BY WED | AUD CPI | PA (A) ALL CURVE</t>
  </si>
  <si>
    <t>ENTER CURVE ANOMALY (B) FOR BELLY + REDS COMBO</t>
  </si>
  <si>
    <t>UNEMP RATE (P3.6% F3.6% A3.5%)</t>
  </si>
  <si>
    <t>J25 SPD</t>
  </si>
  <si>
    <t>Scalping + rz</t>
  </si>
  <si>
    <t>710am</t>
  </si>
  <si>
    <t>IR SEP23</t>
  </si>
  <si>
    <t xml:space="preserve">RET </t>
  </si>
  <si>
    <t>40m</t>
  </si>
  <si>
    <t xml:space="preserve">tt stop </t>
  </si>
  <si>
    <t>725AM</t>
  </si>
  <si>
    <t>815am</t>
  </si>
  <si>
    <t>Initial Jobless Claims (P237K F242K A222K)</t>
  </si>
  <si>
    <t>430AM</t>
  </si>
  <si>
    <t>5AM</t>
  </si>
  <si>
    <t>JAP CORE CPI YOY JUN (P3.2% F3.3% A3.3%)</t>
  </si>
  <si>
    <t>UEDA - Yields could decline maybe later</t>
  </si>
  <si>
    <t>Might be heading into a recession - US</t>
  </si>
  <si>
    <t>535am</t>
  </si>
  <si>
    <t>353pm</t>
  </si>
  <si>
    <t>a lot of theme changing events - FED, BOJ / no holding trades | try intraday strats this week</t>
  </si>
  <si>
    <t>TIMEOUT LEAVE | THIS WEEK (1,2 DAYS) | AFTER WED</t>
  </si>
  <si>
    <t>CPI DOVISH EXPECTATIONS | LESS HIKES LESS CUTS | CUTS WILL BE VERY DIFFICULT TO PRICE IN | OBSERVE</t>
  </si>
  <si>
    <t>THEME CHANGING EVENTS | ALL STRATS (D)</t>
  </si>
  <si>
    <t>CPI QOQ Q2 (p1.45 f1% a0.8%)</t>
  </si>
  <si>
    <t>Whole spread curve went up!</t>
  </si>
  <si>
    <t>trimmed mean cpi qoq q2 (p1.2% f1.1% a0.9%)</t>
  </si>
  <si>
    <t>FED HIKES 25BP (5.5%)</t>
  </si>
  <si>
    <t>ECB HIKES 25BP (4.25%)</t>
  </si>
  <si>
    <t>US GDP (QoQ) (Q2) (P2% F1.8% A2.4%)</t>
  </si>
  <si>
    <t>9 LOTS DSC R</t>
  </si>
  <si>
    <t>LG 21 BL,BK HL75 1 LVL</t>
  </si>
  <si>
    <t>NO WHITES</t>
  </si>
  <si>
    <t>INTRADAY TILL MEETING UNLESS A GOOD ANOMALY ARISES</t>
  </si>
  <si>
    <t>AUD PPI YOY (P5.2% F3.9% A3.9%)</t>
  </si>
  <si>
    <t>PPI QOQ Q2 (P1% F0% A0.5%)</t>
  </si>
  <si>
    <t>RETAIL SALES MOM (P0.7% F0% A-0.8%)</t>
  </si>
  <si>
    <t>9AM</t>
  </si>
  <si>
    <t>BOJ NO CHANGE IN INTEREST RATE (-0.1%)</t>
  </si>
  <si>
    <t>MOM</t>
  </si>
  <si>
    <t>MOMENTUM DID NOT WORK</t>
  </si>
  <si>
    <t>MKT CONFUSED</t>
  </si>
  <si>
    <t>tt issue</t>
  </si>
  <si>
    <t>430am</t>
  </si>
  <si>
    <t>1 aug 816am</t>
  </si>
  <si>
    <t>exit b4 event</t>
  </si>
  <si>
    <t>tt stop</t>
  </si>
  <si>
    <t>could have tried with outrights | but few lots (2,3)</t>
  </si>
  <si>
    <t>510AM</t>
  </si>
  <si>
    <t>623am</t>
  </si>
  <si>
    <t>max could be around 30</t>
  </si>
  <si>
    <t>tue rba | hl 75 + lg (a) | no scalping orders | check the fly ranges | oi High for s23, j24 | s23s, m24s, j24s lg/pa (a) | theme changing possibility - SOMP fri</t>
  </si>
  <si>
    <t>wed nz laBour, us adp nfe</t>
  </si>
  <si>
    <t>thu BOE, US ISM services</t>
  </si>
  <si>
    <t>fri rba statement, us labour</t>
  </si>
  <si>
    <t>ECB LAGARDE -  the Sep meeting could see either a hike or a pause; any pause by the ECB could be followed by future hikes;</t>
  </si>
  <si>
    <t>d23 till 8 Rz</t>
  </si>
  <si>
    <t>12pm</t>
  </si>
  <si>
    <t>Scalping (v3.0)</t>
  </si>
  <si>
    <t>18, 18.5</t>
  </si>
  <si>
    <t>1252pm</t>
  </si>
  <si>
    <t>no need (Rz ~ 22)</t>
  </si>
  <si>
    <t xml:space="preserve">nearby events / theme changing events better to carry (if carrying) flies, combinations than spreads </t>
  </si>
  <si>
    <t>2 W ir 1 intra, 1 scratch or carry</t>
  </si>
  <si>
    <t>Try to see what we are not seeing</t>
  </si>
  <si>
    <t>L holding period can go heavy lots</t>
  </si>
  <si>
    <t>THOUGHT ALL THE PRESENT POSITIONS AS SPREADS  | GIVES A DIFFERENT PERSPECTIVE | MIGHT BE HELPFUL FOR VIBRATIONAL MARKETS --&gt; might give better combinations transformations | 2 deflies to 1 spd and 1 new defly shift</t>
  </si>
  <si>
    <t>VB MKT | EXITS @ BETTER PRICES EACH CONTRACT / 1 COMBINATION / 1 COMINATION DIRECTION</t>
  </si>
  <si>
    <t>IT TAKES AN ENTIRE LIFETIME TO BLOW UP OVERNIGHT</t>
  </si>
  <si>
    <t>Aug 23 live - Graveyard month</t>
  </si>
  <si>
    <t>AUG</t>
  </si>
  <si>
    <t>930am</t>
  </si>
  <si>
    <t>FLY ~-6</t>
  </si>
  <si>
    <t>NXT ENTRY @ 18 / FLY @ -4 (SCRATCH EASY) | NXT ENTRY @ -7</t>
  </si>
  <si>
    <t>4 aug 602pm</t>
  </si>
  <si>
    <t>Failed execution / should have used half lots hit @ -12 d24 spd as initial receiver -16 @ s24 was OK to hold / needed patience for -11 / still scratchable if not 1 tick available</t>
  </si>
  <si>
    <t>-4 is the new -3 after date changes IG</t>
  </si>
  <si>
    <t>A NEW THEMED MKT : GO W SMALLER LOTS (D)</t>
  </si>
  <si>
    <t>3 conv to defly</t>
  </si>
  <si>
    <t>RBA UNCHANGED (4.1%)</t>
  </si>
  <si>
    <t> RBA: SOME FURTHER TIGHTENING OF MONETARY POLICY MAY BE REQUIRED | Inflation in Australia is declining but is still too high at 6 per cent | Sees Inflation at 3.25% by End-2024 | OUTLOOK FOR HOUSEHOLD CONSUMPTION IS ALSO AN ONGOING SOURCE OF UNCERTAINTY</t>
  </si>
  <si>
    <t>RBA: INFLATION  TO BE BACK WITHIN THE 2–3 PER CENT TARGET RANGE IN LATE 2025.</t>
  </si>
  <si>
    <t>Sep 5: Lowe's last meeting</t>
  </si>
  <si>
    <t>1020AM</t>
  </si>
  <si>
    <t>IB SEP23</t>
  </si>
  <si>
    <t>5bp</t>
  </si>
  <si>
    <t>ADD MORE @ 95.91 ~2.5BP</t>
  </si>
  <si>
    <t>1137am</t>
  </si>
  <si>
    <t>1238PM</t>
  </si>
  <si>
    <t>2 aug 4am</t>
  </si>
  <si>
    <t>ISM Manufacturing PMI (Jul) (P46 F46.8 A46.4)</t>
  </si>
  <si>
    <t>US JOLT JUN (P9.6M F9.6M A9.5M)</t>
  </si>
  <si>
    <t>converted to 6m</t>
  </si>
  <si>
    <t>916pm</t>
  </si>
  <si>
    <t>Scalping (v4) + PROBABLY loss cutting maybe</t>
  </si>
  <si>
    <t>3 aug 650am</t>
  </si>
  <si>
    <t>got double filled; initial target was correct</t>
  </si>
  <si>
    <t>if no double filled; you would have made profit! / needed to get both lotsw out as per initial plan/strat</t>
  </si>
  <si>
    <t>can buy again after 1 lot exit @ 30.5</t>
  </si>
  <si>
    <t>426am</t>
  </si>
  <si>
    <t>D24 6m SPD</t>
  </si>
  <si>
    <t>Scalping + prev sz to rz for m25 spd</t>
  </si>
  <si>
    <t>2 aug 1015am</t>
  </si>
  <si>
    <t>exit via 6m</t>
  </si>
  <si>
    <t>US ADP NFE (P497K F189K A324K)</t>
  </si>
  <si>
    <t>US: FITCH DOWNGRADES US CREDIT RATING FROM AAA TO AA+ YESTERDAY (tue)</t>
  </si>
  <si>
    <t>VOLATILITY APPROACHING!; STILL EARLY</t>
  </si>
  <si>
    <t>SHORT SQUEEZE QUICKLY</t>
  </si>
  <si>
    <t>PRESSURE ON BONDS; AND ITS NOT FADING</t>
  </si>
  <si>
    <t>544pm</t>
  </si>
  <si>
    <t>4 aug 650am</t>
  </si>
  <si>
    <t>CAN CONVERT TO 6M . did</t>
  </si>
  <si>
    <t>758pm</t>
  </si>
  <si>
    <t>4.5BP</t>
  </si>
  <si>
    <t>838pm</t>
  </si>
  <si>
    <t>Exiting thru 6m -&gt; opposite entry</t>
  </si>
  <si>
    <t>25m</t>
  </si>
  <si>
    <t>905pm</t>
  </si>
  <si>
    <t>oposite entry after exit</t>
  </si>
  <si>
    <t>M24 6M SPD</t>
  </si>
  <si>
    <t>Scalping + 6m arb</t>
  </si>
  <si>
    <t>4bp</t>
  </si>
  <si>
    <t>Scalping (v4) + taking 2nd entry as move might fade (this had a high chance 4 fading)</t>
  </si>
  <si>
    <t>4 AUG 706AM</t>
  </si>
  <si>
    <t xml:space="preserve">BO trades are great now in 3s10s </t>
  </si>
  <si>
    <t>rz was 22 -&gt; went past that till 32! 10 ticks</t>
  </si>
  <si>
    <t>NO 3-10 for the month</t>
  </si>
  <si>
    <t>bonds need more observation/exp | CAREFUL AROUND BONDS (AVOID RET)</t>
  </si>
  <si>
    <t>Still more tightening MAY be required (5bp)</t>
  </si>
  <si>
    <t>7,9 or scratch</t>
  </si>
  <si>
    <t>3W</t>
  </si>
  <si>
    <t>3.5bp</t>
  </si>
  <si>
    <t>S23 6M SPD</t>
  </si>
  <si>
    <t>552AM</t>
  </si>
  <si>
    <t>fly @ -5</t>
  </si>
  <si>
    <t>AUD RETAIL SALES (P-0.6% F-1.8% A-0.5%)</t>
  </si>
  <si>
    <t>J24 DEFLY</t>
  </si>
  <si>
    <t>EITHER - june becomes kink or s24 fly flattens; either cases can exit accordingly</t>
  </si>
  <si>
    <t>curve anomaly ~ 9</t>
  </si>
  <si>
    <t>CONVERTED TO S24 SPD EXPOSURE MORE in volatility</t>
  </si>
  <si>
    <t>S24 6m FLY</t>
  </si>
  <si>
    <t>Sz -7</t>
  </si>
  <si>
    <t>Q2 CUT CYCLE / aud = Late 25 lol</t>
  </si>
  <si>
    <t>J24 FLY @ 3 or s24 fly 5</t>
  </si>
  <si>
    <t>Converted to 6m fly</t>
  </si>
  <si>
    <t>430pm</t>
  </si>
  <si>
    <t>BOE HIKES BY 25BP</t>
  </si>
  <si>
    <t>INITIAL jobless claims (p221k f227k a227k)</t>
  </si>
  <si>
    <t>4 aug 1156pm</t>
  </si>
  <si>
    <t>no clear view</t>
  </si>
  <si>
    <t>815AM</t>
  </si>
  <si>
    <t>816am</t>
  </si>
  <si>
    <t>could have scalped in few hours!</t>
  </si>
  <si>
    <t>1115AM</t>
  </si>
  <si>
    <t>D24 FLY (1)</t>
  </si>
  <si>
    <t>Converted to fly as better odds for scratching / 1 tick in the long run | cf -&gt; cs</t>
  </si>
  <si>
    <t>15 aug 547am</t>
  </si>
  <si>
    <t>NO NEED TO TRADE IF YOU DONT HAVE ANY SETUPS | 0 trades in last two days. Why so ?</t>
  </si>
  <si>
    <t>HOW ABOUT 0 TRADES IN A WEEK!</t>
  </si>
  <si>
    <t>NO TRADING AFTER US CPI TRADES | TAKE LEAVE</t>
  </si>
  <si>
    <t>weird mkts; bad reads; full spd curve going up</t>
  </si>
  <si>
    <t>Make a move after data</t>
  </si>
  <si>
    <t>fake CPI</t>
  </si>
  <si>
    <t>MOVE BIGGER THAN 0.5 = RXN ELSE USELESS / KEEP THE ORDERS AS IT IS FOR SCALPING / SHIFT TO SCALPING LOTS (25 R 15 W)</t>
  </si>
  <si>
    <t>550PM</t>
  </si>
  <si>
    <t>defly &lt;=-3</t>
  </si>
  <si>
    <t>11 aug 826am</t>
  </si>
  <si>
    <t>Converted 10 to flies</t>
  </si>
  <si>
    <t>US Core CPI MOM JUL (P0.2% F0.2% A0.2%)</t>
  </si>
  <si>
    <t>DISINLATION = INFLATION GOING DOWN</t>
  </si>
  <si>
    <t>DEFLATION = INFLATION GOING NEGATIVE</t>
  </si>
  <si>
    <t>US CPI MOM JUL (P0.2% F0.2% A0.2%)</t>
  </si>
  <si>
    <t>US CPI YOY JUL (P3% F3.3% A3.2%)</t>
  </si>
  <si>
    <t>US CORE CPI YOY JUL (P4.8% F4.8% A4.7%)</t>
  </si>
  <si>
    <t>Initial Jl claims (227k f230k a248k)</t>
  </si>
  <si>
    <t>813pm</t>
  </si>
  <si>
    <t>821PM</t>
  </si>
  <si>
    <t>D23 9M SPD</t>
  </si>
  <si>
    <t>2.5H</t>
  </si>
  <si>
    <t>607AM</t>
  </si>
  <si>
    <t>Scalping + ranged</t>
  </si>
  <si>
    <t>230pm, 14 aug 735am</t>
  </si>
  <si>
    <t>exit all B -13 x 4</t>
  </si>
  <si>
    <t>Sz (-3,-4)</t>
  </si>
  <si>
    <t>Cs to cf</t>
  </si>
  <si>
    <t>11 AUG 611PM, 15 AUG 732AM</t>
  </si>
  <si>
    <t>d23 f 5, m24 f 8</t>
  </si>
  <si>
    <t>EXIT B M24 S 10 X -3 -&gt; EXIT -1</t>
  </si>
  <si>
    <t>D23 3, J24 -10, M24 ? (-3 -&gt; -1, -2 -&gt; -3 SCRATCH)</t>
  </si>
  <si>
    <t>RUSHED THE EXIT | W8 4 1W</t>
  </si>
  <si>
    <t>RUSHED ON THE EXIT + BEHAVIOR OF SPDS CHANGED | BETTER TO EXIT AND UD/D</t>
  </si>
  <si>
    <t>D23 FLY (1)</t>
  </si>
  <si>
    <t>Sz (5)</t>
  </si>
  <si>
    <t>cs to cf</t>
  </si>
  <si>
    <t>Make defly d23</t>
  </si>
  <si>
    <t>14 aug 721pm</t>
  </si>
  <si>
    <t>FRIDAY LIKE BEHAVIOR ON MONDAY!</t>
  </si>
  <si>
    <t>1145am</t>
  </si>
  <si>
    <t>5 for defly exit can be considered + 8 for scratch</t>
  </si>
  <si>
    <t>Shifted down</t>
  </si>
  <si>
    <t>601PM</t>
  </si>
  <si>
    <t>US PPI MOM (P0% F0.2% A0.3%)</t>
  </si>
  <si>
    <t>604PM</t>
  </si>
  <si>
    <t>11 aug 730pm</t>
  </si>
  <si>
    <t>CONVERT TO FLY @ -2,-1</t>
  </si>
  <si>
    <t>14 AUG 730AM</t>
  </si>
  <si>
    <t>B 78 X -11</t>
  </si>
  <si>
    <t>15 AUG 540PM</t>
  </si>
  <si>
    <t>EXIT B @ -10 x 20</t>
  </si>
  <si>
    <t>CAN SQUEEZE</t>
  </si>
  <si>
    <t>BEST IS TO MAKE THIS AVAILABLE FOR HEDGING OR NEW TRADES</t>
  </si>
  <si>
    <t>ERROR : DIDNT USE TT STOP @ 7</t>
  </si>
  <si>
    <t>911pm</t>
  </si>
  <si>
    <t>14 aug 728am</t>
  </si>
  <si>
    <t>216AM</t>
  </si>
  <si>
    <t>To get s24 @ -12</t>
  </si>
  <si>
    <t>FOR S24 SPD @-12 TO MAKE FLY @-1</t>
  </si>
  <si>
    <t>B D24 18 @ -11</t>
  </si>
  <si>
    <t>Converted to S24 SPD -12</t>
  </si>
  <si>
    <t xml:space="preserve">ONLY EXITS till wed </t>
  </si>
  <si>
    <t>TUE RBA MINUTES, WAGE PRICE , US RETAIL SALES ,CAD CPI</t>
  </si>
  <si>
    <t>WED RBNZ INT RATE, UK CPI</t>
  </si>
  <si>
    <t>THU AUD LABOUR</t>
  </si>
  <si>
    <t>FRI JAP CPI, EZ CPI</t>
  </si>
  <si>
    <t>S24 FLY (1)</t>
  </si>
  <si>
    <t>Rz (-1 or below)</t>
  </si>
  <si>
    <t>cf -&gt; cs (+more on the steepening side now after meeting dates change)</t>
  </si>
  <si>
    <t>-1 x 3, -2</t>
  </si>
  <si>
    <t>23 aug 1141am, 305pm</t>
  </si>
  <si>
    <t xml:space="preserve">Exit half @ -2 went 0,1 </t>
  </si>
  <si>
    <t>24 s24 fly exit immediately</t>
  </si>
  <si>
    <t>w8 1 w</t>
  </si>
  <si>
    <t>B a front F</t>
  </si>
  <si>
    <t>made defly for better odds</t>
  </si>
  <si>
    <t>17 left; new tgt -1,-2</t>
  </si>
  <si>
    <t>scratch 3 -1</t>
  </si>
  <si>
    <t>3 for d23 fly exit; weird mkts | full spd curve going up</t>
  </si>
  <si>
    <t>JPY GDP QOQ Q2 (P0.9% F0.8% A1.5%)</t>
  </si>
  <si>
    <t>JPY GDP YOY Q2 (3/7% F3.1% A6%)</t>
  </si>
  <si>
    <t>V. hawksish; can go for hikes</t>
  </si>
  <si>
    <t>553am</t>
  </si>
  <si>
    <t>15 aug 7am</t>
  </si>
  <si>
    <t>RBA MINUTES: 1) RBA: POSSIBLE FURTHER TIGHTENING NEEDED TO MEET CPI TIMETABLE 2)risks include cpi taking longer to reach target 3) services inflation to look out for</t>
  </si>
  <si>
    <t>ret not working; mkt going in one direction with stronger force; full spd curve going up</t>
  </si>
  <si>
    <t>big losses and small profits (NEGATIVE EXPECTANCY)</t>
  </si>
  <si>
    <t>ALL STRATS UD (OBSERVE THE REMAINING MONTH)</t>
  </si>
  <si>
    <t>DAY STOP | TRADE ON WED RBNZ</t>
  </si>
  <si>
    <t>Selective lower the frequency and levels 2 (HL34 10(3RD),15(4TH) FULL CURVE GO FOR 6M AS WELL 2 LVLS)</t>
  </si>
  <si>
    <t>trending markets; like once in 3-10</t>
  </si>
  <si>
    <t>back ir falling more than fronts =&gt; spds going up; should start flattening at some point -&gt; steep flies to 0 or deflies to 0</t>
  </si>
  <si>
    <t>more working hours; squeezes can happen</t>
  </si>
  <si>
    <t>Only silent kills</t>
  </si>
  <si>
    <t>wage price qoq (p0.8% f1% a0.8%)</t>
  </si>
  <si>
    <t>1PM</t>
  </si>
  <si>
    <t>RUSSIA CENTRAL BANK RAISES KEY RATE TO 12%; Prior was 8.5% ( Raised by 350bps). </t>
  </si>
  <si>
    <t>TRADERS INCREASE BOE PEAK RATE BETS TO 6% AFTER UK JOBS DATA</t>
  </si>
  <si>
    <t>Russia's central bank hiked its key interest rate by 350 basis points to 12% on Tuesday, an emergency rate move to try and halt the rouble's weakening past 100 to the dollar after a public call from the Kremlin for tighter monetary policy.</t>
  </si>
  <si>
    <t>ES and Euro Stoxx hitting lower</t>
  </si>
  <si>
    <t>US CORE RETAIL SALES MOM JUL (P0.2% F-0.3% A1%)</t>
  </si>
  <si>
    <t>US RETAIL SALES MOM JUL (P0.2% F0.4% a0.7%)</t>
  </si>
  <si>
    <t>CAD CORE CPI YOY JUL (P3.2% F2.8% A3.2%)</t>
  </si>
  <si>
    <t>CAD CORE CPI MOM JUL (P-0.1% F0.4% A0.5%)</t>
  </si>
  <si>
    <t>CAD CPI MOM JUL (P0.1% F0.3% A0.6%)</t>
  </si>
  <si>
    <t>Hedge for s24 fly (if f up spd up by buying else cut loss)</t>
  </si>
  <si>
    <t>16 AUG 1155AM</t>
  </si>
  <si>
    <t>16 AUG 438AM</t>
  </si>
  <si>
    <t>819pm</t>
  </si>
  <si>
    <t>Scalping (short term prev Rz)</t>
  </si>
  <si>
    <t>16 AUG 1223AM</t>
  </si>
  <si>
    <t>take 2nd entries only in whites (5 . 12)</t>
  </si>
  <si>
    <t>find winners with smaller lots first in this state</t>
  </si>
  <si>
    <t>RBNZ unchanged 5.5%</t>
  </si>
  <si>
    <t>J24 SPD (1)</t>
  </si>
  <si>
    <t>17 aug 658am</t>
  </si>
  <si>
    <t>UK CPI YOY JUL (P7.9% F6.8% A6.8%)</t>
  </si>
  <si>
    <t>1159AM</t>
  </si>
  <si>
    <t>added more for hedge</t>
  </si>
  <si>
    <t>W8 4 odds 2 b in favour</t>
  </si>
  <si>
    <t>S24 DEFLY (A)</t>
  </si>
  <si>
    <t>Made defly for better odds | FOR hedging s24 fly @ -2 -&gt; s24 defly @ -1| d24 f @ -3</t>
  </si>
  <si>
    <t>0 x 3,-2</t>
  </si>
  <si>
    <t>24 aug 402am, 614PM</t>
  </si>
  <si>
    <t>USELESS MKTS, EXITS ONLY</t>
  </si>
  <si>
    <t>EMP CHANGE (P32.6K F15K A-14k)</t>
  </si>
  <si>
    <t>UNEMP RATE (P3.5% F3.6% A)</t>
  </si>
  <si>
    <t>755am</t>
  </si>
  <si>
    <t>XT SEP23</t>
  </si>
  <si>
    <t>XT</t>
  </si>
  <si>
    <t>Loss booking zone (2 ticks below) + ret</t>
  </si>
  <si>
    <t>843pm</t>
  </si>
  <si>
    <t>ret fails</t>
  </si>
  <si>
    <t>went up after 37mins</t>
  </si>
  <si>
    <t>IN 40 MINS 2 TICKS HIT</t>
  </si>
  <si>
    <t>sl 3 ticks</t>
  </si>
  <si>
    <t>D24 6M SPD</t>
  </si>
  <si>
    <t>V3 spds</t>
  </si>
  <si>
    <t>Converted to 6m spd -&gt; exit via spds</t>
  </si>
  <si>
    <t>nxt week exiting by fri; last week no trades (29th onwards) | empty grid by FRI/week aftr</t>
  </si>
  <si>
    <t>hold 7 lots of IB</t>
  </si>
  <si>
    <t>GRAVEYARD MONTH | AVOID TRADING WITH BIGGER LOTS</t>
  </si>
  <si>
    <t>red spd (d-b) lots</t>
  </si>
  <si>
    <t>R technical 15 | W 7</t>
  </si>
  <si>
    <t>look into  bond roll activity trades</t>
  </si>
  <si>
    <t>bad read on mkts during exits; try ASE for arb</t>
  </si>
  <si>
    <t>LOOKOUT FOR CHINA</t>
  </si>
  <si>
    <t>912am</t>
  </si>
  <si>
    <t>can make fly @ 5 or 6</t>
  </si>
  <si>
    <t>21 AUG 1026AM</t>
  </si>
  <si>
    <t>SCALP OR CONVERT TO FLY</t>
  </si>
  <si>
    <t>1030am, 2pm</t>
  </si>
  <si>
    <t>Hedge for s24 fly</t>
  </si>
  <si>
    <t>7,8</t>
  </si>
  <si>
    <t>22 aug 1147am, 24 aug 1047am</t>
  </si>
  <si>
    <t>try for 8; scratch 7 lots s24 fly</t>
  </si>
  <si>
    <t>TRY FOR 8 NOW AS ROLL ACTIVITY NEARS HIGH CHNCE | USE ASE</t>
  </si>
  <si>
    <t>exit 6 flies</t>
  </si>
  <si>
    <t>620pm</t>
  </si>
  <si>
    <t>22 aug 650pm d24x</t>
  </si>
  <si>
    <t>508pm</t>
  </si>
  <si>
    <t>J24 F; M24 5</t>
  </si>
  <si>
    <t xml:space="preserve">D23 DEFLY (A) </t>
  </si>
  <si>
    <t>Sz -3</t>
  </si>
  <si>
    <t>Hedge for backs + cs to cf</t>
  </si>
  <si>
    <t>22 aug 715pm</t>
  </si>
  <si>
    <t>d23 fly 5 m24 fly 7</t>
  </si>
  <si>
    <t>M24S 5 LOTS 0 S; d23 fly 17</t>
  </si>
  <si>
    <t>o @ hit</t>
  </si>
  <si>
    <t>Shifted below</t>
  </si>
  <si>
    <t>420am</t>
  </si>
  <si>
    <t>21 AUG 1245PM</t>
  </si>
  <si>
    <t>714am</t>
  </si>
  <si>
    <t>ONLY EXITS THIS WEEK</t>
  </si>
  <si>
    <t>D SCALP (D)</t>
  </si>
  <si>
    <t>Stooopid month</t>
  </si>
  <si>
    <t>22 aug 1238pm</t>
  </si>
  <si>
    <t>708am</t>
  </si>
  <si>
    <t>23 aug 445am</t>
  </si>
  <si>
    <t>3m</t>
  </si>
  <si>
    <t>23 aug 308pm</t>
  </si>
  <si>
    <t>no strat + no hedge + near event (odds low for scalping; more luck dependent)</t>
  </si>
  <si>
    <t>storm ahead; exit quick</t>
  </si>
  <si>
    <t>23 aug 858pm</t>
  </si>
  <si>
    <t>scratched 2 as against data</t>
  </si>
  <si>
    <t>S&amp;P Global US Services PMI (Aug) (52.3 F52.3 A51) | EZ UK PMI also lower much lower</t>
  </si>
  <si>
    <t>exits on fri by hit / mon/tue</t>
  </si>
  <si>
    <t>859PM</t>
  </si>
  <si>
    <t>24 AUG 6PM</t>
  </si>
  <si>
    <t>US Initial jlc (p240k f240k a230k)</t>
  </si>
  <si>
    <t>tue bullock speaks 110pm, USD JOLTS</t>
  </si>
  <si>
    <t>WED NFE, GDP</t>
  </si>
  <si>
    <t>THU EZ CPI, US PCE</t>
  </si>
  <si>
    <t>FRI US LABOUR, MFG PMI, CAD GDP</t>
  </si>
  <si>
    <t>EMPTY GRID BY MON</t>
  </si>
  <si>
    <t>Scalping + Rz</t>
  </si>
  <si>
    <t>take j24 spd 6 for m24 6m s Rz @ 6</t>
  </si>
  <si>
    <t>24aug 1240pm</t>
  </si>
  <si>
    <t>530PM</t>
  </si>
  <si>
    <t>Jackson hole symp</t>
  </si>
  <si>
    <t>29 aug 642pm</t>
  </si>
  <si>
    <t>entry exit hit</t>
  </si>
  <si>
    <t>US JOLTS DOWN BY 1M FROM FORECAST</t>
  </si>
  <si>
    <t>MORE JOBS DISAPPEARED -&gt; MORE PEOPLE HAVE JOBS -&gt; INFLATIONARY or THIS ONE : UNEMP RATE WILL GO UP AND WE HAVE RECESSION; SPD DOWN 1 TICK, bonds went up!</t>
  </si>
  <si>
    <t>wed AUD CPI, EXIT 3-5 IBs; US NFE, GDP, R 6MS (D-B)</t>
  </si>
  <si>
    <t>THU EZ CPI BL, IR RET, US CORE PCE, JLC</t>
  </si>
  <si>
    <t>FRI US NFP, LABOUR DATA</t>
  </si>
  <si>
    <t>747pm</t>
  </si>
  <si>
    <t>Scalping + RANGED (4 - 8)</t>
  </si>
  <si>
    <t>833pm</t>
  </si>
  <si>
    <t>avoid s23 j24 s24 s</t>
  </si>
  <si>
    <t>917pm</t>
  </si>
  <si>
    <t>YT S23</t>
  </si>
  <si>
    <t>RET +rz</t>
  </si>
  <si>
    <t>30 aug 1255am</t>
  </si>
  <si>
    <t>took too long . out . sleep . bye</t>
  </si>
  <si>
    <t>418am</t>
  </si>
  <si>
    <t>AUS MONTHLY CPI INDICATOR YOY JUL (P5.4% F5.2% A4.8%)</t>
  </si>
  <si>
    <t>spds 3,2,2,2,2,3,1</t>
  </si>
  <si>
    <t>cuts likely in q124, m24-j24</t>
  </si>
  <si>
    <t>31 aug 733am</t>
  </si>
  <si>
    <t>Should make a fly going to fri US Labour data as AUS moves uncertain</t>
  </si>
  <si>
    <t>Defly anti  w 7 ltos hedge | can try d24 defly if better odds there</t>
  </si>
  <si>
    <t>odds were decreasing + better odds with fly</t>
  </si>
  <si>
    <t xml:space="preserve">might get better trades later </t>
  </si>
  <si>
    <t>-10, -9; can scratch -9 m25</t>
  </si>
  <si>
    <t>ADP NFE CHANGE -&gt; LESS people are employed -&gt; ue rate up -&gt; recession -&gt; cuts (P371K F195K A177K)</t>
  </si>
  <si>
    <t>US GDP qoq q2 (P2% F2.4% A2.1%)</t>
  </si>
  <si>
    <t>Recessionary data</t>
  </si>
  <si>
    <t>1141PM</t>
  </si>
  <si>
    <t>D23 DEFLY (1)</t>
  </si>
  <si>
    <t>6 sep 840pm, 12 sep 533am</t>
  </si>
  <si>
    <t>2-&gt;1,-2 (3) | -2,-9 (7)  -&gt; -4 X 5</t>
  </si>
  <si>
    <t>Scalping + ROLL EFFECT PER CHANCE ?</t>
  </si>
  <si>
    <t>555pm</t>
  </si>
  <si>
    <t>EZ 	CPI (YoY) (Aug) (P5.3% F5.1% A5.3%)</t>
  </si>
  <si>
    <t>436PM</t>
  </si>
  <si>
    <t>exchanged with defly</t>
  </si>
  <si>
    <t>558PM</t>
  </si>
  <si>
    <t>US CORE PCE PRICE INDEX YOY JUL (PP4.1% F4.2% A4.2%)</t>
  </si>
  <si>
    <t>US CORE PCE PRICE INDEX MOM JUL (P0.2% F0.2% A0.2%)</t>
  </si>
  <si>
    <t>Initial jlc (p232k f235k a228k)</t>
  </si>
  <si>
    <t>just as water retains no constant shape, so in warfare there are no constant conditions</t>
  </si>
  <si>
    <t>AUGUST = GRAVEYARD MONTH; GO FOR HOLIDAYS</t>
  </si>
  <si>
    <t>NO TRADES DURING TRIMESTER END LAST DAY | GO FOR VACATION</t>
  </si>
  <si>
    <t>Sep 23 live</t>
  </si>
  <si>
    <t>SEP</t>
  </si>
  <si>
    <t>754AM</t>
  </si>
  <si>
    <t>155PM</t>
  </si>
  <si>
    <t>Scalping + SZ(-5,-6)</t>
  </si>
  <si>
    <t>4 sep 519am</t>
  </si>
  <si>
    <t>US NFP (P155 K F170K A187K)</t>
  </si>
  <si>
    <t>FOCUS IS ON THIS</t>
  </si>
  <si>
    <t>Curve flattener</t>
  </si>
  <si>
    <t>US UE (P3.5% F3.5% A3.8%)</t>
  </si>
  <si>
    <t>730pm, 4 sep 450am</t>
  </si>
  <si>
    <t>REV RET?</t>
  </si>
  <si>
    <t>STILL DOVISH SIDE MOVE</t>
  </si>
  <si>
    <t>FRIDAY . BYE</t>
  </si>
  <si>
    <t>leave early . vacation</t>
  </si>
  <si>
    <t>ScaLping</t>
  </si>
  <si>
    <t>708pm</t>
  </si>
  <si>
    <t>ISM Manufacturing PMI (Aug) (P46.4 F47 A47.7)</t>
  </si>
  <si>
    <t>BELOW 50 IS CONTRACTIONARY / BUT HIGHER THAN EXPECTED = DOVE</t>
  </si>
  <si>
    <t>Scratch all spds / reduce by half b4 rba</t>
  </si>
  <si>
    <t>E around 10 + fly @ -1</t>
  </si>
  <si>
    <t>6 Converted to flies</t>
  </si>
  <si>
    <t>TUE RBA</t>
  </si>
  <si>
    <t>WED GDP, US PMI, CAD INT RATE</t>
  </si>
  <si>
    <t>THU LOWE SPEAKS</t>
  </si>
  <si>
    <t xml:space="preserve">FRI JAP GDP, </t>
  </si>
  <si>
    <t>1012am</t>
  </si>
  <si>
    <t>can be defly exit</t>
  </si>
  <si>
    <t>5 sep 4am</t>
  </si>
  <si>
    <t>5 SEP 957am</t>
  </si>
  <si>
    <t>exit all spds b4 rba</t>
  </si>
  <si>
    <t>hedge for ib b4 evvent</t>
  </si>
  <si>
    <t>D24 FLY</t>
  </si>
  <si>
    <t xml:space="preserve">should not be positive </t>
  </si>
  <si>
    <t>high chance of cs - (early cut cycle + US recessionary data)</t>
  </si>
  <si>
    <t>2W</t>
  </si>
  <si>
    <t>14 SEP 854PM, 18 sep 1039am,1158am, 620pm</t>
  </si>
  <si>
    <t>RBA UNCHANGED 4.1%</t>
  </si>
  <si>
    <t>J24 FLY</t>
  </si>
  <si>
    <t>GDP QOQ Q2 (P0.2% F0.3% A0.4%)</t>
  </si>
  <si>
    <t>GDP YOY Q2 (P2.3% F1.7% A2.1%)</t>
  </si>
  <si>
    <t>ISM NMFG PMI (AUG) (P52.7 F52.5 A54.5)</t>
  </si>
  <si>
    <t xml:space="preserve">CF </t>
  </si>
  <si>
    <t>WED US CPI</t>
  </si>
  <si>
    <t>THU AUD LABOUR, ECB (BIG)</t>
  </si>
  <si>
    <t>Extreme cf to cs, lg d23</t>
  </si>
  <si>
    <t>MON 2ND sesh onwards EXITS</t>
  </si>
  <si>
    <t>R 16,32 | W 8,16</t>
  </si>
  <si>
    <t>401am</t>
  </si>
  <si>
    <t>Sz (2 - 0)</t>
  </si>
  <si>
    <t>16h</t>
  </si>
  <si>
    <t>858pm, 927PM</t>
  </si>
  <si>
    <t>went to 5 hit at 18 sep (11d)</t>
  </si>
  <si>
    <t>530am</t>
  </si>
  <si>
    <t>615am</t>
  </si>
  <si>
    <t>J24 fly exit</t>
  </si>
  <si>
    <t>1110am</t>
  </si>
  <si>
    <t>Conv to 6m</t>
  </si>
  <si>
    <t>145pm</t>
  </si>
  <si>
    <t>1150am</t>
  </si>
  <si>
    <t>659pm, 845pm</t>
  </si>
  <si>
    <t>US CPI YOY (AUG) (P3.2% F3.6% A3.7%)</t>
  </si>
  <si>
    <t>TIMEOUT | NO ENTRIES UNLESS GR8 RR</t>
  </si>
  <si>
    <t>2ND SESH V3 (B)</t>
  </si>
  <si>
    <t>US CPI MOM AUG (P0.2% F0.6% A0.6%)</t>
  </si>
  <si>
    <t>US CORE CPI MOM AUG (P0.2% F0.2% A0.3%)</t>
  </si>
  <si>
    <t>US CORE CPI YOYAUG (4.7% F4.3% A4.3%)</t>
  </si>
  <si>
    <t>RET</t>
  </si>
  <si>
    <t>22M</t>
  </si>
  <si>
    <t>622PM</t>
  </si>
  <si>
    <t>CAUGHT THE LOWEST PRICE RANGED BALLPOINT | INTUITIVE</t>
  </si>
  <si>
    <t>TT STOP MOVED TO 1 TICK PROFIT PLACE AFTER 14 MINS</t>
  </si>
  <si>
    <t>no more hikes (mostly) but higher for longer</t>
  </si>
  <si>
    <t>Scalping + AGG RET (RZ 8)</t>
  </si>
  <si>
    <t>LUCK 100</t>
  </si>
  <si>
    <t>ACE! (AFTER SO LONG)</t>
  </si>
  <si>
    <t>647pm</t>
  </si>
  <si>
    <t>UE (P3.7% F3.7% A3.7%)</t>
  </si>
  <si>
    <t>E CHANGE (P-14K F24K A64k)</t>
  </si>
  <si>
    <t>ECB HIKES 25 (4.5%) (P4.25% F4.25% A4.5%)</t>
  </si>
  <si>
    <t>US CORE RETAIL SALES MOM AUG (P0.7% F0.4% A0.6%)</t>
  </si>
  <si>
    <t>US PPI MOM AUG (P0.3% F0.4% A0.7%)</t>
  </si>
  <si>
    <t>US IJLC (P217K F225K A220K)</t>
  </si>
  <si>
    <t>US RETAIL SALES (P0.5% F0.2% A0.6%)</t>
  </si>
  <si>
    <t>TUE RBA Minutes, US building permits</t>
  </si>
  <si>
    <t xml:space="preserve">WED FOMC </t>
  </si>
  <si>
    <t>THU NZD GDP, BOE INT RATE, US PHILLY FED</t>
  </si>
  <si>
    <t>FRI JPY CPI, US PMI</t>
  </si>
  <si>
    <t>oil 95$</t>
  </si>
  <si>
    <t>2024 DOT: divergent views with most expecting a move higher, indicating 75bp of rate CUTs next year vs 100bps seen at the June meeting.</t>
  </si>
  <si>
    <t>It takes months (8-17) for recession / crash and then cuts</t>
  </si>
  <si>
    <t>10,9</t>
  </si>
  <si>
    <t>20 sep 440am</t>
  </si>
  <si>
    <t>take 7 x m24s @ 0</t>
  </si>
  <si>
    <t xml:space="preserve">2 WEEKS KA OI 80k did not see; very high chances of panic squeezes HL75  missed </t>
  </si>
  <si>
    <t>D23 6M SPD</t>
  </si>
  <si>
    <t>take more @ 11,12</t>
  </si>
  <si>
    <t>19 sep 835am</t>
  </si>
  <si>
    <t>1158am</t>
  </si>
  <si>
    <t>19 sep 404am</t>
  </si>
  <si>
    <t>Rz (7,8)</t>
  </si>
  <si>
    <t>Pricing wise 9.5 high</t>
  </si>
  <si>
    <t>Take more @ 9,10 (max 9.5)</t>
  </si>
  <si>
    <t>20 sep 7am, 752am, 850am</t>
  </si>
  <si>
    <t>d23 12,11 S x 21</t>
  </si>
  <si>
    <t>d23 10, m24 2</t>
  </si>
  <si>
    <t>exit 15 before fomc</t>
  </si>
  <si>
    <t>everthing cooled down by 7am nxt morning after High cpi data from CAD</t>
  </si>
  <si>
    <t>(rz 7,8)</t>
  </si>
  <si>
    <t>Spd hedge</t>
  </si>
  <si>
    <t>26 sep 3pm, 27 sep 709am</t>
  </si>
  <si>
    <t>took 3 more j24s @ 5</t>
  </si>
  <si>
    <t>EZ CPI (P5.3% F5.3% A5.2%)</t>
  </si>
  <si>
    <t>601pm</t>
  </si>
  <si>
    <t>Can make d23 fly @ 9(rz)</t>
  </si>
  <si>
    <t>20 sep 503am</t>
  </si>
  <si>
    <t>CAD CPI YOY AUG (P3.3% F3.8% A4%)</t>
  </si>
  <si>
    <t>FRONT SPD WENT UP BY 4 TICKS BUT REST SPDS REMAINED 1 TICK</t>
  </si>
  <si>
    <t>NO play around pivot</t>
  </si>
  <si>
    <t>empty b4 fomc ( at least by half)</t>
  </si>
  <si>
    <t>IB OCT23</t>
  </si>
  <si>
    <t>50:50 for 15bp and pause</t>
  </si>
  <si>
    <t>21 sep 1140am</t>
  </si>
  <si>
    <t>2bp</t>
  </si>
  <si>
    <t>M25 FLY</t>
  </si>
  <si>
    <t>&lt;=-3 EXIT only; unless u get 0 s</t>
  </si>
  <si>
    <t>OI squeeze on hawkish side</t>
  </si>
  <si>
    <t xml:space="preserve">Hawkish sentiment </t>
  </si>
  <si>
    <t>EVENT, 1245am, 118am</t>
  </si>
  <si>
    <t>Scratch order of 10 s gave a good PIQ (dont cancel orders even after losses are booked might give a new entry | delta perspective</t>
  </si>
  <si>
    <t>UK CPI YOY (P6.8% F7% A6.7%)</t>
  </si>
  <si>
    <t>Outrights went 1-2 ticks up</t>
  </si>
  <si>
    <t>FED UNCH 5.5% | 23 1 HIKE, 24 2 CUTS</t>
  </si>
  <si>
    <t>1-2 TICK ALL SPDS</t>
  </si>
  <si>
    <t>ALL ABOUT DOT PLOTS</t>
  </si>
  <si>
    <t>OIL RUNNING KEEPING RATES HIGH</t>
  </si>
  <si>
    <t>HAWKISH PAUSE</t>
  </si>
  <si>
    <t>D23 12M SPD</t>
  </si>
  <si>
    <t>Rz</t>
  </si>
  <si>
    <t>EVENT +1H</t>
  </si>
  <si>
    <t>conv to m25 fly @ 0</t>
  </si>
  <si>
    <t>EVENT+1H</t>
  </si>
  <si>
    <t>HL75</t>
  </si>
  <si>
    <t>21 sep 639am</t>
  </si>
  <si>
    <t>125am</t>
  </si>
  <si>
    <t>D23 12M SPD (D23-D24)</t>
  </si>
  <si>
    <t>21 sep 624am</t>
  </si>
  <si>
    <t>Squeeze from 0</t>
  </si>
  <si>
    <t>21 sep 715am</t>
  </si>
  <si>
    <t>went to 0 on mon</t>
  </si>
  <si>
    <t>Hold few lots if  b/o is due to Non Aussie event (w Stops, probably 1:1)</t>
  </si>
  <si>
    <t>Rz (0,-1)</t>
  </si>
  <si>
    <t>KINK TRADE (Shouldnt be +ve)</t>
  </si>
  <si>
    <t>Squeeze early exits</t>
  </si>
  <si>
    <t>Mon 2 oct, exit atleast half (21)</t>
  </si>
  <si>
    <t>Use ASE 4 eqm</t>
  </si>
  <si>
    <t>exit half lots by MON 1st session end</t>
  </si>
  <si>
    <t>BOE PAUSES (5.25%) (E5.5%)</t>
  </si>
  <si>
    <t>TREASURY 10-YEAR YIELD RISES TO 4.5% FOR FIRST TIME SINCE 2007</t>
  </si>
  <si>
    <t>YEN SHORTS REMAIN LARGE AHEAD OF BOJ INTEREST RATE (ap OI)</t>
  </si>
  <si>
    <t>BOJ ramps up bond buying ahead of policy meet, yields fall sharply</t>
  </si>
  <si>
    <t>BONDS ALREADY DOWN AFTR THE HAWKISH STANCE BY FED</t>
  </si>
  <si>
    <t>WHEN FED HAWK ARRIVES, WHATS NEXT (BOJ) -&gt; RR GOOD IF BOJ ALSO HAWKSIH (SO GO SHORT)</t>
  </si>
  <si>
    <t>JAP National Core CPI (YoY) (Aug) (P3.1% F3% A3.1%)</t>
  </si>
  <si>
    <t>BOJ UNCHANGED @ -0.1%</t>
  </si>
  <si>
    <t>TIMEOUT FULL WEEK</t>
  </si>
  <si>
    <t>Mondays . as usual 1st spread 2 tick movement</t>
  </si>
  <si>
    <t>oil going up will be bearish for IR, BONDS (risky)</t>
  </si>
  <si>
    <t>Dec meeting probs crossed Nov probs =&gt; higher for longer</t>
  </si>
  <si>
    <t>25 sep 3-10 went from 31 to 37; xt went down 22ticks</t>
  </si>
  <si>
    <t>AUD WM CPI YOY (P4.9% F5.2% A5.2%)</t>
  </si>
  <si>
    <t>thu gdp us, POWEL SPEAKS, FRI US PCE</t>
  </si>
  <si>
    <t>Oil going up w dollar</t>
  </si>
  <si>
    <t>final days of q3 (sep) worst days in stock mkt</t>
  </si>
  <si>
    <t xml:space="preserve">nxt TUE RBA </t>
  </si>
  <si>
    <t>nxt wed RBNZ, US ADP NFE, ISM NMFG PMI</t>
  </si>
  <si>
    <t>FRI NFP + US Labour</t>
  </si>
  <si>
    <t>play volatility</t>
  </si>
  <si>
    <t>ONLY INTRADAY (B) FROM NOW TO NXT WEEK</t>
  </si>
  <si>
    <t xml:space="preserve">by mid oct </t>
  </si>
  <si>
    <t xml:space="preserve">EVENT </t>
  </si>
  <si>
    <t>Still world a little hawkish</t>
  </si>
  <si>
    <t>XT DEC23</t>
  </si>
  <si>
    <t>Prev sz - rz</t>
  </si>
  <si>
    <t>37M</t>
  </si>
  <si>
    <t>Slow movement initial rr 4:3 -&gt; 3:2 -&gt; 2 ticks out</t>
  </si>
  <si>
    <t>plus exposure to hawkish side in spds with 2 lots extra left, since slow movement, prefer spds</t>
  </si>
  <si>
    <t>1hr later went to 96.05 4ticks as per original plan (1h10m), but then it stopped there</t>
  </si>
  <si>
    <t xml:space="preserve">went down 15-20 ticks more in 2nd session! </t>
  </si>
  <si>
    <t>It'll be fun wen doing with multiple lots (at least 2) + track longer hours with hard stops with payups</t>
  </si>
  <si>
    <t>TF 45, 240</t>
  </si>
  <si>
    <t>AUD RETAIL SALES (P0.5% F0.3% A0.2%)</t>
  </si>
  <si>
    <t>USE ASE (1:3, 2,3,X)</t>
  </si>
  <si>
    <r>
      <t>Preserve Gains</t>
    </r>
    <r>
      <rPr>
        <sz val="12"/>
        <color rgb="FF000000"/>
        <rFont val="Calibri"/>
        <charset val="1"/>
      </rPr>
      <t>: Our objective should be to safeguard the gains we've made this year and work more intelligently rather than tirelessly. Revise stop and draw down level in your mind based on current market conditions, instead of the yearly account balance. </t>
    </r>
  </si>
  <si>
    <r>
      <t>Adapt to Changing Market Conditions</t>
    </r>
    <r>
      <rPr>
        <sz val="12"/>
        <color rgb="FF000000"/>
        <rFont val="Calibri"/>
        <charset val="1"/>
      </rPr>
      <t>: Be open to adjusting our strategies if the current approach is no longer effective, especially in Grains, Energy, and STIR markets, where significant market condition shifts are evident.</t>
    </r>
  </si>
  <si>
    <t>Margin Levels: Margin requirements are staying elevated for longer durations. This suggests that the market is limiting our ability to make frequent adjustments to our positions, requiring us to hold larger positions for extended period</t>
  </si>
  <si>
    <t>Total PnL</t>
  </si>
  <si>
    <t>AVG WINS -1 TICK</t>
  </si>
  <si>
    <t>AVG WINS * 2</t>
  </si>
  <si>
    <t>IMPLIED EXPOSURE (worst case)</t>
  </si>
  <si>
    <t>try to avoid linear direction trades/long term trades of such kind</t>
  </si>
  <si>
    <t>allowed max risk</t>
  </si>
  <si>
    <t>PRESENT PROCESS</t>
  </si>
  <si>
    <t>MKT STATE TOTAL RISK/ENTRY ALLOWED</t>
  </si>
  <si>
    <t>TIMEOUT DECIDER</t>
  </si>
  <si>
    <t>CAP TARGET</t>
  </si>
  <si>
    <t>INPUT SOME TRGT</t>
  </si>
  <si>
    <t>Either cap by target or cap by new mkt state</t>
  </si>
  <si>
    <t>MAX TOTAL RISK</t>
  </si>
  <si>
    <t>RESERVED</t>
  </si>
  <si>
    <t>INPUT ADD ONS</t>
  </si>
  <si>
    <t>PRESENT PNL/ lot</t>
  </si>
  <si>
    <t>INPUT RANGE</t>
  </si>
  <si>
    <t>Available Balance (b4 risky bets) / lot | IR</t>
  </si>
  <si>
    <t>CURRENT</t>
  </si>
  <si>
    <t xml:space="preserve">AVG </t>
  </si>
  <si>
    <t>AVG WINS/LOT</t>
  </si>
  <si>
    <t>AVG LOSS/LOT</t>
  </si>
  <si>
    <t>#</t>
  </si>
  <si>
    <t>WINS</t>
  </si>
  <si>
    <t>LOSSES</t>
  </si>
  <si>
    <t>DRAW</t>
  </si>
  <si>
    <t>PERFORMANCE ANALYSIS</t>
  </si>
  <si>
    <t>CATEGORY</t>
  </si>
  <si>
    <t>TYPE</t>
  </si>
  <si>
    <t># ORDERS</t>
  </si>
  <si>
    <t>TOTAL LOTS</t>
  </si>
  <si>
    <t>AVG GAINS/LOT</t>
  </si>
  <si>
    <t>TOTAL GAINS</t>
  </si>
  <si>
    <t>WIN%</t>
  </si>
  <si>
    <t>AVG LOSS/ LOT</t>
  </si>
  <si>
    <t>TOTAL LOSS</t>
  </si>
  <si>
    <t>LOSS%</t>
  </si>
  <si>
    <t>G/L</t>
  </si>
  <si>
    <t>NET P/L</t>
  </si>
  <si>
    <t>MODE CLIP SIZE</t>
  </si>
  <si>
    <t>MAX LOSS</t>
  </si>
  <si>
    <t>G/L per lot</t>
  </si>
  <si>
    <t>W SCORE</t>
  </si>
  <si>
    <t>L SCORE</t>
  </si>
  <si>
    <t>SCORE1</t>
  </si>
  <si>
    <t>LOTS/ORDERS</t>
  </si>
  <si>
    <t>efficiency</t>
  </si>
  <si>
    <t>EFFICIENCY2</t>
  </si>
  <si>
    <t>RT</t>
  </si>
  <si>
    <t>RT%</t>
  </si>
  <si>
    <t>NET PL%</t>
  </si>
  <si>
    <t>W#</t>
  </si>
  <si>
    <t>PROFIT</t>
  </si>
  <si>
    <t>L#</t>
  </si>
  <si>
    <t>LOSS</t>
  </si>
  <si>
    <t>W%</t>
  </si>
  <si>
    <t>L%</t>
  </si>
  <si>
    <t>ORDERS</t>
  </si>
  <si>
    <t>TOTAL AMOUNT</t>
  </si>
  <si>
    <t>UNIT AMOUNT</t>
  </si>
  <si>
    <t>AVERAGE LOT</t>
  </si>
  <si>
    <t>ORDERS2</t>
  </si>
  <si>
    <t>TOTAL LOTS2</t>
  </si>
  <si>
    <t>TOTAL AMOUNT3</t>
  </si>
  <si>
    <t>UNIT AMOUNT4</t>
  </si>
  <si>
    <t>AVERAGE LOT2</t>
  </si>
  <si>
    <t>CURVE</t>
  </si>
  <si>
    <t>CONTRACTS I</t>
  </si>
  <si>
    <t>WHITES</t>
  </si>
  <si>
    <t>REDS</t>
  </si>
  <si>
    <t>CONTRACTS II</t>
  </si>
  <si>
    <t>OUTRIGHTS (IR,IB,YT)</t>
  </si>
  <si>
    <t>SPREADS</t>
  </si>
  <si>
    <t>W L/O</t>
  </si>
  <si>
    <t>W/R</t>
  </si>
  <si>
    <t>f:s lots/order</t>
  </si>
  <si>
    <t>FLIES</t>
  </si>
  <si>
    <t>R L/O</t>
  </si>
  <si>
    <t>R%</t>
  </si>
  <si>
    <t>f:s frequency</t>
  </si>
  <si>
    <t>total lots in contracts ii</t>
  </si>
  <si>
    <t>W/R PnL</t>
  </si>
  <si>
    <t>total orders</t>
  </si>
  <si>
    <t>TOTAL C PNL</t>
  </si>
  <si>
    <t>R:W LOTS/ORDER</t>
  </si>
  <si>
    <t>total RT</t>
  </si>
  <si>
    <t>TOTAL WR PNL</t>
  </si>
  <si>
    <t>R:W freq</t>
  </si>
  <si>
    <r>
      <rPr>
        <b/>
        <sz val="10"/>
        <color rgb="FFA6A6A6"/>
        <rFont val="Calibri"/>
        <family val="2"/>
      </rPr>
      <t xml:space="preserve">CONCLUSIONS </t>
    </r>
    <r>
      <rPr>
        <b/>
        <i/>
        <sz val="10"/>
        <color rgb="FFA6A6A6"/>
        <rFont val="Calibri"/>
        <family val="2"/>
      </rPr>
      <t>(so far) | Initial plan(s); if any &gt; Observations &gt; Conclusion</t>
    </r>
  </si>
  <si>
    <t>Gradualism</t>
  </si>
  <si>
    <t xml:space="preserve">Loss/lot was more for reds </t>
  </si>
  <si>
    <t>Majority of strats were working along with biases</t>
  </si>
  <si>
    <t>Work on statistical analysis</t>
  </si>
  <si>
    <t>Scaling up of avg. clip size</t>
  </si>
  <si>
    <t>3.5% of batch volume</t>
  </si>
  <si>
    <t>Continue work on stat analysis</t>
  </si>
  <si>
    <t>Test of money management</t>
  </si>
  <si>
    <t>Sunk cost fallacy (if held longer doesnt mean have to exit in profit)</t>
  </si>
  <si>
    <t>Outrigths worked better (can increase lots in these mkts)</t>
  </si>
  <si>
    <t>Reduced holding time worked better</t>
  </si>
  <si>
    <t>technical worked better but only to get entries</t>
  </si>
  <si>
    <t>Keep hedges prepared</t>
  </si>
  <si>
    <t>Be flexible to change bias as per mkt behaviour, be quick with it in transitioning mkt</t>
  </si>
  <si>
    <t>Prevent opportunity cost by managing risk (like reducing a few lots in an existing trade that is going no where)</t>
  </si>
  <si>
    <t>Avoid sunk cost fallacy by adapting to the mkt (have trailing SL or defined holding period)</t>
  </si>
  <si>
    <t>money management &gt; reduce lots or take defensive trades</t>
  </si>
  <si>
    <t>Seems less intuitive for more-lots outrights but it should work</t>
  </si>
  <si>
    <t>Curve trades of flies 1,2 in a month</t>
  </si>
  <si>
    <t>If increasing, go for 2x lots for 2 trades in a month which has high chance</t>
  </si>
  <si>
    <t>capitalise on the new mkt state</t>
  </si>
  <si>
    <t>RECOVER</t>
  </si>
  <si>
    <t>1,2 fly trades . done</t>
  </si>
  <si>
    <t>1 3-10 . done</t>
  </si>
  <si>
    <t>INTRADAY . US BANK NEWS FOLLOW</t>
  </si>
  <si>
    <t>INCREASE LOTS IN SPDS</t>
  </si>
  <si>
    <t>TRY MORE IN YT</t>
  </si>
  <si>
    <t>no 1:1 trades (at least in whites)</t>
  </si>
  <si>
    <t>FIND MORE # OF STRATS, NEW METHODS | mostly in BONDS</t>
  </si>
  <si>
    <t>WORK MORE IN ASE RULES (for 3-10)</t>
  </si>
  <si>
    <t xml:space="preserve">START WITH TEDS (RANGEBOUND, 1:1, 2 IN MAY) </t>
  </si>
  <si>
    <t>INCREASE FLY TRADES</t>
  </si>
  <si>
    <t>PRESENT</t>
  </si>
  <si>
    <t>AVG</t>
  </si>
  <si>
    <t>DATE</t>
  </si>
  <si>
    <t>TT time</t>
  </si>
  <si>
    <t>ABOVE</t>
  </si>
  <si>
    <t>EQUAL</t>
  </si>
  <si>
    <t>BELOW</t>
  </si>
  <si>
    <t>above/below</t>
  </si>
  <si>
    <t>B QTY</t>
  </si>
  <si>
    <t>S QTY</t>
  </si>
  <si>
    <t>ENTRY/AVG BUY</t>
  </si>
  <si>
    <t>DATES</t>
  </si>
  <si>
    <t>CPI report (P5.1% F6.2% A6.1%)</t>
  </si>
  <si>
    <t>IR High Volatility up</t>
  </si>
  <si>
    <t>IR SEP 23</t>
  </si>
  <si>
    <t>SPECULATION</t>
  </si>
  <si>
    <t>-</t>
  </si>
  <si>
    <t>BASED ON MOMENTUM SPECULATION</t>
  </si>
  <si>
    <t>IR JUN 23</t>
  </si>
  <si>
    <t>AFTER CPI NEWS (INFLATION LOWER THAN EXPECTED) FOLLOWING MOMENTUM</t>
  </si>
  <si>
    <t>HIGH VOLATILITY DURING RELEASES, CAREFUL</t>
  </si>
  <si>
    <t>IR MAR 23</t>
  </si>
  <si>
    <t>AFTER CPI NEWS (INFLATION LOWER THAN EXPECTED)</t>
  </si>
  <si>
    <t>IR DEC 22</t>
  </si>
  <si>
    <t>IR SEP 22</t>
  </si>
  <si>
    <t>ir dec 23</t>
  </si>
  <si>
    <t>MOMENTUM</t>
  </si>
  <si>
    <t xml:space="preserve">2 TICK </t>
  </si>
  <si>
    <t>MINS</t>
  </si>
  <si>
    <t xml:space="preserve">PLANNED MOMENTUM </t>
  </si>
  <si>
    <t>RETAIL SALES (P0.9%, F0.5%, A0.2%)</t>
  </si>
  <si>
    <t>NEUTRAL POSITION (NET 0) TO MOMENTUM SIDE (B)</t>
  </si>
  <si>
    <t>TECHNICAL ISSUE; could not execute SELL on time</t>
  </si>
  <si>
    <t>EXIT PLAN RIGHT AFTER RETAIL SALES RELEASE (P 0.9%, F0.5%, A 0.2%) MKT WENT UP QUICKLY, THEN CAME DOWN SLOWLY</t>
  </si>
  <si>
    <t xml:space="preserve">PPI (YOY Q2 P4.9% A5.4% | QOQ P1.6%, F1.4% A1.4%) | </t>
  </si>
  <si>
    <t>IR Low volatility; High volatility later UP</t>
  </si>
  <si>
    <t>HOLDING (PARTLY BECAUSE OF TECHNICAL ISSUES) | BAD OBSERVATION</t>
  </si>
  <si>
    <t>PVT SECTOR CREDIT MOM P0.8% A0.9%</t>
  </si>
  <si>
    <t>IR DEC22</t>
  </si>
  <si>
    <t>SELLING WRT MKT DIRECTION</t>
  </si>
  <si>
    <t>REVERSE POSITION</t>
  </si>
  <si>
    <t>TECH ISSUE</t>
  </si>
  <si>
    <t>5 DAYS</t>
  </si>
  <si>
    <t>WOULD HAVE SOLD WAY EARLIER</t>
  </si>
  <si>
    <t>SOLD 2 ON LIMITS, COULD NOT TRACK</t>
  </si>
  <si>
    <t>IR SEP22</t>
  </si>
  <si>
    <t>IR MAR23</t>
  </si>
  <si>
    <t>IR JUN23</t>
  </si>
  <si>
    <t>SIGNAL ENTRY. REACTIVE EXIT OR FLIPPING POSITION</t>
  </si>
  <si>
    <t>0.1 TICKS OVERVALUED. EXPECTING 0.1 TICK DOWN</t>
  </si>
  <si>
    <t>EXPECTED SIDEWAYS MARKET &amp; BETTING ON OVERBOUGHT ZONE TO REVERSION</t>
  </si>
  <si>
    <t>HOLDING SINCE OVERPRICED</t>
  </si>
  <si>
    <t>added positions based on indicators</t>
  </si>
  <si>
    <t>SHOULD HAVE ADDED STOPLOSS</t>
  </si>
  <si>
    <t>MOMENTUM OR HOLD TILL REVERSION</t>
  </si>
  <si>
    <t>saved a loss position by following momentum</t>
  </si>
  <si>
    <t>SHOULD HAVE ADDED STOPLOSS; added stop order</t>
  </si>
  <si>
    <t>INTEREST RATE (P1.31% F 1.85%, A1.85%)</t>
  </si>
  <si>
    <t>Medium Volatility Up</t>
  </si>
  <si>
    <t>FUNDAMENTAL VALUE 97.4</t>
  </si>
  <si>
    <t>97.3 (0.03 BELOW)</t>
  </si>
  <si>
    <t>FUNDAMENTAL VALUE SELL (97.4)</t>
  </si>
  <si>
    <t>STOPLOSS GOT TRIGGERED</t>
  </si>
  <si>
    <t>WENT UP LATER TO 97.4; WENT TO 97.43</t>
  </si>
  <si>
    <t>PRICING WAS CORRECT</t>
  </si>
  <si>
    <t>NEED TO WORK ON STOPLOSS TARGET/STRATEGIES</t>
  </si>
  <si>
    <t>OPINION: STRATS WILL BE MORE USEFUL THAN TARGET</t>
  </si>
  <si>
    <t>TARGET CAN BE SET WHEN CALCULATED THEORETICALLY</t>
  </si>
  <si>
    <t>SIGNAL LONG SHORT ENTRY+PRICE MOMENTUM</t>
  </si>
  <si>
    <t>96.5 (0.07 ABOVE)</t>
  </si>
  <si>
    <t>LESS SELLERS BEYOND THAT POINT</t>
  </si>
  <si>
    <t>MOMENTUM  TILL 96.4; MORE BUYERS; (CHANGED 4 TIMES)</t>
  </si>
  <si>
    <t>KEPT INCREASING POSITION AS THE MOVE GOT STRONGER; BAD TIMING</t>
  </si>
  <si>
    <t>WAIT A LITTLE LONGER TO SEE THE VOLUMES; MANIPULATIVE ORDERS; RANGEBOUND</t>
  </si>
  <si>
    <t>DONT INCREASE ORDERS BY 2X; work on strength indicators</t>
  </si>
  <si>
    <t>order size should STAY small if move is not strong</t>
  </si>
  <si>
    <t>Westpac Consumer Sentiment (Aug) F-3% A-3%</t>
  </si>
  <si>
    <t>No Movement</t>
  </si>
  <si>
    <t>FUNDAMENTAL VWAP IB AVG -&gt; IR WAS 96.46;  MKT PRICE 96.27; REMAINING CONTRACTS VWAP PRICES MATCHED EXCEPT THIS</t>
  </si>
  <si>
    <t>96.21 (0.05 BELOW)</t>
  </si>
  <si>
    <t>0.05 BELOW; BUYERS LOW + LIMITING LOSS AT 0.05 RANGE CHECK</t>
  </si>
  <si>
    <t>BEFORE 96.46</t>
  </si>
  <si>
    <t>TIMING FOR ENTERING AT LOWER PRICE; ACTIVE TRADING</t>
  </si>
  <si>
    <t>OTHER CONTRACTS PRICES WERE MOVING TOWARDS THE FUNDAMENTALS; THIS WAS LAGGING</t>
  </si>
  <si>
    <t>STOPLOSS TRIGGERED</t>
  </si>
  <si>
    <t>BETTING (LOW CONFIDENCE)THAT CPI WILL BE BELOW EXPECTATIONS (SINCE OIL PRICES DECREASING SINCE JULY)</t>
  </si>
  <si>
    <t>97.24 (0.07 BELOW)</t>
  </si>
  <si>
    <t>0.07 BELOW (1B 96.3 SL23 EXEC, 1B 96.29 SL22 CANCELLED)</t>
  </si>
  <si>
    <t>around 96.32</t>
  </si>
  <si>
    <t>Fundamental is 96.318</t>
  </si>
  <si>
    <t>OFFSETTING ABOVE POSITION (LIKE STRADDLE)</t>
  </si>
  <si>
    <t>96.45 (0.04 ABOVE)</t>
  </si>
  <si>
    <t>DAY'S HIGH (1 BUY ORDER AT 96.45; REVERSING POSITION)</t>
  </si>
  <si>
    <t>AROUND 96.3</t>
  </si>
  <si>
    <t>ORDER PRESENCE</t>
  </si>
  <si>
    <t>STOPLOSS AND POSITION REVERSING ORDER TRYING</t>
  </si>
  <si>
    <t>OFFSETTING ABOVE POSITION (LIKE STRADDLE) + STRING BEHAVIOUR OF CURVES</t>
  </si>
  <si>
    <t>96.28 (0.07 ABOVE)</t>
  </si>
  <si>
    <t>0.07 ABOVE</t>
  </si>
  <si>
    <t>AROUND 96.14</t>
  </si>
  <si>
    <t>LAST ORDER PRESENCE</t>
  </si>
  <si>
    <t>STRING BEHAVIOUR CHECK</t>
  </si>
  <si>
    <t>BETTING (LOW CONFIDENCE)THAT US JUN CPI WILL BE BELOW EXPECTATIONS (SINCE OIL PRICES DECREASING SINCE JULY)</t>
  </si>
  <si>
    <t>96.23 (0.07 BELOW)</t>
  </si>
  <si>
    <t>0.007 BELOW</t>
  </si>
  <si>
    <t>ABOVE 96.32</t>
  </si>
  <si>
    <t>US CORE CPI (MOM P0.7% F0.5% A0.3%) | US CPI YOY JUL (P9.1% F8.7% 8.5%) | US CPI MOM JUL (P1.3% F0.2% A0%)</t>
  </si>
  <si>
    <t>High Volatility Up for all contracts til 1hr then starts to come down a littlw</t>
  </si>
  <si>
    <t>LESS THAN 1 HR</t>
  </si>
  <si>
    <t xml:space="preserve">NEED TO IMPROVE ENTRY TIMING DURING VOLATILE MOVEMENTS;SHOULD ENTER ASAP </t>
  </si>
  <si>
    <t>DEC22, MAR 23 LAGS (FOLLOWS) JUN SEP 23 GOING UP DURING HIGH VOLATILITY (SO FAR 2X)</t>
  </si>
  <si>
    <t>REMEMBER TO CANCEL PREVIOUS STOPLOSS AFTER THE MOVE ENDS</t>
  </si>
  <si>
    <t>NO NEED FOR RISK MANAGEMENT IN VOLATILE TRADES OF SHORT DURATION</t>
  </si>
  <si>
    <t>AFTER BOOKING PROFITS, NO TRADES FOR NOW</t>
  </si>
  <si>
    <t xml:space="preserve">JUN IS VERY VOLATILE; GO FOR LONG DURATION TRADES </t>
  </si>
  <si>
    <t>1 BIG GFOLLOWS ANOTHER BIG G (HIGH PROBABILITY)</t>
  </si>
  <si>
    <t>MORE THAN the NEXT 10 BASIS POINT PRICE (NEXT 0.1 PRICE range)</t>
  </si>
  <si>
    <t>NXT DAY END OF SESSION 1</t>
  </si>
  <si>
    <t>1 SESSION</t>
  </si>
  <si>
    <t>1 BIG G FOLLOWS ANOTHER BIG G (HIGH PROBABILITY); ONLY IF THE SESSION ENDS AT BIG G</t>
  </si>
  <si>
    <t>BAD TIMING; GREED</t>
  </si>
  <si>
    <t>MAR23 LEADS JUN23 SEP23 DEC23 WHEN GOING DOWN AFTER HIGH VOLATILITY</t>
  </si>
  <si>
    <t>NXT DAY END OF SESSION 2</t>
  </si>
  <si>
    <t>NEVER TRADE AFTER PROFIT IS BOOKED FOR THAT DAY</t>
  </si>
  <si>
    <t>OUTRIGHTS ARE DANGEROUS FOR LONG RUN</t>
  </si>
  <si>
    <t>NXT DAY END OF SESSION 3</t>
  </si>
  <si>
    <t>NEVER TRADE AFTER PROFIT IS BOOKED FOR THAT DAY; FOR NOW</t>
  </si>
  <si>
    <t>NXT DAY END OF SESSION 4</t>
  </si>
  <si>
    <t>FUNDAMENTALLY UNDERVALUED</t>
  </si>
  <si>
    <t>96.19 (0.05 BELOW)</t>
  </si>
  <si>
    <t>96.16 (0.05 BELOW)</t>
  </si>
  <si>
    <t>WENT DOWN TO 96.12; STOPLOSS PREVENTED</t>
  </si>
  <si>
    <t>VOLUME BASED INTRADAY</t>
  </si>
  <si>
    <t>96.24 (0.02 ABOVE)</t>
  </si>
  <si>
    <t>VOLUME</t>
  </si>
  <si>
    <t>LESS THAN 2 HRS</t>
  </si>
  <si>
    <t xml:space="preserve">STOPLOSS TRIGGERED </t>
  </si>
  <si>
    <t>went up to 96.24 in the next session open</t>
  </si>
  <si>
    <t>IR M23-S23</t>
  </si>
  <si>
    <t>CURVE ANALYSIS | DIRECTIONAL BASED</t>
  </si>
  <si>
    <t>-0.11 (HISTORICAL ANALYSIS)</t>
  </si>
  <si>
    <t>1-2 WEEKS HOLD</t>
  </si>
  <si>
    <t>CURVE ANALYSIS OF OUTRIGHTS, 6M SPDS AND THEIR DIRECTIONS</t>
  </si>
  <si>
    <t>96.5 (0.25 ABOVE) BASED ON EXPECTATIONS PRICING</t>
  </si>
  <si>
    <t>6 DAYS</t>
  </si>
  <si>
    <t>IR DEC23</t>
  </si>
  <si>
    <t>BELOW EMA</t>
  </si>
  <si>
    <t>96.35 (0.05 ABOVE)</t>
  </si>
  <si>
    <t>TOOK TOO LONG; MOVE REVERSED</t>
  </si>
  <si>
    <t>EARLY EXIT</t>
  </si>
  <si>
    <t>SHORT PERIODS; LESS THAN 1 HOUR</t>
  </si>
  <si>
    <t>96.15 (0.03 ABOVE)</t>
  </si>
  <si>
    <t>SEP22 REVERTS BACK TO FUNDAMENTAL IR PRICE BASED ON IB</t>
  </si>
  <si>
    <t>IR D22-2J23-D23 P</t>
  </si>
  <si>
    <t>CHANGED TO OUTRIGHT DURING MOMENTUM MOVE IN 1 SESSION</t>
  </si>
  <si>
    <t>IR S22-M24 P</t>
  </si>
  <si>
    <t>0.58 (HISTORICAL RANGES AVG) or IR S22=97.37</t>
  </si>
  <si>
    <t>FUNDAMENTAL AND HISTORICAL TECH ANALYSIS BASED TRADE</t>
  </si>
  <si>
    <t>CURVE ANALYSIS; HISTORICALLY SIMILAR SITUATION, IT SHOULD go down(t 1 week)</t>
  </si>
  <si>
    <t>NEW FUNDAMENTAL PRICE 97.37 MKT 97.40 (OVERVALUED); changed to 97.42 next day</t>
  </si>
  <si>
    <t>CURVE ANALYSIS</t>
  </si>
  <si>
    <t>2 ticks limit for loss</t>
  </si>
  <si>
    <t>FUNDAMENTAL VALUE</t>
  </si>
  <si>
    <t>fundamental gave a range</t>
  </si>
  <si>
    <t>IR MAR24</t>
  </si>
  <si>
    <t>G</t>
  </si>
  <si>
    <t>CURVE ANALYSIS; HISTORICALLY SIMILAR SITUATION, IT SHOULD COME UP</t>
  </si>
  <si>
    <t>historic analysis gave direction</t>
  </si>
  <si>
    <t>RBNZ INTEREST RATES (P2.5% F3% A3%) | AUS WAGE PRICE INDEX (P0.7% F0.8% A0.7%)</t>
  </si>
  <si>
    <t>MKT WENT UP WITHIN HOURS THEN CAME DOWN</t>
  </si>
  <si>
    <t>7BP BELOW</t>
  </si>
  <si>
    <t>1 session</t>
  </si>
  <si>
    <t>CHANGED TO OUTRIGHT DURING MOMENTUM MOVE</t>
  </si>
  <si>
    <t>Work on order management</t>
  </si>
  <si>
    <t>TREND REVERSAL MOMENTUM; LEAD LAG</t>
  </si>
  <si>
    <t>3 TICKS (NEW LOW WILL BE MADE IF TRIGGERED; REVERSE TREND DIDNT LAST)</t>
  </si>
  <si>
    <t>FEW HOURS</t>
  </si>
  <si>
    <t>bought 2 but stoploss order for only 1 contracgt was given</t>
  </si>
  <si>
    <t>stoploss got triggered</t>
  </si>
  <si>
    <t>FUNDAMENTALS REVERT TO BEFORE MOVE LEVELS IF REVERSAL STARTS(AS PER LAST TIME)</t>
  </si>
  <si>
    <t>3 TICKS (WRT ABOVE POSITIONS</t>
  </si>
  <si>
    <t>Fundamentals prev</t>
  </si>
  <si>
    <t>IR S22-M23 UP</t>
  </si>
  <si>
    <t>IR S22-S23 UP</t>
  </si>
  <si>
    <t>4 TICKS (NEW LOW WILL BE MADE IF TRIGGERED; REVERSE TREND DIDNT LAST)</t>
  </si>
  <si>
    <t>early exit as move did not go as anticipated in hours</t>
  </si>
  <si>
    <t>LEAD LAG</t>
  </si>
  <si>
    <t>3 TICKS</t>
  </si>
  <si>
    <t>LAG 2 BP</t>
  </si>
  <si>
    <t xml:space="preserve">Did not exit early </t>
  </si>
  <si>
    <r>
      <rPr>
        <b/>
        <sz val="10"/>
        <color rgb="FF434343"/>
        <rFont val="Roboto"/>
      </rPr>
      <t>Employment Change (Jul</t>
    </r>
    <r>
      <rPr>
        <b/>
        <sz val="10"/>
        <color rgb="FF434343"/>
        <rFont val="Roboto"/>
      </rPr>
      <t xml:space="preserve">) (P88.4K F25K A-40.9K ) </t>
    </r>
  </si>
  <si>
    <t xml:space="preserve">BEFORE RESULTS GONE UP; AFTER RESULTS GONE LOW; </t>
  </si>
  <si>
    <t>MOMENTUM TRADES DID NOT WORK</t>
  </si>
  <si>
    <t>MANUALLY CANT GAUGE MOMENTUM EASILY</t>
  </si>
  <si>
    <t>NEED TO USE ALGOS/ASE IN OUTRIGHTS</t>
  </si>
  <si>
    <r>
      <rPr>
        <b/>
        <sz val="10"/>
        <color rgb="FF434343"/>
        <rFont val="Roboto"/>
      </rPr>
      <t>Unemployment Rate (Jul</t>
    </r>
    <r>
      <rPr>
        <b/>
        <sz val="10"/>
        <color rgb="FF434343"/>
        <rFont val="Roboto"/>
      </rPr>
      <t>) (P3.5% F3.5% A3.4% )</t>
    </r>
  </si>
  <si>
    <t xml:space="preserve">BEARISH </t>
  </si>
  <si>
    <t>VOLUME BASED TRADING IS SHOOTING WO AIMING PROPERLY</t>
  </si>
  <si>
    <t>WORK ON ASE/ALGOS STRATS</t>
  </si>
  <si>
    <t>OUTRIGHTS WILL LEAD TO BLUNDERS  IN FUTURE</t>
  </si>
  <si>
    <t>spd | fly strats</t>
  </si>
  <si>
    <t>M23 SPD</t>
  </si>
  <si>
    <t>HIKE CYCLE BEHAVIOR</t>
  </si>
  <si>
    <t>CURVE ANALYSIS | MOVEMENT wrt KINKS and overall AND SPREADS PE BET</t>
  </si>
  <si>
    <t>CA</t>
  </si>
  <si>
    <t>HEDGED LEG</t>
  </si>
  <si>
    <t>FEW DAYS MAYBE</t>
  </si>
  <si>
    <t>next session start</t>
  </si>
  <si>
    <t>ANTICIPATION OF CURVES OF SPREADS; MUCH BETTER PROFIT%</t>
  </si>
  <si>
    <t>OVERALL MOVEMENT OF CURVES WRT SITUATION (WHEN PREVIOUS  KINK WAS DIFFERENT THAN NOW (KINK SHIFTING TOWARDS TAIL END, WHITES GOING UP)); MORE TIME OBSERVING THEIR MOVEMENT IN ONE SESSION WILL BE HELPFUL</t>
  </si>
  <si>
    <t>LONG ON SPREAD; THE SHORT LEG FELL MORE THAN LONG LEG THATS WHY PROFIT</t>
  </si>
  <si>
    <t>SPREADS NATURE IS A LITTLE HEDGED; SO RISK IS ALREADY BETTER MANAGED THAN OUTRIGHT AND CAN HOLD LONGER</t>
  </si>
  <si>
    <t>FOCUS MORE ON THE SPREAD VALUES (IT TELLS THE RELATIVE MOVEMENT), DIRECTION DOESNT MATTER; BEHAVIOUR OF CURVES MATTER; HISTORIC MAY HELP BUT NOT RELIABLE</t>
  </si>
  <si>
    <t>THINK ABOUT BACKUP; SPREADS TO FLIES</t>
  </si>
  <si>
    <t>HIKE CYCLE BEHAVIOR (betting on hike expectations to increase by 5bp (hike cycle))</t>
  </si>
  <si>
    <t>4-5 ticks up (based on spread movement)</t>
  </si>
  <si>
    <t>2+ session (if no change - out; if direction follows trailing sl)</t>
  </si>
  <si>
    <t>ANTICIPATION OF CURVES OF SPREADS BASED ON KINK MOVEMENT</t>
  </si>
  <si>
    <t>OPENED 1-2 BP LOWER IN NEXT SESSION</t>
  </si>
  <si>
    <t>WRONG ANALYSIS; move did not last</t>
  </si>
  <si>
    <t>MAKE SURE SL IS GTC</t>
  </si>
  <si>
    <t>WRONG ANALYSIS</t>
  </si>
  <si>
    <t>EARLY EXIT AND CHANGED SPREAD TO M23 SHORT AT 0.1</t>
  </si>
  <si>
    <t>BEARISH, DOWNTREND BEGINS</t>
  </si>
  <si>
    <t>CURVES BASED ON EXPECTATIONS AND THEIR CASES FOR NEXT MEETS; SAFE PLAY</t>
  </si>
  <si>
    <t>DOWNTREND BEGAN AND FUNDAMENTAL PRICES WENT CLOSER TO 50BP</t>
  </si>
  <si>
    <t>~ 13-20 BP DOWN</t>
  </si>
  <si>
    <t>TILL MEETING DATE (2 WEEKS)</t>
  </si>
  <si>
    <t>OVERBOUGHT ZONE REACHING</t>
  </si>
  <si>
    <t>CURVES BASED ON EXPECTATIONS AND THEIR CASES FOR NEXT MEETS</t>
  </si>
  <si>
    <t>OVERBOUGHT ZONE TOUCHING</t>
  </si>
  <si>
    <t>~ 0.02-0.1</t>
  </si>
  <si>
    <t>FUNDAMENTAL, TECHNICAL</t>
  </si>
  <si>
    <t>1 WEEK; IF MOVE IS SAME AFTER THIS - SELL AT MKT</t>
  </si>
  <si>
    <t>PAST BEHAVIOUR BEFORE HIKES</t>
  </si>
  <si>
    <t>REWARD/RISK MISTAKE; NEXT TIME</t>
  </si>
  <si>
    <t>check ALL meetings' probability</t>
  </si>
  <si>
    <t>GTC ORDER DID NOT EXECUTE; DISAPPEARED FROM ASE! (Tech issue?)</t>
  </si>
  <si>
    <t>REWARD/RISK PLANNED; FOR NOW CAN BE &gt;=1</t>
  </si>
  <si>
    <t>~0.1</t>
  </si>
  <si>
    <t>FUNDAMENTAL CASES MAX 9.26 IF NO HIKES ON SEP DEC</t>
  </si>
  <si>
    <t>timing can be improved; maybe use TA</t>
  </si>
  <si>
    <t>QUEUE HOLDER IS USEFUL WITH GTC ORDER</t>
  </si>
  <si>
    <t>after finding a situation fundamentally, have patience and check technicals as well (mkt rxn)</t>
  </si>
  <si>
    <t>USE CALENDAR SPDS FOR SL; BETTER THAN applying manually in outrigths (blunders)</t>
  </si>
  <si>
    <t>~0.096</t>
  </si>
  <si>
    <t>2 SESSION</t>
  </si>
  <si>
    <t>BAD TIMING; check technical VALUES closely; might give you better entry situation</t>
  </si>
  <si>
    <t>Include values for ALL meetings (worst cases for the contract); that might give you better entry value</t>
  </si>
  <si>
    <t>Planned Reward/risk; RR can be &gt;=1</t>
  </si>
  <si>
    <t>If RR is not good; trade small lots (1-2) and add SL; Only after SL make a new trade</t>
  </si>
  <si>
    <t>CHECKING CALENDAR, OUTRIGHT, &amp; ASE PERFORMANCE (2 LOTS ON EACH)</t>
  </si>
  <si>
    <t xml:space="preserve">INDIVIDUALLY WOULD HAVE BEEN ABLE TO EXIT AT 15 RATHER THAN 14 </t>
  </si>
  <si>
    <t>IF possible, exit individually rather than CALENDAR</t>
  </si>
  <si>
    <t>FOR CLOSE CALL TRACK OUTRIGHTS; FOR PLANNED TRADES (LONG TERM) USE CALENDAR</t>
  </si>
  <si>
    <t>CONCLUSION: CHECK BOTH ASE AND CALENDAR FOR BETTER ENTRY AND EXIT</t>
  </si>
  <si>
    <t>RSI 7 ABOVE 85; MA still showing bullish; ANTICIPATING BEARISH MOVE (MIGHT BE EARISH)</t>
  </si>
  <si>
    <t>0.19 FINAL</t>
  </si>
  <si>
    <t>BUYING 1 AT 0.15, 0.19</t>
  </si>
  <si>
    <t>AVERAGING</t>
  </si>
  <si>
    <t>FUNDAMENTAL CASES WORST LIKELY</t>
  </si>
  <si>
    <t>&lt;=1WEEK</t>
  </si>
  <si>
    <t>NEAR MEETING</t>
  </si>
  <si>
    <t>WRONG FUNDAMENTAL ANALYSIS; ADFOSC3,4 SHOULD BE TAKEN 0!</t>
  </si>
  <si>
    <t>Double fill at 15; so increased from 17 to 19</t>
  </si>
  <si>
    <t>check OIs and track (if going down selloff)</t>
  </si>
  <si>
    <t xml:space="preserve">SL triggered </t>
  </si>
  <si>
    <t>work on better SL management</t>
  </si>
  <si>
    <t>Scalping; FLUCTUATING BW -7, -6 BP</t>
  </si>
  <si>
    <t>trying Scalping</t>
  </si>
  <si>
    <t>USE 3 QH (TOTAL 4 orders</t>
  </si>
  <si>
    <t>use GTC Orders Always</t>
  </si>
  <si>
    <t>SL triggered</t>
  </si>
  <si>
    <t>2 SESSIONS</t>
  </si>
  <si>
    <t>trying Scalping; have 2 bp ka gap B/S order</t>
  </si>
  <si>
    <t>successful; put GTC orders at extremes; track both ASE ans Calendar</t>
  </si>
  <si>
    <t>Patience Game; might take 2 sessions</t>
  </si>
  <si>
    <t xml:space="preserve">SL 2 bp </t>
  </si>
  <si>
    <t xml:space="preserve">Less risk averse </t>
  </si>
  <si>
    <t>took 1 lot only (take 1-2 lots if less risk averse trade is working; for now)</t>
  </si>
  <si>
    <t>successful; put GTC orders at extremes; &amp; go to sleep</t>
  </si>
  <si>
    <t>Patience Game; might take 2 sessions or in between 2 sessions</t>
  </si>
  <si>
    <t>D22 FLY</t>
  </si>
  <si>
    <t>Curve Strat based on current markets</t>
  </si>
  <si>
    <t>Indicators + price action</t>
  </si>
  <si>
    <t>Indicators</t>
  </si>
  <si>
    <t>Fundamentally overpriced as all other spreads came down except this one</t>
  </si>
  <si>
    <t>CANCELLED S23 SPD AS SPREAD CURVE MIGHT CHANGE</t>
  </si>
  <si>
    <t>1 session (less than 2 hours)</t>
  </si>
  <si>
    <t>QH 3</t>
  </si>
  <si>
    <t>Bettter than M23 SPD SHORT IF SPD CURVE MOVING UP</t>
  </si>
  <si>
    <r>
      <rPr>
        <b/>
        <sz val="10"/>
        <color rgb="FF434343"/>
        <rFont val="Roboto"/>
      </rPr>
      <t>Retail Sales (MoM) (Jul</t>
    </r>
    <r>
      <rPr>
        <b/>
        <sz val="10"/>
        <color rgb="FF434343"/>
        <rFont val="Roboto"/>
      </rPr>
      <t>) (P0.2% F0.3% A1.3% )</t>
    </r>
  </si>
  <si>
    <t>IR WENT DOWN</t>
  </si>
  <si>
    <t>Scalping 101</t>
  </si>
  <si>
    <t>at 7bp consistent so put trades at 6 and 8bp then shifted to 7 as per mkt prices</t>
  </si>
  <si>
    <r>
      <rPr>
        <b/>
        <sz val="10"/>
        <color rgb="FF434343"/>
        <rFont val="Roboto"/>
      </rPr>
      <t>Retail Sales (MoM) (Jul</t>
    </r>
    <r>
      <rPr>
        <b/>
        <sz val="10"/>
        <color rgb="FF434343"/>
        <rFont val="Roboto"/>
      </rPr>
      <t>) (P0.2% F0.3% A )</t>
    </r>
  </si>
  <si>
    <t>SPREADS WENT UP</t>
  </si>
  <si>
    <r>
      <rPr>
        <b/>
        <sz val="10"/>
        <color rgb="FF434343"/>
        <rFont val="Roboto"/>
      </rPr>
      <t>Retail Sales (MoM) (Jul</t>
    </r>
    <r>
      <rPr>
        <b/>
        <sz val="10"/>
        <color rgb="FF434343"/>
        <rFont val="Roboto"/>
      </rPr>
      <t>) (P0.2% F0.3% A1.5% )</t>
    </r>
  </si>
  <si>
    <t>TAIL END IR WENT DOWN BY 20-25BP</t>
  </si>
  <si>
    <t>Put trades around the most consistent price (7bp) like 6,8 and then at 7bp</t>
  </si>
  <si>
    <t>Remember to put GTC order</t>
  </si>
  <si>
    <t xml:space="preserve">next session </t>
  </si>
  <si>
    <t>1 session (&gt;3 hours)</t>
  </si>
  <si>
    <t>Got 1 legged</t>
  </si>
  <si>
    <t>did not put SL or exit the outright that was legged</t>
  </si>
  <si>
    <t>Add SL or exit immediately if got legged in 1 outright; NO MATTER WHAT</t>
  </si>
  <si>
    <t>MODEL + MKT REACTION</t>
  </si>
  <si>
    <t>NEW HIGH; BAD SL; HIGH SL</t>
  </si>
  <si>
    <t>INDICATOR + MODEL</t>
  </si>
  <si>
    <t>INVALID TRADE DUE TO 1 LEGGED MISTAKE</t>
  </si>
  <si>
    <t>workS late in early sessions of 2nd sessions</t>
  </si>
  <si>
    <t>DOESNT COUNT; cant do in live; need to be efficient</t>
  </si>
  <si>
    <t>MOMENTUM + EXPECTING CONDITIONS OF MODEL</t>
  </si>
  <si>
    <t>MODEL</t>
  </si>
  <si>
    <t>LESS RISK SO 1 TICK; SAME PRICE FOR LONG TIME</t>
  </si>
  <si>
    <t>NOT SURE; SO PREVIOUS SUPPORT REGION; NEED TO WORK</t>
  </si>
  <si>
    <t>2:1</t>
  </si>
  <si>
    <t>SESSION END</t>
  </si>
  <si>
    <t>SESSION END (LESS THAN 1 HR)</t>
  </si>
  <si>
    <t>good reward / risk</t>
  </si>
  <si>
    <t>trade result did not matter</t>
  </si>
  <si>
    <t>w/o model not at all confident based on mkt behavior; need to work on that</t>
  </si>
  <si>
    <t>If good reward/risk exists then no problem in execution</t>
  </si>
  <si>
    <t>FORGOT TO REMOVE PREVIOUS ORDERS</t>
  </si>
  <si>
    <t>BAD ORDER MANAGEMENT; FORGOT TO REMOVE ANY PREVIOUS TARGET</t>
  </si>
  <si>
    <t>LUCKY TO EXIT AT THE SAME TIME</t>
  </si>
  <si>
    <t>30-Aug-0222</t>
  </si>
  <si>
    <t>(ThisLeg.DisclosedRemainingQuantity + 10) can be used to prevent Single legged. for now</t>
  </si>
  <si>
    <t>Use PAYUP WITH 1 TICK (QTY TH = 15)</t>
  </si>
  <si>
    <t>IF ABLE TO TRACK LIVE EXIT AT THE SAME PRICE W/O HESITATION</t>
  </si>
  <si>
    <t>NO TRADES ABOVE 3 LOTS; FOR NOW</t>
  </si>
  <si>
    <t>NO TRADES W/O SL</t>
  </si>
  <si>
    <t>IF THE MODEL WORKS (MORE OFTEN) DONT LOOK AFTER EXECUTION; OR THE ORDER QTY</t>
  </si>
  <si>
    <t>MODEL + mkt rxn</t>
  </si>
  <si>
    <t>MODEL + MKT RXN; averaged buy till high before drop</t>
  </si>
  <si>
    <t xml:space="preserve">new high, </t>
  </si>
  <si>
    <t xml:space="preserve">model + mkt </t>
  </si>
  <si>
    <t>&lt;1 hr</t>
  </si>
  <si>
    <t>model+mkt</t>
  </si>
  <si>
    <t>&lt;30mins</t>
  </si>
  <si>
    <t>Model worked</t>
  </si>
  <si>
    <t>Dont forget to cancel stop loss after execution; TRY USING TT OCO</t>
  </si>
  <si>
    <t>Mkt went up exactly after this (2x)</t>
  </si>
  <si>
    <t>For strong moves it will converge with VWAP (most of the times) | 3MIN</t>
  </si>
  <si>
    <t>end of session</t>
  </si>
  <si>
    <t>1st session end and 2nd session beginning</t>
  </si>
  <si>
    <t>PAYUP WITH 1 TICK (QTY TH = 15) better option</t>
  </si>
  <si>
    <t>USE 2 LOTS NEAR END AND BEGINNING OF SESSION</t>
  </si>
  <si>
    <t>add another order at -0.07 and SL at -0.08</t>
  </si>
  <si>
    <t>outside range; new range zone</t>
  </si>
  <si>
    <t>bad risk reward; therefore single lot</t>
  </si>
  <si>
    <t>2nd session beginning me entry; long time no move</t>
  </si>
  <si>
    <t>Next session beginning</t>
  </si>
  <si>
    <t>USE 1 LOT IF NOT AT THE START</t>
  </si>
  <si>
    <t>SL Triggered</t>
  </si>
  <si>
    <t>Trade like this is better with few lots and active</t>
  </si>
  <si>
    <r>
      <rPr>
        <b/>
        <sz val="10"/>
        <color rgb="FF434343"/>
        <rFont val="Roboto"/>
      </rPr>
      <t>TRADE WITH 1 LOT; MKT BEHAVIOR IS HITTING POTENTIAL SL, TRADE SL.</t>
    </r>
    <r>
      <rPr>
        <sz val="10"/>
        <color rgb="FF434343"/>
        <rFont val="Roboto"/>
      </rPr>
      <t xml:space="preserve"> MKT BEHAVES IN A WAY TO HURT MOST TRADERS. BASICALLY TENDS TO LOOK FOR VOLUME AND ACTIVITY. BIG PLAYERS DERIEVE THEIR POWER FROM POTENTIALLY TRAPPED TRADERS. (THEY LOSE SOME THEN WIN BIG)</t>
    </r>
  </si>
  <si>
    <t>ORDER MGMT + TIMING IS KEY (BE FLEXIBLE)</t>
  </si>
  <si>
    <t>Scalping USEFUL AS A PASSIVE STRAT, CAN BE DONE USING ASE + GTC + ACTIVE + 1,2 LOT + QH=3 (IF MORE TRADES ONGOING QH=2)</t>
  </si>
  <si>
    <t>MAX SHOT 1,2; MAX CLIP 3</t>
  </si>
  <si>
    <t>LEAVE 1 LOT FOR 1ST SL TGT; POTENTIAL AREA. SL LIMIT INVERSELY PROPORTIONAL TO LOTS</t>
  </si>
  <si>
    <t>ALWAYS ASSUME THAT YOU MIGHT BE WRONG. &amp; LOOK FOR CONFIRMATIONS (MODELS/INDICATORS) AND NOT WISHFUL THINKING.</t>
  </si>
  <si>
    <t>Australian Private Capital Expenditure Q2: -0.3% (exp 1.0%; prev -0.3%)</t>
  </si>
  <si>
    <t>Australian Home Loans Value (M/M) Jul: -8.5% (exp -3.5%; prev -4.4%) - Investor Loans Value (M/M) Jul: -11.2% (exp -4.0%; prev -6.3%)</t>
  </si>
  <si>
    <t>Scalping: Change Qty Th of PAYUP Rule as per mkt behavior on a particular day</t>
  </si>
  <si>
    <t>&gt;2 hours &lt; 4 hours</t>
  </si>
  <si>
    <t>PAYUP WITH 1 TICK (QTY TH = 10) better option for today</t>
  </si>
  <si>
    <t>next session beginning</t>
  </si>
  <si>
    <t>1st session end entry</t>
  </si>
  <si>
    <t>GOT 1 LEGGED AT DEC23 AT 96.04*2 AND 96.05*2; GTC order at 1159am; but got double filled at 4*96.04 (better price)</t>
  </si>
  <si>
    <t xml:space="preserve">PAYUP WITH 1 TICK (QTY TH = 10) </t>
  </si>
  <si>
    <t>QH 2</t>
  </si>
  <si>
    <t>PAYUP WITH 1 TICK (QTY TH = 10) is still risky and desperate; should be15</t>
  </si>
  <si>
    <t>Now i can sell the outright at mkt beginning at profit or cost until i wait for the hedged leg to get hit</t>
  </si>
  <si>
    <t>take 1 lot if risk increases; got doubled filled with 2 lots each; or reduce risk chances by increasing threshold of Payup</t>
  </si>
  <si>
    <t>Scalping | double fill + 1 legged</t>
  </si>
  <si>
    <t>GOT OUT OF 1 LEGGED + DOUBLE FILLED AT COST</t>
  </si>
  <si>
    <t>GOT SINGLE LEGGED AGAIN! AND GOT OUT!</t>
  </si>
  <si>
    <t>PAYUP WITH 1 TICK (QTY TH = 10) is VERY risky and desperate; should be15 GOT SINGLE LEGGED TWICE</t>
  </si>
  <si>
    <t>Scalping | 1 legged</t>
  </si>
  <si>
    <t xml:space="preserve">GOT OUT OF 1 LEGGED  </t>
  </si>
  <si>
    <t>IF ABLE TO TRACK LIVE EXIT AT THE SAME PRICE W/O HESITATION = WORKED</t>
  </si>
  <si>
    <t>ALWAYS EXIT THE SINGLE LEGGED IMMEDIATELY AT COST</t>
  </si>
  <si>
    <t>QH=2 AND CONSECUTIVE ORDER</t>
  </si>
  <si>
    <t xml:space="preserve">1 LOT EACH; NEED MORE EFFICIENCY &amp; EXPERIENCE FOR 2-3 LOTS </t>
  </si>
  <si>
    <t>IF NOT CLEAR IDEA OF KINK WAIT AND OBSERVE BEFORE TRADING AND HOPING TO GET LUCKY!</t>
  </si>
  <si>
    <t>CANT USE GTC in live though</t>
  </si>
  <si>
    <t>dont use GTC for now</t>
  </si>
  <si>
    <t>better to use no rules and dont use GTC for now WHENEVER POSSIBLE</t>
  </si>
  <si>
    <t>Use Scalping strats ACTIVELY &amp; PROACTIVELY ONLY!</t>
  </si>
  <si>
    <t>TT GETS DISCONNECTED; AND ALL ORDERS GET CANCELLED!. IDK.</t>
  </si>
  <si>
    <t>6.44 PM IST</t>
  </si>
  <si>
    <t>Curve Analysis</t>
  </si>
  <si>
    <t>3 DAYS</t>
  </si>
  <si>
    <t>29AUG-1JUL</t>
  </si>
  <si>
    <t>ORDERS DISAPPEARED AFTER DISCONNECTION BUT STILL GOT IT. resolved</t>
  </si>
  <si>
    <t xml:space="preserve">USE FLIES IF THERE IS A RISK OF 'NAKED' SPD GOING THE WRONG WAY, NEED MORE EXPERIENCE </t>
  </si>
  <si>
    <t>NIGHT TIME HAS BEEN BETTER SO FAR...</t>
  </si>
  <si>
    <t>823AM (IST)</t>
  </si>
  <si>
    <t>Chrn</t>
  </si>
  <si>
    <t>w/o rules. active, less lots</t>
  </si>
  <si>
    <t>QH = 2</t>
  </si>
  <si>
    <t>Dont rely too much on Qty</t>
  </si>
  <si>
    <t>TT OCO</t>
  </si>
  <si>
    <t>bearish trend followed till 4 sessions</t>
  </si>
  <si>
    <t>Started as fundamentally overpriced; after learning about FRA pricing calculation mistake, still above; CASES BASED ON FUNDAMENTALS; WITH FRA OIS 17 AND W/O FRA 13; AVG AROUND 15.33; TARGET AT 15; AVG BUY AT 18.5</t>
  </si>
  <si>
    <t>IR pricing w &amp; w/o FRA; bad entry timing; technical side early entry</t>
  </si>
  <si>
    <t>22-&gt;18 (4th red) | both in calendars</t>
  </si>
  <si>
    <t>new high; later changed to 18 to cut losses (min profit in this case) &amp; mkt rxn + price action</t>
  </si>
  <si>
    <t>Average of IR pricing (w and w/o FRA) | CHECK FRA OIS 3,4 FOR TREND IDEA; TREND WENT UP BEFORE MEETING WEEK; RISK HIGH SO CHANGED TARGET FROM 13 TO 15 AND SL FROM 22 TO 18 (MIN PROFIT) (SL at Calendar)</t>
  </si>
  <si>
    <t>$518/$83 (changed b4 meeting date + price action + mkt rxn) | ELIMINATED LOSS | TRAILING SL</t>
  </si>
  <si>
    <t>1- 2 weeks b4 meeting week</t>
  </si>
  <si>
    <t>historical + pricing + trend</t>
  </si>
  <si>
    <t>MULTIVARIATE TRADING</t>
  </si>
  <si>
    <t>IR PRICING - CONSIDER FRA 1,2 ONLY AND CHECK FRA 3,4 FOR TRENDS</t>
  </si>
  <si>
    <t>IMPROVE TIMING BY TRACKING LONGER THAN 1,2 DAYS + ADD A BACK TO THE STRAT WITH T.A. OR SOME OTHER ANGLE AS WELL</t>
  </si>
  <si>
    <t>IMPROVE TIMING BY USING MULTIVARIATE STRATS</t>
  </si>
  <si>
    <t>WAIT FOR A BETTER CONDITION BY TRACKING A LONGER TREND</t>
  </si>
  <si>
    <t>PATIENCE + ADJUSTING AS PER MKT RXNS. BE FLEXIBLE TO CHANGE TARGETS AS WELL AS SL, BASED ON MKT RXNS; IT WENT DOWN TILL 6-7BP (THATS 13-14 TICKS WITHIN NEXT WEEK!!!) :)</t>
  </si>
  <si>
    <t>18 -&gt; 20</t>
  </si>
  <si>
    <t>15 -&gt; 15.5</t>
  </si>
  <si>
    <t xml:space="preserve">$417/-$250 (changed to riskier ratio) 1.6 &amp; $500/$250 = 2 | changed back to above | RISK AVERSE </t>
  </si>
  <si>
    <t>Chnaged the target and SL before session end | QH = 1</t>
  </si>
  <si>
    <t>a lot of support at 16 so selling half at 16 and keeping other half at 15; if opens higher sell all at 16 if lower sell at 14; if opens same  (18 with 19 high tgt remains at 15)</t>
  </si>
  <si>
    <t>OPENED LOWER AT 16 (50% @ 15 and 50% @ 14) touched 18 Previous SL would have triggered (remove SL at beginning</t>
  </si>
  <si>
    <t>SHOULD BE AT 15 BUT LACK OF CONFIDENCE BASED ON PRICE ACTION SO 50% @16 AND 50% @ 15</t>
  </si>
  <si>
    <t>TRAILING SL TRIGGERED; WENT TILL TARGET (16 AND 15) LATER</t>
  </si>
  <si>
    <t>MADE THE RATIONAL CHOICE SO NO ISSUE REGARDING THE TRADE</t>
  </si>
  <si>
    <t>session1 start- session 2 beginning</t>
  </si>
  <si>
    <t>Scalping delayed</t>
  </si>
  <si>
    <t>SINGLE LEGGED</t>
  </si>
  <si>
    <t>SINGLE LEGGED (piq =5 at mkt session 2 beginning)</t>
  </si>
  <si>
    <t>LUCK 100 + TIMING IN PIQ AFTER SINGLE LEGGED</t>
  </si>
  <si>
    <t>6OOAM</t>
  </si>
  <si>
    <t>MODEL + MKT RXN</t>
  </si>
  <si>
    <t>MODEL + MKT RXN (+ CURRENT HIGH STOP-1 1 LOT)</t>
  </si>
  <si>
    <t>NEW HIGH</t>
  </si>
  <si>
    <t>&lt;1 (early exit as per mkt)</t>
  </si>
  <si>
    <t>&lt;1 H</t>
  </si>
  <si>
    <t>20 MINS</t>
  </si>
  <si>
    <t>REWARD/RISK = 1 WITH 1 LOT; TRADE DID NOT MATTER</t>
  </si>
  <si>
    <t xml:space="preserve">3MIN </t>
  </si>
  <si>
    <t>6.02 am</t>
  </si>
  <si>
    <t>MODEL + MKT RXN (+CURRENT HIGH STOP 1 LOT)</t>
  </si>
  <si>
    <t>&gt;1h (Exit at price nxt time before 1h)</t>
  </si>
  <si>
    <t>REWARD/RISK&lt;1; more lots was mistake (ONLY 1)</t>
  </si>
  <si>
    <t>7.30am</t>
  </si>
  <si>
    <t>WRONG MOMENTUM</t>
  </si>
  <si>
    <t>EXIT AS PER MKT</t>
  </si>
  <si>
    <t>RBA Interest Rate Decision (Sep) (P1.85%  F2.35% A2.35%)</t>
  </si>
  <si>
    <t>OUTRIGHT WENT UP (MAR JUN23 HIGHEST BY AROUND 10BP); THEN EQUAL TO EXPECTATION ANNOUNCED ALL CAME DOWN ; CONVERGED TO VWAP PRICE</t>
  </si>
  <si>
    <t xml:space="preserve">MODEL </t>
  </si>
  <si>
    <t>AVOID SL BEFORE ANNOUNCEMENT</t>
  </si>
  <si>
    <t>BIG MONEY WILL HURT AT SL</t>
  </si>
  <si>
    <t>MKT</t>
  </si>
  <si>
    <t>VWAP</t>
  </si>
  <si>
    <t>couple of hours</t>
  </si>
  <si>
    <t>IMPROVE TIMING OF MODEL; USE SMALLER LOTS AT RANGES</t>
  </si>
  <si>
    <t>BE MORE EFFICIENT + FLEXIBLE (AS PER MKT RXN)</t>
  </si>
  <si>
    <t>USE 1 LOT AT HIGHS; EXPECT MKT TO MOVE WITH EXTREME VOLATILITY</t>
  </si>
  <si>
    <t xml:space="preserve">WAITING GAME; WAIT ON EVENT DAYS MORE (5MIN CANDLE B4 ANNOUNCEMENT AND MULTI SIGNALS / CONSECUTIVE SIGNALS) </t>
  </si>
  <si>
    <t>SL WILL TRAP (SL IS NOT AN OPTION | CONVERT TO SPDS OR FLIES)</t>
  </si>
  <si>
    <t xml:space="preserve">FLIES SPDS ALSO VOLATILE; FLIES NEECHE BUY AAYE AFTER RESULTS; STOP LOSSES WERE GETTING TRIGGERED (MKT HURTS) </t>
  </si>
  <si>
    <t>MODEL + TECH AT STEEP HIGH</t>
  </si>
  <si>
    <t>AVOIDED OVER TRADING; GOOD</t>
  </si>
  <si>
    <t>TRUST THE MODEL; USE SMALLER LOTS AND MAKE REWARD TO RISK = 1</t>
  </si>
  <si>
    <t>TAKE ADVANTAGE OF 2 THINGS (SL RAGES; HIGHS/LOWS; OUTRIGHTS OFFER GREAT OPPORTUNITIES; WORTH THE RISK</t>
  </si>
  <si>
    <t>BACKUP PLAN (REVERSE POSITION IF BELOW EXP)/(CONVERT TO SPD OR FLY AND EXIT AT A BETTER PRICE WITHIN A WEEK)</t>
  </si>
  <si>
    <t>JUST NUMBERS; TRUST THE MODEL WITH SMALL LOTS AND IMPROVE TIMING; (WILL COME WITH EXPERIENCE)</t>
  </si>
  <si>
    <t>IMPROVE MODEL; WORK ON A BETTER BACKUP PLAN; MAYBE BY THINKING ABOUT SPREADS OR FLIES (CONVERT TO SPD OR FLY AND EXIT AT A BETTER PRICE WITHIN A WEEK) WORK ON THIS!! HOW TO CUT YOUR LOSSES EFFECTIVELY</t>
  </si>
  <si>
    <t>HIGH VOLATILITY UP NEAR MEETING ANNOUNCEMENT (UNEXPECTED LEVELS - 7-10BP FROM OPEN) | AFTER ANNOUNCEMENT MKT ON STEROIDS (VERY TOUGH TO GAUGE INDICATORS OR MODELS | ONLY MOMENTUM CAN BE GAUGED BUT NOT VERY EFFICIENT)</t>
  </si>
  <si>
    <t>J23 FLY</t>
  </si>
  <si>
    <t>ANOMALY IN CURVES</t>
  </si>
  <si>
    <t>BAD ORDER MGMT; FLY -&gt; SPD</t>
  </si>
  <si>
    <t>GDP (QoQ) (Q2)  (P0.8% F1% A0.9%) |</t>
  </si>
  <si>
    <t>GDP (YoY) (Q2) (P3.3% F3.5% A3.6%)</t>
  </si>
  <si>
    <t>CA - Kink near Dec23, extremely less chance of jun23 fly going negative. 1st at 30s 2nd at 10s 3rd fly at 0 or -1 4th fly at 2 or 3 (anomaly)</t>
  </si>
  <si>
    <t>&gt;0.03</t>
  </si>
  <si>
    <t>RISKY + BETTER CHANCE FROM ASE</t>
  </si>
  <si>
    <t>USE FOR TAILEND CONTRACTS (FAR REDS OR GREENS)</t>
  </si>
  <si>
    <t>look at other contracts' situation as well; might get a better trade</t>
  </si>
  <si>
    <t>USE 1 LOT CLIP TO AVOID GETTING LEGGED</t>
  </si>
  <si>
    <t>REMOVE ALL ASE ORDERS BEFORE A MAJOR EVENT</t>
  </si>
  <si>
    <t>SEP22 EXPIRY</t>
  </si>
  <si>
    <t>8.35AM (IST)</t>
  </si>
  <si>
    <t>LOWE SPEECH</t>
  </si>
  <si>
    <t>HIGH VOLATILITY UP IN IR (UPTO 16-18 BP) THEN WENT DOWN BY 6-7 BPS | SPDS WERE COMING DOWN BEFORE THEN WENT A LITTLE UP (2-3BPS)</t>
  </si>
  <si>
    <t>MKT RXN</t>
  </si>
  <si>
    <t>96.34 (BUT PUT IT AT 96.33 | MOMENTUM BET) worked; if not 96.34 would have been available; can use 1 tck momentum</t>
  </si>
  <si>
    <t>NEAR VWAP + MKT RXN</t>
  </si>
  <si>
    <t>1 HR</t>
  </si>
  <si>
    <t>IMPROVED TIMING | USED 1 LOTS BUT GOT UNLUCKY IN PIQ</t>
  </si>
  <si>
    <t>INSTEAD OF SELLING AT LOSS TRY TO BUY FROM OUTRIGHTS</t>
  </si>
  <si>
    <t>ANOMALY IN CURVES + KINK SHIFT TOWARDS TAIL + very less chances of going negative (downside of 2 ticks)</t>
  </si>
  <si>
    <t>CA + less downside fundamentally</t>
  </si>
  <si>
    <t>ASE + OUTRIGHTS</t>
  </si>
  <si>
    <t>GOT DOUBLE LEGGED INSTEAD OF ALL 3 LEGS; GOT IT AS THE MOVE FAVOURED; REMOVE BEFORE AN EXTREME EVENT</t>
  </si>
  <si>
    <t>ONLY BE IN THE HEDGE POSITION IF RANGEBOUND MOVEMENT NOT ON TREND</t>
  </si>
  <si>
    <t>REMOVE ALL ASE ORDERS B4 MAJOR EVENT OF AUD, USD, EZ</t>
  </si>
  <si>
    <t>JUST THE PRCING DIFFERENTIAL MATTERS; IF OUTRIGTHS ARE IN A RANGE (OR FLUCTUATING) THEY CAN BE BOUGHT TO MAKE FLIES</t>
  </si>
  <si>
    <t>JAHAN STABLE H WAHAN PE ORDER DAALNE SE LEGGED HONE KE CHANCES KAM HONGE</t>
  </si>
  <si>
    <t>ECB HIKES INT RATES (F75 A 75) 1.25%</t>
  </si>
  <si>
    <t xml:space="preserve">WHITES DOWN 1-4BP, REDS UP 3-4BP | </t>
  </si>
  <si>
    <t>US JOBLESS CLAIMS BELOW ESTIMATES</t>
  </si>
  <si>
    <t>WHITES WENT DOWN TILL 6BP, REDS CAME AT 0BP; 1 HR LATER M23 -8, J23 -7, S23 -6</t>
  </si>
  <si>
    <t>prev session end - 902 AM</t>
  </si>
  <si>
    <t>Scalping try</t>
  </si>
  <si>
    <t>PREV SESSION END - next session</t>
  </si>
  <si>
    <t>8-9 SEP</t>
  </si>
  <si>
    <t>qh = 1</t>
  </si>
  <si>
    <t>947 AM</t>
  </si>
  <si>
    <t>947am-b4 2nd session end</t>
  </si>
  <si>
    <t>933 AM- 944am</t>
  </si>
  <si>
    <t>1025 AM-1125pm</t>
  </si>
  <si>
    <t>Delayed; got legged at first; PIQ = 0; id not put target order until got all fills (7mins 1032am)</t>
  </si>
  <si>
    <t>2 shots on either extremes (-1 &amp; 4)</t>
  </si>
  <si>
    <t>have to be proactive if it gets double filled or single legged if mkt is volatile all of a sudden; less proactive when sideways</t>
  </si>
  <si>
    <t>1 @ -0.04 &amp; 1 @ -0.01</t>
  </si>
  <si>
    <t>forgot to remove ase order just b4 event; got double filled and single legged</t>
  </si>
  <si>
    <t>REMEMBER TO REMOVE ALL ASE ORDERS B4 EVENT</t>
  </si>
  <si>
    <t>INVALID TRADE</t>
  </si>
  <si>
    <t>INVALID trade</t>
  </si>
  <si>
    <t>got legged &amp; DOUBLE FILLED</t>
  </si>
  <si>
    <r>
      <rPr>
        <b/>
        <sz val="10"/>
        <color rgb="FF333333"/>
        <rFont val="Roboto"/>
      </rPr>
      <t>US CPI (YoY) (Aug</t>
    </r>
    <r>
      <rPr>
        <b/>
        <sz val="10"/>
        <color rgb="FF434343"/>
        <rFont val="Roboto"/>
      </rPr>
      <t>) | (F8.1% A8.3%)</t>
    </r>
  </si>
  <si>
    <t xml:space="preserve">HIGH VOLATILITY DOWN (10-14BP | MAR23 JUN23 14-15BP) | 1 HOUR AFTER RELEASE </t>
  </si>
  <si>
    <t>IR JUN24</t>
  </si>
  <si>
    <t>MKT RXN + TRYING FIBONACCI</t>
  </si>
  <si>
    <t>MKT RXN + INDICATORS (NOT EFFICIENT)</t>
  </si>
  <si>
    <t>WORK IN PROGRESS</t>
  </si>
  <si>
    <t>fibo</t>
  </si>
  <si>
    <t>6 PM (12SEP)</t>
  </si>
  <si>
    <t>BAD TRADE; DIRECTION RIGHT; TARGETING WRONG; FIBO WORKS FOR S/R; WORK ON APPLICATION OF FIBO BETTER</t>
  </si>
  <si>
    <t>GAVE A BETTER IDEA+EXPERIENCE ABOUT OUTRIGHTS</t>
  </si>
  <si>
    <t>MAKE SURE SL IS GTC ORDER</t>
  </si>
  <si>
    <t>COULD NOT MAKE A DECISION WHEN SL NOT PRESENT; MAKE SURE TO CHECK SL ORDER TYPE (IF &gt;1 SESSION)</t>
  </si>
  <si>
    <r>
      <rPr>
        <b/>
        <sz val="10"/>
        <color rgb="FF333333"/>
        <rFont val="Roboto"/>
      </rPr>
      <t>US CPI (MoM) (Aug</t>
    </r>
    <r>
      <rPr>
        <b/>
        <sz val="10"/>
        <color rgb="FF434343"/>
        <rFont val="Roboto"/>
      </rPr>
      <t>) | (F-0.1% A0.1%)</t>
    </r>
  </si>
  <si>
    <t>REW RANGE FORMED IN J24 SPD | FLUCTUATING A LOT</t>
  </si>
  <si>
    <t>US Core CPI (MoM) (Aug) | (F0.3% A0.6%)</t>
  </si>
  <si>
    <t>IR Mar23</t>
  </si>
  <si>
    <t xml:space="preserve">MKT RXN + STRONG MKT STRUCTURE (S/R) w (trying) Fibonacci </t>
  </si>
  <si>
    <t xml:space="preserve">PRICING FROM IB RETURNING TO PREVIOUS VALUES B4 US CPI (OR ATLEAST MOVING BACK IN THAT DIRECTION) </t>
  </si>
  <si>
    <t>MKT RXN + STRUCTURE (6 extra in the end right)</t>
  </si>
  <si>
    <t>96.06 (as per 96.11 price) (remember to put GTC)</t>
  </si>
  <si>
    <t>new lowest low forms (3rd)</t>
  </si>
  <si>
    <t>(FUNDAMENTAL PRICING CASES WITH RANGE AND MID POINT)</t>
  </si>
  <si>
    <t>EARLY Call on indicators (last 6 lots right timing; maybe hindsight bias) | INVALID TRADE : AVERAGING OVER DAYS IN OUTRIGHTS NOT ALLOWED IN LIVE; LEARNED SL TYPES AND BEHAVIOR OF OUTRIHGHTS</t>
  </si>
  <si>
    <t>work on uptrend in outrights (MAX TIME 1 DAY)</t>
  </si>
  <si>
    <t>96.11 BEST BUY 5 TIMES TOUCHED T:3m | LOW 96.08 (LOOK FOR THESE STRONG STRUCTURES) | USE FIBONACCI (got 3 lots only) | very strong support forms at 1-2 ticks below this price (@96.100) (96.08 this time; next session @96.09) | ANOTHER BUYING OPTION AT 96.09 (AS PER FUNDAMENTAL PRICING) AFTER UNEMPLOYMENT EVENT'</t>
  </si>
  <si>
    <t>wait for strong structures to form (easier to gauge using fibonacci) mkt tries to create S/R on these levels | put orders at THAT P and 1 tick below; SL 3-4 TICKS BELOW THAT</t>
  </si>
  <si>
    <t>FIBONACCI WITH STRONG MKT STRUCTURE (S/R) SHOULD BE USED; BUT WITH FEWER LOTS AS THEY WONT ALWAYS BE TRUE (WORK ON SL LEVELS)</t>
  </si>
  <si>
    <t>AFTER MOVE NEXT SESSION ALL RANGE BOUND BASED ON IR PRICING  (FUNDAMENTALS) | FRONTS WILL BE MORE DRIVEN BY FUNDAMENTALS</t>
  </si>
  <si>
    <t>DID NOT ANTICIPATE THE MOVEMENT FROM ECON. HEARING (UNAWARE ABOUT THE MEETING DETAILS)</t>
  </si>
  <si>
    <t>PRICING CHANGED FROM 40 TOWARDS 50BP AFTER MEETING</t>
  </si>
  <si>
    <t>WENT OPPOSITE; wasnt ready with any backup</t>
  </si>
  <si>
    <t>LEARNED TO USE PAYUP WITH SL</t>
  </si>
  <si>
    <t>FUNDAMENTALS ARE LAGGING; DIFFICULTY IN TRADING</t>
  </si>
  <si>
    <t>TT STOP w LTP | QTY &lt;=15 SL NOT GOOD</t>
  </si>
  <si>
    <t>TRYING SL TYPES AS THE TRADE FAILED ALREADY</t>
  </si>
  <si>
    <t>APPLY SL GTC IF TAKES &gt;1 SESSION</t>
  </si>
  <si>
    <t>ALWAYS PREPARE FOR THE OPPOSITE MOVE (BACKUPS OR HEDGE) EVEN IF THE ODDS DOESNT SEEM HIGH (example- strat is for move from 40bp to 25bp, prepare for a move towards 50bp (or opposite)</t>
  </si>
  <si>
    <t>get out quickly in outrigths (within 1 day)</t>
  </si>
  <si>
    <t>wrong trigger</t>
  </si>
  <si>
    <t>653AM</t>
  </si>
  <si>
    <t>IR SEP24</t>
  </si>
  <si>
    <t>UK CPI (YoY) (Aug) | (F10.2% A9.9%)</t>
  </si>
  <si>
    <t>LOW VOLATILITY UP (3-4BPS)</t>
  </si>
  <si>
    <t>5.30PM</t>
  </si>
  <si>
    <t xml:space="preserve">US PPI (MoM) (Aug) | (F-0.1% A-0.1%) </t>
  </si>
  <si>
    <t>US FUT RISES; OUTRIGHTS STARTS FALLING 25 MINS B4 RELEASE; NO MOVE AFTERWARDS</t>
  </si>
  <si>
    <t>MKT PREPARES FOR THE WORST (OR OPPOSITE CASE) B4 RELEASE</t>
  </si>
  <si>
    <t>FORECAST WAS - PPI INCREASES; INFLATION INCREASES IN FUTURE; INTEREST RATES RISE; PRICE FALL; BUT MKT MOVING UP (OPPOSITE) B4 RELEASE</t>
  </si>
  <si>
    <t xml:space="preserve">NXT MAJOR MOVE WILL BE AUS EMPLOYMENT CHANGE (MUCH HIGHER THAN PREVIOUS IS EXPECTED) WHICH IS GOOD; BETTER GROWTH </t>
  </si>
  <si>
    <t xml:space="preserve">Employment Change (Aug) | (P-40.9K F35K A33.5K) </t>
  </si>
  <si>
    <t>VERY LOW MOVEMENT</t>
  </si>
  <si>
    <t>Unemployment Rate (Aug) | (P3.4% F3.4% A3.5%)</t>
  </si>
  <si>
    <t>IB OCT22</t>
  </si>
  <si>
    <t>IB VALUATION AS PER 25 BP 32-33BP (trying IB trading)</t>
  </si>
  <si>
    <t>38.6BP PRICE (ORDER @97.330)</t>
  </si>
  <si>
    <t>97.4 (32 BP KA TARGET)</t>
  </si>
  <si>
    <t>15 SEP - 16 SEP</t>
  </si>
  <si>
    <t>FUNDAMENTAL PRICING WISE LESS RISK; MORE REWARD</t>
  </si>
  <si>
    <t>NO MOVE IN THE EVENT</t>
  </si>
  <si>
    <t>WENT TOWARDS 50BP AFTER SPEECH ON 16TH SEP</t>
  </si>
  <si>
    <t>OUTRIGHTS (4 TICKS SL; ONLY IF TGT &gt;=10 | ELSE 3 TICKS SL)</t>
  </si>
  <si>
    <t>TRADE WITH 1 SHOT AND 3 LOTS; WAIT FOR BETTER MKT STRUCTURE</t>
  </si>
  <si>
    <t>WORTH THE RISK IF CAPPED; WORK MORE ON MKT STRUCTURE</t>
  </si>
  <si>
    <t>USE DECISION TREES FOR STRATS</t>
  </si>
  <si>
    <t>AFTER MOVE NEXT SESSION ALL RANGE BOUND BASED ON IR PRICING (FUNDAMENTALS) | FRONT WILL BE MORE DRIVEN BY FUNDAMENTALS</t>
  </si>
  <si>
    <t>US Core Retail Sales (MoM) (Aug) | (P0.4% F0.1%A-0.3% )</t>
  </si>
  <si>
    <t>low volatility up then went back and then to new low</t>
  </si>
  <si>
    <r>
      <rPr>
        <b/>
        <sz val="10"/>
        <color rgb="FF333333"/>
        <rFont val="Roboto"/>
      </rPr>
      <t>US Initial Jobless Claim</t>
    </r>
    <r>
      <rPr>
        <b/>
        <sz val="10"/>
        <color rgb="FF434343"/>
        <rFont val="Roboto"/>
      </rPr>
      <t>s (P222K F226K A213k)</t>
    </r>
  </si>
  <si>
    <t>US Retail Sales (MoM) (Aug) | (P-0.4% F0.2% A0.3%)</t>
  </si>
  <si>
    <t>633 am</t>
  </si>
  <si>
    <t>LOWE SPEAKS (50BP/25BP)</t>
  </si>
  <si>
    <t>DOWN BY (4-5BP)</t>
  </si>
  <si>
    <t>TT STOP w BID (OR ASK)| QTY &lt;=15 OR 25 (OR BASED ON MKT) better SL; Add GTC if &gt;1 session strategy</t>
  </si>
  <si>
    <t>Try TT OCO with similar conditions</t>
  </si>
  <si>
    <t>AFTER SPEECH OUTRIGHTS WENT DOWN BY (10BP); WAS NOT PREPARED</t>
  </si>
  <si>
    <t>DISCIPLINE - ALWAYS TRADE LTD ORDERS WITH PROPER SL ( spreads and outrigths | max lots &lt;=3 PER STRATEGY ) | CHECK WORST CASES</t>
  </si>
  <si>
    <t>SL - CHECK SL ORDER TYPE AS GTC (NOT DAY) IF &gt;1 SESSION STRATEGY</t>
  </si>
  <si>
    <t xml:space="preserve">SL - STOP LOSS: TT STOP w BID (OR ASK) | QTY &lt;=15 OR 25 (OR BASED ON MKT) better SL; Add GTC if &gt;1 session strategy </t>
  </si>
  <si>
    <t>PLAN - ALWAYS PREPARE FOR THE OPPOSITE MOVE (BACKUPS OR HEDGE) EVEN IF THE ODDS DOESNT SEEM HIGH (example- strat is for move from 40bp to 25bp, prepare for a move towards 50bp (or opposite) | BACKUP GOIING INTO EVENT IS IMPORTANT</t>
  </si>
  <si>
    <t>SL - ADD PAYUP = 1 OR 2 IN SL IF MOVEMENT IS HIGH</t>
  </si>
  <si>
    <t>ORDER MGMT - USE 'CANCEL ALL' FROM ORDER BOOK BEFORE EVENT FIRST THEN EXECUTE IF ANY OTHER EVENT SETUP</t>
  </si>
  <si>
    <t>11.28AM</t>
  </si>
  <si>
    <t>IB VALUATION (trying IB Trading)</t>
  </si>
  <si>
    <t>IB PRICING TOWARDS 50BP</t>
  </si>
  <si>
    <t>(50BP PRICING NEAR)</t>
  </si>
  <si>
    <t>&lt;5 MINS</t>
  </si>
  <si>
    <t>SL TRIGGERED; direction correct</t>
  </si>
  <si>
    <t>Trade with &lt;=3 lots in outrigths</t>
  </si>
  <si>
    <t>MKT WILL TRY TO HIT THE SL; TAKE MORE RISK</t>
  </si>
  <si>
    <t>13.03pm</t>
  </si>
  <si>
    <t>mkt structure</t>
  </si>
  <si>
    <t>FIBO (+1 @ 96.14 &amp; 96.12) + RANGE</t>
  </si>
  <si>
    <t>RANGE BREAKS (asks qty &lt; =15)</t>
  </si>
  <si>
    <t>SUPPORT</t>
  </si>
  <si>
    <t>CHART analysis</t>
  </si>
  <si>
    <t>5.35pm</t>
  </si>
  <si>
    <t>SL TRIGGERED</t>
  </si>
  <si>
    <t>leave at mkt P within an hour if strat is for mins</t>
  </si>
  <si>
    <t>2.30pm</t>
  </si>
  <si>
    <t>CPI (YoY) (Aug) | (P9.1% F9.1% A9.1%)</t>
  </si>
  <si>
    <t>MISCLICK</t>
  </si>
  <si>
    <t>MOMENTUM + SIGNALS (+ASC TRI SIMILAR FORMATION TF10min)</t>
  </si>
  <si>
    <t xml:space="preserve"> TA</t>
  </si>
  <si>
    <t>NEW LOW + FALSE SIGNAL</t>
  </si>
  <si>
    <t>IF MOVE OPPOSITE (SELL ORDER AT SL)</t>
  </si>
  <si>
    <t>early exit; slow mkt - went till 96.09, came back</t>
  </si>
  <si>
    <t>move took 2 sessions, nxt session at 96.12 &amp; later to 96.16</t>
  </si>
  <si>
    <t>Research on duration of strat</t>
  </si>
  <si>
    <t>ASC TRI + EMA(25X200) TAKES 2 SESSIONS | RR &gt;=3 | AT LEAST 2 SESSIONS | LOOK FOR S/R AND PLACE SL 2 TICKS AROUND | timeframe 10 mins</t>
  </si>
  <si>
    <t>MOMENTUM + SIGNALS</t>
  </si>
  <si>
    <t>837pm</t>
  </si>
  <si>
    <t>work on mkt structure</t>
  </si>
  <si>
    <t>positive expectancy models w duration</t>
  </si>
  <si>
    <t>704AM</t>
  </si>
  <si>
    <t>POSITIONS 1 TICK AROUND</t>
  </si>
  <si>
    <t>1-2 SESSIONS</t>
  </si>
  <si>
    <t>???</t>
  </si>
  <si>
    <t>OUTRIGHTS MOVED (50-70BP)</t>
  </si>
  <si>
    <t>IR MAR 24</t>
  </si>
  <si>
    <t>TF 3MIN EMA MODEL (within an hour)</t>
  </si>
  <si>
    <t>model</t>
  </si>
  <si>
    <t>new high; move not yet over</t>
  </si>
  <si>
    <t>weak ema25 strong vwap (later converged to vwap)</t>
  </si>
  <si>
    <t>within 1 hour</t>
  </si>
  <si>
    <t>tema X 3 min | check other outrigths behaviour</t>
  </si>
  <si>
    <t xml:space="preserve">SLOW MKT - EARLY EXIT ( hour+10mins) </t>
  </si>
  <si>
    <t>move broke after 1hr; fell back by 1130 to 96.11</t>
  </si>
  <si>
    <t>CHECK OTHER OUTRIGHTS FOR 3min EMA model to get an idea of the move</t>
  </si>
  <si>
    <t>For weak moves AFTER EMA 25/200 | converge with 25EMA (later converged to vwap)</t>
  </si>
  <si>
    <t>CONFIRMATION - ALL OUTRIGHTS FALL BY 1 TICK AFTER X AND MOVE SLOWS FOR 10MINS AT LEAST</t>
  </si>
  <si>
    <t>CA + less downside CURVE MOVEMENT</t>
  </si>
  <si>
    <t>DIDNT NEED</t>
  </si>
  <si>
    <t>2 WEEKS+</t>
  </si>
  <si>
    <t>8 SEP-20SEP</t>
  </si>
  <si>
    <t>row 134</t>
  </si>
  <si>
    <t>fly before kink spread WILL be positive  [MATHS] | (kink spread that time bw dec23 &amp; mar24) j23fly was trading at -1, 0, 1</t>
  </si>
  <si>
    <t xml:space="preserve">LOOK FOR SUCH ANOMALIES </t>
  </si>
  <si>
    <t>Scalping (got legged IR JUN24)</t>
  </si>
  <si>
    <t>CONVERT SPD AT -4 AND SELL AT -4 TO GET OUT</t>
  </si>
  <si>
    <t>USE A FIXED SHOT. DONT ADD SHOTS TO THE SHOTS ALREADY IN QUEUE</t>
  </si>
  <si>
    <t>COULD HAVE BOUGHT SEP24 AT J24 SPD -4 THEN SELL AT MKT AS WELL</t>
  </si>
  <si>
    <t>453 AM</t>
  </si>
  <si>
    <t>707am</t>
  </si>
  <si>
    <t>do one directional</t>
  </si>
  <si>
    <t>628AM</t>
  </si>
  <si>
    <t>IB NOV22</t>
  </si>
  <si>
    <t>IB PRICING (CASES)</t>
  </si>
  <si>
    <t>96.955 (PAYUP = 2) | tt oco</t>
  </si>
  <si>
    <t>RANGE</t>
  </si>
  <si>
    <t>BP 49,33,21</t>
  </si>
  <si>
    <t>SL TRIGGERED (PAYUP = 2)</t>
  </si>
  <si>
    <t>NEED MORE TIME FOR IB | sl, cases and timing</t>
  </si>
  <si>
    <t>DO PAPER TRADING FOR IB!</t>
  </si>
  <si>
    <t>1033AM</t>
  </si>
  <si>
    <t>FED HIKES BY 75BP (3.25%)</t>
  </si>
  <si>
    <t>OUTRIGHTS WENT DOWN BY 9 BP THEN REBOUNDED A LITTLE</t>
  </si>
  <si>
    <t>1149am</t>
  </si>
  <si>
    <t>initial job less claims (F218K A213K)</t>
  </si>
  <si>
    <t>night session outrights moved DOWN 20bp</t>
  </si>
  <si>
    <t>402am</t>
  </si>
  <si>
    <t>21 - 22 sep</t>
  </si>
  <si>
    <t>partial fill (3 LOTS)</t>
  </si>
  <si>
    <t>545am</t>
  </si>
  <si>
    <t>8 SEP-23SEP</t>
  </si>
  <si>
    <t>ROW 134</t>
  </si>
  <si>
    <t>716 AM</t>
  </si>
  <si>
    <t>DELAYED FILL (DOUBLE LEGGED FOR 9MIN)</t>
  </si>
  <si>
    <t>STUCK AT PIQ = 0 AT DEC23</t>
  </si>
  <si>
    <t>FLIES ARE WAITING GAME + execution (execute only in less volatile mkts or rangebound)</t>
  </si>
  <si>
    <t>EXIT FLIES WITH FEW LOTS AND CHECK IF THE MKT DECIDES TO GIVE A BETTER PRICE WITH MOMENTUM; STAY IN THE MKT WITH FEW LOTS LEFT IF MOMENTUM IS PRESENT</t>
  </si>
  <si>
    <t>IF SINGLE LEGGED -&gt; BUY AT -0.05 AND SELL AT MARKET (-0.05)</t>
  </si>
  <si>
    <t>230pm (3lots)</t>
  </si>
  <si>
    <t>SINGLE LEGGED AT MKT OPEN FOR 6MINS</t>
  </si>
  <si>
    <t>DOUBLE FILLED AS WELL (total 6 lots)</t>
  </si>
  <si>
    <t xml:space="preserve">GTC ORDER </t>
  </si>
  <si>
    <t>CONSIDER CASE GETTING DOUBLE FILLED; AND THEN CALCULATE THE WORST CASE IF DOUBLE FILLED</t>
  </si>
  <si>
    <t>PEOPLE ARE GETTING DOUBLE FILLED SINGLE LEGGED IN WHITES AND EARLY REDS;</t>
  </si>
  <si>
    <t>ALL ABOUT EXECUTION AND BACKUPS IN Scalping</t>
  </si>
  <si>
    <t>26 sep (856am)</t>
  </si>
  <si>
    <t>exit at mkt (double filled; waited for a day)</t>
  </si>
  <si>
    <t>WHEN THIS HAPPENS NXT TIME - ADD EXTRA LOTS TO ENTER OPPOSITE SIDE TRADE</t>
  </si>
  <si>
    <t>FLY B4 KINK SPREAD +VE (LESS DOWNSIDE 1 TICK)</t>
  </si>
  <si>
    <t>IF DOUBLE LEGGED SELL S23 FLY AT 4 INSTEAD OF 5 OR MAKE S23 SPD</t>
  </si>
  <si>
    <t>3 T DAYS</t>
  </si>
  <si>
    <t>23SEP - 27 SEP</t>
  </si>
  <si>
    <t>GOT DOUBLE LEGGED MAR24 95.55 FOR 6 MINS @ PIQ = 9)</t>
  </si>
  <si>
    <t>452AM</t>
  </si>
  <si>
    <t>Scalping (trying in flies)</t>
  </si>
  <si>
    <t>548am</t>
  </si>
  <si>
    <t xml:space="preserve">STUCK AT PIQ = 0 AT MAR23 </t>
  </si>
  <si>
    <t>Scalping IN FLIES (TRY WITH MORE LOTS)</t>
  </si>
  <si>
    <t>DO IT IN THE DIRECTION OF CURVE MOVEMENT</t>
  </si>
  <si>
    <t>Scalping (single legged at IR JUN24 for 26MINS)</t>
  </si>
  <si>
    <t>make spd @ -0.07 and sell at mkt/sell jun24 at mkt or profit</t>
  </si>
  <si>
    <t>12 48pm</t>
  </si>
  <si>
    <t>SINGLE LEGGED (other side stuck at piq = 0) | SINGLE LEGGED FOR 26MINS</t>
  </si>
  <si>
    <t>MKT CLOSE GTC (1ST SESSION)</t>
  </si>
  <si>
    <t xml:space="preserve">KINK TRADING </t>
  </si>
  <si>
    <t>PUT ORDERS AT RESPECTIVE PRICES IN EACH CONTRACT (AFTER SINGLE LEGGED) SEP24 AT 95.77 MAR 24 95.57 (COST) JUN24 (4 LOTS SO 95.68 (+1))</t>
  </si>
  <si>
    <t>MKT CLOSE GTC GAVE DOUBLE FILLED SINGLE LEGGED ORDERS</t>
  </si>
  <si>
    <t>GIVE ORDERS RIGHT AFTER MKT OPEN, IG (AVOID WITH GTC IN FLIES | ONLY SMALL LOTS IN SPREADS)</t>
  </si>
  <si>
    <t>6.30 reached SEP24 AT M24 0 :)</t>
  </si>
  <si>
    <t>AVOID GTC IN FLY OUTRIGHTS</t>
  </si>
  <si>
    <t>TRIED GTC EXECUTION WITH 1 LOT; FAILED</t>
  </si>
  <si>
    <t>MKT CLOSE GTC  (1ST SESSION)</t>
  </si>
  <si>
    <t>Scalping (double filled single legged)</t>
  </si>
  <si>
    <t>after 3pm</t>
  </si>
  <si>
    <t>got 1 lot at a time (risky business)</t>
  </si>
  <si>
    <t>danger if mkt opens at a gap</t>
  </si>
  <si>
    <t>The more you wait the more dependent you'll be in luck (after getting single legged)</t>
  </si>
  <si>
    <t>M24 FLY - KINK TRADING (DOUBLE FILLED &amp; LEGGED) | EXEC FAIL - DONT USE GTC (TRY FF ASE RETRY WITH TIME B4 CLOSE AND AFTER OPEN)</t>
  </si>
  <si>
    <t>WAITED TO GET MAR24 AT 0 (OUT OF TIME)</t>
  </si>
  <si>
    <t>The more you wait the more dependent you'll be in LUCK (after getting single legged) | therefore LESS CONTROL (MAX 1 HOUR) | CHECK WORST CASE SL SCENARIOS + BACKUP | give SL before working on SL</t>
  </si>
  <si>
    <t>USE FF ASE RETRY (B4 CLOSE AND AFTER OPEN - TIME)</t>
  </si>
  <si>
    <t xml:space="preserve">DONT USE GTC WITH FLY outright </t>
  </si>
  <si>
    <t>EXECUTION FAILURE USING GTC B4 MKT CLOSE</t>
  </si>
  <si>
    <t>USE FF ASE RETRY (B4 CLOSE AND AFTER OPEN - TIME) | check IGNORE MARKET STATE</t>
  </si>
  <si>
    <t>735PM</t>
  </si>
  <si>
    <t>KINK TRADING</t>
  </si>
  <si>
    <t>26,27 sep22</t>
  </si>
  <si>
    <t>EXECUTION SUCCESSFUL WHEN ORDER GIVEN AFTER MKT OPEN | 1 lot at a time</t>
  </si>
  <si>
    <t>use 1 lot at a time in outright; rest of the time use calendar</t>
  </si>
  <si>
    <t>~10PM</t>
  </si>
  <si>
    <t>27 sep 824 am</t>
  </si>
  <si>
    <t>1111AM</t>
  </si>
  <si>
    <t>SINGLE LEGGED FOR 4 MINS</t>
  </si>
  <si>
    <t>1.12pm</t>
  </si>
  <si>
    <t>PARTIAL FILL (2/3)</t>
  </si>
  <si>
    <t>233pm</t>
  </si>
  <si>
    <t>KINK TRADING + CURVE MOVEMENT</t>
  </si>
  <si>
    <t>FLUCTUATION B/W 3 AND 5</t>
  </si>
  <si>
    <t>NIGHT SESSION</t>
  </si>
  <si>
    <t>J24 S24</t>
  </si>
  <si>
    <t>full session</t>
  </si>
  <si>
    <t>orders 1 tick around as well (need to work on that)</t>
  </si>
  <si>
    <t>KINK TRADING + ANOMALY BEFORE KINK FLY +VE</t>
  </si>
  <si>
    <t>3 DAYS (FRI)</t>
  </si>
  <si>
    <t>B4 RBA MEETING EXIT IF GOES HIGH</t>
  </si>
  <si>
    <t>1056AM</t>
  </si>
  <si>
    <t>1106AM</t>
  </si>
  <si>
    <t>2 lots (partial fill) (2/3)</t>
  </si>
  <si>
    <t>orders given after market open works much better</t>
  </si>
  <si>
    <t>2 lots (partial fill) (1/3)</t>
  </si>
  <si>
    <t>EXIT AT COST</t>
  </si>
  <si>
    <t>AFTER 3</t>
  </si>
  <si>
    <t>4 OCT EXIT</t>
  </si>
  <si>
    <t>INVALID (GOT LEGGED) W/O SL</t>
  </si>
  <si>
    <t>ACTIVELY TRADE IF USING FLY outright</t>
  </si>
  <si>
    <t>403am</t>
  </si>
  <si>
    <t>AVOID/STOP Scalping IF RANGES ARE NOT PROMINENT (CANDLES) IN 10 - 15 MIN TF</t>
  </si>
  <si>
    <t>MKT BEHAVIOR IS TO PREPARE FOR THE WORST B4 EVENT (RIGHT NOW WORSE (OR OPPOSITE DIRECTION) IS 25 BP SO PRICED IN BP 45 TO 42 IN 3 DAYS)</t>
  </si>
  <si>
    <t>1.02PM</t>
  </si>
  <si>
    <t>Scalping (TRYING WITH FF RANGE PLAY) TEMPLATE - CHURN1</t>
  </si>
  <si>
    <t>Scalping (TRYING WITH FF RANGE PLAY with 1 lot) CHURN1=&gt; SAVED TEMPLATE | TF 15MIN</t>
  </si>
  <si>
    <t>(HIT AT THE MIDDLE EX =&gt; -0.05 and -0.03 is the range =&gt; hit at -0.04</t>
  </si>
  <si>
    <t xml:space="preserve">USEFUL FOR LEAVING THE ORDERS WITH 1 LOT WHEN AWAY </t>
  </si>
  <si>
    <t>1.48pm</t>
  </si>
  <si>
    <t>SELLING 1 LOT AT A TIME</t>
  </si>
  <si>
    <t>1156am</t>
  </si>
  <si>
    <t>TRYING TT OCO2; WORKS IN OUTRIGHTS</t>
  </si>
  <si>
    <r>
      <rPr>
        <b/>
        <sz val="10"/>
        <color rgb="FF434343"/>
        <rFont val="Roboto"/>
      </rPr>
      <t>CPI (YoY) (Sep</t>
    </r>
    <r>
      <rPr>
        <b/>
        <sz val="10"/>
        <color rgb="FF434343"/>
        <rFont val="Roboto"/>
      </rPr>
      <t>) | (P9.1% F9.7% A10%)</t>
    </r>
  </si>
  <si>
    <t>Scalping - USE A FIXED SHOT. DONT ADD SHOTS TO THE SHOTS ALREADY IN QUEUE (Chances of getting legged will increase) | BOTH LEGS QH=2 BETTER SO FAR | also do one side at a time</t>
  </si>
  <si>
    <t>ANOMALY TRADING - LOOK FOR ANOMALIES DURING KINK SHIFTING [MATHS] - POSITIVE EXPECTANCY TRADE; example - row 134 - row177,184,185 | -2 LEG QH = 1</t>
  </si>
  <si>
    <t xml:space="preserve">ORDER MGMT - DONT USE GTC IN FLY OUTRIGHTS (ONLY PUT ORDERS AFTER MKT OPEN) </t>
  </si>
  <si>
    <t>ORDR MGMT: Remove all orders before market close in session1. Add orders once the market starts.</t>
  </si>
  <si>
    <t>PLAN + DISCIPLINE- The more you wait the more dependent you'll be on LUCK (after getting single legged) | therefore LESS CONTROL (wait MAX 1 HOUR) | CHECK WORST CASE SL SCENARIOS + BACKUP | give SL before working on backup</t>
  </si>
  <si>
    <t>DISCIPLINE - IF UNSURE OR LESS CONFIDENT, NOT TAKING ANY TRADE IS BETTER (FOR A SHORT RUN) | OBSERVE AND PLAN AHEAD</t>
  </si>
  <si>
    <t>night ses. 6pm</t>
  </si>
  <si>
    <t>KINK SHIFT</t>
  </si>
  <si>
    <t>3 (Scalping) / HOLD 2 WEEKS</t>
  </si>
  <si>
    <t>CHURN OR 2 WEEKS</t>
  </si>
  <si>
    <t>FROM OUTRIGHTS</t>
  </si>
  <si>
    <t>ORDERED AT ; GOT AT -1</t>
  </si>
  <si>
    <t>755AM</t>
  </si>
  <si>
    <t>RBA MEETING</t>
  </si>
  <si>
    <t>28SEP - 4OCT</t>
  </si>
  <si>
    <t>GOT LEGGED (EARLY EXIT AT 2 INSTEAD OF 3) | YET HAD TO WAIT 11 MINS</t>
  </si>
  <si>
    <t>TRIED EXITING BEFORE MEETING WHEN PRICE WAS NEAR 3</t>
  </si>
  <si>
    <t>FROM OUTRIGTHS</t>
  </si>
  <si>
    <t>TARGET EXIT WAS 3 BUT GOT LEGGED SO EXIT AT 2</t>
  </si>
  <si>
    <t>AVOID TRADES IN FLIES AND SPDS ON MEETING DAY</t>
  </si>
  <si>
    <t>RBA MEETING hikes by 25bp (e50bp a25)</t>
  </si>
  <si>
    <t>outights moved by 50 to 70 bp!!!!</t>
  </si>
  <si>
    <t>IB OCT</t>
  </si>
  <si>
    <t>SPECULATION AGAINST THE BETTER RISK REWARD</t>
  </si>
  <si>
    <t xml:space="preserve">HERD MENTALITY (TOOK A BET AS IT WAS SIM, DID NOT CARE) </t>
  </si>
  <si>
    <t>BORED</t>
  </si>
  <si>
    <t>POSITIVES - FELT LIKE STRATEGY AND NOT TRADE</t>
  </si>
  <si>
    <t>WAS ABLE TO CUT (GOOD)</t>
  </si>
  <si>
    <t>IT WAS A STRATEGY (IRRATIONAL &amp; BAD RR) AND NOT A TRADE; GOOD</t>
  </si>
  <si>
    <t>AVOID HERD MENTALITY</t>
  </si>
  <si>
    <t>STAY RATIONAL; ALWAYS CHECK THE RISK REWARD (DONT CONFUSE PROBABILITIES WITH OPINIONS/SPECULATIONS)</t>
  </si>
  <si>
    <t>TRIED HERD MENTALITY BUYING WITH 1 LOT; IF YOU LOOK AT WORSE - UNBEARABLE LOSS</t>
  </si>
  <si>
    <t>1036am</t>
  </si>
  <si>
    <t>J23 FLY - o</t>
  </si>
  <si>
    <t>AFTER HIKE 25</t>
  </si>
  <si>
    <t>REMOVED/CHECKED GTC ORDERS B4 MKT CLOSE</t>
  </si>
  <si>
    <t>IMPROVEMENT IN ORDER MGMT + DISCIPLINE</t>
  </si>
  <si>
    <t>NIGHT SES.</t>
  </si>
  <si>
    <t>1.30PM</t>
  </si>
  <si>
    <t>SELL AT 5 INSTEAD OF 6</t>
  </si>
  <si>
    <t>B4 RBA MEETING EXIT IF GOES HIGH &amp; HOLD SOME</t>
  </si>
  <si>
    <t>28SEP - 5OCT</t>
  </si>
  <si>
    <t>DOUBLE LEGGED FOR 33MINS | SELLING 2 LOTS AT A TIME</t>
  </si>
  <si>
    <t>NEXT DAY AFTER HIKE 25</t>
  </si>
  <si>
    <t>stay active if mkt have activity (get a backup ready) or exit within hour of legged</t>
  </si>
  <si>
    <t>NEED TO STAY ACTIVE FOR FLY outright if mkt is not in a range</t>
  </si>
  <si>
    <t>350am</t>
  </si>
  <si>
    <t>28 SEP - 6 OCT</t>
  </si>
  <si>
    <t>1 WEEK +</t>
  </si>
  <si>
    <t>28SEP - 7OCT</t>
  </si>
  <si>
    <r>
      <rPr>
        <b/>
        <u/>
        <sz val="10"/>
        <color rgb="FF333333"/>
        <rFont val="Roboto"/>
      </rPr>
      <t>Nonfarm Payrolls (Sep</t>
    </r>
    <r>
      <rPr>
        <b/>
        <sz val="10"/>
        <color rgb="FF434343"/>
        <rFont val="Roboto"/>
      </rPr>
      <t>) | (F250K A263K)</t>
    </r>
  </si>
  <si>
    <t>OUTRIGHTS (-7BP THEN REBOUNDING AFTER 30 MINS)</t>
  </si>
  <si>
    <r>
      <rPr>
        <b/>
        <u/>
        <sz val="10"/>
        <color rgb="FF333333"/>
        <rFont val="Roboto"/>
      </rPr>
      <t>Unemployment Rate (Sep</t>
    </r>
    <r>
      <rPr>
        <b/>
        <sz val="10"/>
        <color rgb="FF434343"/>
        <rFont val="Roboto"/>
      </rPr>
      <t>) | (F3.7% A3.5%)</t>
    </r>
  </si>
  <si>
    <t>Employment Change (Sep) | (F20K A21.1K)</t>
  </si>
  <si>
    <t>Kink shift + fluctuations b/w 3 and 5</t>
  </si>
  <si>
    <t>USE QH=1 AND ONLY ACTIVE QUOTING IN THE MIDDLE ONE FOR FLY outright</t>
  </si>
  <si>
    <t>hit but 1 tick payup!</t>
  </si>
  <si>
    <t>checking for fills</t>
  </si>
  <si>
    <t>TFF might affect IR jun23; check data</t>
  </si>
  <si>
    <t>Kink shift + fluctuations b/w 3 and 6</t>
  </si>
  <si>
    <t>IF GETTING FILLS ON CALENDAR EASILY; MOVE HAS STRONG CHANCE TO GO AGAINST YOU FOR AT LEAST 2 TICKS</t>
  </si>
  <si>
    <t>from outrights got double filled when the move came</t>
  </si>
  <si>
    <t>BAD EXECUTION WHEN MOVE CAME UNEXPECTEDLY</t>
  </si>
  <si>
    <r>
      <rPr>
        <b/>
        <sz val="10"/>
        <color rgb="FF434343"/>
        <rFont val="Roboto"/>
      </rPr>
      <t>NAB Business Confidence (Sep</t>
    </r>
    <r>
      <rPr>
        <b/>
        <sz val="10"/>
        <color rgb="FF434343"/>
        <rFont val="Roboto"/>
      </rPr>
      <t>) | (P10 A5)</t>
    </r>
  </si>
  <si>
    <t>Outrights are giving fills; Calendar will give but be ready for anti move</t>
  </si>
  <si>
    <t>UK MONTHLY GDP (F-0.2 A-0.3%)</t>
  </si>
  <si>
    <t>MKT BREAK</t>
  </si>
  <si>
    <t>UK YOU GDP | (F2.4% A2%)</t>
  </si>
  <si>
    <t>ECB SPEECH, FOMC MINUTES, US PPI</t>
  </si>
  <si>
    <t>DURING SPEECHES OR MINUTES USE CALENDARS AT DEFENSIVE POSITIONS ONLY</t>
  </si>
  <si>
    <t>YOU WILL GET FILLS ON A SAFE CONTRACT AT A SAFE PRICE EVEN IF LEGGED IT WILL BE A SPREAD</t>
  </si>
  <si>
    <t xml:space="preserve">PREFERRED FOR CALENDAR SPREADS ONLY AT DEFENSIVE POSITION </t>
  </si>
  <si>
    <t>KINK ANOMALY BUT DIRECTION OPPOSITE TO KINK TRADING FUNDAMENTAL</t>
  </si>
  <si>
    <t>DON'T GO OPPOSITE DIRECTION OF KINK TRADING FUNDAMENTAL; less win%</t>
  </si>
  <si>
    <t>USE CALENDAR SPD 1 TICK ON THE DEFENSIVE SIDE SUCH THAT YOU ARE IN THE DIRECTION</t>
  </si>
  <si>
    <t>THERE IS A LOT OF BAITING IN THE MKT</t>
  </si>
  <si>
    <t>IF LOWER THAN EXPECTED IS BEARISH FOR AUD THEN OUTRIGHTS WILL FALL</t>
  </si>
  <si>
    <t>got legged in the buying side (4 ticks away after 2 hrs)</t>
  </si>
  <si>
    <t>execute from outright when selling right side of kink</t>
  </si>
  <si>
    <t>D22 SPD CAL</t>
  </si>
  <si>
    <t>EXPECTING FRONT LOADING (WESTPAC 50BP EXPECTATIONS IN NOV NEWS)</t>
  </si>
  <si>
    <t>MOVEMENT IG</t>
  </si>
  <si>
    <t>TT STOP WITH A PAYUP EXECUTED AT 60</t>
  </si>
  <si>
    <t>ALL EXIT ORDERS AT MKT OPEN (+5MINS outrights)</t>
  </si>
  <si>
    <t>CHECKING SL IN CALENDARS WITH ASK QTY (IN THIS CASE ASK)</t>
  </si>
  <si>
    <t>USE LTP QTY (&gt;=100) WITH PAYUP=1 INSTEAD OF ASKS/BIDS</t>
  </si>
  <si>
    <t>KINK TRADING (SHOULD NOT GO NEGATIVE) | LESS DOWNSIDE</t>
  </si>
  <si>
    <t>(SHOULD NOT GO NEGATIVE) | LESS DOWNSIDE</t>
  </si>
  <si>
    <t xml:space="preserve">ENTRY got DOUBLE FILLED </t>
  </si>
  <si>
    <t>exit via outright 1 lot; 31 0ct another lot</t>
  </si>
  <si>
    <t>no problem in a less volatile market where fluctuations in outrights are occuring</t>
  </si>
  <si>
    <t>M24 SPD CAL</t>
  </si>
  <si>
    <t>WENT TO 0.01 LATER ON</t>
  </si>
  <si>
    <t>10.45AM</t>
  </si>
  <si>
    <t>DON'T GO OPPOSITE DIRECTION OF KINK TRADING FUNDAMENTAL</t>
  </si>
  <si>
    <t>USE CALENDAR SPD 1 TICK ON THE DEFENSIVE SIDE SUCH THAT YOU ARE IN THE DIRECTION OF CURVE/KINK TRADING</t>
  </si>
  <si>
    <t>you can move the 2nd queued order manually</t>
  </si>
  <si>
    <t>4.45pm</t>
  </si>
  <si>
    <t>WITHIN SECONDS</t>
  </si>
  <si>
    <t>PUT ORDERS AT -3 AND -4 IN SPDS AND CALENDAR</t>
  </si>
  <si>
    <t>AMAZING EXECUTION</t>
  </si>
  <si>
    <t>ENTERED OPPOSITE SIDE (-4) AND EXIT AS WELL IN HOURS LATER</t>
  </si>
  <si>
    <t>EXIT FROM OUTRIGHTS (ENTERED FROM CALENDAR)</t>
  </si>
  <si>
    <t>selling side triggered first</t>
  </si>
  <si>
    <t>JUN23 DE-FLY WAS AT -4, -5 (REST ALL +VE); ANOMALY LIKE; 2 NOV 22: IT WAS AT 1, 2</t>
  </si>
  <si>
    <t>~3HRS</t>
  </si>
  <si>
    <t>7.30PM</t>
  </si>
  <si>
    <t>AND THEN EXIT FROM CALENDAR AT -3</t>
  </si>
  <si>
    <t>AUTO PILOT</t>
  </si>
  <si>
    <t>SD23</t>
  </si>
  <si>
    <t>355AM</t>
  </si>
  <si>
    <t>JS24</t>
  </si>
  <si>
    <t>&gt;12 hrs</t>
  </si>
  <si>
    <t>JS24 C</t>
  </si>
  <si>
    <t xml:space="preserve">D23 FLY OUTRIGHT </t>
  </si>
  <si>
    <t>LEGGED!</t>
  </si>
  <si>
    <t>EXIT AT 1 TICK</t>
  </si>
  <si>
    <t>order qty 4; filled qty 1 (at least 2 needs to be filled )</t>
  </si>
  <si>
    <t>USE 1 LOT AT A TIME (IF ATTEMPTING FOR FLY)</t>
  </si>
  <si>
    <t>VERY RISKY (IN ILLIQUID MKT); STILL RISKY IN LIQUID MKT</t>
  </si>
  <si>
    <t>S23 SPD CAL</t>
  </si>
  <si>
    <t>weak</t>
  </si>
  <si>
    <t>Calendar exit</t>
  </si>
  <si>
    <t>NEW STRATS | WHITES, PRIMARY, OUTRIGHTS + more lots trades</t>
  </si>
  <si>
    <t>FLY EXECUTION</t>
  </si>
  <si>
    <t>DURING HIGH OR MEDIUM VOLATILITY; ASE OF CALENDARS MIGHT GIVE YOU DOUBLE FILLED OR EVEN SINGLE LEGGED IN CALENDAR | ASE OF OUTIGHTS WITH 1 PAYUP ON EITHER LEGS WILL GIVE 2 TICKS BAD PRICE</t>
  </si>
  <si>
    <t xml:space="preserve">BEST IS ALWAYS TO HIT AT 1 WORSE PRICE! </t>
  </si>
  <si>
    <t>OR AVOID ASE!</t>
  </si>
  <si>
    <t>HIT IN GAP OF CALENDAR FLY | MATURE WAY</t>
  </si>
  <si>
    <t>Scalping (w larger lots)</t>
  </si>
  <si>
    <t>practising with larger lots</t>
  </si>
  <si>
    <t>JUST NUMBERS</t>
  </si>
  <si>
    <t>Liq gap till 41</t>
  </si>
  <si>
    <t>3 ticks (ltq &gt;=45)</t>
  </si>
  <si>
    <t>45 was last Sz (broken) | might become Rz | 44 was day open</t>
  </si>
  <si>
    <t>so mkt prepared for the dovish (50bp) 44 to 41</t>
  </si>
  <si>
    <t>JS24 spd calendar</t>
  </si>
  <si>
    <t>DM24 SPD C</t>
  </si>
  <si>
    <t>3 days</t>
  </si>
  <si>
    <t>28 nov 22 509pm</t>
  </si>
  <si>
    <t>M24 SPD C</t>
  </si>
  <si>
    <t>25 nov 22 645am</t>
  </si>
  <si>
    <t>1st scalp win w 5 lots</t>
  </si>
  <si>
    <t>B/O of Rz (previously broken Sz)</t>
  </si>
  <si>
    <t>LAST OF Rz</t>
  </si>
  <si>
    <t>&gt;=53</t>
  </si>
  <si>
    <t>using trailing SL; moving 1 tick w target still same</t>
  </si>
  <si>
    <t>Trailing SL hit; went up till 53</t>
  </si>
  <si>
    <t>28-Nov-2022, 29 nov 22</t>
  </si>
  <si>
    <t>MON, tue</t>
  </si>
  <si>
    <t>510PM, 445am</t>
  </si>
  <si>
    <t>Bp distribution</t>
  </si>
  <si>
    <t>Curve anomaly + (rollover)</t>
  </si>
  <si>
    <t>D A M N!</t>
  </si>
  <si>
    <t>REACHED TARGET (took 2-3 days)</t>
  </si>
  <si>
    <t>615AM</t>
  </si>
  <si>
    <t>EMA 50 X 200 | SLANTING TREND</t>
  </si>
  <si>
    <t>IB FEB 23</t>
  </si>
  <si>
    <t>Hawkish slightly by LOWE</t>
  </si>
  <si>
    <t>CORRECT VIEWS</t>
  </si>
  <si>
    <t>IB DEC 23</t>
  </si>
  <si>
    <t>SRz Model</t>
  </si>
  <si>
    <t>FFRZ1</t>
  </si>
  <si>
    <t>MKT CLOSE</t>
  </si>
  <si>
    <t>Ranges (-6.5 to +10.5)</t>
  </si>
  <si>
    <t>Backs move more (got FFRZ2 as well) | YBAc5,c6,c7</t>
  </si>
  <si>
    <t>B4 backs wale are lagging (got FFRz1) | YBac3,c4</t>
  </si>
  <si>
    <t>far belly (ybac3) &amp; far back (ybac7) best wins</t>
  </si>
  <si>
    <t>Ranges (-4 to +10)</t>
  </si>
  <si>
    <t>FFRZ2 pe 1 lot and  FFRZ2 +4 pe 1 lot for backs</t>
  </si>
  <si>
    <t>for exit, need to be proactive</t>
  </si>
  <si>
    <t>721PM</t>
  </si>
  <si>
    <t>Ranges (-2.5 to +12.5)</t>
  </si>
  <si>
    <t>FFRZ2</t>
  </si>
  <si>
    <t>733PM</t>
  </si>
  <si>
    <t>737PM</t>
  </si>
  <si>
    <t>Ranges (-1 to +13)</t>
  </si>
  <si>
    <t>Touched AvgH</t>
  </si>
  <si>
    <t>AvgH</t>
  </si>
  <si>
    <t>11 range | 2 downside</t>
  </si>
  <si>
    <t>RET . Elsewhere touched daily avgOC</t>
  </si>
  <si>
    <t>Ret works | useful as GTC possible</t>
  </si>
  <si>
    <t>prev Rz becomes new Sz works | can even get at a better price</t>
  </si>
  <si>
    <t>prev rectangle zone ke mid se reversal le skta h</t>
  </si>
  <si>
    <t>440AM</t>
  </si>
  <si>
    <t>Bias for more recession</t>
  </si>
  <si>
    <t>3s10s went up in dovish data (both cpi and gdp dovish)</t>
  </si>
  <si>
    <t>Ret FFSz -&gt; FFRz</t>
  </si>
  <si>
    <t>641am</t>
  </si>
  <si>
    <t>Dovish view supports (up)</t>
  </si>
  <si>
    <t>Both legs anti!</t>
  </si>
  <si>
    <t>739am</t>
  </si>
  <si>
    <t>CHECKING RATIO (3:1) EXECUTION</t>
  </si>
  <si>
    <t>XT moves more than YT | similar to IR and their spds</t>
  </si>
  <si>
    <t>415AM</t>
  </si>
  <si>
    <t>Dovish up (picked when retraced a little)</t>
  </si>
  <si>
    <t>should go back to same level from where it dropped after dovish stance from RBA</t>
  </si>
  <si>
    <t xml:space="preserve">YT JUN23 </t>
  </si>
  <si>
    <t>Rz (97,17) + liq gap (97.12 to 97.20)</t>
  </si>
  <si>
    <t xml:space="preserve">5 ticks </t>
  </si>
  <si>
    <t>6 to 4</t>
  </si>
  <si>
    <t>1210pm</t>
  </si>
  <si>
    <t>310 J23</t>
  </si>
  <si>
    <t>US 210S SE LAG (US 210S @ 50+) DIFFERENTIAL OF 10</t>
  </si>
  <si>
    <t>28 MAR 2ND SESSION</t>
  </si>
  <si>
    <t xml:space="preserve">yt jun23 </t>
  </si>
  <si>
    <t>More risk &gt;&gt; bond buying &gt;&gt; price go up</t>
  </si>
  <si>
    <t>YT J23</t>
  </si>
  <si>
    <t>Sz (97.07,08)</t>
  </si>
  <si>
    <t>29 mar 10am</t>
  </si>
  <si>
    <t>3-10 went down due to selling of 10y</t>
  </si>
  <si>
    <t>yt j23</t>
  </si>
  <si>
    <t>3 Scalp and 2 legged (total 5)</t>
  </si>
  <si>
    <t>Xt also a lot of scalp</t>
  </si>
  <si>
    <t>31 mar 445pm</t>
  </si>
  <si>
    <t>ir j23</t>
  </si>
  <si>
    <t>OI + price + heavy buyers -&gt; new uptrend??</t>
  </si>
  <si>
    <t xml:space="preserve">GAP DOWN </t>
  </si>
  <si>
    <t>went to 39 | but next session</t>
  </si>
  <si>
    <t>Var (4th in quoted)</t>
  </si>
  <si>
    <t>s23 ted</t>
  </si>
  <si>
    <t>ret + lower than j23 ted (kink)</t>
  </si>
  <si>
    <t>yt price action breakdown works</t>
  </si>
  <si>
    <t>trend favourable | not ranged</t>
  </si>
  <si>
    <t>FIND TRENDING STRATS</t>
  </si>
  <si>
    <t>CS</t>
  </si>
  <si>
    <t>ATTEMPTS</t>
  </si>
  <si>
    <t>TOTAL CS</t>
  </si>
  <si>
    <t>WINS B</t>
  </si>
  <si>
    <t>WINS S</t>
  </si>
  <si>
    <t>T F W,L</t>
  </si>
  <si>
    <t>LOSS B</t>
  </si>
  <si>
    <t>T C W,L</t>
  </si>
  <si>
    <t>WIN CS</t>
  </si>
  <si>
    <t>LOSS S</t>
  </si>
  <si>
    <t>F C W,L</t>
  </si>
  <si>
    <t>again1</t>
  </si>
  <si>
    <t>LOSS CS</t>
  </si>
  <si>
    <t>T F C W,L</t>
  </si>
  <si>
    <t>TOTAL WIN CS</t>
  </si>
  <si>
    <t>GAINS B'</t>
  </si>
  <si>
    <t>TOTAL LOSS CS</t>
  </si>
  <si>
    <t>GAINS S</t>
  </si>
  <si>
    <t>GAINS</t>
  </si>
  <si>
    <t>P</t>
  </si>
  <si>
    <t>O W</t>
  </si>
  <si>
    <t>O L</t>
  </si>
  <si>
    <t>S W</t>
  </si>
  <si>
    <t>S L</t>
  </si>
  <si>
    <t>F W</t>
  </si>
  <si>
    <t>F 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</si>
</sst>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4" formatCode="_(&quot;$&quot;* #,##0.00_);_(&quot;$&quot;* \(#,##0.00\);_(&quot;$&quot;* &quot;-&quot;??_);_(@_)"/>
    <numFmt numFmtId="164" formatCode="&quot;$&quot;#,##0.00"/>
    <numFmt numFmtId="165" formatCode="0.000"/>
    <numFmt numFmtId="166" formatCode="d&quot;-&quot;mmm&quot;-&quot;yyyy"/>
    <numFmt numFmtId="167" formatCode="m/d/yyyy\ h:mm\ AM/PM"/>
    <numFmt numFmtId="168" formatCode="d\ mmm"/>
    <numFmt numFmtId="169" formatCode="d\ mmm\ h:mm\ AM/PM"/>
    <numFmt numFmtId="170" formatCode="d\ mmm\ yy\ h:mm\ AM/PM"/>
    <numFmt numFmtId="171" formatCode="d\-mmm\-yyyy"/>
    <numFmt numFmtId="172" formatCode="d\ mmm\ yy"/>
    <numFmt numFmtId="173" formatCode="ddd\ d\ mmm"/>
    <numFmt numFmtId="174" formatCode="mmmm\ d"/>
    <numFmt numFmtId="175" formatCode="mmmd"/>
    <numFmt numFmtId="176" formatCode="d\ mmm\ yyyy"/>
    <numFmt numFmtId="177" formatCode="&quot;$&quot;#,##0"/>
    <numFmt numFmtId="178" formatCode="0.0"/>
    <numFmt numFmtId="179" formatCode="0.0%"/>
  </numFmts>
  <fonts count="107">
    <font>
      <sz val="10"/>
      <color rgb="FF000000"/>
      <name val="Arial"/>
      <scheme val="minor"/>
    </font>
    <font>
      <b/>
      <sz val="18"/>
      <color rgb="FFFFFFFF"/>
      <name val="Roboto"/>
    </font>
    <font>
      <sz val="10"/>
      <name val="Arial"/>
      <family val="2"/>
    </font>
    <font>
      <b/>
      <sz val="18"/>
      <color theme="0"/>
      <name val="Roboto"/>
    </font>
    <font>
      <sz val="10"/>
      <color theme="1"/>
      <name val="Arial"/>
      <family val="2"/>
      <scheme val="minor"/>
    </font>
    <font>
      <b/>
      <sz val="10"/>
      <color rgb="FFEFEFEF"/>
      <name val="Roboto"/>
    </font>
    <font>
      <b/>
      <sz val="10"/>
      <color rgb="FFFFFFFF"/>
      <name val="Roboto"/>
    </font>
    <font>
      <b/>
      <sz val="10"/>
      <color theme="0"/>
      <name val="Roboto"/>
    </font>
    <font>
      <sz val="10"/>
      <color theme="0"/>
      <name val="Roboto"/>
    </font>
    <font>
      <b/>
      <sz val="10"/>
      <color rgb="FFF5F5F5"/>
      <name val="Roboto"/>
    </font>
    <font>
      <sz val="10"/>
      <color theme="1"/>
      <name val="Roboto"/>
    </font>
    <font>
      <sz val="10"/>
      <color rgb="FF434343"/>
      <name val="Roboto"/>
    </font>
    <font>
      <sz val="10"/>
      <color rgb="FFFFFFFF"/>
      <name val="Roboto"/>
    </font>
    <font>
      <sz val="11"/>
      <color rgb="FF000000"/>
      <name val="Inconsolata"/>
    </font>
    <font>
      <b/>
      <sz val="10"/>
      <color rgb="FF434343"/>
      <name val="Roboto"/>
    </font>
    <font>
      <b/>
      <sz val="10"/>
      <color theme="1"/>
      <name val="Roboto"/>
    </font>
    <font>
      <sz val="10"/>
      <color rgb="FF000000"/>
      <name val="Roboto"/>
    </font>
    <font>
      <sz val="10"/>
      <color rgb="FFEFEFEF"/>
      <name val="Roboto"/>
    </font>
    <font>
      <sz val="10"/>
      <color rgb="FFF3F3F3"/>
      <name val="Roboto"/>
    </font>
    <font>
      <sz val="10"/>
      <color rgb="FFB7B7B7"/>
      <name val="Roboto"/>
    </font>
    <font>
      <b/>
      <sz val="11"/>
      <color rgb="FFEFEFEF"/>
      <name val="Roboto"/>
    </font>
    <font>
      <b/>
      <sz val="10"/>
      <color rgb="FF666666"/>
      <name val="Roboto"/>
    </font>
    <font>
      <b/>
      <sz val="10"/>
      <color rgb="FFF3F3F3"/>
      <name val="Roboto"/>
    </font>
    <font>
      <sz val="11"/>
      <color rgb="FFEFEFEF"/>
      <name val="Roboto"/>
    </font>
    <font>
      <b/>
      <sz val="10"/>
      <color rgb="FF999999"/>
      <name val="Roboto"/>
    </font>
    <font>
      <sz val="10"/>
      <color rgb="FF666666"/>
      <name val="Roboto"/>
    </font>
    <font>
      <b/>
      <sz val="10"/>
      <color rgb="FF000000"/>
      <name val="Roboto"/>
    </font>
    <font>
      <b/>
      <sz val="10"/>
      <color theme="1"/>
      <name val="Arial"/>
      <family val="2"/>
      <scheme val="minor"/>
    </font>
    <font>
      <sz val="10"/>
      <color rgb="FFD9D9D9"/>
      <name val="Roboto"/>
    </font>
    <font>
      <sz val="11"/>
      <color rgb="FFD9D9D9"/>
      <name val="Inconsolata"/>
    </font>
    <font>
      <sz val="10"/>
      <color rgb="FFEFEFEF"/>
      <name val="Arial"/>
      <family val="2"/>
      <scheme val="minor"/>
    </font>
    <font>
      <sz val="11"/>
      <color rgb="FFEFEFEF"/>
      <name val="Inconsolata"/>
    </font>
    <font>
      <b/>
      <sz val="10"/>
      <color rgb="FF980000"/>
      <name val="Roboto"/>
    </font>
    <font>
      <b/>
      <sz val="10"/>
      <color rgb="FF0000FF"/>
      <name val="Roboto"/>
    </font>
    <font>
      <sz val="11"/>
      <color rgb="FF000000"/>
      <name val="Roboto"/>
    </font>
    <font>
      <sz val="10"/>
      <color rgb="FF333333"/>
      <name val="Roboto"/>
    </font>
    <font>
      <sz val="11"/>
      <color rgb="FF434343"/>
      <name val="Roboto"/>
    </font>
    <font>
      <b/>
      <sz val="11"/>
      <color rgb="FF434343"/>
      <name val="Roboto"/>
    </font>
    <font>
      <b/>
      <u/>
      <sz val="10"/>
      <color rgb="FF0000FF"/>
      <name val="Roboto"/>
    </font>
    <font>
      <b/>
      <sz val="10"/>
      <color rgb="FF134F5C"/>
      <name val="Roboto"/>
    </font>
    <font>
      <b/>
      <sz val="11"/>
      <color theme="0"/>
      <name val="Calibri"/>
      <family val="2"/>
    </font>
    <font>
      <b/>
      <sz val="11"/>
      <color rgb="FFFFFFFF"/>
      <name val="Calibri"/>
      <family val="2"/>
    </font>
    <font>
      <b/>
      <sz val="11"/>
      <color rgb="FF434343"/>
      <name val="Calibri"/>
      <family val="2"/>
    </font>
    <font>
      <b/>
      <sz val="10"/>
      <color rgb="FF333333"/>
      <name val="Roboto"/>
    </font>
    <font>
      <b/>
      <u/>
      <sz val="10"/>
      <color rgb="FF333333"/>
      <name val="Roboto"/>
    </font>
    <font>
      <b/>
      <sz val="10"/>
      <color rgb="FFB25E43"/>
      <name val="Calibri"/>
      <family val="2"/>
    </font>
    <font>
      <b/>
      <sz val="10"/>
      <color theme="0"/>
      <name val="Calibri"/>
      <family val="2"/>
    </font>
    <font>
      <sz val="10"/>
      <color theme="0"/>
      <name val="Calibri"/>
      <family val="2"/>
    </font>
    <font>
      <sz val="10"/>
      <color theme="1"/>
      <name val="Calibri"/>
      <family val="2"/>
    </font>
    <font>
      <sz val="10"/>
      <color rgb="FF434343"/>
      <name val="Calibri"/>
      <family val="2"/>
    </font>
    <font>
      <sz val="10"/>
      <color rgb="FFFFFFFF"/>
      <name val="Calibri"/>
      <family val="2"/>
    </font>
    <font>
      <sz val="11"/>
      <color rgb="FF000000"/>
      <name val="Calibri"/>
      <family val="2"/>
    </font>
    <font>
      <b/>
      <sz val="10"/>
      <color rgb="FF434343"/>
      <name val="Calibri"/>
      <family val="2"/>
    </font>
    <font>
      <b/>
      <sz val="10"/>
      <color theme="1"/>
      <name val="Calibri"/>
      <family val="2"/>
    </font>
    <font>
      <i/>
      <sz val="10"/>
      <color rgb="FF434343"/>
      <name val="Calibri"/>
      <family val="2"/>
    </font>
    <font>
      <sz val="10"/>
      <color rgb="FF000000"/>
      <name val="Calibri"/>
      <family val="2"/>
    </font>
    <font>
      <i/>
      <sz val="10"/>
      <color rgb="FF000000"/>
      <name val="Calibri"/>
      <family val="2"/>
    </font>
    <font>
      <b/>
      <sz val="10"/>
      <color rgb="FFFFFFFF"/>
      <name val="Calibri"/>
      <family val="2"/>
    </font>
    <font>
      <sz val="11"/>
      <color rgb="FFFFFFFF"/>
      <name val="Calibri"/>
      <family val="2"/>
    </font>
    <font>
      <b/>
      <sz val="10"/>
      <color rgb="FFB7B7B7"/>
      <name val="Calibri"/>
      <family val="2"/>
    </font>
    <font>
      <b/>
      <sz val="10"/>
      <color rgb="FF333333"/>
      <name val="Calibri"/>
      <family val="2"/>
    </font>
    <font>
      <b/>
      <sz val="10"/>
      <color rgb="FFF5F5F5"/>
      <name val="Calibri"/>
      <family val="2"/>
    </font>
    <font>
      <sz val="8"/>
      <name val="Arial"/>
      <family val="2"/>
      <scheme val="minor"/>
    </font>
    <font>
      <u/>
      <sz val="10"/>
      <color theme="10"/>
      <name val="Arial"/>
      <family val="2"/>
      <scheme val="minor"/>
    </font>
    <font>
      <b/>
      <sz val="10"/>
      <color rgb="FF434343"/>
      <name val="Arial"/>
      <family val="2"/>
    </font>
    <font>
      <b/>
      <sz val="10"/>
      <color rgb="FF000000"/>
      <name val="Arial"/>
      <family val="2"/>
    </font>
    <font>
      <u/>
      <sz val="10"/>
      <color rgb="FFEFEFEF"/>
      <name val="Roboto"/>
    </font>
    <font>
      <sz val="10"/>
      <color rgb="FFA6A6A6"/>
      <name val="Roboto"/>
    </font>
    <font>
      <b/>
      <sz val="16"/>
      <color rgb="FFA6A6A6"/>
      <name val="Calibri"/>
      <family val="2"/>
    </font>
    <font>
      <b/>
      <sz val="10"/>
      <color rgb="FF000000"/>
      <name val="Calibri"/>
      <family val="2"/>
    </font>
    <font>
      <sz val="10"/>
      <color rgb="FF000000"/>
      <name val="Calibri"/>
      <family val="2"/>
    </font>
    <font>
      <b/>
      <sz val="12"/>
      <color theme="0" tint="-0.14999847407452621"/>
      <name val="Calibri"/>
      <family val="2"/>
    </font>
    <font>
      <b/>
      <sz val="10"/>
      <color rgb="FFA6A6A6"/>
      <name val="Calibri"/>
      <family val="2"/>
    </font>
    <font>
      <b/>
      <i/>
      <sz val="10"/>
      <color rgb="FFA6A6A6"/>
      <name val="Calibri"/>
      <family val="2"/>
    </font>
    <font>
      <sz val="11"/>
      <color rgb="FF444444"/>
      <name val="Calibri"/>
      <family val="2"/>
      <charset val="1"/>
    </font>
    <font>
      <b/>
      <sz val="10"/>
      <color theme="10"/>
      <name val="Arial"/>
      <family val="2"/>
      <scheme val="minor"/>
    </font>
    <font>
      <i/>
      <sz val="10"/>
      <color rgb="FFF2F2F2"/>
      <name val="Roboto"/>
    </font>
    <font>
      <b/>
      <sz val="16"/>
      <color theme="0"/>
      <name val="Roboto"/>
    </font>
    <font>
      <sz val="16"/>
      <name val="Arial"/>
      <family val="2"/>
    </font>
    <font>
      <b/>
      <sz val="16"/>
      <color rgb="FFFFFFFF"/>
      <name val="Roboto"/>
    </font>
    <font>
      <sz val="16"/>
      <color rgb="FF000000"/>
      <name val="Arial"/>
      <family val="2"/>
      <scheme val="minor"/>
    </font>
    <font>
      <sz val="10"/>
      <color theme="10"/>
      <name val="Arial"/>
      <family val="2"/>
      <scheme val="minor"/>
    </font>
    <font>
      <sz val="10"/>
      <color rgb="FF595959"/>
      <name val="Roboto"/>
    </font>
    <font>
      <b/>
      <sz val="10"/>
      <color rgb="FFE7E6E6"/>
      <name val="Calibri"/>
      <family val="2"/>
    </font>
    <font>
      <sz val="10"/>
      <color rgb="FF808080"/>
      <name val="Roboto"/>
    </font>
    <font>
      <sz val="15"/>
      <color rgb="FF2E3A59"/>
      <name val="Roboto"/>
      <family val="2"/>
      <charset val="1"/>
    </font>
    <font>
      <b/>
      <sz val="10"/>
      <color rgb="FF000000"/>
      <name val="Arial"/>
      <family val="2"/>
      <scheme val="minor"/>
    </font>
    <font>
      <sz val="12"/>
      <color rgb="FF000000"/>
      <name val="Calibri"/>
      <family val="2"/>
    </font>
    <font>
      <b/>
      <sz val="10"/>
      <color rgb="FFD0CECE"/>
      <name val="Calibri"/>
      <family val="2"/>
    </font>
    <font>
      <sz val="10"/>
      <color rgb="FF404040"/>
      <name val="Roboto"/>
    </font>
    <font>
      <b/>
      <sz val="12"/>
      <color rgb="FF000000"/>
      <name val="Calibri"/>
      <family val="2"/>
    </font>
    <font>
      <sz val="12"/>
      <color rgb="FF000000"/>
      <name val="Calibri"/>
      <family val="2"/>
    </font>
    <font>
      <b/>
      <sz val="12"/>
      <color theme="2" tint="-0.34998626667073579"/>
      <name val="Calibri"/>
      <family val="2"/>
    </font>
    <font>
      <b/>
      <sz val="12"/>
      <color theme="2" tint="-0.34998626667073579"/>
      <name val="Arial"/>
      <family val="2"/>
      <scheme val="minor"/>
    </font>
    <font>
      <b/>
      <sz val="12"/>
      <color rgb="FFF2F2F2"/>
      <name val="Calibri"/>
      <family val="2"/>
    </font>
    <font>
      <b/>
      <sz val="12"/>
      <color rgb="FF444444"/>
      <name val="Calibri"/>
      <family val="2"/>
    </font>
    <font>
      <b/>
      <sz val="12"/>
      <color rgb="FF444444"/>
      <name val="Calibri"/>
      <family val="2"/>
      <charset val="1"/>
    </font>
    <font>
      <sz val="12"/>
      <color rgb="FF444444"/>
      <name val="Calibri"/>
      <family val="2"/>
      <charset val="1"/>
    </font>
    <font>
      <sz val="10"/>
      <color rgb="FF000000"/>
      <name val="Arial"/>
      <family val="2"/>
      <scheme val="minor"/>
    </font>
    <font>
      <sz val="12"/>
      <color theme="2" tint="-0.34998626667073579"/>
      <name val="Calibri"/>
      <family val="2"/>
    </font>
    <font>
      <b/>
      <sz val="11"/>
      <color rgb="FF000000"/>
      <name val="Calibri"/>
      <family val="2"/>
    </font>
    <font>
      <sz val="10"/>
      <color theme="0" tint="-4.9989318521683403E-2"/>
      <name val="Roboto"/>
    </font>
    <font>
      <b/>
      <sz val="10"/>
      <color theme="0" tint="-4.9989318521683403E-2"/>
      <name val="Roboto"/>
    </font>
    <font>
      <b/>
      <sz val="10"/>
      <color theme="2" tint="-4.9989318521683403E-2"/>
      <name val="Calibri"/>
      <family val="2"/>
    </font>
    <font>
      <b/>
      <sz val="11"/>
      <color theme="2" tint="-4.9989318521683403E-2"/>
      <name val="Calibri"/>
      <family val="2"/>
    </font>
    <font>
      <b/>
      <sz val="16"/>
      <color theme="2" tint="-4.9989318521683403E-2"/>
      <name val="Calibri"/>
      <family val="2"/>
    </font>
    <font>
      <sz val="12"/>
      <color rgb="FF000000"/>
      <name val="Calibri"/>
      <charset val="1"/>
    </font>
  </fonts>
  <fills count="77">
    <fill>
      <patternFill patternType="none"/>
    </fill>
    <fill>
      <patternFill patternType="gray125"/>
    </fill>
    <fill>
      <patternFill patternType="solid">
        <fgColor rgb="FF040404"/>
        <bgColor rgb="FF040404"/>
      </patternFill>
    </fill>
    <fill>
      <patternFill patternType="solid">
        <fgColor rgb="FF333333"/>
        <bgColor rgb="FF333333"/>
      </patternFill>
    </fill>
    <fill>
      <patternFill patternType="solid">
        <fgColor rgb="FF364158"/>
        <bgColor rgb="FF364158"/>
      </patternFill>
    </fill>
    <fill>
      <patternFill patternType="solid">
        <fgColor rgb="FF243B6A"/>
        <bgColor rgb="FF243B6A"/>
      </patternFill>
    </fill>
    <fill>
      <patternFill patternType="solid">
        <fgColor rgb="FFFFFFFF"/>
        <bgColor rgb="FFFFFFFF"/>
      </patternFill>
    </fill>
    <fill>
      <patternFill patternType="solid">
        <fgColor rgb="FFF3F3F3"/>
        <bgColor rgb="FFF3F3F3"/>
      </patternFill>
    </fill>
    <fill>
      <patternFill patternType="solid">
        <fgColor rgb="FFB7B7B7"/>
        <bgColor rgb="FFB7B7B7"/>
      </patternFill>
    </fill>
    <fill>
      <patternFill patternType="solid">
        <fgColor rgb="FF000000"/>
        <bgColor rgb="FF000000"/>
      </patternFill>
    </fill>
    <fill>
      <patternFill patternType="solid">
        <fgColor rgb="FF999999"/>
        <bgColor rgb="FF999999"/>
      </patternFill>
    </fill>
    <fill>
      <patternFill patternType="solid">
        <fgColor rgb="FFA61C00"/>
        <bgColor rgb="FFA61C00"/>
      </patternFill>
    </fill>
    <fill>
      <patternFill patternType="solid">
        <fgColor rgb="FFD9D9D9"/>
        <bgColor rgb="FFD9D9D9"/>
      </patternFill>
    </fill>
    <fill>
      <patternFill patternType="solid">
        <fgColor rgb="FFEFEFEF"/>
        <bgColor rgb="FFEFEFEF"/>
      </patternFill>
    </fill>
    <fill>
      <patternFill patternType="solid">
        <fgColor rgb="FFC0C5B2"/>
        <bgColor rgb="FFC0C5B2"/>
      </patternFill>
    </fill>
    <fill>
      <patternFill patternType="solid">
        <fgColor rgb="FFCCCCCC"/>
        <bgColor rgb="FFCCCCCC"/>
      </patternFill>
    </fill>
    <fill>
      <patternFill patternType="solid">
        <fgColor rgb="FFE6B8AF"/>
        <bgColor rgb="FFE6B8AF"/>
      </patternFill>
    </fill>
    <fill>
      <patternFill patternType="solid">
        <fgColor rgb="FF292929"/>
        <bgColor rgb="FF292929"/>
      </patternFill>
    </fill>
    <fill>
      <patternFill patternType="solid">
        <fgColor rgb="FFC9DAF8"/>
        <bgColor rgb="FFC9DAF8"/>
      </patternFill>
    </fill>
    <fill>
      <patternFill patternType="solid">
        <fgColor rgb="FF6D9EEB"/>
        <bgColor rgb="FF6D9EEB"/>
      </patternFill>
    </fill>
    <fill>
      <patternFill patternType="solid">
        <fgColor rgb="FF6FA8DC"/>
        <bgColor rgb="FF6FA8DC"/>
      </patternFill>
    </fill>
    <fill>
      <patternFill patternType="solid">
        <fgColor rgb="FFEA9999"/>
        <bgColor rgb="FFEA9999"/>
      </patternFill>
    </fill>
    <fill>
      <patternFill patternType="solid">
        <fgColor rgb="FFE06666"/>
        <bgColor rgb="FFE06666"/>
      </patternFill>
    </fill>
    <fill>
      <patternFill patternType="solid">
        <fgColor rgb="FFA4C2F4"/>
        <bgColor rgb="FFA4C2F4"/>
      </patternFill>
    </fill>
    <fill>
      <patternFill patternType="solid">
        <fgColor rgb="FFF4CCCC"/>
        <bgColor rgb="FFF4CCCC"/>
      </patternFill>
    </fill>
    <fill>
      <patternFill patternType="solid">
        <fgColor rgb="FF434343"/>
        <bgColor rgb="FF434343"/>
      </patternFill>
    </fill>
    <fill>
      <patternFill patternType="solid">
        <fgColor rgb="FF666666"/>
        <bgColor rgb="FF666666"/>
      </patternFill>
    </fill>
    <fill>
      <patternFill patternType="solid">
        <fgColor rgb="FF1C4587"/>
        <bgColor rgb="FF1C4587"/>
      </patternFill>
    </fill>
    <fill>
      <patternFill patternType="solid">
        <fgColor rgb="FF073763"/>
        <bgColor rgb="FF073763"/>
      </patternFill>
    </fill>
    <fill>
      <patternFill patternType="solid">
        <fgColor rgb="FF660000"/>
        <bgColor rgb="FF660000"/>
      </patternFill>
    </fill>
    <fill>
      <patternFill patternType="solid">
        <fgColor theme="1"/>
        <bgColor theme="1"/>
      </patternFill>
    </fill>
    <fill>
      <patternFill patternType="solid">
        <fgColor rgb="FFB7E1CD"/>
        <bgColor rgb="FFB7E1CD"/>
      </patternFill>
    </fill>
    <fill>
      <patternFill patternType="solid">
        <fgColor rgb="FFD9EAD3"/>
        <bgColor rgb="FFD9EAD3"/>
      </patternFill>
    </fill>
    <fill>
      <patternFill patternType="solid">
        <fgColor rgb="FF980000"/>
        <bgColor rgb="FF980000"/>
      </patternFill>
    </fill>
    <fill>
      <patternFill patternType="solid">
        <fgColor theme="2" tint="-0.34998626667073579"/>
        <bgColor rgb="FFF3F3F3"/>
      </patternFill>
    </fill>
    <fill>
      <patternFill patternType="solid">
        <fgColor rgb="FFA6A6A6"/>
        <bgColor indexed="64"/>
      </patternFill>
    </fill>
    <fill>
      <patternFill patternType="solid">
        <fgColor rgb="FFACB9CA"/>
        <bgColor indexed="64"/>
      </patternFill>
    </fill>
    <fill>
      <patternFill patternType="solid">
        <fgColor rgb="FFF4B084"/>
        <bgColor indexed="64"/>
      </patternFill>
    </fill>
    <fill>
      <patternFill patternType="solid">
        <fgColor rgb="FFAEAAAA"/>
        <bgColor indexed="64"/>
      </patternFill>
    </fill>
    <fill>
      <patternFill patternType="solid">
        <fgColor rgb="FF808080"/>
        <bgColor indexed="64"/>
      </patternFill>
    </fill>
    <fill>
      <patternFill patternType="solid">
        <fgColor rgb="FF757171"/>
        <bgColor indexed="64"/>
      </patternFill>
    </fill>
    <fill>
      <patternFill patternType="solid">
        <fgColor rgb="FFC65911"/>
        <bgColor indexed="64"/>
      </patternFill>
    </fill>
    <fill>
      <patternFill patternType="solid">
        <fgColor rgb="FFF7B1AD"/>
        <bgColor indexed="64"/>
      </patternFill>
    </fill>
    <fill>
      <patternFill patternType="solid">
        <fgColor rgb="FFD0CECE"/>
        <bgColor indexed="64"/>
      </patternFill>
    </fill>
    <fill>
      <patternFill patternType="solid">
        <fgColor rgb="FFD9E1F2"/>
        <bgColor indexed="64"/>
      </patternFill>
    </fill>
    <fill>
      <patternFill patternType="solid">
        <fgColor rgb="FFFF0000"/>
        <bgColor indexed="64"/>
      </patternFill>
    </fill>
    <fill>
      <patternFill patternType="solid">
        <fgColor rgb="FF8EA9DB"/>
        <bgColor indexed="64"/>
      </patternFill>
    </fill>
    <fill>
      <patternFill patternType="solid">
        <fgColor rgb="FF000000"/>
        <bgColor indexed="64"/>
      </patternFill>
    </fill>
    <fill>
      <patternFill patternType="solid">
        <fgColor rgb="FFC00000"/>
        <bgColor indexed="64"/>
      </patternFill>
    </fill>
    <fill>
      <patternFill patternType="solid">
        <fgColor rgb="FFD6DCE4"/>
        <bgColor indexed="64"/>
      </patternFill>
    </fill>
    <fill>
      <patternFill patternType="solid">
        <fgColor rgb="FF0D0D0D"/>
        <bgColor indexed="64"/>
      </patternFill>
    </fill>
    <fill>
      <patternFill patternType="solid">
        <fgColor rgb="FFF2F2F2"/>
        <bgColor indexed="64"/>
      </patternFill>
    </fill>
    <fill>
      <patternFill patternType="solid">
        <fgColor rgb="FFFFFFFF"/>
        <bgColor indexed="64"/>
      </patternFill>
    </fill>
    <fill>
      <patternFill patternType="solid">
        <fgColor rgb="FFDBDBDB"/>
        <bgColor indexed="64"/>
      </patternFill>
    </fill>
    <fill>
      <patternFill patternType="solid">
        <fgColor rgb="FFD9D9D9"/>
        <bgColor indexed="64"/>
      </patternFill>
    </fill>
    <fill>
      <patternFill patternType="solid">
        <fgColor rgb="FF262626"/>
        <bgColor indexed="64"/>
      </patternFill>
    </fill>
    <fill>
      <patternFill patternType="solid">
        <fgColor rgb="FF002060"/>
        <bgColor indexed="64"/>
      </patternFill>
    </fill>
    <fill>
      <patternFill patternType="solid">
        <fgColor rgb="FFB4C6E7"/>
        <bgColor indexed="64"/>
      </patternFill>
    </fill>
    <fill>
      <patternFill patternType="solid">
        <fgColor theme="3" tint="0.14999847407452621"/>
        <bgColor indexed="64"/>
      </patternFill>
    </fill>
    <fill>
      <patternFill patternType="solid">
        <fgColor theme="0" tint="-0.14999847407452621"/>
        <bgColor indexed="64"/>
      </patternFill>
    </fill>
    <fill>
      <patternFill patternType="solid">
        <fgColor theme="1" tint="4.9989318521683403E-2"/>
        <bgColor indexed="64"/>
      </patternFill>
    </fill>
    <fill>
      <patternFill patternType="solid">
        <fgColor theme="2" tint="-0.249977111117893"/>
        <bgColor indexed="64"/>
      </patternFill>
    </fill>
    <fill>
      <patternFill patternType="solid">
        <fgColor theme="1"/>
        <bgColor indexed="64"/>
      </patternFill>
    </fill>
    <fill>
      <patternFill patternType="solid">
        <fgColor theme="2" tint="-0.14999847407452621"/>
        <bgColor indexed="64"/>
      </patternFill>
    </fill>
    <fill>
      <patternFill patternType="solid">
        <fgColor theme="0" tint="-0.34998626667073579"/>
        <bgColor indexed="64"/>
      </patternFill>
    </fill>
    <fill>
      <patternFill patternType="solid">
        <fgColor rgb="FFBDD7EE"/>
        <bgColor indexed="64"/>
      </patternFill>
    </fill>
    <fill>
      <patternFill patternType="solid">
        <fgColor rgb="FFE7E6E6"/>
        <bgColor indexed="64"/>
      </patternFill>
    </fill>
    <fill>
      <patternFill patternType="solid">
        <fgColor theme="1" tint="0.14999847407452621"/>
        <bgColor indexed="64"/>
      </patternFill>
    </fill>
    <fill>
      <patternFill patternType="solid">
        <fgColor theme="2" tint="-0.34998626667073579"/>
        <bgColor indexed="64"/>
      </patternFill>
    </fill>
    <fill>
      <patternFill patternType="solid">
        <fgColor rgb="FFBFBFBF"/>
        <bgColor indexed="64"/>
      </patternFill>
    </fill>
    <fill>
      <patternFill patternType="solid">
        <fgColor rgb="FFFCE4D6"/>
        <bgColor indexed="64"/>
      </patternFill>
    </fill>
    <fill>
      <patternFill patternType="solid">
        <fgColor rgb="FF8497B0"/>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theme="1" tint="0.499984740745262"/>
        <bgColor indexed="64"/>
      </patternFill>
    </fill>
    <fill>
      <patternFill patternType="solid">
        <fgColor theme="4" tint="0.39997558519241921"/>
        <bgColor indexed="64"/>
      </patternFill>
    </fill>
  </fills>
  <borders count="29">
    <border>
      <left/>
      <right/>
      <top/>
      <bottom/>
      <diagonal/>
    </border>
    <border>
      <left style="thin">
        <color rgb="FF666666"/>
      </left>
      <right/>
      <top style="thin">
        <color rgb="FF666666"/>
      </top>
      <bottom style="thin">
        <color rgb="FF666666"/>
      </bottom>
      <diagonal/>
    </border>
    <border>
      <left/>
      <right/>
      <top style="thin">
        <color rgb="FF666666"/>
      </top>
      <bottom style="thin">
        <color rgb="FF666666"/>
      </bottom>
      <diagonal/>
    </border>
    <border>
      <left/>
      <right style="thin">
        <color rgb="FF666666"/>
      </right>
      <top style="thin">
        <color rgb="FF666666"/>
      </top>
      <bottom style="thin">
        <color rgb="FF666666"/>
      </bottom>
      <diagonal/>
    </border>
    <border>
      <left style="thin">
        <color rgb="FF666666"/>
      </left>
      <right style="thin">
        <color rgb="FF666666"/>
      </right>
      <top style="thin">
        <color rgb="FF666666"/>
      </top>
      <bottom style="thin">
        <color rgb="FF666666"/>
      </bottom>
      <diagonal/>
    </border>
    <border>
      <left/>
      <right/>
      <top style="thin">
        <color rgb="FF666666"/>
      </top>
      <bottom/>
      <diagonal/>
    </border>
    <border>
      <left style="thin">
        <color rgb="FF666666"/>
      </left>
      <right/>
      <top style="thin">
        <color rgb="FF666666"/>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bottom/>
      <diagonal/>
    </border>
    <border>
      <left style="thin">
        <color theme="0" tint="-0.24994659260841701"/>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style="thin">
        <color theme="0" tint="-0.24994659260841701"/>
      </bottom>
      <diagonal/>
    </border>
    <border>
      <left/>
      <right style="thin">
        <color theme="0" tint="-0.24994659260841701"/>
      </right>
      <top/>
      <bottom style="thin">
        <color theme="0" tint="-0.24994659260841701"/>
      </bottom>
      <diagonal/>
    </border>
    <border>
      <left style="thin">
        <color rgb="FF666666"/>
      </left>
      <right style="thin">
        <color rgb="FF666666"/>
      </right>
      <top style="thin">
        <color rgb="FF666666"/>
      </top>
      <bottom/>
      <diagonal/>
    </border>
    <border>
      <left/>
      <right style="thin">
        <color rgb="FF666666"/>
      </right>
      <top style="thin">
        <color rgb="FF666666"/>
      </top>
      <bottom/>
      <diagonal/>
    </border>
    <border>
      <left style="thin">
        <color theme="0" tint="-0.24994659260841701"/>
      </left>
      <right style="thin">
        <color theme="0" tint="-0.24994659260841701"/>
      </right>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right style="thin">
        <color theme="0" tint="-0.24994659260841701"/>
      </right>
      <top/>
      <bottom/>
      <diagonal/>
    </border>
    <border>
      <left style="thin">
        <color theme="0" tint="-0.24994659260841701"/>
      </left>
      <right style="thin">
        <color theme="0" tint="-0.24994659260841701"/>
      </right>
      <top/>
      <bottom/>
      <diagonal/>
    </border>
    <border>
      <left/>
      <right/>
      <top/>
      <bottom style="thin">
        <color rgb="FF000000"/>
      </bottom>
      <diagonal/>
    </border>
    <border>
      <left style="thin">
        <color rgb="FF595959"/>
      </left>
      <right/>
      <top/>
      <bottom style="thin">
        <color rgb="FF595959"/>
      </bottom>
      <diagonal/>
    </border>
    <border>
      <left style="thin">
        <color rgb="FF595959"/>
      </left>
      <right style="thin">
        <color rgb="FF595959"/>
      </right>
      <top/>
      <bottom style="thin">
        <color rgb="FF595959"/>
      </bottom>
      <diagonal/>
    </border>
    <border>
      <left/>
      <right style="thin">
        <color rgb="FF595959"/>
      </right>
      <top/>
      <bottom style="thin">
        <color rgb="FF595959"/>
      </bottom>
      <diagonal/>
    </border>
    <border>
      <left/>
      <right/>
      <top/>
      <bottom style="thin">
        <color rgb="FF595959"/>
      </bottom>
      <diagonal/>
    </border>
    <border>
      <left/>
      <right/>
      <top/>
      <bottom style="thick">
        <color theme="7" tint="-0.24994659260841701"/>
      </bottom>
      <diagonal/>
    </border>
    <border>
      <left/>
      <right/>
      <top style="thick">
        <color theme="7" tint="-0.24994659260841701"/>
      </top>
      <bottom/>
      <diagonal/>
    </border>
    <border>
      <left/>
      <right/>
      <top/>
      <bottom style="thin">
        <color indexed="64"/>
      </bottom>
      <diagonal/>
    </border>
  </borders>
  <cellStyleXfs count="3">
    <xf numFmtId="0" fontId="0" fillId="0" borderId="0"/>
    <xf numFmtId="0" fontId="63" fillId="0" borderId="0" applyNumberFormat="0" applyFill="0" applyBorder="0" applyAlignment="0" applyProtection="0"/>
    <xf numFmtId="9" fontId="98" fillId="0" borderId="0" applyFont="0" applyFill="0" applyBorder="0" applyAlignment="0" applyProtection="0"/>
  </cellStyleXfs>
  <cellXfs count="531">
    <xf numFmtId="0" fontId="0" fillId="0" borderId="0" xfId="0"/>
    <xf numFmtId="0" fontId="7" fillId="3" borderId="4" xfId="0" applyFont="1" applyFill="1" applyBorder="1"/>
    <xf numFmtId="0" fontId="7" fillId="3" borderId="4" xfId="0" applyFont="1" applyFill="1" applyBorder="1" applyAlignment="1">
      <alignment horizontal="center"/>
    </xf>
    <xf numFmtId="0" fontId="6" fillId="3" borderId="4" xfId="0" applyFont="1" applyFill="1" applyBorder="1" applyAlignment="1">
      <alignment horizontal="center"/>
    </xf>
    <xf numFmtId="0" fontId="7" fillId="3" borderId="4" xfId="0" applyFont="1" applyFill="1" applyBorder="1" applyAlignment="1">
      <alignment horizontal="left"/>
    </xf>
    <xf numFmtId="0" fontId="8" fillId="3" borderId="4" xfId="0" applyFont="1" applyFill="1" applyBorder="1" applyAlignment="1">
      <alignment horizontal="left"/>
    </xf>
    <xf numFmtId="0" fontId="9" fillId="5" borderId="4" xfId="0" applyFont="1" applyFill="1" applyBorder="1"/>
    <xf numFmtId="165" fontId="7" fillId="3" borderId="4" xfId="0" applyNumberFormat="1" applyFont="1" applyFill="1" applyBorder="1"/>
    <xf numFmtId="2" fontId="8" fillId="3" borderId="4" xfId="0" applyNumberFormat="1" applyFont="1" applyFill="1" applyBorder="1" applyAlignment="1">
      <alignment horizontal="left"/>
    </xf>
    <xf numFmtId="0" fontId="8" fillId="3" borderId="4" xfId="0" applyFont="1" applyFill="1" applyBorder="1" applyAlignment="1">
      <alignment horizontal="center"/>
    </xf>
    <xf numFmtId="0" fontId="7" fillId="3" borderId="1" xfId="0" applyFont="1" applyFill="1" applyBorder="1"/>
    <xf numFmtId="0" fontId="7" fillId="0" borderId="0" xfId="0" applyFont="1"/>
    <xf numFmtId="166" fontId="11" fillId="0" borderId="0" xfId="0" applyNumberFormat="1" applyFont="1"/>
    <xf numFmtId="0" fontId="11" fillId="0" borderId="0" xfId="0" applyFont="1"/>
    <xf numFmtId="0" fontId="11" fillId="0" borderId="0" xfId="0" applyFont="1" applyAlignment="1">
      <alignment horizontal="center"/>
    </xf>
    <xf numFmtId="0" fontId="12" fillId="0" borderId="0" xfId="0" applyFont="1" applyAlignment="1">
      <alignment horizontal="center"/>
    </xf>
    <xf numFmtId="0" fontId="13" fillId="6" borderId="0" xfId="0" applyFont="1" applyFill="1"/>
    <xf numFmtId="0" fontId="14" fillId="0" borderId="0" xfId="0" applyFont="1"/>
    <xf numFmtId="165" fontId="14" fillId="0" borderId="0" xfId="0" applyNumberFormat="1" applyFont="1"/>
    <xf numFmtId="164" fontId="11" fillId="0" borderId="0" xfId="0" applyNumberFormat="1" applyFont="1" applyAlignment="1">
      <alignment horizontal="center"/>
    </xf>
    <xf numFmtId="165" fontId="11" fillId="0" borderId="0" xfId="0" applyNumberFormat="1" applyFont="1"/>
    <xf numFmtId="2" fontId="15" fillId="0" borderId="0" xfId="0" applyNumberFormat="1" applyFont="1" applyAlignment="1">
      <alignment horizontal="center"/>
    </xf>
    <xf numFmtId="0" fontId="15" fillId="0" borderId="0" xfId="0" applyFont="1" applyAlignment="1">
      <alignment horizontal="center"/>
    </xf>
    <xf numFmtId="166" fontId="11" fillId="7" borderId="0" xfId="0" applyNumberFormat="1" applyFont="1" applyFill="1"/>
    <xf numFmtId="0" fontId="11" fillId="7" borderId="0" xfId="0" applyFont="1" applyFill="1"/>
    <xf numFmtId="0" fontId="11" fillId="7" borderId="0" xfId="0" applyFont="1" applyFill="1" applyAlignment="1">
      <alignment horizontal="center"/>
    </xf>
    <xf numFmtId="168" fontId="11" fillId="0" borderId="0" xfId="0" applyNumberFormat="1" applyFont="1"/>
    <xf numFmtId="18" fontId="11" fillId="7" borderId="0" xfId="0" applyNumberFormat="1" applyFont="1" applyFill="1"/>
    <xf numFmtId="0" fontId="16" fillId="6" borderId="0" xfId="0" applyFont="1" applyFill="1"/>
    <xf numFmtId="0" fontId="4" fillId="0" borderId="0" xfId="0" applyFont="1"/>
    <xf numFmtId="0" fontId="6" fillId="9" borderId="0" xfId="0" applyFont="1" applyFill="1"/>
    <xf numFmtId="0" fontId="14" fillId="7" borderId="0" xfId="0" applyFont="1" applyFill="1"/>
    <xf numFmtId="170" fontId="11" fillId="0" borderId="0" xfId="0" applyNumberFormat="1" applyFont="1"/>
    <xf numFmtId="18" fontId="11" fillId="0" borderId="0" xfId="0" applyNumberFormat="1" applyFont="1"/>
    <xf numFmtId="0" fontId="14" fillId="0" borderId="0" xfId="0" applyFont="1" applyAlignment="1">
      <alignment horizontal="center"/>
    </xf>
    <xf numFmtId="172" fontId="11" fillId="0" borderId="0" xfId="0" applyNumberFormat="1" applyFont="1"/>
    <xf numFmtId="0" fontId="11" fillId="18" borderId="0" xfId="0" applyFont="1" applyFill="1" applyAlignment="1">
      <alignment horizontal="center"/>
    </xf>
    <xf numFmtId="0" fontId="15" fillId="0" borderId="0" xfId="0" applyFont="1"/>
    <xf numFmtId="0" fontId="17" fillId="0" borderId="0" xfId="0" applyFont="1"/>
    <xf numFmtId="0" fontId="5" fillId="0" borderId="0" xfId="0" applyFont="1"/>
    <xf numFmtId="0" fontId="17" fillId="0" borderId="0" xfId="0" applyFont="1" applyAlignment="1">
      <alignment horizontal="center"/>
    </xf>
    <xf numFmtId="165" fontId="5" fillId="0" borderId="0" xfId="0" applyNumberFormat="1" applyFont="1"/>
    <xf numFmtId="165" fontId="17" fillId="0" borderId="0" xfId="0" applyNumberFormat="1" applyFont="1"/>
    <xf numFmtId="10" fontId="17" fillId="0" borderId="0" xfId="0" applyNumberFormat="1" applyFont="1"/>
    <xf numFmtId="2" fontId="17" fillId="0" borderId="0" xfId="0" applyNumberFormat="1" applyFont="1"/>
    <xf numFmtId="0" fontId="17" fillId="0" borderId="0" xfId="0" applyFont="1" applyAlignment="1">
      <alignment horizontal="left"/>
    </xf>
    <xf numFmtId="0" fontId="9" fillId="0" borderId="0" xfId="0" applyFont="1"/>
    <xf numFmtId="164" fontId="18" fillId="0" borderId="0" xfId="0" applyNumberFormat="1" applyFont="1"/>
    <xf numFmtId="2" fontId="5" fillId="0" borderId="0" xfId="0" applyNumberFormat="1" applyFont="1"/>
    <xf numFmtId="0" fontId="5" fillId="0" borderId="0" xfId="0" applyFont="1" applyAlignment="1">
      <alignment horizontal="center"/>
    </xf>
    <xf numFmtId="0" fontId="19" fillId="0" borderId="0" xfId="0" applyFont="1"/>
    <xf numFmtId="0" fontId="18" fillId="0" borderId="0" xfId="0" applyFont="1"/>
    <xf numFmtId="0" fontId="20" fillId="0" borderId="0" xfId="0" applyFont="1"/>
    <xf numFmtId="0" fontId="21" fillId="0" borderId="0" xfId="0" applyFont="1"/>
    <xf numFmtId="164" fontId="14" fillId="0" borderId="0" xfId="0" applyNumberFormat="1" applyFont="1" applyAlignment="1">
      <alignment horizontal="center"/>
    </xf>
    <xf numFmtId="164" fontId="22" fillId="0" borderId="0" xfId="0" applyNumberFormat="1" applyFont="1"/>
    <xf numFmtId="0" fontId="23" fillId="0" borderId="0" xfId="0" applyFont="1"/>
    <xf numFmtId="0" fontId="22" fillId="0" borderId="0" xfId="0" applyFont="1"/>
    <xf numFmtId="0" fontId="20" fillId="0" borderId="0" xfId="0" applyFont="1" applyAlignment="1">
      <alignment horizontal="center"/>
    </xf>
    <xf numFmtId="165" fontId="10" fillId="0" borderId="0" xfId="0" applyNumberFormat="1" applyFont="1"/>
    <xf numFmtId="172" fontId="24" fillId="0" borderId="0" xfId="0" applyNumberFormat="1" applyFont="1" applyAlignment="1">
      <alignment horizontal="left"/>
    </xf>
    <xf numFmtId="0" fontId="10" fillId="0" borderId="0" xfId="0" applyFont="1"/>
    <xf numFmtId="164" fontId="15" fillId="0" borderId="0" xfId="0" applyNumberFormat="1" applyFont="1"/>
    <xf numFmtId="2" fontId="17" fillId="25" borderId="0" xfId="0" applyNumberFormat="1" applyFont="1" applyFill="1"/>
    <xf numFmtId="2" fontId="17" fillId="26" borderId="0" xfId="0" applyNumberFormat="1" applyFont="1" applyFill="1"/>
    <xf numFmtId="0" fontId="23" fillId="6" borderId="0" xfId="0" applyFont="1" applyFill="1"/>
    <xf numFmtId="164" fontId="27" fillId="0" borderId="0" xfId="0" applyNumberFormat="1" applyFont="1"/>
    <xf numFmtId="166" fontId="17" fillId="0" borderId="0" xfId="0" applyNumberFormat="1" applyFont="1"/>
    <xf numFmtId="165" fontId="28" fillId="0" borderId="0" xfId="0" applyNumberFormat="1" applyFont="1"/>
    <xf numFmtId="0" fontId="28" fillId="0" borderId="0" xfId="0" applyFont="1"/>
    <xf numFmtId="164" fontId="28" fillId="0" borderId="0" xfId="0" applyNumberFormat="1" applyFont="1"/>
    <xf numFmtId="2" fontId="25" fillId="0" borderId="0" xfId="0" applyNumberFormat="1" applyFont="1"/>
    <xf numFmtId="165" fontId="18" fillId="0" borderId="0" xfId="0" applyNumberFormat="1" applyFont="1"/>
    <xf numFmtId="2" fontId="18" fillId="0" borderId="0" xfId="0" applyNumberFormat="1" applyFont="1"/>
    <xf numFmtId="0" fontId="23" fillId="0" borderId="0" xfId="0" applyFont="1" applyAlignment="1">
      <alignment horizontal="center"/>
    </xf>
    <xf numFmtId="0" fontId="30" fillId="0" borderId="0" xfId="0" applyFont="1"/>
    <xf numFmtId="0" fontId="31" fillId="6" borderId="0" xfId="0" applyFont="1" applyFill="1"/>
    <xf numFmtId="0" fontId="10" fillId="0" borderId="0" xfId="0" applyFont="1" applyAlignment="1">
      <alignment horizontal="center"/>
    </xf>
    <xf numFmtId="165" fontId="15" fillId="0" borderId="0" xfId="0" applyNumberFormat="1" applyFont="1"/>
    <xf numFmtId="10" fontId="11" fillId="0" borderId="0" xfId="0" applyNumberFormat="1" applyFont="1"/>
    <xf numFmtId="2" fontId="11" fillId="0" borderId="0" xfId="0" applyNumberFormat="1" applyFont="1"/>
    <xf numFmtId="0" fontId="9" fillId="27" borderId="4" xfId="0" applyFont="1" applyFill="1" applyBorder="1"/>
    <xf numFmtId="0" fontId="9" fillId="28" borderId="4" xfId="0" applyFont="1" applyFill="1" applyBorder="1"/>
    <xf numFmtId="174" fontId="6" fillId="3" borderId="0" xfId="0" applyNumberFormat="1" applyFont="1" applyFill="1"/>
    <xf numFmtId="0" fontId="7" fillId="3" borderId="0" xfId="0" applyFont="1" applyFill="1"/>
    <xf numFmtId="0" fontId="7" fillId="3" borderId="0" xfId="0" applyFont="1" applyFill="1" applyAlignment="1">
      <alignment horizontal="center"/>
    </xf>
    <xf numFmtId="165" fontId="7" fillId="3" borderId="0" xfId="0" applyNumberFormat="1" applyFont="1" applyFill="1"/>
    <xf numFmtId="164" fontId="7" fillId="3" borderId="0" xfId="0" applyNumberFormat="1" applyFont="1" applyFill="1" applyAlignment="1">
      <alignment horizontal="center"/>
    </xf>
    <xf numFmtId="10" fontId="7" fillId="3" borderId="0" xfId="0" applyNumberFormat="1" applyFont="1" applyFill="1"/>
    <xf numFmtId="2" fontId="8" fillId="3" borderId="0" xfId="0" applyNumberFormat="1" applyFont="1" applyFill="1" applyAlignment="1">
      <alignment horizontal="center"/>
    </xf>
    <xf numFmtId="0" fontId="10" fillId="3" borderId="0" xfId="0" applyFont="1" applyFill="1" applyAlignment="1">
      <alignment horizontal="center"/>
    </xf>
    <xf numFmtId="4" fontId="11" fillId="0" borderId="0" xfId="0" applyNumberFormat="1" applyFont="1"/>
    <xf numFmtId="2" fontId="15" fillId="3" borderId="0" xfId="0" applyNumberFormat="1" applyFont="1" applyFill="1" applyAlignment="1">
      <alignment horizontal="center"/>
    </xf>
    <xf numFmtId="0" fontId="15" fillId="3" borderId="0" xfId="0" applyFont="1" applyFill="1" applyAlignment="1">
      <alignment horizontal="center"/>
    </xf>
    <xf numFmtId="164" fontId="11" fillId="0" borderId="0" xfId="0" applyNumberFormat="1" applyFont="1"/>
    <xf numFmtId="0" fontId="32" fillId="0" borderId="0" xfId="0" applyFont="1"/>
    <xf numFmtId="0" fontId="33" fillId="0" borderId="0" xfId="0" applyFont="1"/>
    <xf numFmtId="175" fontId="14" fillId="0" borderId="0" xfId="0" applyNumberFormat="1" applyFont="1" applyAlignment="1">
      <alignment horizontal="center"/>
    </xf>
    <xf numFmtId="0" fontId="34" fillId="0" borderId="0" xfId="0" applyFont="1"/>
    <xf numFmtId="176" fontId="11" fillId="0" borderId="0" xfId="0" applyNumberFormat="1" applyFont="1"/>
    <xf numFmtId="0" fontId="16" fillId="0" borderId="0" xfId="0" applyFont="1"/>
    <xf numFmtId="0" fontId="35" fillId="0" borderId="0" xfId="0" applyFont="1" applyAlignment="1">
      <alignment horizontal="center"/>
    </xf>
    <xf numFmtId="0" fontId="36" fillId="0" borderId="0" xfId="0" applyFont="1" applyAlignment="1">
      <alignment horizontal="center"/>
    </xf>
    <xf numFmtId="0" fontId="37" fillId="0" borderId="0" xfId="0" applyFont="1"/>
    <xf numFmtId="165" fontId="37" fillId="0" borderId="0" xfId="0" applyNumberFormat="1" applyFont="1"/>
    <xf numFmtId="165" fontId="36" fillId="0" borderId="0" xfId="0" applyNumberFormat="1" applyFont="1"/>
    <xf numFmtId="0" fontId="36" fillId="0" borderId="0" xfId="0" applyFont="1"/>
    <xf numFmtId="0" fontId="38" fillId="0" borderId="0" xfId="0" applyFont="1"/>
    <xf numFmtId="164" fontId="7" fillId="3" borderId="0" xfId="0" applyNumberFormat="1" applyFont="1" applyFill="1"/>
    <xf numFmtId="171" fontId="11" fillId="0" borderId="0" xfId="0" applyNumberFormat="1" applyFont="1"/>
    <xf numFmtId="0" fontId="39" fillId="0" borderId="0" xfId="0" applyFont="1"/>
    <xf numFmtId="175" fontId="11" fillId="0" borderId="0" xfId="0" applyNumberFormat="1" applyFont="1" applyAlignment="1">
      <alignment horizontal="center"/>
    </xf>
    <xf numFmtId="164" fontId="11" fillId="29" borderId="0" xfId="0" applyNumberFormat="1" applyFont="1" applyFill="1"/>
    <xf numFmtId="0" fontId="11" fillId="0" borderId="0" xfId="0" applyFont="1" applyAlignment="1">
      <alignment horizontal="left"/>
    </xf>
    <xf numFmtId="166" fontId="7" fillId="0" borderId="0" xfId="0" applyNumberFormat="1" applyFont="1"/>
    <xf numFmtId="18" fontId="7" fillId="0" borderId="0" xfId="0" applyNumberFormat="1" applyFont="1"/>
    <xf numFmtId="0" fontId="7" fillId="0" borderId="0" xfId="0" applyFont="1" applyAlignment="1">
      <alignment horizontal="center"/>
    </xf>
    <xf numFmtId="165" fontId="7" fillId="0" borderId="0" xfId="0" applyNumberFormat="1" applyFont="1"/>
    <xf numFmtId="164" fontId="7" fillId="0" borderId="0" xfId="0" applyNumberFormat="1" applyFont="1" applyAlignment="1">
      <alignment horizontal="center"/>
    </xf>
    <xf numFmtId="0" fontId="6" fillId="30" borderId="0" xfId="0" applyFont="1" applyFill="1"/>
    <xf numFmtId="164" fontId="11" fillId="31" borderId="0" xfId="0" applyNumberFormat="1" applyFont="1" applyFill="1" applyAlignment="1">
      <alignment horizontal="center"/>
    </xf>
    <xf numFmtId="0" fontId="11" fillId="3" borderId="0" xfId="0" applyFont="1" applyFill="1"/>
    <xf numFmtId="164" fontId="11" fillId="21" borderId="0" xfId="0" applyNumberFormat="1" applyFont="1" applyFill="1" applyAlignment="1">
      <alignment horizontal="center"/>
    </xf>
    <xf numFmtId="0" fontId="11" fillId="32" borderId="0" xfId="0" applyFont="1" applyFill="1"/>
    <xf numFmtId="0" fontId="9" fillId="30" borderId="0" xfId="0" applyFont="1" applyFill="1"/>
    <xf numFmtId="0" fontId="40" fillId="0" borderId="0" xfId="0" applyFont="1"/>
    <xf numFmtId="0" fontId="41" fillId="0" borderId="0" xfId="0" applyFont="1"/>
    <xf numFmtId="2" fontId="14" fillId="0" borderId="0" xfId="0" applyNumberFormat="1" applyFont="1" applyAlignment="1">
      <alignment horizontal="center"/>
    </xf>
    <xf numFmtId="0" fontId="42" fillId="0" borderId="0" xfId="0" applyFont="1"/>
    <xf numFmtId="0" fontId="26" fillId="0" borderId="0" xfId="0" applyFont="1" applyAlignment="1">
      <alignment horizontal="center"/>
    </xf>
    <xf numFmtId="0" fontId="40" fillId="30" borderId="0" xfId="0" applyFont="1" applyFill="1"/>
    <xf numFmtId="0" fontId="41" fillId="30" borderId="0" xfId="0" applyFont="1" applyFill="1"/>
    <xf numFmtId="0" fontId="14" fillId="3" borderId="0" xfId="0" applyFont="1" applyFill="1"/>
    <xf numFmtId="0" fontId="11" fillId="3" borderId="0" xfId="0" applyFont="1" applyFill="1" applyAlignment="1">
      <alignment horizontal="center"/>
    </xf>
    <xf numFmtId="165" fontId="14" fillId="3" borderId="0" xfId="0" applyNumberFormat="1" applyFont="1" applyFill="1"/>
    <xf numFmtId="164" fontId="11" fillId="3" borderId="0" xfId="0" applyNumberFormat="1" applyFont="1" applyFill="1" applyAlignment="1">
      <alignment horizontal="center"/>
    </xf>
    <xf numFmtId="165" fontId="11" fillId="3" borderId="0" xfId="0" applyNumberFormat="1" applyFont="1" applyFill="1"/>
    <xf numFmtId="10" fontId="11" fillId="3" borderId="0" xfId="0" applyNumberFormat="1" applyFont="1" applyFill="1"/>
    <xf numFmtId="0" fontId="9" fillId="3" borderId="0" xfId="0" applyFont="1" applyFill="1"/>
    <xf numFmtId="0" fontId="11" fillId="33" borderId="0" xfId="0" applyFont="1" applyFill="1"/>
    <xf numFmtId="0" fontId="9" fillId="25" borderId="0" xfId="0" applyFont="1" applyFill="1"/>
    <xf numFmtId="0" fontId="11" fillId="25" borderId="0" xfId="0" applyFont="1" applyFill="1"/>
    <xf numFmtId="0" fontId="14" fillId="25" borderId="0" xfId="0" applyFont="1" applyFill="1"/>
    <xf numFmtId="0" fontId="11" fillId="25" borderId="0" xfId="0" applyFont="1" applyFill="1" applyAlignment="1">
      <alignment horizontal="center"/>
    </xf>
    <xf numFmtId="165" fontId="14" fillId="25" borderId="0" xfId="0" applyNumberFormat="1" applyFont="1" applyFill="1"/>
    <xf numFmtId="164" fontId="11" fillId="25" borderId="0" xfId="0" applyNumberFormat="1" applyFont="1" applyFill="1" applyAlignment="1">
      <alignment horizontal="center"/>
    </xf>
    <xf numFmtId="165" fontId="11" fillId="25" borderId="0" xfId="0" applyNumberFormat="1" applyFont="1" applyFill="1"/>
    <xf numFmtId="0" fontId="15" fillId="25" borderId="0" xfId="0" applyFont="1" applyFill="1" applyAlignment="1">
      <alignment horizontal="center"/>
    </xf>
    <xf numFmtId="44" fontId="5" fillId="0" borderId="0" xfId="0" applyNumberFormat="1" applyFont="1"/>
    <xf numFmtId="4" fontId="17" fillId="0" borderId="0" xfId="0" applyNumberFormat="1" applyFont="1"/>
    <xf numFmtId="0" fontId="1" fillId="2" borderId="13" xfId="0" applyFont="1" applyFill="1" applyBorder="1" applyAlignment="1">
      <alignment horizontal="center"/>
    </xf>
    <xf numFmtId="0" fontId="6" fillId="3" borderId="0" xfId="0" applyFont="1" applyFill="1"/>
    <xf numFmtId="0" fontId="6" fillId="3" borderId="0" xfId="0" applyFont="1" applyFill="1" applyAlignment="1">
      <alignment horizontal="center"/>
    </xf>
    <xf numFmtId="0" fontId="7" fillId="3" borderId="0" xfId="0" applyFont="1" applyFill="1" applyAlignment="1">
      <alignment horizontal="left"/>
    </xf>
    <xf numFmtId="165" fontId="6" fillId="3" borderId="0" xfId="0" applyNumberFormat="1" applyFont="1" applyFill="1"/>
    <xf numFmtId="0" fontId="9" fillId="4" borderId="0" xfId="0" applyFont="1" applyFill="1"/>
    <xf numFmtId="0" fontId="9" fillId="5" borderId="0" xfId="0" applyFont="1" applyFill="1"/>
    <xf numFmtId="2" fontId="7" fillId="3" borderId="0" xfId="0" applyNumberFormat="1" applyFont="1" applyFill="1" applyAlignment="1">
      <alignment horizontal="left"/>
    </xf>
    <xf numFmtId="0" fontId="45" fillId="2" borderId="0" xfId="0" applyFont="1" applyFill="1"/>
    <xf numFmtId="0" fontId="46" fillId="2" borderId="0" xfId="0" applyFont="1" applyFill="1"/>
    <xf numFmtId="0" fontId="46" fillId="2" borderId="0" xfId="0" applyFont="1" applyFill="1" applyAlignment="1">
      <alignment horizontal="fill" wrapText="1"/>
    </xf>
    <xf numFmtId="0" fontId="46" fillId="2" borderId="0" xfId="0" applyFont="1" applyFill="1" applyAlignment="1">
      <alignment horizontal="fill"/>
    </xf>
    <xf numFmtId="0" fontId="46" fillId="2" borderId="0" xfId="0" applyFont="1" applyFill="1" applyAlignment="1">
      <alignment horizontal="center"/>
    </xf>
    <xf numFmtId="165" fontId="46" fillId="2" borderId="0" xfId="0" applyNumberFormat="1" applyFont="1" applyFill="1"/>
    <xf numFmtId="164" fontId="46" fillId="2" borderId="0" xfId="0" applyNumberFormat="1" applyFont="1" applyFill="1" applyAlignment="1">
      <alignment horizontal="center"/>
    </xf>
    <xf numFmtId="10" fontId="46" fillId="2" borderId="0" xfId="0" applyNumberFormat="1" applyFont="1" applyFill="1"/>
    <xf numFmtId="2" fontId="47" fillId="2" borderId="0" xfId="0" applyNumberFormat="1" applyFont="1" applyFill="1" applyAlignment="1">
      <alignment horizontal="center"/>
    </xf>
    <xf numFmtId="0" fontId="48" fillId="2" borderId="0" xfId="0" applyFont="1" applyFill="1" applyAlignment="1">
      <alignment horizontal="center"/>
    </xf>
    <xf numFmtId="166" fontId="49" fillId="0" borderId="12" xfId="0" applyNumberFormat="1" applyFont="1" applyBorder="1"/>
    <xf numFmtId="0" fontId="49" fillId="0" borderId="15" xfId="0" applyFont="1" applyBorder="1"/>
    <xf numFmtId="0" fontId="49" fillId="0" borderId="15" xfId="0" applyFont="1" applyBorder="1" applyAlignment="1">
      <alignment horizontal="fill" wrapText="1"/>
    </xf>
    <xf numFmtId="0" fontId="49" fillId="0" borderId="15" xfId="0" applyFont="1" applyBorder="1" applyAlignment="1">
      <alignment horizontal="fill"/>
    </xf>
    <xf numFmtId="0" fontId="49" fillId="0" borderId="15" xfId="0" applyFont="1" applyBorder="1" applyAlignment="1">
      <alignment horizontal="center"/>
    </xf>
    <xf numFmtId="0" fontId="50" fillId="0" borderId="15" xfId="0" applyFont="1" applyBorder="1" applyAlignment="1">
      <alignment horizontal="center"/>
    </xf>
    <xf numFmtId="0" fontId="51" fillId="6" borderId="15" xfId="0" applyFont="1" applyFill="1" applyBorder="1"/>
    <xf numFmtId="0" fontId="52" fillId="0" borderId="15" xfId="0" applyFont="1" applyBorder="1"/>
    <xf numFmtId="165" fontId="52" fillId="0" borderId="15" xfId="0" applyNumberFormat="1" applyFont="1" applyBorder="1"/>
    <xf numFmtId="164" fontId="49" fillId="0" borderId="15" xfId="0" applyNumberFormat="1" applyFont="1" applyBorder="1" applyAlignment="1">
      <alignment horizontal="center"/>
    </xf>
    <xf numFmtId="165" fontId="49" fillId="0" borderId="15" xfId="0" applyNumberFormat="1" applyFont="1" applyBorder="1"/>
    <xf numFmtId="2" fontId="53" fillId="0" borderId="15" xfId="0" applyNumberFormat="1" applyFont="1" applyBorder="1" applyAlignment="1">
      <alignment horizontal="center"/>
    </xf>
    <xf numFmtId="0" fontId="53" fillId="0" borderId="15" xfId="0" applyFont="1" applyBorder="1" applyAlignment="1">
      <alignment horizontal="center"/>
    </xf>
    <xf numFmtId="166" fontId="49" fillId="7" borderId="16" xfId="0" applyNumberFormat="1" applyFont="1" applyFill="1" applyBorder="1"/>
    <xf numFmtId="0" fontId="49" fillId="7" borderId="7" xfId="0" applyFont="1" applyFill="1" applyBorder="1"/>
    <xf numFmtId="0" fontId="49" fillId="7" borderId="7" xfId="0" applyFont="1" applyFill="1" applyBorder="1" applyAlignment="1">
      <alignment horizontal="fill" wrapText="1"/>
    </xf>
    <xf numFmtId="0" fontId="49" fillId="7" borderId="7" xfId="0" applyFont="1" applyFill="1" applyBorder="1" applyAlignment="1">
      <alignment horizontal="fill"/>
    </xf>
    <xf numFmtId="0" fontId="49" fillId="7" borderId="7" xfId="0" applyFont="1" applyFill="1" applyBorder="1" applyAlignment="1">
      <alignment horizontal="center"/>
    </xf>
    <xf numFmtId="0" fontId="49" fillId="0" borderId="7" xfId="0" applyFont="1" applyBorder="1"/>
    <xf numFmtId="0" fontId="49" fillId="0" borderId="7" xfId="0" applyFont="1" applyBorder="1" applyAlignment="1">
      <alignment horizontal="center"/>
    </xf>
    <xf numFmtId="0" fontId="51" fillId="6" borderId="7" xfId="0" applyFont="1" applyFill="1" applyBorder="1"/>
    <xf numFmtId="0" fontId="52" fillId="0" borderId="7" xfId="0" applyFont="1" applyBorder="1"/>
    <xf numFmtId="165" fontId="52" fillId="0" borderId="7" xfId="0" applyNumberFormat="1" applyFont="1" applyBorder="1"/>
    <xf numFmtId="164" fontId="49" fillId="0" borderId="7" xfId="0" applyNumberFormat="1" applyFont="1" applyBorder="1" applyAlignment="1">
      <alignment horizontal="center"/>
    </xf>
    <xf numFmtId="167" fontId="49" fillId="0" borderId="7" xfId="0" applyNumberFormat="1" applyFont="1" applyBorder="1"/>
    <xf numFmtId="165" fontId="49" fillId="0" borderId="7" xfId="0" applyNumberFormat="1" applyFont="1" applyBorder="1"/>
    <xf numFmtId="2" fontId="53" fillId="0" borderId="7" xfId="0" applyNumberFormat="1" applyFont="1" applyBorder="1" applyAlignment="1">
      <alignment horizontal="center"/>
    </xf>
    <xf numFmtId="0" fontId="53" fillId="0" borderId="7" xfId="0" applyFont="1" applyBorder="1" applyAlignment="1">
      <alignment horizontal="center"/>
    </xf>
    <xf numFmtId="168" fontId="49" fillId="0" borderId="7" xfId="0" applyNumberFormat="1" applyFont="1" applyBorder="1"/>
    <xf numFmtId="0" fontId="48" fillId="7" borderId="7" xfId="0" applyFont="1" applyFill="1" applyBorder="1" applyAlignment="1">
      <alignment horizontal="fill" wrapText="1"/>
    </xf>
    <xf numFmtId="18" fontId="49" fillId="7" borderId="7" xfId="0" applyNumberFormat="1" applyFont="1" applyFill="1" applyBorder="1"/>
    <xf numFmtId="169" fontId="49" fillId="0" borderId="7" xfId="0" applyNumberFormat="1" applyFont="1" applyBorder="1"/>
    <xf numFmtId="0" fontId="55" fillId="6" borderId="7" xfId="0" applyFont="1" applyFill="1" applyBorder="1"/>
    <xf numFmtId="0" fontId="48" fillId="0" borderId="7" xfId="0" applyFont="1" applyBorder="1"/>
    <xf numFmtId="0" fontId="49" fillId="7" borderId="7" xfId="0" applyFont="1" applyFill="1" applyBorder="1" applyAlignment="1">
      <alignment horizontal="left"/>
    </xf>
    <xf numFmtId="0" fontId="49" fillId="8" borderId="7" xfId="0" applyFont="1" applyFill="1" applyBorder="1" applyAlignment="1">
      <alignment horizontal="center"/>
    </xf>
    <xf numFmtId="166" fontId="49" fillId="7" borderId="10" xfId="0" applyNumberFormat="1" applyFont="1" applyFill="1" applyBorder="1"/>
    <xf numFmtId="0" fontId="49" fillId="7" borderId="18" xfId="0" applyFont="1" applyFill="1" applyBorder="1"/>
    <xf numFmtId="0" fontId="49" fillId="7" borderId="18" xfId="0" applyFont="1" applyFill="1" applyBorder="1" applyAlignment="1">
      <alignment horizontal="fill" wrapText="1"/>
    </xf>
    <xf numFmtId="0" fontId="49" fillId="7" borderId="18" xfId="0" applyFont="1" applyFill="1" applyBorder="1" applyAlignment="1">
      <alignment horizontal="fill"/>
    </xf>
    <xf numFmtId="0" fontId="49" fillId="7" borderId="18" xfId="0" applyFont="1" applyFill="1" applyBorder="1" applyAlignment="1">
      <alignment horizontal="center"/>
    </xf>
    <xf numFmtId="0" fontId="49" fillId="0" borderId="18" xfId="0" applyFont="1" applyBorder="1"/>
    <xf numFmtId="0" fontId="49" fillId="0" borderId="18" xfId="0" applyFont="1" applyBorder="1" applyAlignment="1">
      <alignment horizontal="center"/>
    </xf>
    <xf numFmtId="0" fontId="51" fillId="6" borderId="18" xfId="0" applyFont="1" applyFill="1" applyBorder="1"/>
    <xf numFmtId="0" fontId="52" fillId="0" borderId="18" xfId="0" applyFont="1" applyBorder="1"/>
    <xf numFmtId="165" fontId="52" fillId="0" borderId="18" xfId="0" applyNumberFormat="1" applyFont="1" applyBorder="1"/>
    <xf numFmtId="164" fontId="49" fillId="0" borderId="18" xfId="0" applyNumberFormat="1" applyFont="1" applyBorder="1" applyAlignment="1">
      <alignment horizontal="center"/>
    </xf>
    <xf numFmtId="165" fontId="49" fillId="0" borderId="18" xfId="0" applyNumberFormat="1" applyFont="1" applyBorder="1"/>
    <xf numFmtId="2" fontId="53" fillId="0" borderId="18" xfId="0" applyNumberFormat="1" applyFont="1" applyBorder="1" applyAlignment="1">
      <alignment horizontal="center"/>
    </xf>
    <xf numFmtId="0" fontId="53" fillId="0" borderId="18" xfId="0" applyFont="1" applyBorder="1" applyAlignment="1">
      <alignment horizontal="center"/>
    </xf>
    <xf numFmtId="0" fontId="49" fillId="2" borderId="0" xfId="0" applyFont="1" applyFill="1"/>
    <xf numFmtId="0" fontId="49" fillId="2" borderId="0" xfId="0" applyFont="1" applyFill="1" applyAlignment="1">
      <alignment horizontal="fill" wrapText="1"/>
    </xf>
    <xf numFmtId="0" fontId="49" fillId="2" borderId="0" xfId="0" applyFont="1" applyFill="1" applyAlignment="1">
      <alignment horizontal="fill"/>
    </xf>
    <xf numFmtId="0" fontId="49" fillId="2" borderId="0" xfId="0" applyFont="1" applyFill="1" applyAlignment="1">
      <alignment horizontal="center"/>
    </xf>
    <xf numFmtId="0" fontId="52" fillId="2" borderId="0" xfId="0" applyFont="1" applyFill="1"/>
    <xf numFmtId="165" fontId="52" fillId="2" borderId="0" xfId="0" applyNumberFormat="1" applyFont="1" applyFill="1"/>
    <xf numFmtId="164" fontId="49" fillId="2" borderId="0" xfId="0" applyNumberFormat="1" applyFont="1" applyFill="1" applyAlignment="1">
      <alignment horizontal="center"/>
    </xf>
    <xf numFmtId="165" fontId="49" fillId="2" borderId="0" xfId="0" applyNumberFormat="1" applyFont="1" applyFill="1"/>
    <xf numFmtId="0" fontId="53" fillId="2" borderId="0" xfId="0" applyFont="1" applyFill="1" applyAlignment="1">
      <alignment horizontal="center"/>
    </xf>
    <xf numFmtId="166" fontId="49" fillId="7" borderId="12" xfId="0" applyNumberFormat="1" applyFont="1" applyFill="1" applyBorder="1"/>
    <xf numFmtId="18" fontId="49" fillId="7" borderId="15" xfId="0" applyNumberFormat="1" applyFont="1" applyFill="1" applyBorder="1"/>
    <xf numFmtId="0" fontId="49" fillId="7" borderId="15" xfId="0" applyFont="1" applyFill="1" applyBorder="1"/>
    <xf numFmtId="0" fontId="52" fillId="7" borderId="15" xfId="0" applyFont="1" applyFill="1" applyBorder="1" applyAlignment="1">
      <alignment horizontal="fill" wrapText="1"/>
    </xf>
    <xf numFmtId="0" fontId="49" fillId="7" borderId="15" xfId="0" applyFont="1" applyFill="1" applyBorder="1" applyAlignment="1">
      <alignment horizontal="fill"/>
    </xf>
    <xf numFmtId="0" fontId="49" fillId="7" borderId="15" xfId="0" applyFont="1" applyFill="1" applyBorder="1" applyAlignment="1">
      <alignment horizontal="center"/>
    </xf>
    <xf numFmtId="0" fontId="52" fillId="7" borderId="7" xfId="0" applyFont="1" applyFill="1" applyBorder="1" applyAlignment="1">
      <alignment horizontal="fill" wrapText="1"/>
    </xf>
    <xf numFmtId="170" fontId="49" fillId="0" borderId="7" xfId="0" applyNumberFormat="1" applyFont="1" applyBorder="1"/>
    <xf numFmtId="18" fontId="49" fillId="0" borderId="7" xfId="0" applyNumberFormat="1" applyFont="1" applyBorder="1"/>
    <xf numFmtId="171" fontId="49" fillId="7" borderId="16" xfId="0" applyNumberFormat="1" applyFont="1" applyFill="1" applyBorder="1"/>
    <xf numFmtId="0" fontId="52" fillId="0" borderId="7" xfId="0" applyFont="1" applyBorder="1" applyAlignment="1">
      <alignment horizontal="center"/>
    </xf>
    <xf numFmtId="166" fontId="55" fillId="7" borderId="16" xfId="0" applyNumberFormat="1" applyFont="1" applyFill="1" applyBorder="1"/>
    <xf numFmtId="0" fontId="55" fillId="7" borderId="7" xfId="0" applyFont="1" applyFill="1" applyBorder="1"/>
    <xf numFmtId="0" fontId="52" fillId="7" borderId="7" xfId="0" applyFont="1" applyFill="1" applyBorder="1" applyAlignment="1">
      <alignment horizontal="fill"/>
    </xf>
    <xf numFmtId="18" fontId="49" fillId="7" borderId="16" xfId="0" applyNumberFormat="1" applyFont="1" applyFill="1" applyBorder="1"/>
    <xf numFmtId="0" fontId="49" fillId="10" borderId="7" xfId="0" applyFont="1" applyFill="1" applyBorder="1" applyAlignment="1">
      <alignment horizontal="left"/>
    </xf>
    <xf numFmtId="0" fontId="52" fillId="10" borderId="7" xfId="0" applyFont="1" applyFill="1" applyBorder="1" applyAlignment="1">
      <alignment horizontal="left"/>
    </xf>
    <xf numFmtId="0" fontId="52" fillId="8" borderId="7" xfId="0" applyFont="1" applyFill="1" applyBorder="1" applyAlignment="1">
      <alignment horizontal="center"/>
    </xf>
    <xf numFmtId="172" fontId="49" fillId="0" borderId="7" xfId="0" applyNumberFormat="1" applyFont="1" applyBorder="1"/>
    <xf numFmtId="0" fontId="49" fillId="11" borderId="7" xfId="0" applyFont="1" applyFill="1" applyBorder="1" applyAlignment="1">
      <alignment horizontal="center"/>
    </xf>
    <xf numFmtId="0" fontId="49" fillId="12" borderId="7" xfId="0" applyFont="1" applyFill="1" applyBorder="1" applyAlignment="1">
      <alignment horizontal="center"/>
    </xf>
    <xf numFmtId="166" fontId="49" fillId="13" borderId="16" xfId="0" applyNumberFormat="1" applyFont="1" applyFill="1" applyBorder="1"/>
    <xf numFmtId="0" fontId="49" fillId="13" borderId="7" xfId="0" applyFont="1" applyFill="1" applyBorder="1"/>
    <xf numFmtId="0" fontId="52" fillId="13" borderId="7" xfId="0" applyFont="1" applyFill="1" applyBorder="1" applyAlignment="1">
      <alignment horizontal="fill" wrapText="1"/>
    </xf>
    <xf numFmtId="0" fontId="49" fillId="14" borderId="7" xfId="0" applyFont="1" applyFill="1" applyBorder="1"/>
    <xf numFmtId="173" fontId="49" fillId="0" borderId="7" xfId="0" applyNumberFormat="1" applyFont="1" applyBorder="1"/>
    <xf numFmtId="0" fontId="49" fillId="15" borderId="7" xfId="0" applyFont="1" applyFill="1" applyBorder="1" applyAlignment="1">
      <alignment horizontal="center"/>
    </xf>
    <xf numFmtId="0" fontId="52" fillId="7" borderId="18" xfId="0" applyFont="1" applyFill="1" applyBorder="1" applyAlignment="1">
      <alignment horizontal="fill" wrapText="1"/>
    </xf>
    <xf numFmtId="0" fontId="49" fillId="16" borderId="7" xfId="0" applyFont="1" applyFill="1" applyBorder="1" applyAlignment="1">
      <alignment horizontal="center"/>
    </xf>
    <xf numFmtId="0" fontId="49" fillId="18" borderId="7" xfId="0" applyFont="1" applyFill="1" applyBorder="1" applyAlignment="1">
      <alignment horizontal="center"/>
    </xf>
    <xf numFmtId="0" fontId="58" fillId="17" borderId="7" xfId="0" applyFont="1" applyFill="1" applyBorder="1" applyAlignment="1">
      <alignment horizontal="fill" wrapText="1"/>
    </xf>
    <xf numFmtId="0" fontId="59" fillId="2" borderId="0" xfId="0" applyFont="1" applyFill="1"/>
    <xf numFmtId="0" fontId="53" fillId="0" borderId="19" xfId="0" applyFont="1" applyBorder="1"/>
    <xf numFmtId="0" fontId="49" fillId="0" borderId="20" xfId="0" applyFont="1" applyBorder="1"/>
    <xf numFmtId="0" fontId="49" fillId="0" borderId="20" xfId="0" applyFont="1" applyBorder="1" applyAlignment="1">
      <alignment horizontal="fill" wrapText="1"/>
    </xf>
    <xf numFmtId="0" fontId="49" fillId="0" borderId="20" xfId="0" applyFont="1" applyBorder="1" applyAlignment="1">
      <alignment horizontal="fill"/>
    </xf>
    <xf numFmtId="0" fontId="49" fillId="0" borderId="20" xfId="0" applyFont="1" applyBorder="1" applyAlignment="1">
      <alignment horizontal="center"/>
    </xf>
    <xf numFmtId="0" fontId="51" fillId="6" borderId="20" xfId="0" applyFont="1" applyFill="1" applyBorder="1"/>
    <xf numFmtId="0" fontId="52" fillId="0" borderId="20" xfId="0" applyFont="1" applyBorder="1"/>
    <xf numFmtId="165" fontId="52" fillId="0" borderId="20" xfId="0" applyNumberFormat="1" applyFont="1" applyBorder="1"/>
    <xf numFmtId="164" fontId="49" fillId="0" borderId="20" xfId="0" applyNumberFormat="1" applyFont="1" applyBorder="1" applyAlignment="1">
      <alignment horizontal="center"/>
    </xf>
    <xf numFmtId="165" fontId="49" fillId="0" borderId="20" xfId="0" applyNumberFormat="1" applyFont="1" applyBorder="1"/>
    <xf numFmtId="2" fontId="53" fillId="0" borderId="20" xfId="0" applyNumberFormat="1" applyFont="1" applyBorder="1" applyAlignment="1">
      <alignment horizontal="center"/>
    </xf>
    <xf numFmtId="0" fontId="53" fillId="0" borderId="20" xfId="0" applyFont="1" applyBorder="1" applyAlignment="1">
      <alignment horizontal="center"/>
    </xf>
    <xf numFmtId="0" fontId="49" fillId="19" borderId="7" xfId="0" applyFont="1" applyFill="1" applyBorder="1" applyAlignment="1">
      <alignment horizontal="center"/>
    </xf>
    <xf numFmtId="0" fontId="49" fillId="20" borderId="7" xfId="0" applyFont="1" applyFill="1" applyBorder="1" applyAlignment="1">
      <alignment horizontal="center"/>
    </xf>
    <xf numFmtId="0" fontId="49" fillId="21" borderId="7" xfId="0" applyFont="1" applyFill="1" applyBorder="1" applyAlignment="1">
      <alignment horizontal="center"/>
    </xf>
    <xf numFmtId="0" fontId="49" fillId="10" borderId="7" xfId="0" applyFont="1" applyFill="1" applyBorder="1" applyAlignment="1">
      <alignment horizontal="center"/>
    </xf>
    <xf numFmtId="0" fontId="49" fillId="22" borderId="7" xfId="0" applyFont="1" applyFill="1" applyBorder="1" applyAlignment="1">
      <alignment horizontal="center"/>
    </xf>
    <xf numFmtId="0" fontId="49" fillId="7" borderId="16" xfId="0" applyFont="1" applyFill="1" applyBorder="1"/>
    <xf numFmtId="0" fontId="49" fillId="23" borderId="7" xfId="0" applyFont="1" applyFill="1" applyBorder="1" applyAlignment="1">
      <alignment horizontal="center"/>
    </xf>
    <xf numFmtId="0" fontId="50" fillId="0" borderId="7" xfId="0" applyFont="1" applyBorder="1" applyAlignment="1">
      <alignment horizontal="center"/>
    </xf>
    <xf numFmtId="0" fontId="49" fillId="24" borderId="7" xfId="0" applyFont="1" applyFill="1" applyBorder="1" applyAlignment="1">
      <alignment horizontal="center"/>
    </xf>
    <xf numFmtId="0" fontId="55" fillId="6" borderId="7" xfId="0" applyFont="1" applyFill="1" applyBorder="1" applyAlignment="1">
      <alignment horizontal="fill"/>
    </xf>
    <xf numFmtId="0" fontId="61" fillId="2" borderId="0" xfId="0" applyFont="1" applyFill="1"/>
    <xf numFmtId="0" fontId="49" fillId="6" borderId="7" xfId="0" applyFont="1" applyFill="1" applyBorder="1" applyAlignment="1">
      <alignment horizontal="center"/>
    </xf>
    <xf numFmtId="164" fontId="28" fillId="0" borderId="7" xfId="0" applyNumberFormat="1" applyFont="1" applyBorder="1"/>
    <xf numFmtId="164" fontId="29" fillId="6" borderId="7" xfId="0" applyNumberFormat="1" applyFont="1" applyFill="1" applyBorder="1"/>
    <xf numFmtId="10" fontId="17" fillId="0" borderId="7" xfId="0" applyNumberFormat="1" applyFont="1" applyBorder="1"/>
    <xf numFmtId="0" fontId="49" fillId="34" borderId="7" xfId="0" applyFont="1" applyFill="1" applyBorder="1" applyAlignment="1">
      <alignment horizontal="center"/>
    </xf>
    <xf numFmtId="0" fontId="52" fillId="2" borderId="21" xfId="0" applyFont="1" applyFill="1" applyBorder="1"/>
    <xf numFmtId="0" fontId="49" fillId="35" borderId="7" xfId="0" applyFont="1" applyFill="1" applyBorder="1" applyAlignment="1">
      <alignment horizontal="center"/>
    </xf>
    <xf numFmtId="0" fontId="49" fillId="36" borderId="7" xfId="0" applyFont="1" applyFill="1" applyBorder="1" applyAlignment="1">
      <alignment horizontal="center"/>
    </xf>
    <xf numFmtId="0" fontId="49" fillId="37" borderId="7" xfId="0" applyFont="1" applyFill="1" applyBorder="1" applyAlignment="1">
      <alignment horizontal="center"/>
    </xf>
    <xf numFmtId="0" fontId="49" fillId="38" borderId="7" xfId="0" applyFont="1" applyFill="1" applyBorder="1" applyAlignment="1">
      <alignment horizontal="center"/>
    </xf>
    <xf numFmtId="0" fontId="49" fillId="39" borderId="7" xfId="0" applyFont="1" applyFill="1" applyBorder="1" applyAlignment="1">
      <alignment horizontal="center"/>
    </xf>
    <xf numFmtId="0" fontId="52" fillId="7" borderId="7" xfId="0" applyFont="1" applyFill="1" applyBorder="1"/>
    <xf numFmtId="0" fontId="49" fillId="40" borderId="7" xfId="0" applyFont="1" applyFill="1" applyBorder="1" applyAlignment="1">
      <alignment horizontal="center"/>
    </xf>
    <xf numFmtId="15" fontId="49" fillId="0" borderId="7" xfId="0" applyNumberFormat="1" applyFont="1" applyBorder="1"/>
    <xf numFmtId="0" fontId="49" fillId="41" borderId="7" xfId="0" applyFont="1" applyFill="1" applyBorder="1" applyAlignment="1">
      <alignment horizontal="center"/>
    </xf>
    <xf numFmtId="0" fontId="49" fillId="42" borderId="7" xfId="0" applyFont="1" applyFill="1" applyBorder="1" applyAlignment="1">
      <alignment horizontal="center"/>
    </xf>
    <xf numFmtId="0" fontId="49" fillId="43" borderId="7" xfId="0" applyFont="1" applyFill="1" applyBorder="1" applyAlignment="1">
      <alignment horizontal="center"/>
    </xf>
    <xf numFmtId="0" fontId="52" fillId="7" borderId="7" xfId="1" applyFont="1" applyFill="1" applyBorder="1" applyAlignment="1">
      <alignment horizontal="fill" wrapText="1"/>
    </xf>
    <xf numFmtId="0" fontId="64" fillId="7" borderId="7" xfId="0" applyFont="1" applyFill="1" applyBorder="1" applyAlignment="1">
      <alignment horizontal="fill" wrapText="1"/>
    </xf>
    <xf numFmtId="0" fontId="65" fillId="7" borderId="7" xfId="1" applyFont="1" applyFill="1" applyBorder="1" applyAlignment="1">
      <alignment horizontal="fill" wrapText="1"/>
    </xf>
    <xf numFmtId="0" fontId="64" fillId="7" borderId="7" xfId="1" applyFont="1" applyFill="1" applyBorder="1" applyAlignment="1">
      <alignment horizontal="fill" wrapText="1"/>
    </xf>
    <xf numFmtId="0" fontId="49" fillId="44" borderId="7" xfId="0" applyFont="1" applyFill="1" applyBorder="1" applyAlignment="1">
      <alignment horizontal="center"/>
    </xf>
    <xf numFmtId="0" fontId="49" fillId="45" borderId="7" xfId="0" applyFont="1" applyFill="1" applyBorder="1" applyAlignment="1">
      <alignment horizontal="center"/>
    </xf>
    <xf numFmtId="0" fontId="49" fillId="46" borderId="7" xfId="0" applyFont="1" applyFill="1" applyBorder="1" applyAlignment="1">
      <alignment horizontal="center"/>
    </xf>
    <xf numFmtId="0" fontId="49" fillId="7" borderId="7" xfId="1" applyFont="1" applyFill="1" applyBorder="1" applyAlignment="1">
      <alignment horizontal="fill"/>
    </xf>
    <xf numFmtId="0" fontId="49" fillId="48" borderId="7" xfId="0" applyFont="1" applyFill="1" applyBorder="1" applyAlignment="1">
      <alignment horizontal="center"/>
    </xf>
    <xf numFmtId="16" fontId="49" fillId="0" borderId="7" xfId="0" applyNumberFormat="1" applyFont="1" applyBorder="1"/>
    <xf numFmtId="0" fontId="49" fillId="49" borderId="7" xfId="0" applyFont="1" applyFill="1" applyBorder="1" applyAlignment="1">
      <alignment horizontal="center"/>
    </xf>
    <xf numFmtId="164" fontId="0" fillId="0" borderId="0" xfId="0" applyNumberFormat="1"/>
    <xf numFmtId="0" fontId="66" fillId="0" borderId="0" xfId="0" applyFont="1"/>
    <xf numFmtId="0" fontId="67" fillId="0" borderId="0" xfId="0" applyFont="1" applyAlignment="1">
      <alignment horizontal="center"/>
    </xf>
    <xf numFmtId="0" fontId="70" fillId="0" borderId="0" xfId="0" applyFont="1"/>
    <xf numFmtId="0" fontId="55" fillId="0" borderId="0" xfId="0" applyFont="1"/>
    <xf numFmtId="0" fontId="74" fillId="0" borderId="0" xfId="0" applyFont="1"/>
    <xf numFmtId="164" fontId="75" fillId="2" borderId="14" xfId="1" applyNumberFormat="1" applyFont="1" applyFill="1" applyBorder="1" applyAlignment="1">
      <alignment horizontal="right" vertical="center"/>
    </xf>
    <xf numFmtId="0" fontId="55" fillId="0" borderId="0" xfId="0" applyFont="1" applyAlignment="1">
      <alignment horizontal="center"/>
    </xf>
    <xf numFmtId="0" fontId="55" fillId="54" borderId="0" xfId="0" applyFont="1" applyFill="1"/>
    <xf numFmtId="0" fontId="55" fillId="0" borderId="0" xfId="0" applyFont="1" applyAlignment="1">
      <alignment horizontal="center" vertical="center"/>
    </xf>
    <xf numFmtId="164" fontId="17" fillId="0" borderId="0" xfId="0" applyNumberFormat="1" applyFont="1"/>
    <xf numFmtId="0" fontId="55" fillId="0" borderId="0" xfId="0" applyFont="1" applyAlignment="1">
      <alignment horizontal="right"/>
    </xf>
    <xf numFmtId="0" fontId="76" fillId="0" borderId="0" xfId="0" applyFont="1"/>
    <xf numFmtId="0" fontId="79" fillId="3" borderId="4" xfId="0" applyFont="1" applyFill="1" applyBorder="1" applyAlignment="1">
      <alignment horizontal="center"/>
    </xf>
    <xf numFmtId="0" fontId="80" fillId="0" borderId="0" xfId="0" applyFont="1"/>
    <xf numFmtId="0" fontId="81" fillId="3" borderId="4" xfId="1" applyFont="1" applyFill="1" applyBorder="1" applyAlignment="1">
      <alignment horizontal="right" vertical="center"/>
    </xf>
    <xf numFmtId="0" fontId="49" fillId="38" borderId="18" xfId="0" applyFont="1" applyFill="1" applyBorder="1" applyAlignment="1">
      <alignment horizontal="center"/>
    </xf>
    <xf numFmtId="0" fontId="49" fillId="42" borderId="18" xfId="0" applyFont="1" applyFill="1" applyBorder="1" applyAlignment="1">
      <alignment horizontal="center"/>
    </xf>
    <xf numFmtId="0" fontId="49" fillId="43" borderId="18" xfId="0" applyFont="1" applyFill="1" applyBorder="1" applyAlignment="1">
      <alignment horizontal="center"/>
    </xf>
    <xf numFmtId="0" fontId="82" fillId="0" borderId="0" xfId="0" applyFont="1"/>
    <xf numFmtId="0" fontId="49" fillId="0" borderId="7" xfId="0" applyFont="1" applyBorder="1" applyAlignment="1">
      <alignment vertical="top"/>
    </xf>
    <xf numFmtId="0" fontId="49" fillId="0" borderId="18" xfId="0" applyFont="1" applyBorder="1" applyAlignment="1">
      <alignment vertical="top"/>
    </xf>
    <xf numFmtId="2" fontId="83" fillId="0" borderId="7" xfId="0" applyNumberFormat="1" applyFont="1" applyBorder="1" applyAlignment="1">
      <alignment horizontal="left"/>
    </xf>
    <xf numFmtId="0" fontId="69" fillId="0" borderId="0" xfId="0" applyFont="1" applyAlignment="1">
      <alignment vertical="center"/>
    </xf>
    <xf numFmtId="0" fontId="69" fillId="0" borderId="0" xfId="0" applyFont="1"/>
    <xf numFmtId="178" fontId="55" fillId="0" borderId="0" xfId="0" applyNumberFormat="1" applyFont="1"/>
    <xf numFmtId="164" fontId="55" fillId="0" borderId="0" xfId="0" applyNumberFormat="1" applyFont="1" applyAlignment="1">
      <alignment vertical="center"/>
    </xf>
    <xf numFmtId="0" fontId="55" fillId="0" borderId="0" xfId="0" applyFont="1" applyAlignment="1">
      <alignment vertical="center"/>
    </xf>
    <xf numFmtId="174" fontId="6" fillId="3" borderId="0" xfId="0" applyNumberFormat="1" applyFont="1" applyFill="1" applyAlignment="1">
      <alignment horizontal="left" vertical="center"/>
    </xf>
    <xf numFmtId="164" fontId="84" fillId="0" borderId="0" xfId="0" applyNumberFormat="1" applyFont="1"/>
    <xf numFmtId="164" fontId="82" fillId="0" borderId="0" xfId="0" applyNumberFormat="1" applyFont="1"/>
    <xf numFmtId="20" fontId="11" fillId="0" borderId="0" xfId="0" applyNumberFormat="1" applyFont="1"/>
    <xf numFmtId="0" fontId="46" fillId="2" borderId="0" xfId="0" applyFont="1" applyFill="1" applyAlignment="1">
      <alignment horizontal="center" vertical="center"/>
    </xf>
    <xf numFmtId="0" fontId="49" fillId="0" borderId="15" xfId="0" applyFont="1" applyBorder="1" applyAlignment="1">
      <alignment horizontal="center" vertical="center"/>
    </xf>
    <xf numFmtId="0" fontId="49" fillId="0" borderId="7" xfId="0" applyFont="1" applyBorder="1" applyAlignment="1">
      <alignment horizontal="center" vertical="center"/>
    </xf>
    <xf numFmtId="0" fontId="49" fillId="0" borderId="18" xfId="0" applyFont="1" applyBorder="1" applyAlignment="1">
      <alignment horizontal="center" vertical="center"/>
    </xf>
    <xf numFmtId="0" fontId="49" fillId="2" borderId="0" xfId="0" applyFont="1" applyFill="1" applyAlignment="1">
      <alignment horizontal="center" vertical="center"/>
    </xf>
    <xf numFmtId="0" fontId="49" fillId="0" borderId="20" xfId="0" applyFont="1" applyBorder="1" applyAlignment="1">
      <alignment horizontal="center" vertical="center"/>
    </xf>
    <xf numFmtId="166" fontId="49" fillId="7" borderId="15" xfId="0" applyNumberFormat="1" applyFont="1" applyFill="1" applyBorder="1"/>
    <xf numFmtId="0" fontId="86" fillId="0" borderId="0" xfId="0" applyFont="1"/>
    <xf numFmtId="16" fontId="49" fillId="0" borderId="18" xfId="0" applyNumberFormat="1" applyFont="1" applyBorder="1"/>
    <xf numFmtId="166" fontId="49" fillId="7" borderId="0" xfId="0" applyNumberFormat="1" applyFont="1" applyFill="1"/>
    <xf numFmtId="0" fontId="49" fillId="7" borderId="0" xfId="0" applyFont="1" applyFill="1"/>
    <xf numFmtId="0" fontId="52" fillId="7" borderId="0" xfId="0" applyFont="1" applyFill="1" applyAlignment="1">
      <alignment horizontal="fill" wrapText="1"/>
    </xf>
    <xf numFmtId="0" fontId="49" fillId="7" borderId="0" xfId="0" applyFont="1" applyFill="1" applyAlignment="1">
      <alignment horizontal="center"/>
    </xf>
    <xf numFmtId="0" fontId="49" fillId="0" borderId="0" xfId="0" applyFont="1"/>
    <xf numFmtId="0" fontId="49" fillId="0" borderId="0" xfId="0" applyFont="1" applyAlignment="1">
      <alignment horizontal="center"/>
    </xf>
    <xf numFmtId="0" fontId="52" fillId="0" borderId="0" xfId="0" applyFont="1"/>
    <xf numFmtId="165" fontId="52" fillId="0" borderId="0" xfId="0" applyNumberFormat="1" applyFont="1"/>
    <xf numFmtId="0" fontId="49" fillId="0" borderId="0" xfId="0" applyFont="1" applyAlignment="1">
      <alignment horizontal="center" vertical="center"/>
    </xf>
    <xf numFmtId="164" fontId="49" fillId="0" borderId="0" xfId="0" applyNumberFormat="1" applyFont="1" applyAlignment="1">
      <alignment horizontal="center"/>
    </xf>
    <xf numFmtId="165" fontId="49" fillId="0" borderId="0" xfId="0" applyNumberFormat="1" applyFont="1"/>
    <xf numFmtId="0" fontId="53" fillId="0" borderId="0" xfId="0" applyFont="1" applyAlignment="1">
      <alignment horizontal="center"/>
    </xf>
    <xf numFmtId="0" fontId="49" fillId="0" borderId="0" xfId="0" applyFont="1" applyAlignment="1">
      <alignment vertical="top"/>
    </xf>
    <xf numFmtId="0" fontId="87" fillId="0" borderId="0" xfId="0" applyFont="1"/>
    <xf numFmtId="16" fontId="11" fillId="0" borderId="0" xfId="0" applyNumberFormat="1" applyFont="1" applyAlignment="1">
      <alignment horizontal="center"/>
    </xf>
    <xf numFmtId="164" fontId="20" fillId="0" borderId="0" xfId="0" applyNumberFormat="1" applyFont="1"/>
    <xf numFmtId="16" fontId="49" fillId="0" borderId="7" xfId="0" applyNumberFormat="1" applyFont="1" applyBorder="1" applyAlignment="1">
      <alignment horizontal="center"/>
    </xf>
    <xf numFmtId="0" fontId="49" fillId="51" borderId="7" xfId="0" applyFont="1" applyFill="1" applyBorder="1" applyAlignment="1">
      <alignment horizontal="center"/>
    </xf>
    <xf numFmtId="0" fontId="49" fillId="57" borderId="7" xfId="0" applyFont="1" applyFill="1" applyBorder="1" applyAlignment="1">
      <alignment horizontal="center"/>
    </xf>
    <xf numFmtId="0" fontId="89" fillId="0" borderId="0" xfId="0" applyFont="1"/>
    <xf numFmtId="10" fontId="89" fillId="0" borderId="0" xfId="0" applyNumberFormat="1" applyFont="1"/>
    <xf numFmtId="0" fontId="49" fillId="0" borderId="7" xfId="0" applyFont="1" applyBorder="1" applyAlignment="1">
      <alignment horizontal="left" vertical="center"/>
    </xf>
    <xf numFmtId="0" fontId="55" fillId="59" borderId="0" xfId="0" applyFont="1" applyFill="1"/>
    <xf numFmtId="0" fontId="91" fillId="0" borderId="0" xfId="0" applyFont="1"/>
    <xf numFmtId="0" fontId="92" fillId="50" borderId="22" xfId="0" applyFont="1" applyFill="1" applyBorder="1" applyAlignment="1">
      <alignment horizontal="center"/>
    </xf>
    <xf numFmtId="0" fontId="92" fillId="50" borderId="23" xfId="0" applyFont="1" applyFill="1" applyBorder="1" applyAlignment="1">
      <alignment horizontal="center"/>
    </xf>
    <xf numFmtId="0" fontId="92" fillId="50" borderId="24" xfId="0" applyFont="1" applyFill="1" applyBorder="1" applyAlignment="1">
      <alignment horizontal="center"/>
    </xf>
    <xf numFmtId="0" fontId="92" fillId="50" borderId="25" xfId="0" applyFont="1" applyFill="1" applyBorder="1" applyAlignment="1">
      <alignment horizontal="center"/>
    </xf>
    <xf numFmtId="0" fontId="93" fillId="50" borderId="23" xfId="0" applyFont="1" applyFill="1" applyBorder="1" applyAlignment="1">
      <alignment horizontal="center"/>
    </xf>
    <xf numFmtId="0" fontId="93" fillId="50" borderId="23" xfId="0" applyFont="1" applyFill="1" applyBorder="1"/>
    <xf numFmtId="0" fontId="94" fillId="56" borderId="0" xfId="0" applyFont="1" applyFill="1"/>
    <xf numFmtId="0" fontId="90" fillId="51" borderId="0" xfId="0" applyFont="1" applyFill="1" applyAlignment="1">
      <alignment horizontal="center" vertical="center"/>
    </xf>
    <xf numFmtId="9" fontId="95" fillId="0" borderId="0" xfId="0" quotePrefix="1" applyNumberFormat="1" applyFont="1" applyAlignment="1">
      <alignment horizontal="center"/>
    </xf>
    <xf numFmtId="178" fontId="95" fillId="0" borderId="0" xfId="0" quotePrefix="1" applyNumberFormat="1" applyFont="1" applyAlignment="1">
      <alignment horizontal="center"/>
    </xf>
    <xf numFmtId="0" fontId="94" fillId="55" borderId="0" xfId="0" applyFont="1" applyFill="1" applyAlignment="1">
      <alignment horizontal="center" vertical="center"/>
    </xf>
    <xf numFmtId="0" fontId="97" fillId="0" borderId="0" xfId="0" quotePrefix="1" applyFont="1" applyAlignment="1">
      <alignment horizontal="center" vertical="center"/>
    </xf>
    <xf numFmtId="0" fontId="90" fillId="52" borderId="0" xfId="0" applyFont="1" applyFill="1" applyAlignment="1">
      <alignment horizontal="center" vertical="center"/>
    </xf>
    <xf numFmtId="0" fontId="87" fillId="59" borderId="0" xfId="0" applyFont="1" applyFill="1"/>
    <xf numFmtId="177" fontId="90" fillId="61" borderId="0" xfId="0" applyNumberFormat="1" applyFont="1" applyFill="1" applyAlignment="1">
      <alignment horizontal="center" vertical="center"/>
    </xf>
    <xf numFmtId="0" fontId="99" fillId="0" borderId="0" xfId="0" applyFont="1"/>
    <xf numFmtId="9" fontId="99" fillId="0" borderId="0" xfId="2" applyFont="1"/>
    <xf numFmtId="0" fontId="55" fillId="59" borderId="0" xfId="0" applyFont="1" applyFill="1" applyAlignment="1">
      <alignment horizontal="left" vertical="top"/>
    </xf>
    <xf numFmtId="0" fontId="87" fillId="38" borderId="0" xfId="0" applyFont="1" applyFill="1" applyAlignment="1">
      <alignment horizontal="center"/>
    </xf>
    <xf numFmtId="0" fontId="87" fillId="0" borderId="0" xfId="0" applyFont="1" applyAlignment="1">
      <alignment horizontal="center"/>
    </xf>
    <xf numFmtId="177" fontId="87" fillId="0" borderId="0" xfId="0" applyNumberFormat="1" applyFont="1" applyAlignment="1">
      <alignment horizontal="center"/>
    </xf>
    <xf numFmtId="0" fontId="87" fillId="0" borderId="0" xfId="0" applyFont="1" applyAlignment="1">
      <alignment horizontal="center" vertical="center"/>
    </xf>
    <xf numFmtId="178" fontId="87" fillId="0" borderId="0" xfId="0" applyNumberFormat="1" applyFont="1" applyAlignment="1">
      <alignment horizontal="center"/>
    </xf>
    <xf numFmtId="178" fontId="87" fillId="0" borderId="0" xfId="0" applyNumberFormat="1" applyFont="1"/>
    <xf numFmtId="9" fontId="87" fillId="0" borderId="0" xfId="0" applyNumberFormat="1" applyFont="1" applyAlignment="1">
      <alignment horizontal="center"/>
    </xf>
    <xf numFmtId="0" fontId="87" fillId="53" borderId="0" xfId="0" applyFont="1" applyFill="1" applyAlignment="1">
      <alignment horizontal="center"/>
    </xf>
    <xf numFmtId="0" fontId="49" fillId="2" borderId="15" xfId="0" applyFont="1" applyFill="1" applyBorder="1" applyAlignment="1">
      <alignment vertical="top"/>
    </xf>
    <xf numFmtId="0" fontId="7" fillId="3" borderId="20" xfId="0" applyFont="1" applyFill="1" applyBorder="1"/>
    <xf numFmtId="0" fontId="7" fillId="3" borderId="19" xfId="0" applyFont="1" applyFill="1" applyBorder="1"/>
    <xf numFmtId="2" fontId="49" fillId="0" borderId="7" xfId="0" applyNumberFormat="1" applyFont="1" applyBorder="1" applyAlignment="1">
      <alignment vertical="top"/>
    </xf>
    <xf numFmtId="164" fontId="49" fillId="0" borderId="7" xfId="0" applyNumberFormat="1" applyFont="1" applyBorder="1" applyAlignment="1">
      <alignment vertical="top"/>
    </xf>
    <xf numFmtId="164" fontId="49" fillId="2" borderId="15" xfId="0" applyNumberFormat="1" applyFont="1" applyFill="1" applyBorder="1" applyAlignment="1">
      <alignment vertical="top"/>
    </xf>
    <xf numFmtId="164" fontId="49" fillId="0" borderId="18" xfId="0" applyNumberFormat="1" applyFont="1" applyBorder="1" applyAlignment="1">
      <alignment vertical="top"/>
    </xf>
    <xf numFmtId="0" fontId="100" fillId="59" borderId="0" xfId="0" applyFont="1" applyFill="1" applyAlignment="1">
      <alignment horizontal="center"/>
    </xf>
    <xf numFmtId="0" fontId="100" fillId="59" borderId="0" xfId="0" applyFont="1" applyFill="1"/>
    <xf numFmtId="0" fontId="100" fillId="59" borderId="0" xfId="0" applyFont="1" applyFill="1" applyAlignment="1">
      <alignment horizontal="center" vertical="center"/>
    </xf>
    <xf numFmtId="164" fontId="101" fillId="0" borderId="0" xfId="0" applyNumberFormat="1" applyFont="1" applyAlignment="1">
      <alignment horizontal="right"/>
    </xf>
    <xf numFmtId="164" fontId="102" fillId="0" borderId="0" xfId="0" applyNumberFormat="1" applyFont="1"/>
    <xf numFmtId="177" fontId="96" fillId="0" borderId="0" xfId="0" quotePrefix="1" applyNumberFormat="1" applyFont="1" applyAlignment="1">
      <alignment horizontal="center"/>
    </xf>
    <xf numFmtId="177" fontId="90" fillId="0" borderId="0" xfId="0" applyNumberFormat="1" applyFont="1" applyAlignment="1">
      <alignment horizontal="center" vertical="center"/>
    </xf>
    <xf numFmtId="0" fontId="55" fillId="60" borderId="0" xfId="0" applyFont="1" applyFill="1"/>
    <xf numFmtId="0" fontId="70" fillId="60" borderId="0" xfId="0" applyFont="1" applyFill="1"/>
    <xf numFmtId="0" fontId="92" fillId="50" borderId="23" xfId="0" applyFont="1" applyFill="1" applyBorder="1" applyAlignment="1">
      <alignment horizontal="left"/>
    </xf>
    <xf numFmtId="0" fontId="55" fillId="63" borderId="0" xfId="0" applyFont="1" applyFill="1"/>
    <xf numFmtId="0" fontId="55" fillId="64" borderId="0" xfId="0" applyFont="1" applyFill="1"/>
    <xf numFmtId="177" fontId="87" fillId="64" borderId="0" xfId="0" applyNumberFormat="1" applyFont="1" applyFill="1" applyAlignment="1">
      <alignment horizontal="center"/>
    </xf>
    <xf numFmtId="0" fontId="87" fillId="64" borderId="0" xfId="0" applyFont="1" applyFill="1" applyAlignment="1">
      <alignment horizontal="center"/>
    </xf>
    <xf numFmtId="0" fontId="97" fillId="64" borderId="0" xfId="0" quotePrefix="1" applyFont="1" applyFill="1" applyAlignment="1">
      <alignment horizontal="center" vertical="center"/>
    </xf>
    <xf numFmtId="0" fontId="92" fillId="50" borderId="23" xfId="0" applyFont="1" applyFill="1" applyBorder="1" applyAlignment="1">
      <alignment horizontal="left" vertical="top"/>
    </xf>
    <xf numFmtId="1" fontId="55" fillId="0" borderId="0" xfId="0" applyNumberFormat="1" applyFont="1"/>
    <xf numFmtId="0" fontId="49" fillId="0" borderId="7" xfId="0" applyFont="1" applyBorder="1" applyAlignment="1">
      <alignment horizontal="left" vertical="top" wrapText="1"/>
    </xf>
    <xf numFmtId="0" fontId="87" fillId="40" borderId="0" xfId="0" applyFont="1" applyFill="1" applyAlignment="1">
      <alignment horizontal="center"/>
    </xf>
    <xf numFmtId="0" fontId="52" fillId="0" borderId="7" xfId="0" applyFont="1" applyBorder="1" applyAlignment="1">
      <alignment horizontal="left" vertical="top" wrapText="1"/>
    </xf>
    <xf numFmtId="0" fontId="46" fillId="2" borderId="0" xfId="0" applyFont="1" applyFill="1" applyAlignment="1">
      <alignment horizontal="left" vertical="top" wrapText="1"/>
    </xf>
    <xf numFmtId="0" fontId="49" fillId="0" borderId="15" xfId="0" applyFont="1" applyBorder="1" applyAlignment="1">
      <alignment horizontal="left" vertical="top" wrapText="1"/>
    </xf>
    <xf numFmtId="0" fontId="54" fillId="0" borderId="7" xfId="0" applyFont="1" applyBorder="1" applyAlignment="1">
      <alignment horizontal="left" vertical="top" wrapText="1"/>
    </xf>
    <xf numFmtId="0" fontId="49" fillId="0" borderId="18" xfId="0" applyFont="1" applyBorder="1" applyAlignment="1">
      <alignment horizontal="left" vertical="top" wrapText="1"/>
    </xf>
    <xf numFmtId="0" fontId="49" fillId="2" borderId="0" xfId="0" applyFont="1" applyFill="1" applyAlignment="1">
      <alignment horizontal="left" vertical="top" wrapText="1"/>
    </xf>
    <xf numFmtId="0" fontId="57" fillId="9" borderId="18" xfId="0" applyFont="1" applyFill="1" applyBorder="1" applyAlignment="1">
      <alignment horizontal="left" vertical="top" wrapText="1"/>
    </xf>
    <xf numFmtId="0" fontId="49" fillId="0" borderId="20" xfId="0" applyFont="1" applyBorder="1" applyAlignment="1">
      <alignment horizontal="left" vertical="top" wrapText="1"/>
    </xf>
    <xf numFmtId="0" fontId="57" fillId="47" borderId="18" xfId="0" applyFont="1" applyFill="1" applyBorder="1" applyAlignment="1">
      <alignment horizontal="left" vertical="top" wrapText="1"/>
    </xf>
    <xf numFmtId="0" fontId="52" fillId="0" borderId="18" xfId="0" applyFont="1" applyBorder="1" applyAlignment="1">
      <alignment horizontal="left" vertical="top" wrapText="1"/>
    </xf>
    <xf numFmtId="0" fontId="0" fillId="0" borderId="0" xfId="0" applyAlignment="1">
      <alignment horizontal="left" vertical="top" wrapText="1"/>
    </xf>
    <xf numFmtId="0" fontId="49" fillId="65" borderId="7" xfId="0" applyFont="1" applyFill="1" applyBorder="1" applyAlignment="1">
      <alignment horizontal="center"/>
    </xf>
    <xf numFmtId="0" fontId="49" fillId="0" borderId="11" xfId="0" applyFont="1" applyBorder="1" applyAlignment="1">
      <alignment horizontal="left" vertical="top" wrapText="1"/>
    </xf>
    <xf numFmtId="0" fontId="49" fillId="0" borderId="17" xfId="0" applyFont="1" applyBorder="1" applyAlignment="1">
      <alignment horizontal="left" vertical="top" wrapText="1"/>
    </xf>
    <xf numFmtId="0" fontId="51" fillId="6" borderId="7" xfId="0" applyFont="1" applyFill="1" applyBorder="1" applyAlignment="1">
      <alignment horizontal="left" vertical="top" wrapText="1"/>
    </xf>
    <xf numFmtId="0" fontId="55" fillId="6" borderId="7" xfId="0" applyFont="1" applyFill="1" applyBorder="1" applyAlignment="1">
      <alignment horizontal="left" vertical="top" wrapText="1"/>
    </xf>
    <xf numFmtId="0" fontId="56" fillId="6" borderId="7" xfId="0" applyFont="1" applyFill="1" applyBorder="1" applyAlignment="1">
      <alignment horizontal="left" vertical="top" wrapText="1"/>
    </xf>
    <xf numFmtId="0" fontId="48" fillId="0" borderId="7" xfId="0" applyFont="1" applyBorder="1" applyAlignment="1">
      <alignment horizontal="left" vertical="top" wrapText="1"/>
    </xf>
    <xf numFmtId="0" fontId="49" fillId="0" borderId="9" xfId="0" applyFont="1" applyBorder="1" applyAlignment="1">
      <alignment horizontal="left" vertical="top" wrapText="1"/>
    </xf>
    <xf numFmtId="0" fontId="58" fillId="17" borderId="7" xfId="0" applyFont="1" applyFill="1" applyBorder="1" applyAlignment="1">
      <alignment horizontal="left" vertical="top" wrapText="1"/>
    </xf>
    <xf numFmtId="0" fontId="49" fillId="0" borderId="8" xfId="0" applyFont="1" applyBorder="1" applyAlignment="1">
      <alignment horizontal="left" vertical="top" wrapText="1"/>
    </xf>
    <xf numFmtId="0" fontId="57" fillId="9" borderId="7" xfId="0" applyFont="1" applyFill="1" applyBorder="1" applyAlignment="1">
      <alignment horizontal="left" vertical="top" wrapText="1"/>
    </xf>
    <xf numFmtId="0" fontId="57" fillId="9" borderId="15" xfId="0" applyFont="1" applyFill="1" applyBorder="1" applyAlignment="1">
      <alignment horizontal="left" vertical="top" wrapText="1"/>
    </xf>
    <xf numFmtId="0" fontId="85" fillId="0" borderId="0" xfId="0" applyFont="1" applyAlignment="1">
      <alignment horizontal="left" vertical="top" wrapText="1"/>
    </xf>
    <xf numFmtId="0" fontId="74" fillId="0" borderId="0" xfId="0" applyFont="1" applyAlignment="1">
      <alignment horizontal="left" vertical="top" wrapText="1"/>
    </xf>
    <xf numFmtId="0" fontId="87" fillId="0" borderId="0" xfId="0" applyFont="1" applyAlignment="1">
      <alignment horizontal="left" vertical="top" wrapText="1"/>
    </xf>
    <xf numFmtId="0" fontId="49" fillId="47" borderId="7" xfId="0" applyFont="1" applyFill="1" applyBorder="1" applyAlignment="1">
      <alignment horizontal="left" vertical="top" wrapText="1"/>
    </xf>
    <xf numFmtId="0" fontId="88" fillId="2" borderId="0" xfId="0" applyFont="1" applyFill="1" applyAlignment="1">
      <alignment horizontal="left" vertical="top" wrapText="1"/>
    </xf>
    <xf numFmtId="0" fontId="49" fillId="66" borderId="7" xfId="0" applyFont="1" applyFill="1" applyBorder="1" applyAlignment="1">
      <alignment horizontal="center"/>
    </xf>
    <xf numFmtId="0" fontId="55" fillId="67" borderId="0" xfId="0" applyFont="1" applyFill="1"/>
    <xf numFmtId="0" fontId="105" fillId="67" borderId="0" xfId="0" applyFont="1" applyFill="1" applyAlignment="1">
      <alignment horizontal="center" vertical="center"/>
    </xf>
    <xf numFmtId="0" fontId="104" fillId="67" borderId="0" xfId="0" applyFont="1" applyFill="1" applyAlignment="1">
      <alignment horizontal="center" vertical="center"/>
    </xf>
    <xf numFmtId="0" fontId="103" fillId="67" borderId="0" xfId="0" applyFont="1" applyFill="1" applyAlignment="1">
      <alignment vertical="center"/>
    </xf>
    <xf numFmtId="0" fontId="105" fillId="67" borderId="0" xfId="0" applyFont="1" applyFill="1" applyAlignment="1">
      <alignment horizontal="left" vertical="center"/>
    </xf>
    <xf numFmtId="0" fontId="41" fillId="67" borderId="0" xfId="0" applyFont="1" applyFill="1" applyAlignment="1">
      <alignment horizontal="center" vertical="center"/>
    </xf>
    <xf numFmtId="0" fontId="50" fillId="67" borderId="0" xfId="0" applyFont="1" applyFill="1" applyAlignment="1">
      <alignment horizontal="center" vertical="center"/>
    </xf>
    <xf numFmtId="0" fontId="47" fillId="67" borderId="0" xfId="0" applyFont="1" applyFill="1" applyAlignment="1">
      <alignment horizontal="center" vertical="center"/>
    </xf>
    <xf numFmtId="2" fontId="103" fillId="67" borderId="0" xfId="0" applyNumberFormat="1" applyFont="1" applyFill="1" applyAlignment="1">
      <alignment horizontal="center" vertical="center"/>
    </xf>
    <xf numFmtId="2" fontId="99" fillId="0" borderId="0" xfId="0" applyNumberFormat="1" applyFont="1"/>
    <xf numFmtId="177" fontId="99" fillId="0" borderId="0" xfId="0" applyNumberFormat="1" applyFont="1"/>
    <xf numFmtId="177" fontId="55" fillId="0" borderId="0" xfId="0" applyNumberFormat="1" applyFont="1"/>
    <xf numFmtId="0" fontId="69" fillId="60" borderId="0" xfId="0" applyFont="1" applyFill="1" applyAlignment="1">
      <alignment vertical="center"/>
    </xf>
    <xf numFmtId="0" fontId="55" fillId="60" borderId="0" xfId="0" applyFont="1" applyFill="1" applyAlignment="1">
      <alignment horizontal="center"/>
    </xf>
    <xf numFmtId="0" fontId="69" fillId="60" borderId="0" xfId="0" applyFont="1" applyFill="1"/>
    <xf numFmtId="178" fontId="55" fillId="60" borderId="0" xfId="0" applyNumberFormat="1" applyFont="1" applyFill="1"/>
    <xf numFmtId="164" fontId="55" fillId="60" borderId="0" xfId="0" applyNumberFormat="1" applyFont="1" applyFill="1" applyAlignment="1">
      <alignment vertical="center"/>
    </xf>
    <xf numFmtId="0" fontId="55" fillId="60" borderId="0" xfId="0" applyFont="1" applyFill="1" applyAlignment="1">
      <alignment horizontal="center" vertical="center"/>
    </xf>
    <xf numFmtId="0" fontId="55" fillId="60" borderId="0" xfId="0" applyFont="1" applyFill="1" applyAlignment="1">
      <alignment vertical="center"/>
    </xf>
    <xf numFmtId="0" fontId="0" fillId="60" borderId="0" xfId="0" applyFill="1"/>
    <xf numFmtId="2" fontId="87" fillId="0" borderId="0" xfId="0" applyNumberFormat="1" applyFont="1"/>
    <xf numFmtId="178" fontId="69" fillId="68" borderId="0" xfId="0" applyNumberFormat="1" applyFont="1" applyFill="1" applyAlignment="1">
      <alignment horizontal="center" vertical="center"/>
    </xf>
    <xf numFmtId="2" fontId="55" fillId="0" borderId="0" xfId="0" applyNumberFormat="1" applyFont="1"/>
    <xf numFmtId="166" fontId="49" fillId="7" borderId="10" xfId="0" applyNumberFormat="1" applyFont="1" applyFill="1" applyBorder="1" applyAlignment="1">
      <alignment horizontal="left" vertical="top" wrapText="1"/>
    </xf>
    <xf numFmtId="0" fontId="52" fillId="7" borderId="18" xfId="0" applyFont="1" applyFill="1" applyBorder="1" applyAlignment="1">
      <alignment horizontal="fill"/>
    </xf>
    <xf numFmtId="0" fontId="49" fillId="0" borderId="18" xfId="0" applyFont="1" applyBorder="1" applyAlignment="1">
      <alignment horizontal="left" vertical="top"/>
    </xf>
    <xf numFmtId="0" fontId="49" fillId="0" borderId="9" xfId="0" applyFont="1" applyBorder="1" applyAlignment="1">
      <alignment horizontal="left" vertical="top"/>
    </xf>
    <xf numFmtId="0" fontId="52" fillId="7" borderId="7" xfId="1" applyFont="1" applyFill="1" applyBorder="1" applyAlignment="1">
      <alignment horizontal="fill"/>
    </xf>
    <xf numFmtId="0" fontId="49" fillId="0" borderId="7" xfId="0" applyFont="1" applyBorder="1" applyAlignment="1">
      <alignment horizontal="left" vertical="top"/>
    </xf>
    <xf numFmtId="0" fontId="49" fillId="0" borderId="17" xfId="0" applyFont="1" applyBorder="1" applyAlignment="1">
      <alignment horizontal="left" vertical="top"/>
    </xf>
    <xf numFmtId="0" fontId="52" fillId="0" borderId="18" xfId="0" applyFont="1" applyBorder="1" applyAlignment="1">
      <alignment horizontal="left" vertical="top"/>
    </xf>
    <xf numFmtId="0" fontId="55" fillId="55" borderId="0" xfId="0" applyFont="1" applyFill="1"/>
    <xf numFmtId="164" fontId="55" fillId="55" borderId="0" xfId="0" applyNumberFormat="1" applyFont="1" applyFill="1"/>
    <xf numFmtId="0" fontId="49" fillId="69" borderId="7" xfId="0" applyFont="1" applyFill="1" applyBorder="1" applyAlignment="1">
      <alignment horizontal="center"/>
    </xf>
    <xf numFmtId="0" fontId="49" fillId="70" borderId="7" xfId="0" applyFont="1" applyFill="1" applyBorder="1" applyAlignment="1">
      <alignment horizontal="center"/>
    </xf>
    <xf numFmtId="0" fontId="52" fillId="0" borderId="7" xfId="0" applyFont="1" applyBorder="1" applyAlignment="1">
      <alignment vertical="top" wrapText="1"/>
    </xf>
    <xf numFmtId="9" fontId="55" fillId="0" borderId="0" xfId="2" applyFont="1"/>
    <xf numFmtId="179" fontId="55" fillId="0" borderId="0" xfId="2" applyNumberFormat="1" applyFont="1"/>
    <xf numFmtId="0" fontId="49" fillId="71" borderId="7" xfId="0" applyFont="1" applyFill="1" applyBorder="1" applyAlignment="1">
      <alignment horizontal="center"/>
    </xf>
    <xf numFmtId="0" fontId="52" fillId="0" borderId="7" xfId="0" applyFont="1" applyBorder="1" applyAlignment="1">
      <alignment horizontal="center" vertical="top" wrapText="1"/>
    </xf>
    <xf numFmtId="0" fontId="49" fillId="0" borderId="7" xfId="0" applyFont="1" applyBorder="1" applyAlignment="1">
      <alignment vertical="top" wrapText="1"/>
    </xf>
    <xf numFmtId="0" fontId="52" fillId="7" borderId="7" xfId="0" applyFont="1" applyFill="1" applyBorder="1" applyAlignment="1">
      <alignment horizontal="left" vertical="top" wrapText="1"/>
    </xf>
    <xf numFmtId="0" fontId="52" fillId="7" borderId="7" xfId="0" applyFont="1" applyFill="1" applyBorder="1" applyAlignment="1">
      <alignment horizontal="left" vertical="center" wrapText="1"/>
    </xf>
    <xf numFmtId="0" fontId="49" fillId="72" borderId="7" xfId="0" applyFont="1" applyFill="1" applyBorder="1" applyAlignment="1">
      <alignment horizontal="center"/>
    </xf>
    <xf numFmtId="0" fontId="49" fillId="73" borderId="7" xfId="0" applyFont="1" applyFill="1" applyBorder="1" applyAlignment="1">
      <alignment horizontal="center"/>
    </xf>
    <xf numFmtId="0" fontId="49" fillId="74" borderId="7" xfId="0" applyFont="1" applyFill="1" applyBorder="1" applyAlignment="1">
      <alignment horizontal="center"/>
    </xf>
    <xf numFmtId="0" fontId="49" fillId="75" borderId="7" xfId="0" applyFont="1" applyFill="1" applyBorder="1" applyAlignment="1">
      <alignment horizontal="center"/>
    </xf>
    <xf numFmtId="0" fontId="49" fillId="76" borderId="7" xfId="0" applyFont="1" applyFill="1" applyBorder="1" applyAlignment="1">
      <alignment horizontal="center"/>
    </xf>
    <xf numFmtId="164" fontId="82" fillId="59" borderId="0" xfId="0" applyNumberFormat="1" applyFont="1" applyFill="1"/>
    <xf numFmtId="0" fontId="1" fillId="2" borderId="6" xfId="0" applyFont="1" applyFill="1" applyBorder="1" applyAlignment="1">
      <alignment horizontal="center"/>
    </xf>
    <xf numFmtId="0" fontId="1" fillId="2" borderId="5" xfId="0" applyFont="1" applyFill="1" applyBorder="1" applyAlignment="1">
      <alignment horizontal="center"/>
    </xf>
    <xf numFmtId="0" fontId="3" fillId="2" borderId="6" xfId="0" applyFont="1" applyFill="1" applyBorder="1" applyAlignment="1">
      <alignment horizontal="center"/>
    </xf>
    <xf numFmtId="165" fontId="3" fillId="2" borderId="6" xfId="0" applyNumberFormat="1" applyFont="1" applyFill="1" applyBorder="1" applyAlignment="1">
      <alignment horizontal="center"/>
    </xf>
    <xf numFmtId="164" fontId="1" fillId="2" borderId="6" xfId="0" applyNumberFormat="1" applyFont="1" applyFill="1" applyBorder="1" applyAlignment="1">
      <alignment horizontal="center"/>
    </xf>
    <xf numFmtId="164" fontId="1" fillId="2" borderId="5" xfId="0" applyNumberFormat="1" applyFont="1" applyFill="1" applyBorder="1" applyAlignment="1">
      <alignment horizontal="center"/>
    </xf>
    <xf numFmtId="0" fontId="72" fillId="62" borderId="28" xfId="0" applyFont="1" applyFill="1" applyBorder="1" applyAlignment="1">
      <alignment horizontal="left" vertical="center"/>
    </xf>
    <xf numFmtId="0" fontId="68" fillId="50" borderId="0" xfId="0" applyFont="1" applyFill="1" applyAlignment="1">
      <alignment horizontal="left" vertical="center"/>
    </xf>
    <xf numFmtId="0" fontId="68" fillId="55" borderId="0" xfId="0" applyFont="1" applyFill="1" applyAlignment="1">
      <alignment horizontal="left" vertical="center"/>
    </xf>
    <xf numFmtId="0" fontId="68" fillId="50" borderId="26" xfId="0" applyFont="1" applyFill="1" applyBorder="1" applyAlignment="1">
      <alignment horizontal="left" vertical="center"/>
    </xf>
    <xf numFmtId="0" fontId="68" fillId="55" borderId="26" xfId="0" applyFont="1" applyFill="1" applyBorder="1" applyAlignment="1">
      <alignment horizontal="left" vertical="center"/>
    </xf>
    <xf numFmtId="0" fontId="71" fillId="58" borderId="27" xfId="0" applyFont="1" applyFill="1" applyBorder="1" applyAlignment="1">
      <alignment horizontal="center" vertical="center"/>
    </xf>
    <xf numFmtId="0" fontId="71" fillId="58" borderId="21" xfId="0" applyFont="1" applyFill="1" applyBorder="1" applyAlignment="1">
      <alignment horizontal="center" vertical="center"/>
    </xf>
    <xf numFmtId="0" fontId="55" fillId="59" borderId="0" xfId="0" applyFont="1" applyFill="1" applyAlignment="1">
      <alignment horizontal="center"/>
    </xf>
    <xf numFmtId="0" fontId="69" fillId="60" borderId="0" xfId="0" applyFont="1" applyFill="1" applyAlignment="1">
      <alignment horizontal="center" vertical="center"/>
    </xf>
    <xf numFmtId="164" fontId="77" fillId="3" borderId="1" xfId="0" applyNumberFormat="1" applyFont="1" applyFill="1" applyBorder="1" applyAlignment="1">
      <alignment horizontal="center"/>
    </xf>
    <xf numFmtId="164" fontId="77" fillId="3" borderId="2" xfId="0" applyNumberFormat="1" applyFont="1" applyFill="1" applyBorder="1" applyAlignment="1">
      <alignment horizontal="center"/>
    </xf>
    <xf numFmtId="0" fontId="77" fillId="3" borderId="1" xfId="0" applyFont="1" applyFill="1" applyBorder="1" applyAlignment="1">
      <alignment horizontal="center"/>
    </xf>
    <xf numFmtId="0" fontId="79" fillId="3" borderId="1" xfId="0" applyFont="1" applyFill="1" applyBorder="1" applyAlignment="1">
      <alignment horizontal="center"/>
    </xf>
    <xf numFmtId="165" fontId="77" fillId="3" borderId="1" xfId="0" applyNumberFormat="1" applyFont="1" applyFill="1" applyBorder="1" applyAlignment="1">
      <alignment horizontal="center"/>
    </xf>
    <xf numFmtId="0" fontId="2" fillId="0" borderId="5" xfId="0" applyFont="1" applyBorder="1" applyAlignment="1"/>
    <xf numFmtId="0" fontId="2" fillId="0" borderId="14" xfId="0" applyFont="1" applyBorder="1" applyAlignment="1"/>
    <xf numFmtId="0" fontId="15" fillId="0" borderId="0" xfId="0" applyFont="1" applyAlignment="1"/>
    <xf numFmtId="0" fontId="0" fillId="0" borderId="0" xfId="0" applyAlignment="1"/>
    <xf numFmtId="0" fontId="78" fillId="0" borderId="2" xfId="0" applyFont="1" applyBorder="1" applyAlignment="1"/>
    <xf numFmtId="0" fontId="78" fillId="0" borderId="3" xfId="0" applyFont="1" applyBorder="1" applyAlignment="1"/>
  </cellXfs>
  <cellStyles count="3">
    <cellStyle name="Hyperlink" xfId="1" builtinId="8"/>
    <cellStyle name="Normal" xfId="0" builtinId="0"/>
    <cellStyle name="Percent" xfId="2" builtinId="5"/>
  </cellStyles>
  <dxfs count="381">
    <dxf>
      <font>
        <b/>
        <color rgb="FF554840"/>
      </font>
      <fill>
        <patternFill patternType="solid">
          <fgColor rgb="FFE2D0AA"/>
          <bgColor rgb="FFE2D0AA"/>
        </patternFill>
      </fill>
    </dxf>
    <dxf>
      <font>
        <b/>
        <color rgb="FF554840"/>
      </font>
      <fill>
        <patternFill patternType="solid">
          <fgColor rgb="FFE2D0AA"/>
          <bgColor rgb="FFE2D0AA"/>
        </patternFill>
      </fill>
    </dxf>
    <dxf>
      <font>
        <b/>
        <color theme="1"/>
      </font>
      <fill>
        <patternFill patternType="solid">
          <fgColor rgb="FFC0C5B2"/>
          <bgColor rgb="FFC0C5B2"/>
        </patternFill>
      </fill>
    </dxf>
    <dxf>
      <font>
        <b/>
      </font>
      <fill>
        <patternFill patternType="solid">
          <fgColor rgb="FFD9EAD3"/>
          <bgColor rgb="FFD9EAD3"/>
        </patternFill>
      </fill>
    </dxf>
    <dxf>
      <font>
        <b/>
        <color theme="1"/>
      </font>
      <fill>
        <patternFill patternType="solid">
          <fgColor rgb="FFC0C5B2"/>
          <bgColor rgb="FFC0C5B2"/>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theme="3" tint="4.9989318521683403E-2"/>
      </font>
      <fill>
        <patternFill patternType="solid">
          <fgColor rgb="FF5B0F00"/>
          <bgColor rgb="FF5B0F00"/>
        </patternFill>
      </fill>
      <border>
        <left style="thin">
          <color theme="1" tint="0.14996795556505021"/>
        </left>
        <right style="thin">
          <color theme="1" tint="0.14996795556505021"/>
        </right>
        <top style="thin">
          <color theme="1" tint="0.14996795556505021"/>
        </top>
        <bottom style="thin">
          <color theme="1" tint="0.14996795556505021"/>
        </bottom>
      </border>
    </dxf>
    <dxf>
      <font>
        <b/>
        <color rgb="FF000000"/>
      </font>
      <fill>
        <patternFill patternType="solid">
          <fgColor rgb="FF274E13"/>
          <bgColor rgb="FF274E13"/>
        </patternFill>
      </fill>
      <border>
        <left style="thin">
          <color theme="1" tint="0.14996795556505021"/>
        </left>
        <right style="thin">
          <color theme="1" tint="0.14996795556505021"/>
        </right>
        <top style="thin">
          <color theme="1" tint="0.14996795556505021"/>
        </top>
        <bottom style="thin">
          <color theme="1" tint="0.14996795556505021"/>
        </bottom>
      </border>
    </dxf>
    <dxf>
      <fill>
        <patternFill patternType="solid">
          <fgColor rgb="FF5B0F00"/>
          <bgColor rgb="FF5B0F00"/>
        </patternFill>
      </fill>
    </dxf>
    <dxf>
      <font>
        <b/>
        <color rgb="FF000000"/>
      </font>
      <fill>
        <patternFill patternType="solid">
          <fgColor rgb="FF274E13"/>
          <bgColor rgb="FF274E13"/>
        </patternFill>
      </fill>
    </dxf>
    <dxf>
      <font>
        <b/>
        <color rgb="FF5B0F00"/>
      </font>
      <fill>
        <patternFill patternType="none"/>
      </fill>
    </dxf>
    <dxf>
      <font>
        <b/>
        <color rgb="FF0C343D"/>
      </font>
      <fill>
        <patternFill patternType="none"/>
      </fill>
    </dxf>
    <dxf>
      <font>
        <color rgb="FFF5F5F5"/>
      </font>
      <fill>
        <patternFill patternType="solid">
          <fgColor rgb="FF5B0F00"/>
          <bgColor rgb="FF5B0F00"/>
        </patternFill>
      </fill>
    </dxf>
    <dxf>
      <font>
        <color rgb="FFF5F5F5"/>
      </font>
      <fill>
        <patternFill patternType="solid">
          <fgColor rgb="FF5B0F00"/>
          <bgColor rgb="FF5B0F00"/>
        </patternFill>
      </fill>
    </dxf>
    <dxf>
      <font>
        <color rgb="FFCCCCCC"/>
      </font>
      <fill>
        <patternFill patternType="solid">
          <fgColor rgb="FF5B0F00"/>
          <bgColor rgb="FF5B0F00"/>
        </patternFill>
      </fill>
    </dxf>
    <dxf>
      <font>
        <color rgb="FFCCCCCC"/>
      </font>
      <fill>
        <patternFill patternType="solid">
          <fgColor rgb="FF5B0F00"/>
          <bgColor rgb="FF5B0F00"/>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000000"/>
      </font>
      <fill>
        <patternFill patternType="solid">
          <fgColor rgb="FF85200C"/>
          <bgColor rgb="FF85200C"/>
        </patternFill>
      </fill>
    </dxf>
    <dxf>
      <font>
        <b/>
        <color rgb="FF000000"/>
      </font>
      <fill>
        <patternFill patternType="solid">
          <fgColor rgb="FF85200C"/>
          <bgColor rgb="FF85200C"/>
        </patternFill>
      </fill>
    </dxf>
    <dxf>
      <font>
        <b/>
        <color rgb="FF000000"/>
      </font>
      <fill>
        <patternFill patternType="solid">
          <fgColor rgb="FF85200C"/>
          <bgColor rgb="FF85200C"/>
        </patternFill>
      </fill>
    </dxf>
    <dxf>
      <font>
        <b/>
        <color rgb="FF000000"/>
      </font>
      <fill>
        <patternFill patternType="solid">
          <fgColor rgb="FF85200C"/>
          <bgColor rgb="FF85200C"/>
        </patternFill>
      </fill>
    </dxf>
    <dxf>
      <font>
        <b/>
        <color rgb="FF000000"/>
      </font>
      <fill>
        <patternFill patternType="solid">
          <fgColor rgb="FF85200C"/>
          <bgColor rgb="FF85200C"/>
        </patternFill>
      </fill>
    </dxf>
    <dxf>
      <font>
        <b/>
        <color rgb="FF000000"/>
      </font>
      <fill>
        <patternFill patternType="solid">
          <fgColor rgb="FF999999"/>
          <bgColor rgb="FF999999"/>
        </patternFill>
      </fill>
    </dxf>
    <dxf>
      <font>
        <b/>
        <color rgb="FF000000"/>
      </font>
      <fill>
        <patternFill patternType="solid">
          <fgColor rgb="FFA27547"/>
          <bgColor rgb="FFA27547"/>
        </patternFill>
      </fill>
    </dxf>
    <dxf>
      <font>
        <b/>
        <color rgb="FF000000"/>
      </font>
      <fill>
        <patternFill patternType="solid">
          <fgColor rgb="FF980000"/>
          <bgColor rgb="FF980000"/>
        </patternFill>
      </fill>
    </dxf>
    <dxf>
      <font>
        <b/>
        <color rgb="FF980000"/>
      </font>
      <fill>
        <patternFill patternType="solid">
          <fgColor rgb="FFF4CCCC"/>
          <bgColor rgb="FFF4CCCC"/>
        </patternFill>
      </fill>
    </dxf>
    <dxf>
      <font>
        <b/>
      </font>
      <fill>
        <patternFill patternType="solid">
          <fgColor rgb="FFD9EAD3"/>
          <bgColor rgb="FFD9EAD3"/>
        </patternFill>
      </fill>
    </dxf>
    <dxf>
      <font>
        <b/>
        <color rgb="FF554840"/>
      </font>
      <fill>
        <patternFill patternType="solid">
          <fgColor rgb="FFE2D0AA"/>
          <bgColor rgb="FFE2D0AA"/>
        </patternFill>
      </fill>
    </dxf>
    <dxf>
      <font>
        <b/>
        <color theme="1"/>
      </font>
      <fill>
        <patternFill patternType="solid">
          <fgColor rgb="FFC0C5B2"/>
          <bgColor rgb="FFC0C5B2"/>
        </patternFill>
      </fill>
    </dxf>
    <dxf>
      <fill>
        <patternFill patternType="solid">
          <fgColor rgb="FFC0C5B2"/>
          <bgColor rgb="FFC0C5B2"/>
        </patternFill>
      </fill>
    </dxf>
    <dxf>
      <fill>
        <patternFill patternType="solid">
          <fgColor rgb="FFA27547"/>
          <bgColor rgb="FFA27547"/>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color rgb="FFD9D9D9"/>
      </font>
      <fill>
        <patternFill patternType="solid">
          <fgColor rgb="FFD9D9D9"/>
          <bgColor rgb="FFD9D9D9"/>
        </patternFill>
      </fill>
    </dxf>
    <dxf>
      <font>
        <color rgb="FFD9D9D9"/>
      </font>
      <fill>
        <patternFill patternType="solid">
          <fgColor rgb="FFD9D9D9"/>
          <bgColor rgb="FFD9D9D9"/>
        </patternFill>
      </fill>
    </dxf>
    <dxf>
      <font>
        <b/>
      </font>
      <fill>
        <patternFill patternType="solid">
          <fgColor rgb="FFD9EAD3"/>
          <bgColor rgb="FFD9EAD3"/>
        </patternFill>
      </fill>
    </dxf>
    <dxf>
      <font>
        <b/>
        <color rgb="FF980000"/>
      </font>
      <fill>
        <patternFill patternType="solid">
          <fgColor rgb="FFF4CCCC"/>
          <bgColor rgb="FFF4CCCC"/>
        </patternFill>
      </fill>
    </dxf>
    <dxf>
      <font>
        <b/>
        <color theme="1"/>
      </font>
      <fill>
        <patternFill patternType="solid">
          <fgColor rgb="FFC0C5B2"/>
          <bgColor rgb="FFC0C5B2"/>
        </patternFill>
      </fill>
    </dxf>
    <dxf>
      <font>
        <b/>
        <color rgb="FF554840"/>
      </font>
      <fill>
        <patternFill patternType="solid">
          <fgColor rgb="FFE2D0AA"/>
          <bgColor rgb="FFE2D0AA"/>
        </patternFill>
      </fill>
    </dxf>
    <dxf>
      <font>
        <b/>
        <color theme="1"/>
      </font>
      <fill>
        <patternFill patternType="solid">
          <fgColor rgb="FFC0C5B2"/>
          <bgColor rgb="FFC0C5B2"/>
        </patternFill>
      </fill>
    </dxf>
    <dxf>
      <font>
        <b/>
        <color rgb="FF000000"/>
      </font>
      <fill>
        <patternFill patternType="solid">
          <fgColor rgb="FFD9EAD3"/>
          <bgColor rgb="FFD9EAD3"/>
        </patternFill>
      </fill>
    </dxf>
    <dxf>
      <font>
        <b/>
        <color rgb="FF980000"/>
      </font>
      <fill>
        <patternFill patternType="solid">
          <fgColor rgb="FFF4CCCC"/>
          <bgColor rgb="FFF4CCCC"/>
        </patternFill>
      </fill>
    </dxf>
    <dxf>
      <font>
        <b/>
        <color rgb="FF554840"/>
      </font>
      <fill>
        <patternFill patternType="solid">
          <fgColor rgb="FFE2D0AA"/>
          <bgColor rgb="FFE2D0AA"/>
        </patternFill>
      </fill>
      <border>
        <left style="thin">
          <color theme="2" tint="-0.24994659260841701"/>
        </left>
        <right style="thin">
          <color theme="2" tint="-0.24994659260841701"/>
        </right>
        <top style="thin">
          <color theme="2" tint="-0.24994659260841701"/>
        </top>
        <bottom style="thin">
          <color theme="2" tint="-0.24994659260841701"/>
        </bottom>
      </border>
    </dxf>
    <dxf>
      <font>
        <color rgb="FF554840"/>
      </font>
      <fill>
        <patternFill patternType="solid">
          <fgColor rgb="FFF3F3F3"/>
          <bgColor rgb="FFF3F3F3"/>
        </patternFill>
      </fill>
    </dxf>
    <dxf>
      <font>
        <b val="0"/>
        <i val="0"/>
        <strike val="0"/>
        <condense val="0"/>
        <extend val="0"/>
        <outline val="0"/>
        <shadow val="0"/>
        <u val="none"/>
        <vertAlign val="baseline"/>
        <sz val="12"/>
        <color rgb="FF000000"/>
        <name val="Calibri"/>
        <family val="2"/>
        <scheme val="none"/>
      </font>
      <numFmt numFmtId="178" formatCode="0.0"/>
      <alignment horizontal="center"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numFmt numFmtId="177" formatCode="&quot;$&quot;#,##0"/>
      <fill>
        <patternFill patternType="solid">
          <fgColor indexed="64"/>
          <bgColor theme="0" tint="-0.34998626667073579"/>
        </patternFill>
      </fill>
      <alignment horizontal="center"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numFmt numFmtId="177" formatCode="&quot;$&quot;#,##0"/>
      <alignment horizontal="center"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solid">
          <fgColor indexed="64"/>
          <bgColor theme="0" tint="-0.34998626667073579"/>
        </patternFill>
      </fill>
      <alignment horizontal="center"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numFmt numFmtId="177" formatCode="&quot;$&quot;#,##0"/>
      <alignment horizontal="center"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numFmt numFmtId="178" formatCode="0.0"/>
      <alignment horizontal="center"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numFmt numFmtId="177" formatCode="&quot;$&quot;#,##0"/>
      <fill>
        <patternFill patternType="solid">
          <fgColor indexed="64"/>
          <bgColor theme="0" tint="-0.34998626667073579"/>
        </patternFill>
      </fill>
      <alignment horizontal="center"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numFmt numFmtId="177" formatCode="&quot;$&quot;#,##0"/>
      <alignment horizontal="center"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solid">
          <fgColor indexed="64"/>
          <bgColor theme="0" tint="-0.34998626667073579"/>
        </patternFill>
      </fill>
    </dxf>
    <dxf>
      <font>
        <b val="0"/>
        <i val="0"/>
        <strike val="0"/>
        <condense val="0"/>
        <extend val="0"/>
        <outline val="0"/>
        <shadow val="0"/>
        <u val="none"/>
        <vertAlign val="baseline"/>
        <sz val="12"/>
        <color rgb="FF000000"/>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solid">
          <fgColor indexed="64"/>
          <bgColor rgb="FFAEAAAA"/>
        </patternFill>
      </fill>
      <alignment horizontal="center" vertical="bottom" textRotation="0" wrapText="0" indent="0" justifyLastLine="0" shrinkToFit="0" readingOrder="0"/>
    </dxf>
    <dxf>
      <font>
        <b/>
        <i val="0"/>
        <strike val="0"/>
        <condense val="0"/>
        <extend val="0"/>
        <outline val="0"/>
        <shadow val="0"/>
        <u val="none"/>
        <vertAlign val="baseline"/>
        <sz val="12"/>
        <color rgb="FF000000"/>
        <name val="Calibri"/>
        <family val="2"/>
        <scheme val="none"/>
      </font>
      <fill>
        <patternFill patternType="solid">
          <fgColor indexed="64"/>
          <bgColor rgb="FFF2F2F2"/>
        </patternFill>
      </fill>
      <alignment horizontal="center" vertical="center" textRotation="0" wrapText="0" indent="0" justifyLastLine="0" shrinkToFit="0" readingOrder="0"/>
    </dxf>
    <dxf>
      <border outline="0">
        <bottom style="thin">
          <color rgb="FF595959"/>
        </bottom>
      </border>
    </dxf>
    <dxf>
      <border outline="0">
        <top style="thin">
          <color rgb="FF595959"/>
        </top>
      </border>
    </dxf>
    <dxf>
      <font>
        <b val="0"/>
        <i val="0"/>
        <strike val="0"/>
        <condense val="0"/>
        <extend val="0"/>
        <outline val="0"/>
        <shadow val="0"/>
        <u val="none"/>
        <vertAlign val="baseline"/>
        <sz val="12"/>
        <color rgb="FF000000"/>
        <name val="Calibri"/>
        <family val="2"/>
        <scheme val="none"/>
      </font>
    </dxf>
    <dxf>
      <font>
        <b/>
        <i val="0"/>
        <strike val="0"/>
        <condense val="0"/>
        <extend val="0"/>
        <outline val="0"/>
        <shadow val="0"/>
        <u val="none"/>
        <vertAlign val="baseline"/>
        <sz val="12"/>
        <color theme="2" tint="-0.34998626667073579"/>
        <name val="Calibri"/>
        <family val="2"/>
        <scheme val="none"/>
      </font>
      <fill>
        <patternFill patternType="solid">
          <fgColor indexed="64"/>
          <bgColor rgb="FF0D0D0D"/>
        </patternFill>
      </fill>
      <alignment horizontal="center" vertical="bottom" textRotation="0" wrapText="0" indent="0" justifyLastLine="0" shrinkToFit="0" readingOrder="0"/>
      <border diagonalUp="0" diagonalDown="0" outline="0">
        <left style="thin">
          <color rgb="FF595959"/>
        </left>
        <right style="thin">
          <color rgb="FF595959"/>
        </right>
        <top/>
        <bottom/>
      </border>
    </dxf>
    <dxf>
      <font>
        <sz val="10"/>
        <name val="Calibri"/>
      </font>
      <numFmt numFmtId="0" formatCode="General"/>
    </dxf>
    <dxf>
      <font>
        <sz val="10"/>
        <name val="Calibri"/>
      </font>
    </dxf>
    <dxf>
      <font>
        <sz val="10"/>
        <name val="Calibri"/>
      </font>
    </dxf>
    <dxf>
      <font>
        <sz val="10"/>
        <name val="Calibri"/>
      </font>
      <numFmt numFmtId="1" formatCode="0"/>
    </dxf>
    <dxf>
      <font>
        <sz val="10"/>
        <name val="Calibri"/>
      </font>
      <numFmt numFmtId="178" formatCode="0.0"/>
    </dxf>
    <dxf>
      <font>
        <b/>
        <sz val="10"/>
        <name val="Calibri"/>
      </font>
      <numFmt numFmtId="178" formatCode="0.0"/>
      <fill>
        <patternFill patternType="solid">
          <fgColor indexed="64"/>
          <bgColor theme="2" tint="-0.34998626667073579"/>
        </patternFill>
      </fill>
      <alignment horizontal="center" vertical="center" textRotation="0" wrapText="0" indent="0" justifyLastLine="0" shrinkToFit="0" readingOrder="0"/>
    </dxf>
    <dxf>
      <font>
        <strike val="0"/>
        <outline val="0"/>
        <shadow val="0"/>
        <u val="none"/>
        <vertAlign val="baseline"/>
        <sz val="12"/>
        <name val="Calibri"/>
      </font>
      <numFmt numFmtId="178" formatCode="0.0"/>
    </dxf>
    <dxf>
      <font>
        <b val="0"/>
        <i val="0"/>
        <strike val="0"/>
        <condense val="0"/>
        <extend val="0"/>
        <outline val="0"/>
        <shadow val="0"/>
        <u val="none"/>
        <vertAlign val="baseline"/>
        <sz val="12"/>
        <color rgb="FF000000"/>
        <name val="Calibri"/>
        <family val="2"/>
        <scheme val="none"/>
      </font>
      <numFmt numFmtId="178" formatCode="0.0"/>
      <alignment horizontal="center"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numFmt numFmtId="178" formatCode="0.0"/>
      <alignment horizontal="center" vertical="bottom" textRotation="0" wrapText="0" indent="0" justifyLastLine="0" shrinkToFit="0" readingOrder="0"/>
    </dxf>
    <dxf>
      <font>
        <strike val="0"/>
        <outline val="0"/>
        <shadow val="0"/>
        <u val="none"/>
        <vertAlign val="baseline"/>
        <sz val="12"/>
        <name val="Calibri"/>
      </font>
      <numFmt numFmtId="178" formatCode="0.0"/>
      <alignment horizontal="center" vertical="bottom" textRotation="0" wrapText="0" indent="0" justifyLastLine="0" shrinkToFit="0" readingOrder="0"/>
    </dxf>
    <dxf>
      <font>
        <b/>
        <strike val="0"/>
        <outline val="0"/>
        <shadow val="0"/>
        <u val="none"/>
        <vertAlign val="baseline"/>
        <sz val="12"/>
        <name val="Calibri"/>
      </font>
      <numFmt numFmtId="177" formatCode="&quot;$&quot;#,##0"/>
      <alignment horizontal="center" vertical="center"/>
    </dxf>
    <dxf>
      <font>
        <b val="0"/>
        <i val="0"/>
        <strike val="0"/>
        <condense val="0"/>
        <extend val="0"/>
        <outline val="0"/>
        <shadow val="0"/>
        <u val="none"/>
        <vertAlign val="baseline"/>
        <sz val="10"/>
        <color rgb="FF000000"/>
        <name val="Calibri"/>
        <family val="2"/>
        <scheme val="none"/>
      </font>
      <alignment horizontal="general" vertical="center" textRotation="0" wrapText="0" indent="0" justifyLastLine="0" shrinkToFit="0" readingOrder="0"/>
    </dxf>
    <dxf>
      <font>
        <strike val="0"/>
        <outline val="0"/>
        <shadow val="0"/>
        <u val="none"/>
        <vertAlign val="baseline"/>
        <sz val="12"/>
        <name val="Calibri"/>
      </font>
      <numFmt numFmtId="0" formatCode="General"/>
      <alignment horizontal="center" vertical="center"/>
    </dxf>
    <dxf>
      <font>
        <b val="0"/>
        <i val="0"/>
        <strike val="0"/>
        <condense val="0"/>
        <extend val="0"/>
        <outline val="0"/>
        <shadow val="0"/>
        <u val="none"/>
        <vertAlign val="baseline"/>
        <sz val="10"/>
        <color rgb="FF000000"/>
        <name val="Calibri"/>
        <family val="2"/>
        <scheme val="none"/>
      </font>
      <alignment horizontal="center" vertical="center" textRotation="0" wrapText="0" indent="0" justifyLastLine="0" shrinkToFit="0" readingOrder="0"/>
    </dxf>
    <dxf>
      <font>
        <b/>
        <strike val="0"/>
        <outline val="0"/>
        <shadow val="0"/>
        <u val="none"/>
        <vertAlign val="baseline"/>
        <sz val="12"/>
        <name val="Calibri"/>
      </font>
      <numFmt numFmtId="177" formatCode="&quot;$&quot;#,##0"/>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rgb="FF000000"/>
        <name val="Calibri"/>
        <family val="2"/>
        <scheme val="none"/>
      </font>
      <numFmt numFmtId="164" formatCode="&quot;$&quot;#,##0.00"/>
      <alignment horizontal="general" vertical="center" textRotation="0" wrapText="0" indent="0" justifyLastLine="0" shrinkToFit="0" readingOrder="0"/>
    </dxf>
    <dxf>
      <font>
        <strike val="0"/>
        <outline val="0"/>
        <shadow val="0"/>
        <u val="none"/>
        <vertAlign val="baseline"/>
        <sz val="12"/>
        <name val="Calibri"/>
      </font>
      <numFmt numFmtId="178" formatCode="0.0"/>
    </dxf>
    <dxf>
      <font>
        <b val="0"/>
        <i val="0"/>
        <strike val="0"/>
        <condense val="0"/>
        <extend val="0"/>
        <outline val="0"/>
        <shadow val="0"/>
        <u val="none"/>
        <vertAlign val="baseline"/>
        <sz val="10"/>
        <color rgb="FF000000"/>
        <name val="Calibri"/>
        <family val="2"/>
        <scheme val="none"/>
      </font>
      <numFmt numFmtId="178" formatCode="0.0"/>
    </dxf>
    <dxf>
      <font>
        <strike val="0"/>
        <outline val="0"/>
        <shadow val="0"/>
        <u val="none"/>
        <vertAlign val="baseline"/>
        <sz val="12"/>
        <name val="Calibri"/>
      </font>
      <numFmt numFmtId="0" formatCode="General"/>
    </dxf>
    <dxf>
      <font>
        <b val="0"/>
        <i val="0"/>
        <strike val="0"/>
        <condense val="0"/>
        <extend val="0"/>
        <outline val="0"/>
        <shadow val="0"/>
        <u val="none"/>
        <vertAlign val="baseline"/>
        <sz val="10"/>
        <color rgb="FF000000"/>
        <name val="Calibri"/>
        <family val="2"/>
        <scheme val="none"/>
      </font>
    </dxf>
    <dxf>
      <font>
        <strike val="0"/>
        <outline val="0"/>
        <shadow val="0"/>
        <u val="none"/>
        <vertAlign val="baseline"/>
        <sz val="12"/>
        <name val="Calibri"/>
      </font>
      <numFmt numFmtId="177" formatCode="&quot;$&quot;#,##0"/>
    </dxf>
    <dxf>
      <font>
        <b val="0"/>
        <i val="0"/>
        <strike val="0"/>
        <condense val="0"/>
        <extend val="0"/>
        <outline val="0"/>
        <shadow val="0"/>
        <u val="none"/>
        <vertAlign val="baseline"/>
        <sz val="10"/>
        <color rgb="FF000000"/>
        <name val="Calibri"/>
        <family val="2"/>
        <scheme val="none"/>
      </font>
    </dxf>
    <dxf>
      <font>
        <strike val="0"/>
        <outline val="0"/>
        <shadow val="0"/>
        <u val="none"/>
        <vertAlign val="baseline"/>
        <sz val="12"/>
        <name val="Calibri"/>
      </font>
      <numFmt numFmtId="177" formatCode="&quot;$&quot;#,##0"/>
    </dxf>
    <dxf>
      <font>
        <b val="0"/>
        <i val="0"/>
        <strike val="0"/>
        <condense val="0"/>
        <extend val="0"/>
        <outline val="0"/>
        <shadow val="0"/>
        <u val="none"/>
        <vertAlign val="baseline"/>
        <sz val="10"/>
        <color rgb="FF000000"/>
        <name val="Calibri"/>
        <family val="2"/>
        <scheme val="none"/>
      </font>
    </dxf>
    <dxf>
      <font>
        <strike val="0"/>
        <outline val="0"/>
        <shadow val="0"/>
        <u val="none"/>
        <vertAlign val="baseline"/>
        <sz val="12"/>
        <name val="Calibri"/>
      </font>
      <numFmt numFmtId="0" formatCode="General"/>
    </dxf>
    <dxf>
      <font>
        <b val="0"/>
        <i val="0"/>
        <strike val="0"/>
        <condense val="0"/>
        <extend val="0"/>
        <outline val="0"/>
        <shadow val="0"/>
        <u val="none"/>
        <vertAlign val="baseline"/>
        <sz val="10"/>
        <color rgb="FF000000"/>
        <name val="Calibri"/>
        <family val="2"/>
        <scheme val="none"/>
      </font>
    </dxf>
    <dxf>
      <font>
        <strike val="0"/>
        <outline val="0"/>
        <shadow val="0"/>
        <u val="none"/>
        <vertAlign val="baseline"/>
        <sz val="12"/>
        <name val="Calibri"/>
      </font>
      <numFmt numFmtId="177" formatCode="&quot;$&quot;#,##0"/>
    </dxf>
    <dxf>
      <font>
        <b val="0"/>
        <i val="0"/>
        <strike val="0"/>
        <condense val="0"/>
        <extend val="0"/>
        <outline val="0"/>
        <shadow val="0"/>
        <u val="none"/>
        <vertAlign val="baseline"/>
        <sz val="10"/>
        <color rgb="FF000000"/>
        <name val="Calibri"/>
        <family val="2"/>
        <scheme val="none"/>
      </font>
    </dxf>
    <dxf>
      <font>
        <strike val="0"/>
        <outline val="0"/>
        <shadow val="0"/>
        <u val="none"/>
        <vertAlign val="baseline"/>
        <sz val="12"/>
        <name val="Calibri"/>
      </font>
      <numFmt numFmtId="177" formatCode="&quot;$&quot;#,##0"/>
    </dxf>
    <dxf>
      <font>
        <b val="0"/>
        <i val="0"/>
        <strike val="0"/>
        <condense val="0"/>
        <extend val="0"/>
        <outline val="0"/>
        <shadow val="0"/>
        <u val="none"/>
        <vertAlign val="baseline"/>
        <sz val="10"/>
        <color rgb="FF000000"/>
        <name val="Calibri"/>
        <family val="2"/>
        <scheme val="none"/>
      </font>
    </dxf>
    <dxf>
      <font>
        <strike val="0"/>
        <outline val="0"/>
        <shadow val="0"/>
        <u val="none"/>
        <vertAlign val="baseline"/>
        <sz val="12"/>
        <name val="Calibri"/>
      </font>
      <numFmt numFmtId="0" formatCode="General"/>
    </dxf>
    <dxf>
      <font>
        <b val="0"/>
        <i val="0"/>
        <strike val="0"/>
        <condense val="0"/>
        <extend val="0"/>
        <outline val="0"/>
        <shadow val="0"/>
        <u val="none"/>
        <vertAlign val="baseline"/>
        <sz val="10"/>
        <color rgb="FF000000"/>
        <name val="Calibri"/>
        <family val="2"/>
        <scheme val="none"/>
      </font>
    </dxf>
    <dxf>
      <font>
        <strike val="0"/>
        <outline val="0"/>
        <shadow val="0"/>
        <u val="none"/>
        <vertAlign val="baseline"/>
        <sz val="12"/>
      </font>
    </dxf>
    <dxf>
      <font>
        <b/>
        <i val="0"/>
        <strike val="0"/>
        <condense val="0"/>
        <extend val="0"/>
        <outline val="0"/>
        <shadow val="0"/>
        <u val="none"/>
        <vertAlign val="baseline"/>
        <sz val="10"/>
        <color rgb="FF000000"/>
        <name val="Calibri"/>
        <family val="2"/>
        <scheme val="none"/>
      </font>
    </dxf>
    <dxf>
      <font>
        <strike val="0"/>
        <outline val="0"/>
        <shadow val="0"/>
        <u val="none"/>
        <vertAlign val="baseline"/>
        <sz val="12"/>
        <name val="Calibri"/>
      </font>
      <alignment horizontal="center"/>
    </dxf>
    <dxf>
      <font>
        <b val="0"/>
        <i val="0"/>
        <strike val="0"/>
        <condense val="0"/>
        <extend val="0"/>
        <outline val="0"/>
        <shadow val="0"/>
        <u val="none"/>
        <vertAlign val="baseline"/>
        <sz val="10"/>
        <color rgb="FF000000"/>
        <name val="Calibri"/>
        <family val="2"/>
        <scheme val="none"/>
      </font>
      <alignment horizontal="center" vertical="bottom" textRotation="0" wrapText="0" indent="0" justifyLastLine="0" shrinkToFit="0" readingOrder="0"/>
    </dxf>
    <dxf>
      <font>
        <b/>
        <strike val="0"/>
        <outline val="0"/>
        <shadow val="0"/>
        <u val="none"/>
        <vertAlign val="baseline"/>
        <sz val="12"/>
        <name val="Calibri"/>
      </font>
      <alignment vertical="center"/>
    </dxf>
    <dxf>
      <font>
        <b/>
        <i val="0"/>
        <strike val="0"/>
        <condense val="0"/>
        <extend val="0"/>
        <outline val="0"/>
        <shadow val="0"/>
        <u val="none"/>
        <vertAlign val="baseline"/>
        <sz val="10"/>
        <color rgb="FF000000"/>
        <name val="Calibri"/>
        <family val="2"/>
        <scheme val="none"/>
      </font>
      <alignment horizontal="general" vertical="center" textRotation="0" wrapText="0" indent="0" justifyLastLine="0" shrinkToFit="0" readingOrder="0"/>
    </dxf>
    <dxf>
      <border outline="0">
        <bottom style="thin">
          <color rgb="FF595959"/>
        </bottom>
      </border>
    </dxf>
    <dxf>
      <border outline="0">
        <top style="thin">
          <color rgb="FF595959"/>
        </top>
      </border>
    </dxf>
    <dxf>
      <font>
        <sz val="10"/>
        <name val="Calibri"/>
      </font>
    </dxf>
    <dxf>
      <font>
        <b/>
        <i val="0"/>
        <strike val="0"/>
        <condense val="0"/>
        <extend val="0"/>
        <outline val="0"/>
        <shadow val="0"/>
        <u val="none"/>
        <vertAlign val="baseline"/>
        <sz val="12"/>
        <color theme="2" tint="-0.34998626667073579"/>
        <name val="Calibri"/>
        <scheme val="minor"/>
      </font>
      <fill>
        <patternFill patternType="solid">
          <fgColor indexed="64"/>
          <bgColor rgb="FF0D0D0D"/>
        </patternFill>
      </fill>
      <border diagonalUp="0" diagonalDown="0" outline="0">
        <left style="thin">
          <color rgb="FF595959"/>
        </left>
        <right style="thin">
          <color rgb="FF595959"/>
        </right>
        <top/>
        <bottom/>
      </border>
    </dxf>
    <dxf>
      <font>
        <b/>
        <i val="0"/>
        <color rgb="FF554840"/>
      </font>
      <fill>
        <patternFill patternType="solid">
          <bgColor rgb="FFE2D0AA"/>
        </patternFill>
      </fill>
    </dxf>
    <dxf>
      <font>
        <b/>
        <i val="0"/>
        <color rgb="FF375623"/>
      </font>
      <fill>
        <patternFill patternType="solid">
          <bgColor rgb="FFC0C5B2"/>
        </patternFill>
      </fill>
    </dxf>
    <dxf>
      <font>
        <b/>
        <i val="0"/>
        <color rgb="FF375623"/>
      </font>
      <fill>
        <patternFill patternType="solid">
          <bgColor rgb="FFC0C5B2"/>
        </patternFill>
      </fill>
    </dxf>
    <dxf>
      <font>
        <color rgb="FF554840"/>
      </font>
      <fill>
        <patternFill patternType="solid">
          <bgColor rgb="FFE2D0AA"/>
        </patternFill>
      </fill>
    </dxf>
    <dxf>
      <font>
        <color rgb="FF554840"/>
      </font>
      <fill>
        <patternFill patternType="solid">
          <bgColor rgb="FFE2D0AA"/>
        </patternFill>
      </fill>
    </dxf>
    <dxf>
      <font>
        <b/>
        <i val="0"/>
        <color rgb="FF554840"/>
      </font>
      <fill>
        <patternFill patternType="solid">
          <bgColor rgb="FFE2D0AA"/>
        </patternFill>
      </fill>
    </dxf>
    <dxf>
      <font>
        <b/>
        <i val="0"/>
        <color rgb="FF375623"/>
      </font>
      <fill>
        <patternFill patternType="solid">
          <bgColor rgb="FFC0C5B2"/>
        </patternFill>
      </fill>
    </dxf>
    <dxf>
      <font>
        <b val="0"/>
        <i val="0"/>
        <strike val="0"/>
        <condense val="0"/>
        <extend val="0"/>
        <outline val="0"/>
        <shadow val="0"/>
        <u val="none"/>
        <vertAlign val="baseline"/>
        <sz val="10"/>
        <color rgb="FF434343"/>
        <name val="Calibri"/>
        <family val="2"/>
        <scheme val="none"/>
      </font>
      <alignment horizontal="general" vertical="top"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numFmt numFmtId="0" formatCode="General"/>
      <alignment horizontal="general" vertical="top"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numFmt numFmtId="164" formatCode="&quot;$&quot;#,##0.00"/>
      <alignment horizontal="general" vertical="top"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alignment horizontal="general" vertical="top"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alignment horizontal="left" vertical="top" textRotation="0" wrapText="1" indent="0" justifyLastLine="0" shrinkToFit="0" readingOrder="0"/>
      <border diagonalUp="0" diagonalDown="0">
        <left style="thin">
          <color theme="0" tint="-0.24994659260841701"/>
        </left>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alignment horizontal="left" vertical="top"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alignment horizontal="left" vertical="top"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alignment horizontal="left" vertical="top"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alignment horizontal="left" vertical="top"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alignment horizontal="left" vertical="top"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alignment horizontal="left" vertical="top"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alignment horizontal="left" vertical="top"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alignment horizontal="left" vertical="top"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dxf>
    <dxf>
      <font>
        <b/>
        <i val="0"/>
        <strike val="0"/>
        <condense val="0"/>
        <extend val="0"/>
        <outline val="0"/>
        <shadow val="0"/>
        <u val="none"/>
        <vertAlign val="baseline"/>
        <sz val="10"/>
        <color theme="1"/>
        <name val="Calibri"/>
        <family val="2"/>
        <scheme val="none"/>
      </font>
      <alignment horizontal="center"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i val="0"/>
        <strike val="0"/>
        <condense val="0"/>
        <extend val="0"/>
        <outline val="0"/>
        <shadow val="0"/>
        <u val="none"/>
        <vertAlign val="baseline"/>
        <sz val="10"/>
        <color theme="1"/>
        <name val="Calibri"/>
        <family val="2"/>
        <scheme val="none"/>
      </font>
      <numFmt numFmtId="2" formatCode="0.00"/>
      <alignment horizontal="center"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numFmt numFmtId="164" formatCode="&quot;$&quot;#,##0.00"/>
      <alignment horizontal="center"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numFmt numFmtId="165" formatCode="0.00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alignment horizontal="center" vertical="center"/>
      <border diagonalUp="0" diagonalDown="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alignment horizontal="center"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numFmt numFmtId="164" formatCode="&quot;$&quot;#,##0.00"/>
      <alignment horizontal="center"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alignment horizontal="center" vertical="center"/>
      <border diagonalUp="0" diagonalDown="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i val="0"/>
        <strike val="0"/>
        <condense val="0"/>
        <extend val="0"/>
        <outline val="0"/>
        <shadow val="0"/>
        <u val="none"/>
        <vertAlign val="baseline"/>
        <sz val="10"/>
        <color rgb="FF434343"/>
        <name val="Calibri"/>
        <family val="2"/>
        <scheme val="none"/>
      </font>
      <numFmt numFmtId="165" formatCode="0.00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i val="0"/>
        <strike val="0"/>
        <condense val="0"/>
        <extend val="0"/>
        <outline val="0"/>
        <shadow val="0"/>
        <u val="none"/>
        <vertAlign val="baseline"/>
        <sz val="10"/>
        <color rgb="FF434343"/>
        <name val="Calibr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i val="0"/>
        <strike val="0"/>
        <condense val="0"/>
        <extend val="0"/>
        <outline val="0"/>
        <shadow val="0"/>
        <u val="none"/>
        <vertAlign val="baseline"/>
        <sz val="10"/>
        <color rgb="FF434343"/>
        <name val="Calibr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i val="0"/>
        <strike val="0"/>
        <condense val="0"/>
        <extend val="0"/>
        <outline val="0"/>
        <shadow val="0"/>
        <u val="none"/>
        <vertAlign val="baseline"/>
        <sz val="10"/>
        <color rgb="FF434343"/>
        <name val="Calibr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alignment horizontal="center"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alignment horizontal="center"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alignment horizontal="center"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alignment horizontal="center"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alignment horizontal="center"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alignment horizontal="center"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alignment horizontal="center"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alignment horizontal="center"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alignment horizontal="center"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alignment horizontal="center"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fill>
        <patternFill patternType="solid">
          <fgColor rgb="FFF3F3F3"/>
          <bgColor rgb="FFF3F3F3"/>
        </patternFill>
      </fill>
      <alignment horizontal="center"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fill>
        <patternFill patternType="solid">
          <fgColor rgb="FFF3F3F3"/>
          <bgColor rgb="FFF3F3F3"/>
        </patternFill>
      </fill>
      <alignment horizontal="fill"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i val="0"/>
        <strike val="0"/>
        <condense val="0"/>
        <extend val="0"/>
        <outline val="0"/>
        <shadow val="0"/>
        <u val="none"/>
        <vertAlign val="baseline"/>
        <sz val="10"/>
        <color rgb="FF434343"/>
        <name val="Calibri"/>
        <family val="2"/>
        <scheme val="none"/>
      </font>
      <fill>
        <patternFill patternType="solid">
          <fgColor rgb="FFF3F3F3"/>
          <bgColor rgb="FFF3F3F3"/>
        </patternFill>
      </fill>
      <alignment horizontal="fill" vertical="bottom"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fill>
        <patternFill patternType="solid">
          <fgColor rgb="FFF3F3F3"/>
          <bgColor rgb="FFF3F3F3"/>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fill>
        <patternFill patternType="solid">
          <fgColor rgb="FFF3F3F3"/>
          <bgColor rgb="FFF3F3F3"/>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numFmt numFmtId="166" formatCode="d&quot;-&quot;mmm&quot;-&quot;yyyy"/>
      <fill>
        <patternFill patternType="solid">
          <fgColor rgb="FFF3F3F3"/>
          <bgColor rgb="FFF3F3F3"/>
        </patternFill>
      </fill>
      <border diagonalUp="0" diagonalDown="0">
        <left/>
        <right style="thin">
          <color theme="0" tint="-0.24994659260841701"/>
        </right>
        <top style="thin">
          <color theme="0" tint="-0.24994659260841701"/>
        </top>
        <bottom/>
        <vertical/>
        <horizontal/>
      </border>
    </dxf>
    <dxf>
      <font>
        <b val="0"/>
        <i val="0"/>
        <strike val="0"/>
        <condense val="0"/>
        <extend val="0"/>
        <outline val="0"/>
        <shadow val="0"/>
        <u val="none"/>
        <vertAlign val="baseline"/>
        <sz val="10"/>
        <color rgb="FF434343"/>
        <name val="Calibri"/>
        <family val="2"/>
        <scheme val="none"/>
      </font>
      <numFmt numFmtId="166" formatCode="d&quot;-&quot;mmm&quot;-&quot;yyyy"/>
      <fill>
        <patternFill patternType="solid">
          <fgColor rgb="FFF3F3F3"/>
          <bgColor rgb="FFF3F3F3"/>
        </patternFill>
      </fill>
      <border diagonalUp="0" diagonalDown="0" outline="0">
        <left/>
        <right style="thin">
          <color theme="0" tint="-0.24994659260841701"/>
        </right>
        <top style="thin">
          <color theme="0" tint="-0.24994659260841701"/>
        </top>
        <bottom style="thin">
          <color theme="0" tint="-0.24994659260841701"/>
        </bottom>
      </border>
    </dxf>
    <dxf>
      <border>
        <top style="thin">
          <color theme="0" tint="-0.24994659260841701"/>
        </top>
      </border>
    </dxf>
    <dxf>
      <border diagonalUp="0" diagonalDown="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dxf>
    <dxf>
      <font>
        <b/>
        <i val="0"/>
        <strike val="0"/>
        <condense val="0"/>
        <extend val="0"/>
        <outline val="0"/>
        <shadow val="0"/>
        <u val="none"/>
        <vertAlign val="baseline"/>
        <sz val="10"/>
        <color theme="0"/>
        <name val="Roboto"/>
        <scheme val="none"/>
      </font>
      <fill>
        <patternFill patternType="solid">
          <fgColor rgb="FF333333"/>
          <bgColor rgb="FF333333"/>
        </patternFill>
      </fill>
      <border diagonalUp="0" diagonalDown="0" outline="0">
        <left style="thin">
          <color theme="0" tint="-0.24994659260841701"/>
        </left>
        <right style="thin">
          <color theme="0" tint="-0.24994659260841701"/>
        </right>
        <top/>
        <bottom/>
      </border>
    </dxf>
    <dxf>
      <font>
        <b/>
        <color theme="1"/>
      </font>
      <fill>
        <patternFill patternType="solid">
          <fgColor rgb="FFC0C5B2"/>
          <bgColor rgb="FFC0C5B2"/>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E2D0AA"/>
          <bgColor rgb="FFE2D0AA"/>
        </patternFill>
      </fill>
      <border>
        <left style="thin">
          <color theme="2" tint="-0.24994659260841701"/>
        </left>
        <right style="thin">
          <color theme="2" tint="-0.24994659260841701"/>
        </right>
        <top style="thin">
          <color theme="2" tint="-0.24994659260841701"/>
        </top>
        <bottom style="thin">
          <color theme="2" tint="-0.24994659260841701"/>
        </bottom>
      </border>
    </dxf>
    <dxf>
      <font>
        <color rgb="FF554840"/>
      </font>
      <fill>
        <patternFill patternType="solid">
          <fgColor rgb="FFF3F3F3"/>
          <bgColor rgb="FFF3F3F3"/>
        </patternFill>
      </fill>
    </dxf>
    <dxf>
      <font>
        <b/>
        <color theme="1"/>
      </font>
      <fill>
        <patternFill patternType="solid">
          <fgColor rgb="FFC0C5B2"/>
          <bgColor rgb="FFC0C5B2"/>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E2D0AA"/>
          <bgColor rgb="FFE2D0AA"/>
        </patternFill>
      </fill>
      <border>
        <left style="thin">
          <color theme="2" tint="-0.24994659260841701"/>
        </left>
        <right style="thin">
          <color theme="2" tint="-0.24994659260841701"/>
        </right>
        <top style="thin">
          <color theme="2" tint="-0.24994659260841701"/>
        </top>
        <bottom style="thin">
          <color theme="2" tint="-0.24994659260841701"/>
        </bottom>
      </border>
    </dxf>
    <dxf>
      <font>
        <color rgb="FF554840"/>
      </font>
      <fill>
        <patternFill patternType="solid">
          <fgColor rgb="FFF3F3F3"/>
          <bgColor rgb="FFF3F3F3"/>
        </patternFill>
      </fill>
    </dxf>
    <dxf>
      <font>
        <b/>
        <color theme="1"/>
      </font>
      <fill>
        <patternFill patternType="solid">
          <fgColor rgb="FFC0C5B2"/>
          <bgColor rgb="FFC0C5B2"/>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E2D0AA"/>
          <bgColor rgb="FFE2D0AA"/>
        </patternFill>
      </fill>
      <border>
        <left style="thin">
          <color theme="2" tint="-0.24994659260841701"/>
        </left>
        <right style="thin">
          <color theme="2" tint="-0.24994659260841701"/>
        </right>
        <top style="thin">
          <color theme="2" tint="-0.24994659260841701"/>
        </top>
        <bottom style="thin">
          <color theme="2" tint="-0.24994659260841701"/>
        </bottom>
      </border>
    </dxf>
    <dxf>
      <font>
        <color rgb="FF554840"/>
      </font>
      <fill>
        <patternFill patternType="solid">
          <fgColor rgb="FFF3F3F3"/>
          <bgColor rgb="FFF3F3F3"/>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color rgb="FFD9D9D9"/>
      </font>
      <fill>
        <patternFill patternType="solid">
          <fgColor rgb="FFD9D9D9"/>
          <bgColor rgb="FFD9D9D9"/>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theme="1"/>
      </font>
      <fill>
        <patternFill patternType="solid">
          <bgColor rgb="FF660033"/>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color rgb="FFD9D9D9"/>
      </font>
      <fill>
        <patternFill patternType="solid">
          <fgColor rgb="FFD9D9D9"/>
          <bgColor rgb="FFD9D9D9"/>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theme="1"/>
      </font>
      <fill>
        <patternFill patternType="solid">
          <fgColor rgb="FFC0C5B2"/>
          <bgColor rgb="FFC0C5B2"/>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E2D0AA"/>
          <bgColor rgb="FFE2D0AA"/>
        </patternFill>
      </fill>
      <border>
        <left style="thin">
          <color theme="2" tint="-0.24994659260841701"/>
        </left>
        <right style="thin">
          <color theme="2" tint="-0.24994659260841701"/>
        </right>
        <top style="thin">
          <color theme="2" tint="-0.24994659260841701"/>
        </top>
        <bottom style="thin">
          <color theme="2" tint="-0.24994659260841701"/>
        </bottom>
      </border>
    </dxf>
    <dxf>
      <font>
        <color rgb="FF554840"/>
      </font>
      <fill>
        <patternFill patternType="solid">
          <fgColor rgb="FFF3F3F3"/>
          <bgColor rgb="FFF3F3F3"/>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color rgb="FFD9D9D9"/>
      </font>
      <fill>
        <patternFill patternType="solid">
          <fgColor rgb="FFD9D9D9"/>
          <bgColor rgb="FFD9D9D9"/>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theme="1"/>
      </font>
      <fill>
        <patternFill patternType="solid">
          <fgColor rgb="FFC0C5B2"/>
          <bgColor rgb="FFC0C5B2"/>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E2D0AA"/>
          <bgColor rgb="FFE2D0AA"/>
        </patternFill>
      </fill>
      <border>
        <left style="thin">
          <color theme="2" tint="-0.24994659260841701"/>
        </left>
        <right style="thin">
          <color theme="2" tint="-0.24994659260841701"/>
        </right>
        <top style="thin">
          <color theme="2" tint="-0.24994659260841701"/>
        </top>
        <bottom style="thin">
          <color theme="2"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theme="1"/>
      </font>
      <fill>
        <patternFill patternType="solid">
          <fgColor rgb="FFC0C5B2"/>
          <bgColor rgb="FFC0C5B2"/>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E2D0AA"/>
          <bgColor rgb="FFE2D0AA"/>
        </patternFill>
      </fill>
      <border>
        <left style="thin">
          <color theme="2" tint="-0.24994659260841701"/>
        </left>
        <right style="thin">
          <color theme="2" tint="-0.24994659260841701"/>
        </right>
        <top style="thin">
          <color theme="2" tint="-0.24994659260841701"/>
        </top>
        <bottom style="thin">
          <color theme="2"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theme="1"/>
      </font>
      <fill>
        <patternFill patternType="solid">
          <fgColor rgb="FFC0C5B2"/>
          <bgColor rgb="FFC0C5B2"/>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E2D0AA"/>
          <bgColor rgb="FFE2D0AA"/>
        </patternFill>
      </fill>
      <border>
        <left style="thin">
          <color theme="2" tint="-0.24994659260841701"/>
        </left>
        <right style="thin">
          <color theme="2" tint="-0.24994659260841701"/>
        </right>
        <top style="thin">
          <color theme="2" tint="-0.24994659260841701"/>
        </top>
        <bottom style="thin">
          <color theme="2"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theme="1"/>
      </font>
      <fill>
        <patternFill patternType="solid">
          <fgColor rgb="FFC0C5B2"/>
          <bgColor rgb="FFC0C5B2"/>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E2D0AA"/>
          <bgColor rgb="FFE2D0AA"/>
        </patternFill>
      </fill>
      <border>
        <left style="thin">
          <color theme="2" tint="-0.24994659260841701"/>
        </left>
        <right style="thin">
          <color theme="2" tint="-0.24994659260841701"/>
        </right>
        <top style="thin">
          <color theme="2" tint="-0.24994659260841701"/>
        </top>
        <bottom style="thin">
          <color theme="2"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theme="1"/>
      </font>
      <fill>
        <patternFill patternType="solid">
          <fgColor rgb="FFC0C5B2"/>
          <bgColor rgb="FFC0C5B2"/>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E2D0AA"/>
          <bgColor rgb="FFE2D0AA"/>
        </patternFill>
      </fill>
      <border>
        <left style="thin">
          <color theme="2" tint="-0.24994659260841701"/>
        </left>
        <right style="thin">
          <color theme="2" tint="-0.24994659260841701"/>
        </right>
        <top style="thin">
          <color theme="2" tint="-0.24994659260841701"/>
        </top>
        <bottom style="thin">
          <color theme="2"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theme="1"/>
      </font>
      <fill>
        <patternFill patternType="solid">
          <fgColor rgb="FFC0C5B2"/>
          <bgColor rgb="FFC0C5B2"/>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E2D0AA"/>
          <bgColor rgb="FFE2D0AA"/>
        </patternFill>
      </fill>
      <border>
        <left style="thin">
          <color theme="2" tint="-0.24994659260841701"/>
        </left>
        <right style="thin">
          <color theme="2" tint="-0.24994659260841701"/>
        </right>
        <top style="thin">
          <color theme="2" tint="-0.24994659260841701"/>
        </top>
        <bottom style="thin">
          <color theme="2"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theme="1"/>
      </font>
      <fill>
        <patternFill patternType="solid">
          <fgColor rgb="FFC0C5B2"/>
          <bgColor rgb="FFC0C5B2"/>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E2D0AA"/>
          <bgColor rgb="FFE2D0AA"/>
        </patternFill>
      </fill>
      <border>
        <left style="thin">
          <color theme="2" tint="-0.24994659260841701"/>
        </left>
        <right style="thin">
          <color theme="2" tint="-0.24994659260841701"/>
        </right>
        <top style="thin">
          <color theme="2" tint="-0.24994659260841701"/>
        </top>
        <bottom style="thin">
          <color theme="2"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theme="1"/>
      </font>
      <fill>
        <patternFill patternType="solid">
          <fgColor rgb="FFC0C5B2"/>
          <bgColor rgb="FFC0C5B2"/>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E2D0AA"/>
          <bgColor rgb="FFE2D0AA"/>
        </patternFill>
      </fill>
      <border>
        <left style="thin">
          <color theme="2" tint="-0.24994659260841701"/>
        </left>
        <right style="thin">
          <color theme="2" tint="-0.24994659260841701"/>
        </right>
        <top style="thin">
          <color theme="2" tint="-0.24994659260841701"/>
        </top>
        <bottom style="thin">
          <color theme="2"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theme="1"/>
      </font>
      <fill>
        <patternFill patternType="solid">
          <fgColor rgb="FFC0C5B2"/>
          <bgColor rgb="FFC0C5B2"/>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E2D0AA"/>
          <bgColor rgb="FFE2D0AA"/>
        </patternFill>
      </fill>
      <border>
        <left style="thin">
          <color theme="2" tint="-0.24994659260841701"/>
        </left>
        <right style="thin">
          <color theme="2" tint="-0.24994659260841701"/>
        </right>
        <top style="thin">
          <color theme="2" tint="-0.24994659260841701"/>
        </top>
        <bottom style="thin">
          <color theme="2"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theme="1"/>
      </font>
      <fill>
        <patternFill patternType="solid">
          <fgColor rgb="FFC0C5B2"/>
          <bgColor rgb="FFC0C5B2"/>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E2D0AA"/>
          <bgColor rgb="FFE2D0AA"/>
        </patternFill>
      </fill>
      <border>
        <left style="thin">
          <color theme="2" tint="-0.24994659260841701"/>
        </left>
        <right style="thin">
          <color theme="2" tint="-0.24994659260841701"/>
        </right>
        <top style="thin">
          <color theme="2" tint="-0.24994659260841701"/>
        </top>
        <bottom style="thin">
          <color theme="2"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theme="1"/>
      </font>
      <fill>
        <patternFill patternType="solid">
          <fgColor rgb="FFC0C5B2"/>
          <bgColor rgb="FFC0C5B2"/>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E2D0AA"/>
          <bgColor rgb="FFE2D0AA"/>
        </patternFill>
      </fill>
      <border>
        <left style="thin">
          <color theme="2" tint="-0.24994659260841701"/>
        </left>
        <right style="thin">
          <color theme="2" tint="-0.24994659260841701"/>
        </right>
        <top style="thin">
          <color theme="2" tint="-0.24994659260841701"/>
        </top>
        <bottom style="thin">
          <color theme="2"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theme="1"/>
      </font>
      <fill>
        <patternFill patternType="solid">
          <fgColor rgb="FFC0C5B2"/>
          <bgColor rgb="FFC0C5B2"/>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E2D0AA"/>
          <bgColor rgb="FFE2D0AA"/>
        </patternFill>
      </fill>
      <border>
        <left style="thin">
          <color theme="2" tint="-0.24994659260841701"/>
        </left>
        <right style="thin">
          <color theme="2" tint="-0.24994659260841701"/>
        </right>
        <top style="thin">
          <color theme="2" tint="-0.24994659260841701"/>
        </top>
        <bottom style="thin">
          <color theme="2"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theme="1"/>
      </font>
      <fill>
        <patternFill patternType="solid">
          <fgColor rgb="FFC0C5B2"/>
          <bgColor rgb="FFC0C5B2"/>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E2D0AA"/>
          <bgColor rgb="FFE2D0AA"/>
        </patternFill>
      </fill>
      <border>
        <left style="thin">
          <color theme="2" tint="-0.24994659260841701"/>
        </left>
        <right style="thin">
          <color theme="2" tint="-0.24994659260841701"/>
        </right>
        <top style="thin">
          <color theme="2" tint="-0.24994659260841701"/>
        </top>
        <bottom style="thin">
          <color theme="2"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theme="1"/>
      </font>
      <fill>
        <patternFill patternType="solid">
          <fgColor rgb="FFC0C5B2"/>
          <bgColor rgb="FFC0C5B2"/>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E2D0AA"/>
          <bgColor rgb="FFE2D0AA"/>
        </patternFill>
      </fill>
      <border>
        <left style="thin">
          <color theme="2" tint="-0.24994659260841701"/>
        </left>
        <right style="thin">
          <color theme="2" tint="-0.24994659260841701"/>
        </right>
        <top style="thin">
          <color theme="2" tint="-0.24994659260841701"/>
        </top>
        <bottom style="thin">
          <color theme="2"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theme="1"/>
      </font>
      <fill>
        <patternFill patternType="solid">
          <fgColor rgb="FFC0C5B2"/>
          <bgColor rgb="FFC0C5B2"/>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E2D0AA"/>
          <bgColor rgb="FFE2D0AA"/>
        </patternFill>
      </fill>
      <border>
        <left style="thin">
          <color theme="2" tint="-0.24994659260841701"/>
        </left>
        <right style="thin">
          <color theme="2" tint="-0.24994659260841701"/>
        </right>
        <top style="thin">
          <color theme="2" tint="-0.24994659260841701"/>
        </top>
        <bottom style="thin">
          <color theme="2"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theme="1"/>
      </font>
      <fill>
        <patternFill patternType="solid">
          <fgColor rgb="FFC0C5B2"/>
          <bgColor rgb="FFC0C5B2"/>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E2D0AA"/>
          <bgColor rgb="FFE2D0AA"/>
        </patternFill>
      </fill>
      <border>
        <left style="thin">
          <color theme="2" tint="-0.24994659260841701"/>
        </left>
        <right style="thin">
          <color theme="2" tint="-0.24994659260841701"/>
        </right>
        <top style="thin">
          <color theme="2" tint="-0.24994659260841701"/>
        </top>
        <bottom style="thin">
          <color theme="2"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theme="1"/>
      </font>
      <fill>
        <patternFill patternType="solid">
          <fgColor rgb="FFC0C5B2"/>
          <bgColor rgb="FFC0C5B2"/>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E2D0AA"/>
          <bgColor rgb="FFE2D0AA"/>
        </patternFill>
      </fill>
      <border>
        <left style="thin">
          <color theme="2" tint="-0.24994659260841701"/>
        </left>
        <right style="thin">
          <color theme="2" tint="-0.24994659260841701"/>
        </right>
        <top style="thin">
          <color theme="2" tint="-0.24994659260841701"/>
        </top>
        <bottom style="thin">
          <color theme="2"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theme="1"/>
      </font>
      <fill>
        <patternFill patternType="solid">
          <fgColor rgb="FFC0C5B2"/>
          <bgColor rgb="FFC0C5B2"/>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E2D0AA"/>
          <bgColor rgb="FFE2D0AA"/>
        </patternFill>
      </fill>
      <border>
        <left style="thin">
          <color theme="2" tint="-0.24994659260841701"/>
        </left>
        <right style="thin">
          <color theme="2" tint="-0.24994659260841701"/>
        </right>
        <top style="thin">
          <color theme="2" tint="-0.24994659260841701"/>
        </top>
        <bottom style="thin">
          <color theme="2"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theme="1"/>
      </font>
      <fill>
        <patternFill patternType="solid">
          <fgColor rgb="FFC0C5B2"/>
          <bgColor rgb="FFC0C5B2"/>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E2D0AA"/>
          <bgColor rgb="FFE2D0AA"/>
        </patternFill>
      </fill>
      <border>
        <left style="thin">
          <color theme="2" tint="-0.24994659260841701"/>
        </left>
        <right style="thin">
          <color theme="2" tint="-0.24994659260841701"/>
        </right>
        <top style="thin">
          <color theme="2" tint="-0.24994659260841701"/>
        </top>
        <bottom style="thin">
          <color theme="2"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theme="1"/>
      </font>
      <fill>
        <patternFill patternType="solid">
          <fgColor rgb="FFC0C5B2"/>
          <bgColor rgb="FFC0C5B2"/>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E2D0AA"/>
          <bgColor rgb="FFE2D0AA"/>
        </patternFill>
      </fill>
      <border>
        <left style="thin">
          <color theme="2" tint="-0.24994659260841701"/>
        </left>
        <right style="thin">
          <color theme="2" tint="-0.24994659260841701"/>
        </right>
        <top style="thin">
          <color theme="2" tint="-0.24994659260841701"/>
        </top>
        <bottom style="thin">
          <color theme="2"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theme="1"/>
      </font>
      <fill>
        <patternFill patternType="solid">
          <fgColor rgb="FFC0C5B2"/>
          <bgColor rgb="FFC0C5B2"/>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E2D0AA"/>
          <bgColor rgb="FFE2D0AA"/>
        </patternFill>
      </fill>
      <border>
        <left style="thin">
          <color theme="2" tint="-0.24994659260841701"/>
        </left>
        <right style="thin">
          <color theme="2" tint="-0.24994659260841701"/>
        </right>
        <top style="thin">
          <color theme="2" tint="-0.24994659260841701"/>
        </top>
        <bottom style="thin">
          <color theme="2"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theme="1"/>
      </font>
      <fill>
        <patternFill patternType="solid">
          <fgColor rgb="FFC0C5B2"/>
          <bgColor rgb="FFC0C5B2"/>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E2D0AA"/>
          <bgColor rgb="FFE2D0AA"/>
        </patternFill>
      </fill>
      <border>
        <left style="thin">
          <color theme="2" tint="-0.24994659260841701"/>
        </left>
        <right style="thin">
          <color theme="2" tint="-0.24994659260841701"/>
        </right>
        <top style="thin">
          <color theme="2" tint="-0.24994659260841701"/>
        </top>
        <bottom style="thin">
          <color theme="2"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theme="1"/>
      </font>
      <fill>
        <patternFill patternType="solid">
          <fgColor rgb="FFC0C5B2"/>
          <bgColor rgb="FFC0C5B2"/>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E2D0AA"/>
          <bgColor rgb="FFE2D0AA"/>
        </patternFill>
      </fill>
      <border>
        <left style="thin">
          <color theme="2" tint="-0.24994659260841701"/>
        </left>
        <right style="thin">
          <color theme="2" tint="-0.24994659260841701"/>
        </right>
        <top style="thin">
          <color theme="2" tint="-0.24994659260841701"/>
        </top>
        <bottom style="thin">
          <color theme="2"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theme="1"/>
      </font>
      <fill>
        <patternFill patternType="solid">
          <fgColor rgb="FFC0C5B2"/>
          <bgColor rgb="FFC0C5B2"/>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E2D0AA"/>
          <bgColor rgb="FFE2D0AA"/>
        </patternFill>
      </fill>
      <border>
        <left style="thin">
          <color theme="2" tint="-0.24994659260841701"/>
        </left>
        <right style="thin">
          <color theme="2" tint="-0.24994659260841701"/>
        </right>
        <top style="thin">
          <color theme="2" tint="-0.24994659260841701"/>
        </top>
        <bottom style="thin">
          <color theme="2"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theme="1"/>
      </font>
      <fill>
        <patternFill patternType="solid">
          <fgColor rgb="FFC0C5B2"/>
          <bgColor rgb="FFC0C5B2"/>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E2D0AA"/>
          <bgColor rgb="FFE2D0AA"/>
        </patternFill>
      </fill>
      <border>
        <left style="thin">
          <color theme="2" tint="-0.24994659260841701"/>
        </left>
        <right style="thin">
          <color theme="2" tint="-0.24994659260841701"/>
        </right>
        <top style="thin">
          <color theme="2" tint="-0.24994659260841701"/>
        </top>
        <bottom style="thin">
          <color theme="2"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theme="1"/>
      </font>
      <fill>
        <patternFill patternType="solid">
          <fgColor rgb="FFC0C5B2"/>
          <bgColor rgb="FFC0C5B2"/>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E2D0AA"/>
          <bgColor rgb="FFE2D0AA"/>
        </patternFill>
      </fill>
      <border>
        <left style="thin">
          <color theme="2" tint="-0.24994659260841701"/>
        </left>
        <right style="thin">
          <color theme="2" tint="-0.24994659260841701"/>
        </right>
        <top style="thin">
          <color theme="2" tint="-0.24994659260841701"/>
        </top>
        <bottom style="thin">
          <color theme="2"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theme="1"/>
      </font>
      <fill>
        <patternFill patternType="solid">
          <fgColor rgb="FFC0C5B2"/>
          <bgColor rgb="FFC0C5B2"/>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E2D0AA"/>
          <bgColor rgb="FFE2D0AA"/>
        </patternFill>
      </fill>
      <border>
        <left style="thin">
          <color theme="2" tint="-0.24994659260841701"/>
        </left>
        <right style="thin">
          <color theme="2" tint="-0.24994659260841701"/>
        </right>
        <top style="thin">
          <color theme="2" tint="-0.24994659260841701"/>
        </top>
        <bottom style="thin">
          <color theme="2"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theme="1"/>
      </font>
      <fill>
        <patternFill patternType="solid">
          <fgColor rgb="FFC0C5B2"/>
          <bgColor rgb="FFC0C5B2"/>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E2D0AA"/>
          <bgColor rgb="FFE2D0AA"/>
        </patternFill>
      </fill>
      <border>
        <left style="thin">
          <color theme="2" tint="-0.24994659260841701"/>
        </left>
        <right style="thin">
          <color theme="2" tint="-0.24994659260841701"/>
        </right>
        <top style="thin">
          <color theme="2" tint="-0.24994659260841701"/>
        </top>
        <bottom style="thin">
          <color theme="2"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theme="1"/>
      </font>
      <fill>
        <patternFill patternType="solid">
          <fgColor rgb="FFC0C5B2"/>
          <bgColor rgb="FFC0C5B2"/>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E2D0AA"/>
          <bgColor rgb="FFE2D0AA"/>
        </patternFill>
      </fill>
      <border>
        <left style="thin">
          <color theme="2" tint="-0.24994659260841701"/>
        </left>
        <right style="thin">
          <color theme="2" tint="-0.24994659260841701"/>
        </right>
        <top style="thin">
          <color theme="2" tint="-0.24994659260841701"/>
        </top>
        <bottom style="thin">
          <color theme="2"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theme="1"/>
      </font>
      <fill>
        <patternFill patternType="solid">
          <fgColor rgb="FFC0C5B2"/>
          <bgColor rgb="FFC0C5B2"/>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E2D0AA"/>
          <bgColor rgb="FFE2D0AA"/>
        </patternFill>
      </fill>
      <border>
        <left style="thin">
          <color theme="2" tint="-0.24994659260841701"/>
        </left>
        <right style="thin">
          <color theme="2" tint="-0.24994659260841701"/>
        </right>
        <top style="thin">
          <color theme="2" tint="-0.24994659260841701"/>
        </top>
        <bottom style="thin">
          <color theme="2"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theme="3" tint="4.9989318521683403E-2"/>
      </font>
      <fill>
        <patternFill patternType="solid">
          <fgColor rgb="FF5B0F00"/>
          <bgColor rgb="FF5B0F00"/>
        </patternFill>
      </fill>
      <border>
        <left style="thin">
          <color theme="1" tint="0.14996795556505021"/>
        </left>
        <right style="thin">
          <color theme="1" tint="0.14996795556505021"/>
        </right>
        <top style="thin">
          <color theme="1" tint="0.14996795556505021"/>
        </top>
        <bottom style="thin">
          <color theme="1" tint="0.14996795556505021"/>
        </bottom>
      </border>
    </dxf>
    <dxf>
      <font>
        <b/>
        <color rgb="FF000000"/>
      </font>
      <fill>
        <patternFill patternType="solid">
          <fgColor rgb="FF274E13"/>
          <bgColor rgb="FF274E13"/>
        </patternFill>
      </fill>
      <border>
        <left style="thin">
          <color theme="1" tint="0.14996795556505021"/>
        </left>
        <right style="thin">
          <color theme="1" tint="0.14996795556505021"/>
        </right>
        <top style="thin">
          <color theme="1" tint="0.14996795556505021"/>
        </top>
        <bottom style="thin">
          <color theme="1" tint="0.14996795556505021"/>
        </bottom>
      </border>
    </dxf>
    <dxf>
      <font>
        <b/>
        <color rgb="FF554840"/>
      </font>
      <fill>
        <patternFill patternType="solid">
          <fgColor rgb="FFE2D0AA"/>
          <bgColor rgb="FFE2D0AA"/>
        </patternFill>
      </fill>
      <border>
        <left style="thin">
          <color theme="2" tint="-0.24994659260841701"/>
        </left>
        <right style="thin">
          <color theme="2" tint="-0.24994659260841701"/>
        </right>
        <top style="thin">
          <color theme="2" tint="-0.24994659260841701"/>
        </top>
        <bottom style="thin">
          <color theme="2"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theme="1"/>
      </font>
      <fill>
        <patternFill patternType="solid">
          <fgColor rgb="FFC0C5B2"/>
          <bgColor rgb="FFC0C5B2"/>
        </patternFill>
      </fill>
      <border>
        <left style="thin">
          <color theme="0" tint="-0.24994659260841701"/>
        </left>
        <right style="thin">
          <color theme="0" tint="-0.24994659260841701"/>
        </right>
        <top style="thin">
          <color theme="0" tint="-0.24994659260841701"/>
        </top>
        <bottom style="thin">
          <color theme="0" tint="-0.24994659260841701"/>
        </bottom>
      </border>
    </dxf>
    <dxf>
      <font>
        <color rgb="FFF3F3F3"/>
      </font>
      <fill>
        <patternFill patternType="solid">
          <fgColor rgb="FF0C343D"/>
          <bgColor rgb="FF0C343D"/>
        </patternFill>
      </fill>
    </dxf>
    <dxf>
      <font>
        <color rgb="FFF3F3F3"/>
      </font>
      <fill>
        <patternFill patternType="solid">
          <fgColor rgb="FF5B0F00"/>
          <bgColor rgb="FF5B0F00"/>
        </patternFill>
      </fill>
    </dxf>
    <dxf>
      <font>
        <b/>
        <color rgb="FFF3F3F3"/>
      </font>
      <fill>
        <patternFill patternType="solid">
          <fgColor rgb="FF5B0F00"/>
          <bgColor rgb="FF5B0F00"/>
        </patternFill>
      </fill>
    </dxf>
    <dxf>
      <font>
        <color rgb="FFF3F3F3"/>
      </font>
      <fill>
        <patternFill patternType="solid">
          <fgColor rgb="FF274E13"/>
          <bgColor rgb="FF274E13"/>
        </patternFill>
      </fill>
    </dxf>
    <dxf>
      <font>
        <b/>
        <color rgb="FF5B0F00"/>
      </font>
      <fill>
        <patternFill patternType="none"/>
      </fill>
    </dxf>
    <dxf>
      <font>
        <b/>
        <color rgb="FF0C343D"/>
      </font>
      <fill>
        <patternFill patternType="none"/>
      </fill>
    </dxf>
    <dxf>
      <font>
        <color rgb="FFF5F5F5"/>
      </font>
      <fill>
        <patternFill patternType="solid">
          <fgColor rgb="FF5B0F00"/>
          <bgColor rgb="FF5B0F00"/>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color rgb="FFCCCCCC"/>
      </font>
      <fill>
        <patternFill patternType="solid">
          <fgColor rgb="FF5B0F00"/>
          <bgColor rgb="FF5B0F00"/>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E2D0AA"/>
          <bgColor rgb="FFE2D0AA"/>
        </patternFill>
      </fill>
      <border>
        <left style="thin">
          <color theme="2" tint="-0.24994659260841701"/>
        </left>
        <right style="thin">
          <color theme="2" tint="-0.24994659260841701"/>
        </right>
        <top style="thin">
          <color theme="2" tint="-0.24994659260841701"/>
        </top>
        <bottom style="thin">
          <color theme="2"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theme="1"/>
      </font>
      <fill>
        <patternFill patternType="solid">
          <fgColor rgb="FFC0C5B2"/>
          <bgColor rgb="FFC0C5B2"/>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E2D0AA"/>
          <bgColor rgb="FFE2D0AA"/>
        </patternFill>
      </fill>
      <border>
        <left style="thin">
          <color theme="2" tint="-0.24994659260841701"/>
        </left>
        <right style="thin">
          <color theme="2" tint="-0.24994659260841701"/>
        </right>
        <top style="thin">
          <color theme="2" tint="-0.24994659260841701"/>
        </top>
        <bottom style="thin">
          <color theme="2"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theme="1"/>
      </font>
      <fill>
        <patternFill patternType="solid">
          <fgColor rgb="FFC0C5B2"/>
          <bgColor rgb="FFC0C5B2"/>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000000"/>
      </font>
      <fill>
        <patternFill patternType="solid">
          <fgColor rgb="FF85200C"/>
          <bgColor rgb="FF85200C"/>
        </patternFill>
      </fill>
    </dxf>
    <dxf>
      <font>
        <b/>
        <color rgb="FF000000"/>
      </font>
      <fill>
        <patternFill patternType="solid">
          <fgColor rgb="FF85200C"/>
          <bgColor rgb="FF85200C"/>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000000"/>
      </font>
      <fill>
        <patternFill patternType="solid">
          <fgColor rgb="FF999999"/>
          <bgColor rgb="FF999999"/>
        </patternFill>
      </fill>
    </dxf>
    <dxf>
      <font>
        <b/>
        <color rgb="FF000000"/>
      </font>
      <fill>
        <patternFill patternType="solid">
          <fgColor rgb="FFA27547"/>
          <bgColor rgb="FFA27547"/>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color rgb="FFD9D9D9"/>
      </font>
      <fill>
        <patternFill patternType="solid">
          <fgColor rgb="FFD9D9D9"/>
          <bgColor rgb="FFD9D9D9"/>
        </patternFill>
      </fill>
    </dxf>
    <dxf>
      <font>
        <color rgb="FFD9D9D9"/>
      </font>
      <fill>
        <patternFill patternType="solid">
          <fgColor rgb="FFD9D9D9"/>
          <bgColor rgb="FFD9D9D9"/>
        </patternFill>
      </fill>
    </dxf>
    <dxf>
      <font>
        <color rgb="FFD9D9D9"/>
      </font>
      <fill>
        <patternFill patternType="solid">
          <fgColor rgb="FFD9D9D9"/>
          <bgColor rgb="FFD9D9D9"/>
        </patternFill>
      </fill>
    </dxf>
    <dxf>
      <font>
        <color rgb="FFD9D9D9"/>
      </font>
      <fill>
        <patternFill patternType="solid">
          <fgColor rgb="FFD9D9D9"/>
          <bgColor rgb="FFD9D9D9"/>
        </patternFill>
      </fill>
    </dxf>
    <dxf>
      <font>
        <color rgb="FF554840"/>
      </font>
      <fill>
        <patternFill patternType="solid">
          <fgColor rgb="FFF3F3F3"/>
          <bgColor rgb="FFF3F3F3"/>
        </patternFill>
      </fill>
    </dxf>
    <dxf>
      <font>
        <b/>
        <color rgb="FF554840"/>
      </font>
      <fill>
        <patternFill patternType="solid">
          <fgColor rgb="FFE2D0AA"/>
          <bgColor rgb="FFE2D0AA"/>
        </patternFill>
      </fill>
      <border>
        <left style="thin">
          <color theme="2" tint="-0.24994659260841701"/>
        </left>
        <right style="thin">
          <color theme="2" tint="-0.24994659260841701"/>
        </right>
        <top style="thin">
          <color theme="2" tint="-0.24994659260841701"/>
        </top>
        <bottom style="thin">
          <color theme="2" tint="-0.24994659260841701"/>
        </bottom>
      </border>
    </dxf>
    <dxf>
      <font>
        <b/>
        <color theme="1"/>
      </font>
      <fill>
        <patternFill patternType="solid">
          <fgColor rgb="FFC0C5B2"/>
          <bgColor rgb="FFC0C5B2"/>
        </patternFill>
      </fill>
      <border>
        <left style="thin">
          <color theme="0" tint="-0.24994659260841701"/>
        </left>
        <right style="thin">
          <color theme="0" tint="-0.24994659260841701"/>
        </right>
        <top style="thin">
          <color theme="0" tint="-0.24994659260841701"/>
        </top>
        <bottom style="thin">
          <color theme="0" tint="-0.24994659260841701"/>
        </bottom>
      </border>
    </dxf>
    <dxf>
      <font>
        <color rgb="FF554840"/>
      </font>
      <fill>
        <patternFill patternType="solid">
          <fgColor rgb="FFF3F3F3"/>
          <bgColor rgb="FFF3F3F3"/>
        </patternFill>
      </fill>
    </dxf>
    <dxf>
      <font>
        <b/>
        <color rgb="FF554840"/>
      </font>
      <fill>
        <patternFill patternType="solid">
          <fgColor rgb="FFE2D0AA"/>
          <bgColor rgb="FFE2D0AA"/>
        </patternFill>
      </fill>
      <border>
        <left style="thin">
          <color theme="2" tint="-0.24994659260841701"/>
        </left>
        <right style="thin">
          <color theme="2" tint="-0.24994659260841701"/>
        </right>
        <top style="thin">
          <color theme="2" tint="-0.24994659260841701"/>
        </top>
        <bottom style="thin">
          <color theme="2" tint="-0.24994659260841701"/>
        </bottom>
      </border>
    </dxf>
    <dxf>
      <font>
        <b/>
        <color theme="1"/>
      </font>
      <fill>
        <patternFill patternType="solid">
          <fgColor rgb="FFC0C5B2"/>
          <bgColor rgb="FFC0C5B2"/>
        </patternFill>
      </fill>
      <border>
        <left style="thin">
          <color theme="0" tint="-0.24994659260841701"/>
        </left>
        <right style="thin">
          <color theme="0" tint="-0.24994659260841701"/>
        </right>
        <top style="thin">
          <color theme="0" tint="-0.24994659260841701"/>
        </top>
        <bottom style="thin">
          <color theme="0" tint="-0.24994659260841701"/>
        </bottom>
      </border>
    </dxf>
    <dxf>
      <font>
        <color rgb="FF554840"/>
      </font>
      <fill>
        <patternFill patternType="solid">
          <fgColor rgb="FFF3F3F3"/>
          <bgColor rgb="FFF3F3F3"/>
        </patternFill>
      </fill>
    </dxf>
    <dxf>
      <font>
        <b/>
        <color rgb="FF554840"/>
      </font>
      <fill>
        <patternFill patternType="solid">
          <fgColor rgb="FFE2D0AA"/>
          <bgColor rgb="FFE2D0AA"/>
        </patternFill>
      </fill>
      <border>
        <left style="thin">
          <color theme="2" tint="-0.24994659260841701"/>
        </left>
        <right style="thin">
          <color theme="2" tint="-0.24994659260841701"/>
        </right>
        <top style="thin">
          <color theme="2" tint="-0.24994659260841701"/>
        </top>
        <bottom style="thin">
          <color theme="2" tint="-0.24994659260841701"/>
        </bottom>
      </border>
    </dxf>
    <dxf>
      <font>
        <b/>
        <color theme="1"/>
      </font>
      <fill>
        <patternFill patternType="solid">
          <fgColor rgb="FFC0C5B2"/>
          <bgColor rgb="FFC0C5B2"/>
        </patternFill>
      </fill>
      <border>
        <left style="thin">
          <color theme="0" tint="-0.24994659260841701"/>
        </left>
        <right style="thin">
          <color theme="0" tint="-0.24994659260841701"/>
        </right>
        <top style="thin">
          <color theme="0" tint="-0.24994659260841701"/>
        </top>
        <bottom style="thin">
          <color theme="0" tint="-0.24994659260841701"/>
        </bottom>
      </border>
    </dxf>
    <dxf>
      <font>
        <b/>
      </font>
      <fill>
        <patternFill patternType="solid">
          <fgColor rgb="FFD9EAD3"/>
          <bgColor rgb="FFD9EAD3"/>
        </patternFill>
      </fill>
    </dxf>
    <dxf>
      <font>
        <b/>
        <color rgb="FF980000"/>
      </font>
      <fill>
        <patternFill patternType="solid">
          <fgColor rgb="FFF4CCCC"/>
          <bgColor rgb="FFF4CCCC"/>
        </patternFill>
      </fill>
    </dxf>
    <dxf>
      <font>
        <color rgb="FFD9D9D9"/>
      </font>
      <fill>
        <patternFill patternType="solid">
          <fgColor rgb="FFD9D9D9"/>
          <bgColor rgb="FFD9D9D9"/>
        </patternFill>
      </fill>
    </dxf>
    <dxf>
      <font>
        <color rgb="FFD9D9D9"/>
      </font>
      <fill>
        <patternFill patternType="solid">
          <fgColor rgb="FFD9D9D9"/>
          <bgColor rgb="FFD9D9D9"/>
        </patternFill>
      </fill>
    </dxf>
    <dxf>
      <font>
        <b/>
        <color rgb="FF980000"/>
      </font>
      <fill>
        <patternFill patternType="solid">
          <fgColor rgb="FFF4CCCC"/>
          <bgColor rgb="FFF4CCCC"/>
        </patternFill>
      </fill>
    </dxf>
    <dxf>
      <font>
        <b/>
      </font>
      <fill>
        <patternFill patternType="solid">
          <fgColor rgb="FFD9EAD3"/>
          <bgColor rgb="FFD9EAD3"/>
        </patternFill>
      </fill>
    </dxf>
    <dxf>
      <font>
        <b/>
        <color theme="1"/>
      </font>
      <fill>
        <patternFill patternType="solid">
          <fgColor rgb="FFC0C5B2"/>
          <bgColor rgb="FFC0C5B2"/>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E2D0AA"/>
          <bgColor rgb="FFE2D0AA"/>
        </patternFill>
      </fill>
      <border>
        <left style="thin">
          <color theme="2" tint="-0.24994659260841701"/>
        </left>
        <right style="thin">
          <color theme="2" tint="-0.24994659260841701"/>
        </right>
        <top style="thin">
          <color theme="2" tint="-0.24994659260841701"/>
        </top>
        <bottom style="thin">
          <color theme="2" tint="-0.24994659260841701"/>
        </bottom>
      </border>
    </dxf>
    <dxf>
      <font>
        <color rgb="FF554840"/>
      </font>
      <fill>
        <patternFill patternType="solid">
          <fgColor rgb="FFF3F3F3"/>
          <bgColor rgb="FFF3F3F3"/>
        </patternFill>
      </fill>
    </dxf>
  </dxfs>
  <tableStyles count="0" defaultTableStyle="TableStyleMedium2" defaultPivotStyle="PivotStyleLight16"/>
  <colors>
    <mruColors>
      <color rgb="FF660033"/>
      <color rgb="FFDF007C"/>
      <color rgb="FFD13331"/>
      <color rgb="FF191919"/>
      <color rgb="FF232323"/>
      <color rgb="FF1F1F1F"/>
      <color rgb="FF373B3F"/>
      <color rgb="FF3E4A56"/>
      <color rgb="FF111111"/>
      <color rgb="FF0092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4.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5.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6.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7.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8.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autoTitleDeleted val="1"/>
    <c:plotArea>
      <c:layout/>
      <c:doughnutChart>
        <c:varyColors val="1"/>
        <c:ser>
          <c:idx val="0"/>
          <c:order val="0"/>
          <c:spPr>
            <a:ln w="57150">
              <a:noFill/>
            </a:ln>
            <a:effectLst>
              <a:softEdge rad="0"/>
            </a:effectLst>
          </c:spPr>
          <c:explosion val="1"/>
          <c:dPt>
            <c:idx val="0"/>
            <c:bubble3D val="0"/>
            <c:spPr>
              <a:solidFill>
                <a:schemeClr val="bg2"/>
              </a:solidFill>
              <a:ln w="282575" cap="flat">
                <a:solidFill>
                  <a:schemeClr val="tx1">
                    <a:lumMod val="85000"/>
                    <a:lumOff val="15000"/>
                  </a:schemeClr>
                </a:solidFill>
                <a:prstDash val="solid"/>
                <a:round/>
              </a:ln>
              <a:effectLst>
                <a:softEdge rad="0"/>
              </a:effectLst>
            </c:spPr>
            <c:extLst>
              <c:ext xmlns:c16="http://schemas.microsoft.com/office/drawing/2014/chart" uri="{C3380CC4-5D6E-409C-BE32-E72D297353CC}">
                <c16:uniqueId val="{00000002-1B36-40A4-907D-2F1D263F6518}"/>
              </c:ext>
            </c:extLst>
          </c:dPt>
          <c:dPt>
            <c:idx val="1"/>
            <c:bubble3D val="0"/>
            <c:spPr>
              <a:solidFill>
                <a:srgbClr val="660033"/>
              </a:solidFill>
              <a:ln w="282575">
                <a:solidFill>
                  <a:schemeClr val="tx2">
                    <a:lumMod val="85000"/>
                    <a:lumOff val="15000"/>
                  </a:schemeClr>
                </a:solidFill>
              </a:ln>
              <a:effectLst>
                <a:softEdge rad="0"/>
              </a:effectLst>
            </c:spPr>
            <c:extLst>
              <c:ext xmlns:c16="http://schemas.microsoft.com/office/drawing/2014/chart" uri="{C3380CC4-5D6E-409C-BE32-E72D297353CC}">
                <c16:uniqueId val="{00000001-1B36-40A4-907D-2F1D263F6518}"/>
              </c:ext>
            </c:extLst>
          </c:dPt>
          <c:dLbls>
            <c:dLbl>
              <c:idx val="1"/>
              <c:spPr>
                <a:solidFill>
                  <a:schemeClr val="tx2">
                    <a:lumMod val="85000"/>
                    <a:lumOff val="15000"/>
                  </a:schemeClr>
                </a:solid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rgbClr val="660033"/>
                      </a:solidFill>
                      <a:latin typeface="Arial Rounded MT Bold" panose="020F0704030504030204" pitchFamily="34" charset="0"/>
                      <a:ea typeface="+mn-ea"/>
                      <a:cs typeface="+mn-cs"/>
                    </a:defRPr>
                  </a:pPr>
                  <a:endParaRPr lang="en-US"/>
                </a:p>
              </c:txPr>
              <c:showLegendKey val="0"/>
              <c:showVal val="1"/>
              <c:showCatName val="0"/>
              <c:showSerName val="0"/>
              <c:showPercent val="0"/>
              <c:showBubbleSize val="0"/>
              <c:extLst>
                <c:ext xmlns:c16="http://schemas.microsoft.com/office/drawing/2014/chart" uri="{C3380CC4-5D6E-409C-BE32-E72D297353CC}">
                  <c16:uniqueId val="{00000001-1B36-40A4-907D-2F1D263F6518}"/>
                </c:ext>
              </c:extLst>
            </c:dLbl>
            <c:spPr>
              <a:solidFill>
                <a:schemeClr val="tx2">
                  <a:lumMod val="85000"/>
                  <a:lumOff val="15000"/>
                </a:schemeClr>
              </a:solid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lt1">
                        <a:lumMod val="85000"/>
                      </a:schemeClr>
                    </a:solidFill>
                    <a:latin typeface="Arial Rounded MT Bold" panose="020F0704030504030204" pitchFamily="34" charset="0"/>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val>
            <c:numRef>
              <c:f>('PERFORMANCE ANALYSIS'!$AH$14,'PERFORMANCE ANALYSIS'!$AJ$14)</c:f>
              <c:numCache>
                <c:formatCode>0%</c:formatCode>
                <c:ptCount val="2"/>
                <c:pt idx="0">
                  <c:v>0.60427807486631013</c:v>
                </c:pt>
                <c:pt idx="1">
                  <c:v>0.39572192513368987</c:v>
                </c:pt>
              </c:numCache>
            </c:numRef>
          </c:val>
          <c:extLst>
            <c:ext xmlns:c16="http://schemas.microsoft.com/office/drawing/2014/chart" uri="{C3380CC4-5D6E-409C-BE32-E72D297353CC}">
              <c16:uniqueId val="{00000000-1B36-40A4-907D-2F1D263F6518}"/>
            </c:ext>
          </c:extLst>
        </c:ser>
        <c:dLbls>
          <c:showLegendKey val="0"/>
          <c:showVal val="0"/>
          <c:showCatName val="0"/>
          <c:showSerName val="0"/>
          <c:showPercent val="0"/>
          <c:showBubbleSize val="0"/>
          <c:showLeaderLines val="1"/>
        </c:dLbls>
        <c:firstSliceAng val="0"/>
        <c:holeSize val="79"/>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1" i="0" u="none" strike="noStrike" kern="1200" spc="0" baseline="0">
                <a:solidFill>
                  <a:schemeClr val="bg2">
                    <a:lumMod val="50000"/>
                  </a:schemeClr>
                </a:solidFill>
                <a:latin typeface="+mn-lt"/>
                <a:ea typeface="+mn-ea"/>
                <a:cs typeface="+mn-cs"/>
              </a:defRPr>
            </a:pPr>
            <a:r>
              <a:rPr lang="en-US" b="1"/>
              <a:t>W% v </a:t>
            </a:r>
            <a:r>
              <a:rPr lang="en-US" b="1">
                <a:solidFill>
                  <a:srgbClr val="FF0000"/>
                </a:solidFill>
              </a:rPr>
              <a:t>L%</a:t>
            </a:r>
          </a:p>
        </c:rich>
      </c:tx>
      <c:overlay val="0"/>
      <c:spPr>
        <a:noFill/>
        <a:ln>
          <a:noFill/>
        </a:ln>
        <a:effectLst/>
      </c:spPr>
      <c:txPr>
        <a:bodyPr rot="0" spcFirstLastPara="1" vertOverflow="ellipsis" vert="horz" wrap="square" anchor="ctr" anchorCtr="1"/>
        <a:lstStyle/>
        <a:p>
          <a:pPr>
            <a:defRPr sz="1000" b="1" i="0" u="none" strike="noStrike" kern="1200" spc="0" baseline="0">
              <a:solidFill>
                <a:schemeClr val="bg2">
                  <a:lumMod val="50000"/>
                </a:schemeClr>
              </a:solidFill>
              <a:latin typeface="+mn-lt"/>
              <a:ea typeface="+mn-ea"/>
              <a:cs typeface="+mn-cs"/>
            </a:defRPr>
          </a:pPr>
          <a:endParaRPr lang="en-US"/>
        </a:p>
      </c:txPr>
    </c:title>
    <c:autoTitleDeleted val="0"/>
    <c:plotArea>
      <c:layout/>
      <c:barChart>
        <c:barDir val="bar"/>
        <c:grouping val="stacked"/>
        <c:varyColors val="0"/>
        <c:ser>
          <c:idx val="0"/>
          <c:order val="0"/>
          <c:spPr>
            <a:solidFill>
              <a:schemeClr val="tx1">
                <a:lumMod val="85000"/>
                <a:lumOff val="1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2">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'PERFORMANCE ANALYSIS'!$B$6:$B$17</c:f>
              <c:strCache>
                <c:ptCount val="11"/>
                <c:pt idx="0">
                  <c:v>TECHNICAL</c:v>
                </c:pt>
                <c:pt idx="1">
                  <c:v>FUNDAMENTAL</c:v>
                </c:pt>
                <c:pt idx="2">
                  <c:v>CURVE</c:v>
                </c:pt>
                <c:pt idx="3">
                  <c:v>WHITES</c:v>
                </c:pt>
                <c:pt idx="4">
                  <c:v>REDS</c:v>
                </c:pt>
                <c:pt idx="5">
                  <c:v>BONDS</c:v>
                </c:pt>
                <c:pt idx="6">
                  <c:v>OUTRIGHTS (IR,IB,YT)</c:v>
                </c:pt>
                <c:pt idx="7">
                  <c:v>SPREADS</c:v>
                </c:pt>
                <c:pt idx="8">
                  <c:v>FLIES</c:v>
                </c:pt>
                <c:pt idx="9">
                  <c:v>TED</c:v>
                </c:pt>
                <c:pt idx="10">
                  <c:v>YT-XT</c:v>
                </c:pt>
              </c:strCache>
            </c:strRef>
          </c:cat>
          <c:val>
            <c:numRef>
              <c:f>'PERFORMANCE ANALYSIS'!$G$6:$G$17</c:f>
              <c:numCache>
                <c:formatCode>0%</c:formatCode>
                <c:ptCount val="11"/>
                <c:pt idx="0">
                  <c:v>0.54838709677419351</c:v>
                </c:pt>
                <c:pt idx="1">
                  <c:v>0.5</c:v>
                </c:pt>
                <c:pt idx="2">
                  <c:v>0.375</c:v>
                </c:pt>
                <c:pt idx="3">
                  <c:v>0.60869565217391308</c:v>
                </c:pt>
                <c:pt idx="4">
                  <c:v>0.42857142857142855</c:v>
                </c:pt>
                <c:pt idx="5">
                  <c:v>0.5</c:v>
                </c:pt>
                <c:pt idx="6">
                  <c:v>0.75</c:v>
                </c:pt>
                <c:pt idx="7">
                  <c:v>0.54166666666666663</c:v>
                </c:pt>
                <c:pt idx="8">
                  <c:v>0.6</c:v>
                </c:pt>
                <c:pt idx="9">
                  <c:v>0</c:v>
                </c:pt>
                <c:pt idx="10">
                  <c:v>0</c:v>
                </c:pt>
              </c:numCache>
            </c:numRef>
          </c:val>
          <c:extLst>
            <c:ext xmlns:c16="http://schemas.microsoft.com/office/drawing/2014/chart" uri="{C3380CC4-5D6E-409C-BE32-E72D297353CC}">
              <c16:uniqueId val="{00000000-49BE-474F-B3E1-0A6C8C174ED2}"/>
            </c:ext>
          </c:extLst>
        </c:ser>
        <c:ser>
          <c:idx val="1"/>
          <c:order val="1"/>
          <c:spPr>
            <a:solidFill>
              <a:srgbClr val="DF007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2"/>
                    </a:solidFill>
                    <a:latin typeface="Calibri" panose="020F0502020204030204" pitchFamily="34" charset="0"/>
                    <a:ea typeface="+mn-ea"/>
                    <a:cs typeface="Calibri" panose="020F050202020403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'PERFORMANCE ANALYSIS'!$B$6:$B$17</c:f>
              <c:strCache>
                <c:ptCount val="11"/>
                <c:pt idx="0">
                  <c:v>TECHNICAL</c:v>
                </c:pt>
                <c:pt idx="1">
                  <c:v>FUNDAMENTAL</c:v>
                </c:pt>
                <c:pt idx="2">
                  <c:v>CURVE</c:v>
                </c:pt>
                <c:pt idx="3">
                  <c:v>WHITES</c:v>
                </c:pt>
                <c:pt idx="4">
                  <c:v>REDS</c:v>
                </c:pt>
                <c:pt idx="5">
                  <c:v>BONDS</c:v>
                </c:pt>
                <c:pt idx="6">
                  <c:v>OUTRIGHTS (IR,IB,YT)</c:v>
                </c:pt>
                <c:pt idx="7">
                  <c:v>SPREADS</c:v>
                </c:pt>
                <c:pt idx="8">
                  <c:v>FLIES</c:v>
                </c:pt>
                <c:pt idx="9">
                  <c:v>TED</c:v>
                </c:pt>
                <c:pt idx="10">
                  <c:v>YT-XT</c:v>
                </c:pt>
              </c:strCache>
            </c:strRef>
          </c:cat>
          <c:val>
            <c:numRef>
              <c:f>'PERFORMANCE ANALYSIS'!$J$6:$J$17</c:f>
              <c:numCache>
                <c:formatCode>0%</c:formatCode>
                <c:ptCount val="11"/>
                <c:pt idx="0">
                  <c:v>9.6774193548387094E-2</c:v>
                </c:pt>
                <c:pt idx="1">
                  <c:v>0.16666666666666666</c:v>
                </c:pt>
                <c:pt idx="2">
                  <c:v>0.125</c:v>
                </c:pt>
                <c:pt idx="3">
                  <c:v>0.13043478260869565</c:v>
                </c:pt>
                <c:pt idx="4">
                  <c:v>0</c:v>
                </c:pt>
                <c:pt idx="5">
                  <c:v>0</c:v>
                </c:pt>
                <c:pt idx="6">
                  <c:v>0</c:v>
                </c:pt>
                <c:pt idx="7">
                  <c:v>8.3333333333333329E-2</c:v>
                </c:pt>
                <c:pt idx="8">
                  <c:v>0.2</c:v>
                </c:pt>
                <c:pt idx="9">
                  <c:v>0</c:v>
                </c:pt>
                <c:pt idx="10">
                  <c:v>0</c:v>
                </c:pt>
              </c:numCache>
            </c:numRef>
          </c:val>
          <c:extLst>
            <c:ext xmlns:c16="http://schemas.microsoft.com/office/drawing/2014/chart" uri="{C3380CC4-5D6E-409C-BE32-E72D297353CC}">
              <c16:uniqueId val="{00000001-49BE-474F-B3E1-0A6C8C174ED2}"/>
            </c:ext>
          </c:extLst>
        </c:ser>
        <c:dLbls>
          <c:showLegendKey val="0"/>
          <c:showVal val="0"/>
          <c:showCatName val="0"/>
          <c:showSerName val="0"/>
          <c:showPercent val="0"/>
          <c:showBubbleSize val="0"/>
        </c:dLbls>
        <c:gapWidth val="157"/>
        <c:overlap val="100"/>
        <c:axId val="1417515255"/>
        <c:axId val="1417509015"/>
      </c:barChart>
      <c:catAx>
        <c:axId val="1417515255"/>
        <c:scaling>
          <c:orientation val="maxMin"/>
        </c:scaling>
        <c:delete val="0"/>
        <c:axPos val="l"/>
        <c:numFmt formatCode="General" sourceLinked="1"/>
        <c:majorTickMark val="none"/>
        <c:minorTickMark val="none"/>
        <c:tickLblPos val="nextTo"/>
        <c:spPr>
          <a:noFill/>
          <a:ln w="9525" cap="flat" cmpd="sng" algn="ctr">
            <a:solidFill>
              <a:schemeClr val="tx2">
                <a:lumMod val="85000"/>
                <a:lumOff val="15000"/>
              </a:schemeClr>
            </a:solidFill>
            <a:round/>
          </a:ln>
          <a:effectLst/>
        </c:spPr>
        <c:txPr>
          <a:bodyPr rot="-60000000" spcFirstLastPara="1" vertOverflow="ellipsis" vert="horz" wrap="square" anchor="ctr" anchorCtr="1"/>
          <a:lstStyle/>
          <a:p>
            <a:pPr>
              <a:defRPr sz="900" b="0" i="0" u="none" strike="noStrike" kern="1200" baseline="0">
                <a:solidFill>
                  <a:schemeClr val="bg1">
                    <a:lumMod val="85000"/>
                  </a:schemeClr>
                </a:solidFill>
                <a:latin typeface="+mn-lt"/>
                <a:ea typeface="+mn-ea"/>
                <a:cs typeface="+mn-cs"/>
              </a:defRPr>
            </a:pPr>
            <a:endParaRPr lang="en-US"/>
          </a:p>
        </c:txPr>
        <c:crossAx val="1417509015"/>
        <c:crosses val="autoZero"/>
        <c:auto val="1"/>
        <c:lblAlgn val="ctr"/>
        <c:lblOffset val="500"/>
        <c:noMultiLvlLbl val="0"/>
      </c:catAx>
      <c:valAx>
        <c:axId val="1417509015"/>
        <c:scaling>
          <c:orientation val="minMax"/>
          <c:max val="1"/>
        </c:scaling>
        <c:delete val="1"/>
        <c:axPos val="t"/>
        <c:numFmt formatCode="0%" sourceLinked="1"/>
        <c:majorTickMark val="none"/>
        <c:minorTickMark val="none"/>
        <c:tickLblPos val="high"/>
        <c:crossAx val="14175152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tx1">
        <a:lumMod val="95000"/>
        <a:lumOff val="5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1" i="0" u="none" strike="noStrike" kern="1200" spc="0" baseline="0">
                <a:solidFill>
                  <a:schemeClr val="tx1">
                    <a:lumMod val="65000"/>
                    <a:lumOff val="35000"/>
                  </a:schemeClr>
                </a:solidFill>
                <a:latin typeface="+mn-lt"/>
                <a:ea typeface="+mn-ea"/>
                <a:cs typeface="+mn-cs"/>
              </a:defRPr>
            </a:pPr>
            <a:r>
              <a:rPr lang="en-US" b="1"/>
              <a:t>GAINS V </a:t>
            </a:r>
            <a:r>
              <a:rPr lang="en-US" b="1">
                <a:solidFill>
                  <a:srgbClr val="FF0000"/>
                </a:solidFill>
              </a:rPr>
              <a:t>LOSS</a:t>
            </a:r>
          </a:p>
        </c:rich>
      </c:tx>
      <c:overlay val="0"/>
      <c:spPr>
        <a:noFill/>
        <a:ln>
          <a:noFill/>
        </a:ln>
        <a:effectLst/>
      </c:spPr>
      <c:txPr>
        <a:bodyPr rot="0" spcFirstLastPara="1" vertOverflow="ellipsis" vert="horz" wrap="square" anchor="ctr" anchorCtr="1"/>
        <a:lstStyle/>
        <a:p>
          <a:pPr>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spPr>
            <a:solidFill>
              <a:schemeClr val="tx1">
                <a:lumMod val="85000"/>
                <a:lumOff val="1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2">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'PERFORMANCE ANALYSIS'!$B$6:$B$17</c15:sqref>
                  </c15:fullRef>
                </c:ext>
              </c:extLst>
              <c:f>'PERFORMANCE ANALYSIS'!$B$9:$B$17</c:f>
              <c:strCache>
                <c:ptCount val="8"/>
                <c:pt idx="0">
                  <c:v>WHITES</c:v>
                </c:pt>
                <c:pt idx="1">
                  <c:v>REDS</c:v>
                </c:pt>
                <c:pt idx="2">
                  <c:v>BONDS</c:v>
                </c:pt>
                <c:pt idx="3">
                  <c:v>OUTRIGHTS (IR,IB,YT)</c:v>
                </c:pt>
                <c:pt idx="4">
                  <c:v>SPREADS</c:v>
                </c:pt>
                <c:pt idx="5">
                  <c:v>FLIES</c:v>
                </c:pt>
                <c:pt idx="6">
                  <c:v>TED</c:v>
                </c:pt>
                <c:pt idx="7">
                  <c:v>YT-XT</c:v>
                </c:pt>
              </c:strCache>
            </c:strRef>
          </c:cat>
          <c:val>
            <c:numRef>
              <c:extLst>
                <c:ext xmlns:c15="http://schemas.microsoft.com/office/drawing/2012/chart" uri="{02D57815-91ED-43cb-92C2-25804820EDAC}">
                  <c15:fullRef>
                    <c15:sqref>'PERFORMANCE ANALYSIS'!$F$6:$F$17</c15:sqref>
                  </c15:fullRef>
                </c:ext>
              </c:extLst>
              <c:f>'PERFORMANCE ANALYSIS'!$F$9:$F$17</c:f>
              <c:numCache>
                <c:formatCode>"$"#,##0</c:formatCode>
                <c:ptCount val="8"/>
                <c:pt idx="0">
                  <c:v>2480.0000000000027</c:v>
                </c:pt>
                <c:pt idx="1">
                  <c:v>832.00000000000045</c:v>
                </c:pt>
                <c:pt idx="2">
                  <c:v>72.000000000036835</c:v>
                </c:pt>
                <c:pt idx="3">
                  <c:v>145.89000000008869</c:v>
                </c:pt>
                <c:pt idx="4">
                  <c:v>2656.0000000000009</c:v>
                </c:pt>
                <c:pt idx="5">
                  <c:v>608</c:v>
                </c:pt>
                <c:pt idx="6">
                  <c:v>0</c:v>
                </c:pt>
                <c:pt idx="7">
                  <c:v>0</c:v>
                </c:pt>
              </c:numCache>
            </c:numRef>
          </c:val>
          <c:extLst>
            <c:ext xmlns:c16="http://schemas.microsoft.com/office/drawing/2014/chart" uri="{C3380CC4-5D6E-409C-BE32-E72D297353CC}">
              <c16:uniqueId val="{00000000-A9EA-4D1D-AF6D-1ED44D102709}"/>
            </c:ext>
          </c:extLst>
        </c:ser>
        <c:ser>
          <c:idx val="1"/>
          <c:order val="1"/>
          <c:spPr>
            <a:solidFill>
              <a:srgbClr val="DF007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2">
                        <a:lumMod val="95000"/>
                      </a:schemeClr>
                    </a:solidFill>
                    <a:latin typeface="+mn-lt"/>
                    <a:ea typeface="+mn-ea"/>
                    <a:cs typeface="+mn-cs"/>
                  </a:defRPr>
                </a:pPr>
                <a:endParaRPr lang="en-US"/>
              </a:p>
            </c:txPr>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'PERFORMANCE ANALYSIS'!$B$6:$B$17</c15:sqref>
                  </c15:fullRef>
                </c:ext>
              </c:extLst>
              <c:f>'PERFORMANCE ANALYSIS'!$B$9:$B$17</c:f>
              <c:strCache>
                <c:ptCount val="8"/>
                <c:pt idx="0">
                  <c:v>WHITES</c:v>
                </c:pt>
                <c:pt idx="1">
                  <c:v>REDS</c:v>
                </c:pt>
                <c:pt idx="2">
                  <c:v>BONDS</c:v>
                </c:pt>
                <c:pt idx="3">
                  <c:v>OUTRIGHTS (IR,IB,YT)</c:v>
                </c:pt>
                <c:pt idx="4">
                  <c:v>SPREADS</c:v>
                </c:pt>
                <c:pt idx="5">
                  <c:v>FLIES</c:v>
                </c:pt>
                <c:pt idx="6">
                  <c:v>TED</c:v>
                </c:pt>
                <c:pt idx="7">
                  <c:v>YT-XT</c:v>
                </c:pt>
              </c:strCache>
            </c:strRef>
          </c:cat>
          <c:val>
            <c:numRef>
              <c:extLst>
                <c:ext xmlns:c15="http://schemas.microsoft.com/office/drawing/2012/chart" uri="{02D57815-91ED-43cb-92C2-25804820EDAC}">
                  <c15:fullRef>
                    <c15:sqref>'PERFORMANCE ANALYSIS'!$I$6:$I$17</c15:sqref>
                  </c15:fullRef>
                </c:ext>
              </c:extLst>
              <c:f>'PERFORMANCE ANALYSIS'!$I$9:$I$17</c:f>
              <c:numCache>
                <c:formatCode>"$"#,##0</c:formatCode>
                <c:ptCount val="8"/>
                <c:pt idx="0">
                  <c:v>1791.9999999999995</c:v>
                </c:pt>
                <c:pt idx="1">
                  <c:v>0</c:v>
                </c:pt>
                <c:pt idx="2">
                  <c:v>0</c:v>
                </c:pt>
                <c:pt idx="3">
                  <c:v>0</c:v>
                </c:pt>
                <c:pt idx="4">
                  <c:v>879.99999999999989</c:v>
                </c:pt>
                <c:pt idx="5">
                  <c:v>911.99999999999977</c:v>
                </c:pt>
                <c:pt idx="6">
                  <c:v>0</c:v>
                </c:pt>
                <c:pt idx="7">
                  <c:v>0</c:v>
                </c:pt>
              </c:numCache>
            </c:numRef>
          </c:val>
          <c:extLst>
            <c:ext xmlns:c16="http://schemas.microsoft.com/office/drawing/2014/chart" uri="{C3380CC4-5D6E-409C-BE32-E72D297353CC}">
              <c16:uniqueId val="{00000001-A9EA-4D1D-AF6D-1ED44D102709}"/>
            </c:ext>
          </c:extLst>
        </c:ser>
        <c:dLbls>
          <c:showLegendKey val="0"/>
          <c:showVal val="0"/>
          <c:showCatName val="0"/>
          <c:showSerName val="0"/>
          <c:showPercent val="0"/>
          <c:showBubbleSize val="0"/>
        </c:dLbls>
        <c:gapWidth val="182"/>
        <c:overlap val="100"/>
        <c:axId val="796957815"/>
        <c:axId val="796954455"/>
      </c:barChart>
      <c:catAx>
        <c:axId val="796957815"/>
        <c:scaling>
          <c:orientation val="maxMin"/>
        </c:scaling>
        <c:delete val="0"/>
        <c:axPos val="l"/>
        <c:numFmt formatCode="General" sourceLinked="1"/>
        <c:majorTickMark val="none"/>
        <c:minorTickMark val="none"/>
        <c:tickLblPos val="nextTo"/>
        <c:spPr>
          <a:noFill/>
          <a:ln w="9525" cap="flat" cmpd="sng" algn="ctr">
            <a:solidFill>
              <a:schemeClr val="tx2">
                <a:lumMod val="85000"/>
                <a:lumOff val="15000"/>
              </a:schemeClr>
            </a:solidFill>
            <a:round/>
          </a:ln>
          <a:effectLst/>
        </c:spPr>
        <c:txPr>
          <a:bodyPr rot="-60000000" spcFirstLastPara="1" vertOverflow="ellipsis" vert="horz" wrap="square" anchor="ctr" anchorCtr="1"/>
          <a:lstStyle/>
          <a:p>
            <a:pPr>
              <a:defRPr sz="900" b="0" i="0" u="none" strike="noStrike" kern="1200" baseline="0">
                <a:solidFill>
                  <a:schemeClr val="bg1">
                    <a:lumMod val="85000"/>
                  </a:schemeClr>
                </a:solidFill>
                <a:latin typeface="+mn-lt"/>
                <a:ea typeface="+mn-ea"/>
                <a:cs typeface="+mn-cs"/>
              </a:defRPr>
            </a:pPr>
            <a:endParaRPr lang="en-US"/>
          </a:p>
        </c:txPr>
        <c:crossAx val="796954455"/>
        <c:crosses val="autoZero"/>
        <c:auto val="1"/>
        <c:lblAlgn val="ctr"/>
        <c:lblOffset val="100"/>
        <c:noMultiLvlLbl val="0"/>
      </c:catAx>
      <c:valAx>
        <c:axId val="796954455"/>
        <c:scaling>
          <c:orientation val="minMax"/>
        </c:scaling>
        <c:delete val="1"/>
        <c:axPos val="t"/>
        <c:numFmt formatCode="&quot;$&quot;#,##0" sourceLinked="1"/>
        <c:majorTickMark val="none"/>
        <c:minorTickMark val="none"/>
        <c:tickLblPos val="high"/>
        <c:crossAx val="79695781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tx1">
        <a:lumMod val="95000"/>
        <a:lumOff val="5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t" anchorCtr="0"/>
          <a:lstStyle/>
          <a:p>
            <a:pPr>
              <a:defRPr sz="1000" b="1" i="0" u="none" strike="noStrike" kern="1200" spc="0" baseline="0">
                <a:solidFill>
                  <a:schemeClr val="tx2">
                    <a:lumMod val="75000"/>
                    <a:lumOff val="25000"/>
                  </a:schemeClr>
                </a:solidFill>
                <a:latin typeface="+mn-lt"/>
                <a:ea typeface="+mn-ea"/>
                <a:cs typeface="+mn-cs"/>
              </a:defRPr>
            </a:pPr>
            <a:r>
              <a:rPr lang="en-IN" sz="1000" b="1">
                <a:solidFill>
                  <a:schemeClr val="tx2">
                    <a:lumMod val="75000"/>
                    <a:lumOff val="25000"/>
                  </a:schemeClr>
                </a:solidFill>
              </a:rPr>
              <a:t>WHITES</a:t>
            </a:r>
            <a:r>
              <a:rPr lang="en-IN" sz="1000" b="1" baseline="0">
                <a:solidFill>
                  <a:schemeClr val="tx2">
                    <a:lumMod val="75000"/>
                    <a:lumOff val="25000"/>
                  </a:schemeClr>
                </a:solidFill>
              </a:rPr>
              <a:t> V REDS</a:t>
            </a:r>
            <a:endParaRPr lang="en-IN" sz="1000" b="1">
              <a:solidFill>
                <a:schemeClr val="tx2">
                  <a:lumMod val="75000"/>
                  <a:lumOff val="25000"/>
                </a:schemeClr>
              </a:solidFill>
            </a:endParaRPr>
          </a:p>
        </c:rich>
      </c:tx>
      <c:overlay val="0"/>
      <c:spPr>
        <a:noFill/>
        <a:ln>
          <a:noFill/>
        </a:ln>
        <a:effectLst/>
      </c:spPr>
      <c:txPr>
        <a:bodyPr rot="0" spcFirstLastPara="1" vertOverflow="ellipsis" vert="horz" wrap="square" anchor="t" anchorCtr="0"/>
        <a:lstStyle/>
        <a:p>
          <a:pPr>
            <a:defRPr sz="1000" b="1" i="0" u="none" strike="noStrike" kern="1200" spc="0" baseline="0">
              <a:solidFill>
                <a:schemeClr val="tx2">
                  <a:lumMod val="75000"/>
                  <a:lumOff val="25000"/>
                </a:schemeClr>
              </a:solidFill>
              <a:latin typeface="+mn-lt"/>
              <a:ea typeface="+mn-ea"/>
              <a:cs typeface="+mn-cs"/>
            </a:defRPr>
          </a:pPr>
          <a:endParaRPr lang="en-US"/>
        </a:p>
      </c:txPr>
    </c:title>
    <c:autoTitleDeleted val="0"/>
    <c:plotArea>
      <c:layout>
        <c:manualLayout>
          <c:layoutTarget val="inner"/>
          <c:xMode val="edge"/>
          <c:yMode val="edge"/>
          <c:x val="4.8308076197431687E-2"/>
          <c:y val="0.16889057305713462"/>
          <c:w val="0.90338384760513668"/>
          <c:h val="0.71278155740716576"/>
        </c:manualLayout>
      </c:layout>
      <c:barChart>
        <c:barDir val="col"/>
        <c:grouping val="clustered"/>
        <c:varyColors val="0"/>
        <c:ser>
          <c:idx val="0"/>
          <c:order val="0"/>
          <c:spPr>
            <a:solidFill>
              <a:srgbClr val="262626"/>
            </a:solidFill>
            <a:ln w="190500">
              <a:solidFill>
                <a:schemeClr val="tx2">
                  <a:lumMod val="95000"/>
                  <a:lumOff val="5000"/>
                </a:schemeClr>
              </a:solidFill>
            </a:ln>
            <a:effectLst/>
          </c:spPr>
          <c:invertIfNegative val="1"/>
          <c:dLbls>
            <c:dLbl>
              <c:idx val="0"/>
              <c:spPr>
                <a:solidFill>
                  <a:schemeClr val="tx1">
                    <a:lumMod val="95000"/>
                    <a:lumOff val="5000"/>
                  </a:schemeClr>
                </a:solidFill>
                <a:ln>
                  <a:noFill/>
                </a:ln>
                <a:effectLst/>
              </c:spPr>
              <c:txPr>
                <a:bodyPr rot="0" spcFirstLastPara="1" vertOverflow="ellipsis" vert="horz" wrap="none" lIns="38100" tIns="19050" rIns="38100" bIns="19050" anchor="ctr" anchorCtr="1">
                  <a:noAutofit/>
                </a:bodyPr>
                <a:lstStyle/>
                <a:p>
                  <a:pPr>
                    <a:defRPr sz="2000" b="1" i="0" u="none" strike="noStrike" kern="1200" baseline="0">
                      <a:solidFill>
                        <a:schemeClr val="bg2">
                          <a:lumMod val="9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6704674796747968"/>
                      <c:h val="5.6274853912516083E-2"/>
                    </c:manualLayout>
                  </c15:layout>
                </c:ext>
                <c:ext xmlns:c16="http://schemas.microsoft.com/office/drawing/2014/chart" uri="{C3380CC4-5D6E-409C-BE32-E72D297353CC}">
                  <c16:uniqueId val="{00000001-255B-4F90-94F6-5845ED57AD4A}"/>
                </c:ext>
              </c:extLst>
            </c:dLbl>
            <c:dLbl>
              <c:idx val="1"/>
              <c:spPr>
                <a:solidFill>
                  <a:schemeClr val="tx1">
                    <a:lumMod val="95000"/>
                    <a:lumOff val="5000"/>
                  </a:schemeClr>
                </a:solidFill>
                <a:ln>
                  <a:noFill/>
                </a:ln>
                <a:effectLst/>
              </c:spPr>
              <c:txPr>
                <a:bodyPr rot="0" spcFirstLastPara="1" vertOverflow="ellipsis" vert="horz" wrap="none" lIns="38100" tIns="19050" rIns="38100" bIns="19050" anchor="ctr" anchorCtr="1">
                  <a:noAutofit/>
                </a:bodyPr>
                <a:lstStyle/>
                <a:p>
                  <a:pPr>
                    <a:defRPr sz="2000" b="1" i="0" u="none" strike="noStrike" kern="1200" baseline="0">
                      <a:solidFill>
                        <a:schemeClr val="bg2">
                          <a:lumMod val="9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8105013550135499"/>
                      <c:h val="6.6634840036352949E-2"/>
                    </c:manualLayout>
                  </c15:layout>
                </c:ext>
                <c:ext xmlns:c16="http://schemas.microsoft.com/office/drawing/2014/chart" uri="{C3380CC4-5D6E-409C-BE32-E72D297353CC}">
                  <c16:uniqueId val="{00000000-255B-4F90-94F6-5845ED57AD4A}"/>
                </c:ext>
              </c:extLst>
            </c:dLbl>
            <c:spPr>
              <a:solidFill>
                <a:schemeClr val="tx1">
                  <a:lumMod val="95000"/>
                  <a:lumOff val="5000"/>
                </a:schemeClr>
              </a:solidFill>
              <a:ln>
                <a:noFill/>
              </a:ln>
              <a:effectLst/>
            </c:spPr>
            <c:txPr>
              <a:bodyPr rot="0" spcFirstLastPara="1" vertOverflow="ellipsis" vert="horz" wrap="none" lIns="38100" tIns="19050" rIns="38100" bIns="19050" anchor="ctr" anchorCtr="1">
                <a:spAutoFit/>
              </a:bodyPr>
              <a:lstStyle/>
              <a:p>
                <a:pPr>
                  <a:defRPr sz="2000" b="1" i="0" u="none" strike="noStrike" kern="1200" baseline="0">
                    <a:solidFill>
                      <a:schemeClr val="bg2">
                        <a:lumMod val="9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'PERFORMANCE ANALYSIS'!$B$6:$B$17</c15:sqref>
                  </c15:fullRef>
                </c:ext>
              </c:extLst>
              <c:f>('PERFORMANCE ANALYSIS'!$B$9:$B$10,'PERFORMANCE ANALYSIS'!$B$17)</c:f>
              <c:strCache>
                <c:ptCount val="2"/>
                <c:pt idx="0">
                  <c:v>WHITES</c:v>
                </c:pt>
                <c:pt idx="1">
                  <c:v>REDS</c:v>
                </c:pt>
              </c:strCache>
            </c:strRef>
          </c:cat>
          <c:val>
            <c:numRef>
              <c:extLst>
                <c:ext xmlns:c15="http://schemas.microsoft.com/office/drawing/2012/chart" uri="{02D57815-91ED-43cb-92C2-25804820EDAC}">
                  <c15:fullRef>
                    <c15:sqref>'PERFORMANCE ANALYSIS'!$L$6:$L$17</c15:sqref>
                  </c15:fullRef>
                </c:ext>
              </c:extLst>
              <c:f>('PERFORMANCE ANALYSIS'!$L$9:$L$10,'PERFORMANCE ANALYSIS'!$L$17)</c:f>
              <c:numCache>
                <c:formatCode>"$"#,##0</c:formatCode>
                <c:ptCount val="2"/>
                <c:pt idx="0">
                  <c:v>688.00000000000318</c:v>
                </c:pt>
                <c:pt idx="1">
                  <c:v>832.00000000000045</c:v>
                </c:pt>
              </c:numCache>
            </c:numRef>
          </c:val>
          <c:extLst>
            <c:ext xmlns:c14="http://schemas.microsoft.com/office/drawing/2007/8/2/chart" uri="{6F2FDCE9-48DA-4B69-8628-5D25D57E5C99}">
              <c14:invertSolidFillFmt>
                <c14:spPr xmlns:c14="http://schemas.microsoft.com/office/drawing/2007/8/2/chart">
                  <a:solidFill>
                    <a:srgbClr val="DF007C"/>
                  </a:solidFill>
                  <a:ln w="190500">
                    <a:solidFill>
                      <a:schemeClr val="tx2">
                        <a:lumMod val="95000"/>
                        <a:lumOff val="5000"/>
                      </a:schemeClr>
                    </a:solidFill>
                  </a:ln>
                  <a:effectLst/>
                </c14:spPr>
              </c14:invertSolidFillFmt>
            </c:ext>
            <c:ext xmlns:c16="http://schemas.microsoft.com/office/drawing/2014/chart" uri="{C3380CC4-5D6E-409C-BE32-E72D297353CC}">
              <c16:uniqueId val="{00000000-8E34-4B94-963B-978F5911922C}"/>
            </c:ext>
          </c:extLst>
        </c:ser>
        <c:dLbls>
          <c:showLegendKey val="0"/>
          <c:showVal val="0"/>
          <c:showCatName val="0"/>
          <c:showSerName val="0"/>
          <c:showPercent val="0"/>
          <c:showBubbleSize val="0"/>
        </c:dLbls>
        <c:gapWidth val="500"/>
        <c:axId val="709832880"/>
        <c:axId val="611032896"/>
      </c:barChart>
      <c:catAx>
        <c:axId val="709832880"/>
        <c:scaling>
          <c:orientation val="minMax"/>
        </c:scaling>
        <c:delete val="0"/>
        <c:axPos val="b"/>
        <c:numFmt formatCode="General" sourceLinked="1"/>
        <c:majorTickMark val="none"/>
        <c:minorTickMark val="none"/>
        <c:tickLblPos val="low"/>
        <c:spPr>
          <a:noFill/>
          <a:ln w="9525" cap="flat" cmpd="sng" algn="ctr">
            <a:solidFill>
              <a:schemeClr val="tx2">
                <a:lumMod val="85000"/>
                <a:lumOff val="15000"/>
              </a:schemeClr>
            </a:solidFill>
            <a:round/>
          </a:ln>
          <a:effectLst/>
        </c:spPr>
        <c:txPr>
          <a:bodyPr rot="-60000000" spcFirstLastPara="1" vertOverflow="ellipsis" vert="horz" wrap="square" anchor="ctr" anchorCtr="1"/>
          <a:lstStyle/>
          <a:p>
            <a:pPr>
              <a:defRPr sz="900" b="1" i="0" u="none" strike="noStrike" kern="1200" baseline="0">
                <a:solidFill>
                  <a:schemeClr val="bg2">
                    <a:lumMod val="95000"/>
                  </a:schemeClr>
                </a:solidFill>
                <a:latin typeface="+mn-lt"/>
                <a:ea typeface="+mn-ea"/>
                <a:cs typeface="+mn-cs"/>
              </a:defRPr>
            </a:pPr>
            <a:endParaRPr lang="en-US"/>
          </a:p>
        </c:txPr>
        <c:crossAx val="611032896"/>
        <c:crosses val="autoZero"/>
        <c:auto val="1"/>
        <c:lblAlgn val="ctr"/>
        <c:lblOffset val="500"/>
        <c:noMultiLvlLbl val="0"/>
      </c:catAx>
      <c:valAx>
        <c:axId val="611032896"/>
        <c:scaling>
          <c:orientation val="minMax"/>
        </c:scaling>
        <c:delete val="1"/>
        <c:axPos val="l"/>
        <c:majorGridlines>
          <c:spPr>
            <a:ln w="9525" cap="flat" cmpd="sng" algn="ctr">
              <a:solidFill>
                <a:schemeClr val="tx2">
                  <a:lumMod val="95000"/>
                  <a:lumOff val="5000"/>
                </a:schemeClr>
              </a:solidFill>
              <a:round/>
            </a:ln>
            <a:effectLst/>
          </c:spPr>
        </c:majorGridlines>
        <c:numFmt formatCode="&quot;$&quot;#,##0" sourceLinked="1"/>
        <c:majorTickMark val="none"/>
        <c:minorTickMark val="none"/>
        <c:tickLblPos val="nextTo"/>
        <c:crossAx val="709832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95000"/>
        <a:lumOff val="5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t" anchorCtr="0"/>
          <a:lstStyle/>
          <a:p>
            <a:pPr>
              <a:defRPr sz="1000" b="1" i="0" u="none" strike="noStrike" kern="1200" spc="0" baseline="0">
                <a:solidFill>
                  <a:schemeClr val="tx2">
                    <a:lumMod val="75000"/>
                    <a:lumOff val="25000"/>
                  </a:schemeClr>
                </a:solidFill>
                <a:latin typeface="+mn-lt"/>
                <a:ea typeface="+mn-ea"/>
                <a:cs typeface="+mn-cs"/>
              </a:defRPr>
            </a:pPr>
            <a:r>
              <a:rPr lang="en-IN" sz="1000" b="1" baseline="0">
                <a:solidFill>
                  <a:schemeClr val="tx2">
                    <a:lumMod val="75000"/>
                    <a:lumOff val="25000"/>
                  </a:schemeClr>
                </a:solidFill>
              </a:rPr>
              <a:t>CONTRACTS</a:t>
            </a:r>
            <a:endParaRPr lang="en-IN" sz="1000" b="1">
              <a:solidFill>
                <a:schemeClr val="tx2">
                  <a:lumMod val="75000"/>
                  <a:lumOff val="25000"/>
                </a:schemeClr>
              </a:solidFill>
            </a:endParaRPr>
          </a:p>
        </c:rich>
      </c:tx>
      <c:overlay val="0"/>
      <c:spPr>
        <a:noFill/>
        <a:ln>
          <a:noFill/>
        </a:ln>
        <a:effectLst/>
      </c:spPr>
    </c:title>
    <c:autoTitleDeleted val="0"/>
    <c:plotArea>
      <c:layout>
        <c:manualLayout>
          <c:layoutTarget val="inner"/>
          <c:xMode val="edge"/>
          <c:yMode val="edge"/>
          <c:x val="2.4253472222222221E-2"/>
          <c:y val="0.17270820373378587"/>
          <c:w val="0.95149305555555552"/>
          <c:h val="0.68513794520879179"/>
        </c:manualLayout>
      </c:layout>
      <c:barChart>
        <c:barDir val="col"/>
        <c:grouping val="clustered"/>
        <c:varyColors val="0"/>
        <c:ser>
          <c:idx val="0"/>
          <c:order val="0"/>
          <c:spPr>
            <a:solidFill>
              <a:srgbClr val="262626"/>
            </a:solidFill>
            <a:ln w="142875">
              <a:solidFill>
                <a:schemeClr val="tx2">
                  <a:lumMod val="95000"/>
                  <a:lumOff val="5000"/>
                </a:schemeClr>
              </a:solidFill>
            </a:ln>
            <a:effectLst/>
          </c:spPr>
          <c:invertIfNegative val="1"/>
          <c:dLbls>
            <c:spPr>
              <a:solidFill>
                <a:schemeClr val="tx1">
                  <a:lumMod val="95000"/>
                  <a:lumOff val="5000"/>
                </a:schemeClr>
              </a:solidFill>
              <a:ln>
                <a:noFill/>
              </a:ln>
              <a:effectLst/>
            </c:spPr>
            <c:txPr>
              <a:bodyPr rot="0" spcFirstLastPara="1" vertOverflow="ellipsis" vert="horz" wrap="none" lIns="38100" tIns="19050" rIns="38100" bIns="19050" anchor="ctr" anchorCtr="1">
                <a:spAutoFit/>
              </a:bodyPr>
              <a:lstStyle/>
              <a:p>
                <a:pPr>
                  <a:defRPr sz="20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'PERFORMANCE ANALYSIS'!$B$6:$B$17</c15:sqref>
                  </c15:fullRef>
                </c:ext>
              </c:extLst>
              <c:f>'PERFORMANCE ANALYSIS'!$B$12:$B$17</c:f>
              <c:strCache>
                <c:ptCount val="5"/>
                <c:pt idx="0">
                  <c:v>OUTRIGHTS (IR,IB,YT)</c:v>
                </c:pt>
                <c:pt idx="1">
                  <c:v>SPREADS</c:v>
                </c:pt>
                <c:pt idx="2">
                  <c:v>FLIES</c:v>
                </c:pt>
                <c:pt idx="3">
                  <c:v>TED</c:v>
                </c:pt>
                <c:pt idx="4">
                  <c:v>YT-XT</c:v>
                </c:pt>
              </c:strCache>
            </c:strRef>
          </c:cat>
          <c:val>
            <c:numRef>
              <c:extLst>
                <c:ext xmlns:c15="http://schemas.microsoft.com/office/drawing/2012/chart" uri="{02D57815-91ED-43cb-92C2-25804820EDAC}">
                  <c15:fullRef>
                    <c15:sqref>'PERFORMANCE ANALYSIS'!$L$6:$L$17</c15:sqref>
                  </c15:fullRef>
                </c:ext>
              </c:extLst>
              <c:f>'PERFORMANCE ANALYSIS'!$L$12:$L$17</c:f>
              <c:numCache>
                <c:formatCode>"$"#,##0</c:formatCode>
                <c:ptCount val="5"/>
                <c:pt idx="0">
                  <c:v>145.89000000008869</c:v>
                </c:pt>
                <c:pt idx="1">
                  <c:v>1776.0000000000009</c:v>
                </c:pt>
                <c:pt idx="2">
                  <c:v>-303.99999999999977</c:v>
                </c:pt>
                <c:pt idx="3">
                  <c:v>0</c:v>
                </c:pt>
                <c:pt idx="4">
                  <c:v>0</c:v>
                </c:pt>
              </c:numCache>
            </c:numRef>
          </c:val>
          <c:extLst>
            <c:ext xmlns:c14="http://schemas.microsoft.com/office/drawing/2007/8/2/chart" uri="{6F2FDCE9-48DA-4B69-8628-5D25D57E5C99}">
              <c14:invertSolidFillFmt>
                <c14:spPr xmlns:c14="http://schemas.microsoft.com/office/drawing/2007/8/2/chart">
                  <a:solidFill>
                    <a:srgbClr val="DF007C"/>
                  </a:solidFill>
                  <a:ln w="142875">
                    <a:solidFill>
                      <a:schemeClr val="tx2">
                        <a:lumMod val="95000"/>
                        <a:lumOff val="5000"/>
                      </a:schemeClr>
                    </a:solidFill>
                  </a:ln>
                  <a:effectLst/>
                </c14:spPr>
              </c14:invertSolidFillFmt>
            </c:ext>
            <c:ext xmlns:c16="http://schemas.microsoft.com/office/drawing/2014/chart" uri="{C3380CC4-5D6E-409C-BE32-E72D297353CC}">
              <c16:uniqueId val="{00000000-2A55-46DE-96FA-431449D879FC}"/>
            </c:ext>
          </c:extLst>
        </c:ser>
        <c:dLbls>
          <c:showLegendKey val="0"/>
          <c:showVal val="0"/>
          <c:showCatName val="0"/>
          <c:showSerName val="0"/>
          <c:showPercent val="0"/>
          <c:showBubbleSize val="0"/>
        </c:dLbls>
        <c:gapWidth val="500"/>
        <c:axId val="709832880"/>
        <c:axId val="611032896"/>
      </c:barChart>
      <c:catAx>
        <c:axId val="709832880"/>
        <c:scaling>
          <c:orientation val="minMax"/>
        </c:scaling>
        <c:delete val="0"/>
        <c:axPos val="b"/>
        <c:numFmt formatCode="General" sourceLinked="1"/>
        <c:majorTickMark val="none"/>
        <c:minorTickMark val="none"/>
        <c:tickLblPos val="low"/>
        <c:spPr>
          <a:noFill/>
          <a:ln w="9525" cap="flat" cmpd="sng" algn="ctr">
            <a:solidFill>
              <a:schemeClr val="tx2">
                <a:lumMod val="85000"/>
                <a:lumOff val="15000"/>
              </a:schemeClr>
            </a:solidFill>
            <a:round/>
          </a:ln>
          <a:effectLst/>
        </c:spPr>
        <c:txPr>
          <a:bodyPr rot="-60000000" spcFirstLastPara="1" vertOverflow="ellipsis" vert="horz" wrap="square" anchor="ctr" anchorCtr="1"/>
          <a:lstStyle/>
          <a:p>
            <a:pPr>
              <a:defRPr sz="900" b="1" i="0" u="none" strike="noStrike" kern="1200" baseline="0">
                <a:solidFill>
                  <a:schemeClr val="bg2">
                    <a:lumMod val="95000"/>
                  </a:schemeClr>
                </a:solidFill>
                <a:latin typeface="+mn-lt"/>
                <a:ea typeface="+mn-ea"/>
                <a:cs typeface="+mn-cs"/>
              </a:defRPr>
            </a:pPr>
            <a:endParaRPr lang="en-US"/>
          </a:p>
        </c:txPr>
        <c:crossAx val="611032896"/>
        <c:crosses val="autoZero"/>
        <c:auto val="1"/>
        <c:lblAlgn val="ctr"/>
        <c:lblOffset val="500"/>
        <c:noMultiLvlLbl val="0"/>
      </c:catAx>
      <c:valAx>
        <c:axId val="611032896"/>
        <c:scaling>
          <c:orientation val="minMax"/>
        </c:scaling>
        <c:delete val="1"/>
        <c:axPos val="l"/>
        <c:majorGridlines>
          <c:spPr>
            <a:ln w="9525" cap="flat" cmpd="sng" algn="ctr">
              <a:solidFill>
                <a:schemeClr val="tx2">
                  <a:lumMod val="95000"/>
                  <a:lumOff val="5000"/>
                </a:schemeClr>
              </a:solidFill>
              <a:round/>
            </a:ln>
            <a:effectLst/>
          </c:spPr>
        </c:majorGridlines>
        <c:numFmt formatCode="&quot;$&quot;#,##0" sourceLinked="1"/>
        <c:majorTickMark val="none"/>
        <c:minorTickMark val="none"/>
        <c:tickLblPos val="nextTo"/>
        <c:crossAx val="709832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95000"/>
        <a:lumOff val="5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1" i="0" u="none" strike="noStrike" kern="1200" spc="0" baseline="0">
                <a:solidFill>
                  <a:schemeClr val="bg2">
                    <a:lumMod val="95000"/>
                  </a:schemeClr>
                </a:solidFill>
                <a:latin typeface="+mn-lt"/>
                <a:ea typeface="+mn-ea"/>
                <a:cs typeface="+mn-cs"/>
              </a:defRPr>
            </a:pPr>
            <a:r>
              <a:rPr lang="en-US" b="1">
                <a:solidFill>
                  <a:schemeClr val="bg2">
                    <a:lumMod val="95000"/>
                  </a:schemeClr>
                </a:solidFill>
              </a:rPr>
              <a:t>SCORE1</a:t>
            </a:r>
          </a:p>
        </c:rich>
      </c:tx>
      <c:overlay val="0"/>
      <c:spPr>
        <a:noFill/>
        <a:ln>
          <a:noFill/>
        </a:ln>
        <a:effectLst/>
      </c:spPr>
      <c:txPr>
        <a:bodyPr rot="0" spcFirstLastPara="1" vertOverflow="ellipsis" vert="horz" wrap="square" anchor="ctr" anchorCtr="1"/>
        <a:lstStyle/>
        <a:p>
          <a:pPr>
            <a:defRPr sz="1000" b="1" i="0" u="none" strike="noStrike" kern="1200" spc="0" baseline="0">
              <a:solidFill>
                <a:schemeClr val="bg2">
                  <a:lumMod val="95000"/>
                </a:schemeClr>
              </a:solidFill>
              <a:latin typeface="+mn-lt"/>
              <a:ea typeface="+mn-ea"/>
              <a:cs typeface="+mn-cs"/>
            </a:defRPr>
          </a:pPr>
          <a:endParaRPr lang="en-US"/>
        </a:p>
      </c:txPr>
    </c:title>
    <c:autoTitleDeleted val="0"/>
    <c:plotArea>
      <c:layout>
        <c:manualLayout>
          <c:layoutTarget val="inner"/>
          <c:xMode val="edge"/>
          <c:yMode val="edge"/>
          <c:x val="1.2381412743123708E-2"/>
          <c:y val="0.17911534347566596"/>
          <c:w val="0.97523717451375258"/>
          <c:h val="0.56315690736909307"/>
        </c:manualLayout>
      </c:layout>
      <c:barChart>
        <c:barDir val="col"/>
        <c:grouping val="clustered"/>
        <c:varyColors val="0"/>
        <c:ser>
          <c:idx val="0"/>
          <c:order val="0"/>
          <c:spPr>
            <a:solidFill>
              <a:srgbClr val="262626"/>
            </a:solidFill>
            <a:ln>
              <a:noFill/>
            </a:ln>
            <a:effectLst/>
          </c:spPr>
          <c:invertIfNegative val="1"/>
          <c:dLbls>
            <c:spPr>
              <a:solidFill>
                <a:schemeClr val="tx2">
                  <a:lumMod val="85000"/>
                  <a:lumOff val="15000"/>
                </a:schemeClr>
              </a:solid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'PERFORMANCE ANALYSIS'!$B$6:$B$17</c15:sqref>
                  </c15:fullRef>
                </c:ext>
              </c:extLst>
              <c:f>('PERFORMANCE ANALYSIS'!$B$6:$B$10,'PERFORMANCE ANALYSIS'!$B$12:$B$17)</c:f>
              <c:strCache>
                <c:ptCount val="10"/>
                <c:pt idx="0">
                  <c:v>TECHNICAL</c:v>
                </c:pt>
                <c:pt idx="1">
                  <c:v>FUNDAMENTAL</c:v>
                </c:pt>
                <c:pt idx="2">
                  <c:v>CURVE</c:v>
                </c:pt>
                <c:pt idx="3">
                  <c:v>WHITES</c:v>
                </c:pt>
                <c:pt idx="4">
                  <c:v>REDS</c:v>
                </c:pt>
                <c:pt idx="5">
                  <c:v>OUTRIGHTS (IR,IB,YT)</c:v>
                </c:pt>
                <c:pt idx="6">
                  <c:v>SPREADS</c:v>
                </c:pt>
                <c:pt idx="7">
                  <c:v>FLIES</c:v>
                </c:pt>
                <c:pt idx="8">
                  <c:v>TED</c:v>
                </c:pt>
                <c:pt idx="9">
                  <c:v>YT-XT</c:v>
                </c:pt>
              </c:strCache>
            </c:strRef>
          </c:cat>
          <c:val>
            <c:numRef>
              <c:extLst>
                <c:ext xmlns:c15="http://schemas.microsoft.com/office/drawing/2012/chart" uri="{02D57815-91ED-43cb-92C2-25804820EDAC}">
                  <c15:fullRef>
                    <c15:sqref>'PERFORMANCE ANALYSIS'!$R$6:$R$17</c15:sqref>
                  </c15:fullRef>
                </c:ext>
              </c:extLst>
              <c:f>('PERFORMANCE ANALYSIS'!$R$6:$R$10,'PERFORMANCE ANALYSIS'!$R$12:$R$17)</c:f>
              <c:numCache>
                <c:formatCode>0.0</c:formatCode>
                <c:ptCount val="10"/>
                <c:pt idx="0">
                  <c:v>7.3696876600114907</c:v>
                </c:pt>
                <c:pt idx="1">
                  <c:v>6.6023544973572825</c:v>
                </c:pt>
                <c:pt idx="2">
                  <c:v>-1.571428571428573</c:v>
                </c:pt>
                <c:pt idx="3">
                  <c:v>5.4113181504486683</c:v>
                </c:pt>
                <c:pt idx="4">
                  <c:v>6.9659863945578273</c:v>
                </c:pt>
                <c:pt idx="5">
                  <c:v>32.157500000013833</c:v>
                </c:pt>
                <c:pt idx="6">
                  <c:v>4.5932539682539719</c:v>
                </c:pt>
                <c:pt idx="7">
                  <c:v>2.9968253968253951</c:v>
                </c:pt>
                <c:pt idx="8">
                  <c:v>0</c:v>
                </c:pt>
                <c:pt idx="9">
                  <c:v>0</c:v>
                </c:pt>
              </c:numCache>
            </c:numRef>
          </c:val>
          <c:extLst>
            <c:ext xmlns:c14="http://schemas.microsoft.com/office/drawing/2007/8/2/chart" uri="{6F2FDCE9-48DA-4B69-8628-5D25D57E5C99}">
              <c14:invertSolidFillFmt>
                <c14:spPr xmlns:c14="http://schemas.microsoft.com/office/drawing/2007/8/2/chart">
                  <a:solidFill>
                    <a:srgbClr val="DF007C"/>
                  </a:solidFill>
                  <a:ln>
                    <a:noFill/>
                  </a:ln>
                  <a:effectLst/>
                </c14:spPr>
              </c14:invertSolidFillFmt>
            </c:ext>
            <c:ext xmlns:c16="http://schemas.microsoft.com/office/drawing/2014/chart" uri="{C3380CC4-5D6E-409C-BE32-E72D297353CC}">
              <c16:uniqueId val="{00000000-3285-4A37-917A-52A8AC95BC1F}"/>
            </c:ext>
          </c:extLst>
        </c:ser>
        <c:dLbls>
          <c:showLegendKey val="0"/>
          <c:showVal val="0"/>
          <c:showCatName val="0"/>
          <c:showSerName val="0"/>
          <c:showPercent val="0"/>
          <c:showBubbleSize val="0"/>
        </c:dLbls>
        <c:gapWidth val="500"/>
        <c:axId val="1864020511"/>
        <c:axId val="187232399"/>
      </c:barChart>
      <c:catAx>
        <c:axId val="1864020511"/>
        <c:scaling>
          <c:orientation val="minMax"/>
        </c:scaling>
        <c:delete val="0"/>
        <c:axPos val="b"/>
        <c:numFmt formatCode="General" sourceLinked="1"/>
        <c:majorTickMark val="none"/>
        <c:minorTickMark val="none"/>
        <c:tickLblPos val="low"/>
        <c:spPr>
          <a:noFill/>
          <a:ln w="9525" cap="flat" cmpd="sng" algn="ctr">
            <a:solidFill>
              <a:schemeClr val="tx2">
                <a:lumMod val="85000"/>
                <a:lumOff val="15000"/>
              </a:schemeClr>
            </a:solidFill>
            <a:round/>
          </a:ln>
          <a:effectLst/>
        </c:spPr>
        <c:txPr>
          <a:bodyPr rot="-60000000" spcFirstLastPara="1" vertOverflow="ellipsis" vert="horz" wrap="square" anchor="ctr" anchorCtr="1"/>
          <a:lstStyle/>
          <a:p>
            <a:pPr>
              <a:defRPr sz="900" b="0" i="0" u="none" strike="noStrike" kern="1200" baseline="0">
                <a:solidFill>
                  <a:schemeClr val="bg1">
                    <a:lumMod val="85000"/>
                  </a:schemeClr>
                </a:solidFill>
                <a:latin typeface="+mn-lt"/>
                <a:ea typeface="+mn-ea"/>
                <a:cs typeface="+mn-cs"/>
              </a:defRPr>
            </a:pPr>
            <a:endParaRPr lang="en-US"/>
          </a:p>
        </c:txPr>
        <c:crossAx val="187232399"/>
        <c:crosses val="autoZero"/>
        <c:auto val="1"/>
        <c:lblAlgn val="ctr"/>
        <c:lblOffset val="450"/>
        <c:noMultiLvlLbl val="0"/>
      </c:catAx>
      <c:valAx>
        <c:axId val="187232399"/>
        <c:scaling>
          <c:orientation val="minMax"/>
        </c:scaling>
        <c:delete val="1"/>
        <c:axPos val="l"/>
        <c:numFmt formatCode="0.0" sourceLinked="1"/>
        <c:majorTickMark val="none"/>
        <c:minorTickMark val="none"/>
        <c:tickLblPos val="nextTo"/>
        <c:crossAx val="18640205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95000"/>
        <a:lumOff val="5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1" i="0" u="none" strike="noStrike" kern="1200" spc="0" baseline="0">
                <a:solidFill>
                  <a:schemeClr val="bg1">
                    <a:lumMod val="75000"/>
                  </a:schemeClr>
                </a:solidFill>
                <a:latin typeface="+mn-lt"/>
                <a:ea typeface="+mn-ea"/>
                <a:cs typeface="+mn-cs"/>
              </a:defRPr>
            </a:pPr>
            <a:r>
              <a:rPr lang="en-US" sz="1000" b="1" i="0" u="none" strike="noStrike" baseline="0">
                <a:solidFill>
                  <a:schemeClr val="bg1">
                    <a:lumMod val="75000"/>
                  </a:schemeClr>
                </a:solidFill>
                <a:effectLst/>
              </a:rPr>
              <a:t>AVERAGE </a:t>
            </a:r>
            <a:r>
              <a:rPr lang="en-US" b="1">
                <a:solidFill>
                  <a:schemeClr val="bg1">
                    <a:lumMod val="75000"/>
                  </a:schemeClr>
                </a:solidFill>
              </a:rPr>
              <a:t>PARTICIPATION -</a:t>
            </a:r>
            <a:r>
              <a:rPr lang="en-US" b="1" baseline="0">
                <a:solidFill>
                  <a:schemeClr val="bg1">
                    <a:lumMod val="75000"/>
                  </a:schemeClr>
                </a:solidFill>
              </a:rPr>
              <a:t> LOTS/ORDER </a:t>
            </a:r>
            <a:endParaRPr lang="en-US" b="1">
              <a:solidFill>
                <a:schemeClr val="bg1">
                  <a:lumMod val="75000"/>
                </a:schemeClr>
              </a:solidFill>
            </a:endParaRPr>
          </a:p>
        </c:rich>
      </c:tx>
      <c:overlay val="0"/>
      <c:spPr>
        <a:noFill/>
        <a:ln>
          <a:noFill/>
        </a:ln>
        <a:effectLst/>
      </c:spPr>
      <c:txPr>
        <a:bodyPr rot="0" spcFirstLastPara="1" vertOverflow="ellipsis" vert="horz" wrap="square" anchor="ctr" anchorCtr="1"/>
        <a:lstStyle/>
        <a:p>
          <a:pPr>
            <a:defRPr sz="1000" b="1" i="0" u="none" strike="noStrike" kern="1200" spc="0" baseline="0">
              <a:solidFill>
                <a:schemeClr val="bg1">
                  <a:lumMod val="75000"/>
                </a:schemeClr>
              </a:solidFill>
              <a:latin typeface="+mn-lt"/>
              <a:ea typeface="+mn-ea"/>
              <a:cs typeface="+mn-cs"/>
            </a:defRPr>
          </a:pPr>
          <a:endParaRPr lang="en-US"/>
        </a:p>
      </c:txPr>
    </c:title>
    <c:autoTitleDeleted val="0"/>
    <c:plotArea>
      <c:layout>
        <c:manualLayout>
          <c:layoutTarget val="inner"/>
          <c:xMode val="edge"/>
          <c:yMode val="edge"/>
          <c:x val="3.6883319868413408E-2"/>
          <c:y val="0.2999968078654196"/>
          <c:w val="0.92623336026317316"/>
          <c:h val="0.52527468318064285"/>
        </c:manualLayout>
      </c:layout>
      <c:barChart>
        <c:barDir val="col"/>
        <c:grouping val="clustered"/>
        <c:varyColors val="0"/>
        <c:ser>
          <c:idx val="0"/>
          <c:order val="0"/>
          <c:spPr>
            <a:solidFill>
              <a:srgbClr val="262626"/>
            </a:solidFill>
            <a:ln w="95250">
              <a:noFill/>
            </a:ln>
            <a:effectLst/>
          </c:spPr>
          <c:invertIfNegative val="1"/>
          <c:dLbls>
            <c:spPr>
              <a:solidFill>
                <a:schemeClr val="tx1">
                  <a:lumMod val="95000"/>
                  <a:lumOff val="5000"/>
                </a:schemeClr>
              </a:solid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'PERFORMANCE ANALYSIS'!$B$6:$B$17</c15:sqref>
                  </c15:fullRef>
                </c:ext>
              </c:extLst>
              <c:f>'PERFORMANCE ANALYSIS'!$B$12:$B$17</c:f>
              <c:strCache>
                <c:ptCount val="5"/>
                <c:pt idx="0">
                  <c:v>OUTRIGHTS (IR,IB,YT)</c:v>
                </c:pt>
                <c:pt idx="1">
                  <c:v>SPREADS</c:v>
                </c:pt>
                <c:pt idx="2">
                  <c:v>FLIES</c:v>
                </c:pt>
                <c:pt idx="3">
                  <c:v>TED</c:v>
                </c:pt>
                <c:pt idx="4">
                  <c:v>YT-XT</c:v>
                </c:pt>
              </c:strCache>
            </c:strRef>
          </c:cat>
          <c:val>
            <c:numRef>
              <c:extLst>
                <c:ext xmlns:c15="http://schemas.microsoft.com/office/drawing/2012/chart" uri="{02D57815-91ED-43cb-92C2-25804820EDAC}">
                  <c15:fullRef>
                    <c15:sqref>'PERFORMANCE ANALYSIS'!$S$6:$S$17</c15:sqref>
                  </c15:fullRef>
                </c:ext>
              </c:extLst>
              <c:f>'PERFORMANCE ANALYSIS'!$S$12:$S$17</c:f>
              <c:numCache>
                <c:formatCode>0.0</c:formatCode>
                <c:ptCount val="5"/>
                <c:pt idx="0">
                  <c:v>1.5</c:v>
                </c:pt>
                <c:pt idx="1">
                  <c:v>10.666666666666666</c:v>
                </c:pt>
                <c:pt idx="2">
                  <c:v>23.4</c:v>
                </c:pt>
                <c:pt idx="3">
                  <c:v>0</c:v>
                </c:pt>
                <c:pt idx="4">
                  <c:v>0</c:v>
                </c:pt>
              </c:numCache>
            </c:numRef>
          </c:val>
          <c:extLst>
            <c:ext xmlns:c14="http://schemas.microsoft.com/office/drawing/2007/8/2/chart" uri="{6F2FDCE9-48DA-4B69-8628-5D25D57E5C99}">
              <c14:invertSolidFillFmt>
                <c14:spPr xmlns:c14="http://schemas.microsoft.com/office/drawing/2007/8/2/chart">
                  <a:solidFill>
                    <a:srgbClr val="FD2D00"/>
                  </a:solidFill>
                  <a:ln w="95250">
                    <a:noFill/>
                  </a:ln>
                  <a:effectLst/>
                </c14:spPr>
              </c14:invertSolidFillFmt>
            </c:ext>
            <c:ext xmlns:c16="http://schemas.microsoft.com/office/drawing/2014/chart" uri="{C3380CC4-5D6E-409C-BE32-E72D297353CC}">
              <c16:uniqueId val="{00000000-2471-442A-B8D3-9EC4F9857980}"/>
            </c:ext>
          </c:extLst>
        </c:ser>
        <c:dLbls>
          <c:showLegendKey val="0"/>
          <c:showVal val="0"/>
          <c:showCatName val="0"/>
          <c:showSerName val="0"/>
          <c:showPercent val="0"/>
          <c:showBubbleSize val="0"/>
        </c:dLbls>
        <c:gapWidth val="500"/>
        <c:axId val="1864020511"/>
        <c:axId val="187232399"/>
      </c:barChart>
      <c:catAx>
        <c:axId val="1864020511"/>
        <c:scaling>
          <c:orientation val="minMax"/>
        </c:scaling>
        <c:delete val="0"/>
        <c:axPos val="b"/>
        <c:numFmt formatCode="General" sourceLinked="1"/>
        <c:majorTickMark val="none"/>
        <c:minorTickMark val="none"/>
        <c:tickLblPos val="low"/>
        <c:spPr>
          <a:noFill/>
          <a:ln w="9525" cap="flat" cmpd="sng" algn="ctr">
            <a:solidFill>
              <a:schemeClr val="tx2">
                <a:lumMod val="85000"/>
                <a:lumOff val="15000"/>
              </a:schemeClr>
            </a:solidFill>
            <a:round/>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crossAx val="187232399"/>
        <c:crosses val="autoZero"/>
        <c:auto val="1"/>
        <c:lblAlgn val="ctr"/>
        <c:lblOffset val="100"/>
        <c:noMultiLvlLbl val="0"/>
      </c:catAx>
      <c:valAx>
        <c:axId val="187232399"/>
        <c:scaling>
          <c:orientation val="minMax"/>
        </c:scaling>
        <c:delete val="1"/>
        <c:axPos val="l"/>
        <c:numFmt formatCode="0.0" sourceLinked="1"/>
        <c:majorTickMark val="none"/>
        <c:minorTickMark val="none"/>
        <c:tickLblPos val="nextTo"/>
        <c:crossAx val="18640205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95000"/>
        <a:lumOff val="5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EQUITY CUTVE </a:t>
            </a:r>
            <a:r>
              <a:rPr lang="en-IN">
                <a:solidFill>
                  <a:schemeClr val="accent1"/>
                </a:solidFill>
              </a:rPr>
              <a:t>TOTAL</a:t>
            </a:r>
            <a:r>
              <a:rPr lang="en-IN"/>
              <a:t> V </a:t>
            </a:r>
            <a:r>
              <a:rPr lang="en-IN">
                <a:solidFill>
                  <a:schemeClr val="accent2"/>
                </a:solidFill>
              </a:rPr>
              <a:t>UNIT</a:t>
            </a:r>
            <a:r>
              <a:rPr lang="en-IN" baseline="0">
                <a:solidFill>
                  <a:schemeClr val="accent2"/>
                </a:solidFill>
              </a:rPr>
              <a:t> LOT</a:t>
            </a:r>
            <a:endParaRPr lang="en-IN">
              <a:solidFill>
                <a:schemeClr val="accent2"/>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gradFill>
                <a:gsLst>
                  <a:gs pos="0">
                    <a:schemeClr val="accent6"/>
                  </a:gs>
                  <a:gs pos="100000">
                    <a:srgbClr val="C00000"/>
                  </a:gs>
                </a:gsLst>
                <a:lin ang="5400000" scaled="1"/>
              </a:gradFill>
              <a:round/>
            </a:ln>
            <a:effectLst/>
          </c:spPr>
          <c:marker>
            <c:symbol val="none"/>
          </c:marker>
          <c:cat>
            <c:strRef>
              <c:f>'Journal Live'!$A$3:$A$1077</c:f>
              <c:strCache>
                <c:ptCount val="1074"/>
                <c:pt idx="0">
                  <c:v>October 22 live</c:v>
                </c:pt>
                <c:pt idx="1">
                  <c:v>OCT.22</c:v>
                </c:pt>
                <c:pt idx="2">
                  <c:v>OCT.22</c:v>
                </c:pt>
                <c:pt idx="3">
                  <c:v>OCT.22</c:v>
                </c:pt>
                <c:pt idx="4">
                  <c:v>OCT.22</c:v>
                </c:pt>
                <c:pt idx="5">
                  <c:v>OCT.22</c:v>
                </c:pt>
                <c:pt idx="6">
                  <c:v>OCT.22</c:v>
                </c:pt>
                <c:pt idx="7">
                  <c:v>OCT.22</c:v>
                </c:pt>
                <c:pt idx="8">
                  <c:v>OCT.22</c:v>
                </c:pt>
                <c:pt idx="9">
                  <c:v>OCT.22</c:v>
                </c:pt>
                <c:pt idx="10">
                  <c:v>OCT.22</c:v>
                </c:pt>
                <c:pt idx="11">
                  <c:v>OCT.22</c:v>
                </c:pt>
                <c:pt idx="12">
                  <c:v>OCT.22</c:v>
                </c:pt>
                <c:pt idx="13">
                  <c:v>OCT.22</c:v>
                </c:pt>
                <c:pt idx="14">
                  <c:v>OCT.22</c:v>
                </c:pt>
                <c:pt idx="15">
                  <c:v>OCT.22</c:v>
                </c:pt>
                <c:pt idx="16">
                  <c:v>OCT.22</c:v>
                </c:pt>
                <c:pt idx="17">
                  <c:v>OCT.22</c:v>
                </c:pt>
                <c:pt idx="18">
                  <c:v>OCT.22</c:v>
                </c:pt>
                <c:pt idx="19">
                  <c:v>OCT.22</c:v>
                </c:pt>
                <c:pt idx="20">
                  <c:v>OCT.22</c:v>
                </c:pt>
                <c:pt idx="21">
                  <c:v>OCT.22</c:v>
                </c:pt>
                <c:pt idx="22">
                  <c:v>OCT.22</c:v>
                </c:pt>
                <c:pt idx="23">
                  <c:v>OCT.22</c:v>
                </c:pt>
                <c:pt idx="24">
                  <c:v>OCT.22</c:v>
                </c:pt>
                <c:pt idx="25">
                  <c:v>OCT.22</c:v>
                </c:pt>
                <c:pt idx="26">
                  <c:v>OCT.22</c:v>
                </c:pt>
                <c:pt idx="27">
                  <c:v>OCT.22</c:v>
                </c:pt>
                <c:pt idx="28">
                  <c:v>OCT.22</c:v>
                </c:pt>
                <c:pt idx="29">
                  <c:v>OCT.22</c:v>
                </c:pt>
                <c:pt idx="30">
                  <c:v>OCT.22</c:v>
                </c:pt>
                <c:pt idx="31">
                  <c:v>OCT.22</c:v>
                </c:pt>
                <c:pt idx="32">
                  <c:v>OCT.22</c:v>
                </c:pt>
                <c:pt idx="33">
                  <c:v>OCT.22</c:v>
                </c:pt>
                <c:pt idx="34">
                  <c:v>OCT.22</c:v>
                </c:pt>
                <c:pt idx="35">
                  <c:v>OCT.22</c:v>
                </c:pt>
                <c:pt idx="36">
                  <c:v>OCT.22</c:v>
                </c:pt>
                <c:pt idx="37">
                  <c:v>OCT.22</c:v>
                </c:pt>
                <c:pt idx="38">
                  <c:v>OCT.22</c:v>
                </c:pt>
                <c:pt idx="39">
                  <c:v>OCT.22</c:v>
                </c:pt>
                <c:pt idx="40">
                  <c:v>OCT.22</c:v>
                </c:pt>
                <c:pt idx="41">
                  <c:v>OCT.22</c:v>
                </c:pt>
                <c:pt idx="42">
                  <c:v>OCT.22</c:v>
                </c:pt>
                <c:pt idx="43">
                  <c:v>November 22 live</c:v>
                </c:pt>
                <c:pt idx="44">
                  <c:v>NOV.22</c:v>
                </c:pt>
                <c:pt idx="45">
                  <c:v>NOV.22</c:v>
                </c:pt>
                <c:pt idx="46">
                  <c:v>NOV.22</c:v>
                </c:pt>
                <c:pt idx="47">
                  <c:v>NOV.22</c:v>
                </c:pt>
                <c:pt idx="48">
                  <c:v>NOV.22</c:v>
                </c:pt>
                <c:pt idx="49">
                  <c:v>NOV.22</c:v>
                </c:pt>
                <c:pt idx="50">
                  <c:v>NOV.22</c:v>
                </c:pt>
                <c:pt idx="51">
                  <c:v>NOV.22</c:v>
                </c:pt>
                <c:pt idx="52">
                  <c:v>NOV.22</c:v>
                </c:pt>
                <c:pt idx="53">
                  <c:v>NOV.22</c:v>
                </c:pt>
                <c:pt idx="54">
                  <c:v>NOV.22</c:v>
                </c:pt>
                <c:pt idx="55">
                  <c:v>NOV.22</c:v>
                </c:pt>
                <c:pt idx="56">
                  <c:v>NOV.22</c:v>
                </c:pt>
                <c:pt idx="57">
                  <c:v>NOV.22</c:v>
                </c:pt>
                <c:pt idx="58">
                  <c:v>NOV.22</c:v>
                </c:pt>
                <c:pt idx="59">
                  <c:v>NOV.22</c:v>
                </c:pt>
                <c:pt idx="60">
                  <c:v>NOV.22</c:v>
                </c:pt>
                <c:pt idx="61">
                  <c:v>NOV.22</c:v>
                </c:pt>
                <c:pt idx="62">
                  <c:v>NOV.22</c:v>
                </c:pt>
                <c:pt idx="63">
                  <c:v>NOV.22</c:v>
                </c:pt>
                <c:pt idx="64">
                  <c:v>NOV.22</c:v>
                </c:pt>
                <c:pt idx="65">
                  <c:v>NOV.22</c:v>
                </c:pt>
                <c:pt idx="66">
                  <c:v>NOV.22</c:v>
                </c:pt>
                <c:pt idx="67">
                  <c:v>NOV.22</c:v>
                </c:pt>
                <c:pt idx="68">
                  <c:v>NOV.22</c:v>
                </c:pt>
                <c:pt idx="69">
                  <c:v>NOV.22</c:v>
                </c:pt>
                <c:pt idx="70">
                  <c:v>NOV.22</c:v>
                </c:pt>
                <c:pt idx="71">
                  <c:v>NOV.22</c:v>
                </c:pt>
                <c:pt idx="72">
                  <c:v>NOV.22</c:v>
                </c:pt>
                <c:pt idx="73">
                  <c:v>NOV.22</c:v>
                </c:pt>
                <c:pt idx="74">
                  <c:v>NOV.22</c:v>
                </c:pt>
                <c:pt idx="75">
                  <c:v>NOV.22</c:v>
                </c:pt>
                <c:pt idx="76">
                  <c:v>NOV.22</c:v>
                </c:pt>
                <c:pt idx="77">
                  <c:v>NOV.22</c:v>
                </c:pt>
                <c:pt idx="78">
                  <c:v>NOV.22</c:v>
                </c:pt>
                <c:pt idx="79">
                  <c:v>NOV.22</c:v>
                </c:pt>
                <c:pt idx="80">
                  <c:v>NOV.22</c:v>
                </c:pt>
                <c:pt idx="81">
                  <c:v>NOV.22</c:v>
                </c:pt>
                <c:pt idx="82">
                  <c:v>NOV.22</c:v>
                </c:pt>
                <c:pt idx="83">
                  <c:v>NOV.22</c:v>
                </c:pt>
                <c:pt idx="84">
                  <c:v>NOV.22</c:v>
                </c:pt>
                <c:pt idx="85">
                  <c:v>NOV.22</c:v>
                </c:pt>
                <c:pt idx="86">
                  <c:v>NOV.22</c:v>
                </c:pt>
                <c:pt idx="87">
                  <c:v>NOV.22</c:v>
                </c:pt>
                <c:pt idx="88">
                  <c:v>NOV.22</c:v>
                </c:pt>
                <c:pt idx="89">
                  <c:v>NOV.22</c:v>
                </c:pt>
                <c:pt idx="90">
                  <c:v>NOV.22</c:v>
                </c:pt>
                <c:pt idx="91">
                  <c:v>NOV.22</c:v>
                </c:pt>
                <c:pt idx="92">
                  <c:v>NOV.22</c:v>
                </c:pt>
                <c:pt idx="93">
                  <c:v>NOV.22</c:v>
                </c:pt>
                <c:pt idx="94">
                  <c:v>NOV.22</c:v>
                </c:pt>
                <c:pt idx="95">
                  <c:v>NOV.22</c:v>
                </c:pt>
                <c:pt idx="96">
                  <c:v>NOV.22</c:v>
                </c:pt>
                <c:pt idx="97">
                  <c:v>NOV.22</c:v>
                </c:pt>
                <c:pt idx="98">
                  <c:v>NOV.22</c:v>
                </c:pt>
                <c:pt idx="99">
                  <c:v>NOV.22</c:v>
                </c:pt>
                <c:pt idx="100">
                  <c:v>NOV.22</c:v>
                </c:pt>
                <c:pt idx="101">
                  <c:v>NOV.22</c:v>
                </c:pt>
                <c:pt idx="102">
                  <c:v>NOV.22</c:v>
                </c:pt>
                <c:pt idx="103">
                  <c:v>NOV.22</c:v>
                </c:pt>
                <c:pt idx="104">
                  <c:v>NOV.22</c:v>
                </c:pt>
                <c:pt idx="105">
                  <c:v>NOV.22</c:v>
                </c:pt>
                <c:pt idx="106">
                  <c:v>NOV.22</c:v>
                </c:pt>
                <c:pt idx="107">
                  <c:v>December 22 live</c:v>
                </c:pt>
                <c:pt idx="108">
                  <c:v>DEC.22</c:v>
                </c:pt>
                <c:pt idx="109">
                  <c:v>DEC.22</c:v>
                </c:pt>
                <c:pt idx="110">
                  <c:v>DEC.22</c:v>
                </c:pt>
                <c:pt idx="111">
                  <c:v>DEC.22</c:v>
                </c:pt>
                <c:pt idx="112">
                  <c:v>DEC.22</c:v>
                </c:pt>
                <c:pt idx="113">
                  <c:v>DEC.22</c:v>
                </c:pt>
                <c:pt idx="114">
                  <c:v>DEC.22</c:v>
                </c:pt>
                <c:pt idx="115">
                  <c:v>DEC.22</c:v>
                </c:pt>
                <c:pt idx="116">
                  <c:v>DEC.22</c:v>
                </c:pt>
                <c:pt idx="117">
                  <c:v>DEC.22</c:v>
                </c:pt>
                <c:pt idx="118">
                  <c:v>DEC.22</c:v>
                </c:pt>
                <c:pt idx="119">
                  <c:v>DEC.22</c:v>
                </c:pt>
                <c:pt idx="120">
                  <c:v>DEC.22</c:v>
                </c:pt>
                <c:pt idx="121">
                  <c:v>DEC.22</c:v>
                </c:pt>
                <c:pt idx="122">
                  <c:v>DEC.22</c:v>
                </c:pt>
                <c:pt idx="123">
                  <c:v>DEC.22</c:v>
                </c:pt>
                <c:pt idx="124">
                  <c:v>DEC.22</c:v>
                </c:pt>
                <c:pt idx="125">
                  <c:v>DEC.22</c:v>
                </c:pt>
                <c:pt idx="126">
                  <c:v>DEC.22</c:v>
                </c:pt>
                <c:pt idx="127">
                  <c:v>DEC.22</c:v>
                </c:pt>
                <c:pt idx="128">
                  <c:v>21 Dec22 break</c:v>
                </c:pt>
                <c:pt idx="129">
                  <c:v>BREAK</c:v>
                </c:pt>
                <c:pt idx="130">
                  <c:v>January 23 live</c:v>
                </c:pt>
                <c:pt idx="131">
                  <c:v>JAN</c:v>
                </c:pt>
                <c:pt idx="132">
                  <c:v>JAN</c:v>
                </c:pt>
                <c:pt idx="133">
                  <c:v>JAN</c:v>
                </c:pt>
                <c:pt idx="134">
                  <c:v>JAN</c:v>
                </c:pt>
                <c:pt idx="135">
                  <c:v>JAN</c:v>
                </c:pt>
                <c:pt idx="136">
                  <c:v>JAN</c:v>
                </c:pt>
                <c:pt idx="137">
                  <c:v>JAN</c:v>
                </c:pt>
                <c:pt idx="138">
                  <c:v>JAN</c:v>
                </c:pt>
                <c:pt idx="139">
                  <c:v>JAN</c:v>
                </c:pt>
                <c:pt idx="140">
                  <c:v>JAN</c:v>
                </c:pt>
                <c:pt idx="141">
                  <c:v>JAN</c:v>
                </c:pt>
                <c:pt idx="142">
                  <c:v>JAN</c:v>
                </c:pt>
                <c:pt idx="143">
                  <c:v>JAN</c:v>
                </c:pt>
                <c:pt idx="144">
                  <c:v>JAN</c:v>
                </c:pt>
                <c:pt idx="145">
                  <c:v>JAN</c:v>
                </c:pt>
                <c:pt idx="146">
                  <c:v>JAN</c:v>
                </c:pt>
                <c:pt idx="147">
                  <c:v>JAN</c:v>
                </c:pt>
                <c:pt idx="148">
                  <c:v>JAN</c:v>
                </c:pt>
                <c:pt idx="149">
                  <c:v>JAN</c:v>
                </c:pt>
                <c:pt idx="150">
                  <c:v>JAN</c:v>
                </c:pt>
                <c:pt idx="151">
                  <c:v>JAN</c:v>
                </c:pt>
                <c:pt idx="152">
                  <c:v>JAN</c:v>
                </c:pt>
                <c:pt idx="153">
                  <c:v>JAN</c:v>
                </c:pt>
                <c:pt idx="154">
                  <c:v>JAN</c:v>
                </c:pt>
                <c:pt idx="155">
                  <c:v>JAN</c:v>
                </c:pt>
                <c:pt idx="156">
                  <c:v>JAN</c:v>
                </c:pt>
                <c:pt idx="157">
                  <c:v>JAN</c:v>
                </c:pt>
                <c:pt idx="158">
                  <c:v>JAN</c:v>
                </c:pt>
                <c:pt idx="159">
                  <c:v>JAN</c:v>
                </c:pt>
                <c:pt idx="160">
                  <c:v>JAN</c:v>
                </c:pt>
                <c:pt idx="161">
                  <c:v>JAN</c:v>
                </c:pt>
                <c:pt idx="162">
                  <c:v>JAN</c:v>
                </c:pt>
                <c:pt idx="163">
                  <c:v>JAN</c:v>
                </c:pt>
                <c:pt idx="164">
                  <c:v>JAN</c:v>
                </c:pt>
                <c:pt idx="165">
                  <c:v>JAN</c:v>
                </c:pt>
                <c:pt idx="166">
                  <c:v>JAN</c:v>
                </c:pt>
                <c:pt idx="167">
                  <c:v>JAN</c:v>
                </c:pt>
                <c:pt idx="168">
                  <c:v>JAN</c:v>
                </c:pt>
                <c:pt idx="169">
                  <c:v>JAN</c:v>
                </c:pt>
                <c:pt idx="170">
                  <c:v>JAN</c:v>
                </c:pt>
                <c:pt idx="171">
                  <c:v>JAN</c:v>
                </c:pt>
                <c:pt idx="172">
                  <c:v>JAN</c:v>
                </c:pt>
                <c:pt idx="173">
                  <c:v>JAN</c:v>
                </c:pt>
                <c:pt idx="174">
                  <c:v>JAN</c:v>
                </c:pt>
                <c:pt idx="175">
                  <c:v>JAN</c:v>
                </c:pt>
                <c:pt idx="176">
                  <c:v>JAN</c:v>
                </c:pt>
                <c:pt idx="177">
                  <c:v>JAN</c:v>
                </c:pt>
                <c:pt idx="178">
                  <c:v>JAN</c:v>
                </c:pt>
                <c:pt idx="179">
                  <c:v>JAN</c:v>
                </c:pt>
                <c:pt idx="180">
                  <c:v>JAN</c:v>
                </c:pt>
                <c:pt idx="181">
                  <c:v>JAN</c:v>
                </c:pt>
                <c:pt idx="182">
                  <c:v>JAN</c:v>
                </c:pt>
                <c:pt idx="183">
                  <c:v>JAN</c:v>
                </c:pt>
                <c:pt idx="184">
                  <c:v>JAN</c:v>
                </c:pt>
                <c:pt idx="185">
                  <c:v>JAN</c:v>
                </c:pt>
                <c:pt idx="186">
                  <c:v>JAN</c:v>
                </c:pt>
                <c:pt idx="187">
                  <c:v>JAN</c:v>
                </c:pt>
                <c:pt idx="188">
                  <c:v>JAN</c:v>
                </c:pt>
                <c:pt idx="189">
                  <c:v>JAN</c:v>
                </c:pt>
                <c:pt idx="190">
                  <c:v>JAN</c:v>
                </c:pt>
                <c:pt idx="191">
                  <c:v>JAN</c:v>
                </c:pt>
                <c:pt idx="192">
                  <c:v>JAN</c:v>
                </c:pt>
                <c:pt idx="193">
                  <c:v>JAN</c:v>
                </c:pt>
                <c:pt idx="194">
                  <c:v>JAN</c:v>
                </c:pt>
                <c:pt idx="195">
                  <c:v>JAN</c:v>
                </c:pt>
                <c:pt idx="196">
                  <c:v>JAN</c:v>
                </c:pt>
                <c:pt idx="197">
                  <c:v>JAN</c:v>
                </c:pt>
                <c:pt idx="198">
                  <c:v>JAN</c:v>
                </c:pt>
                <c:pt idx="199">
                  <c:v>JAN</c:v>
                </c:pt>
                <c:pt idx="200">
                  <c:v>JAN</c:v>
                </c:pt>
                <c:pt idx="201">
                  <c:v>JAN</c:v>
                </c:pt>
                <c:pt idx="202">
                  <c:v>JAN</c:v>
                </c:pt>
                <c:pt idx="203">
                  <c:v>JAN</c:v>
                </c:pt>
                <c:pt idx="204">
                  <c:v>JAN</c:v>
                </c:pt>
                <c:pt idx="205">
                  <c:v>JAN</c:v>
                </c:pt>
                <c:pt idx="206">
                  <c:v>JAN</c:v>
                </c:pt>
                <c:pt idx="207">
                  <c:v>JAN</c:v>
                </c:pt>
                <c:pt idx="208">
                  <c:v>JAN</c:v>
                </c:pt>
                <c:pt idx="209">
                  <c:v>JAN</c:v>
                </c:pt>
                <c:pt idx="210">
                  <c:v>JAN</c:v>
                </c:pt>
                <c:pt idx="211">
                  <c:v>JAN</c:v>
                </c:pt>
                <c:pt idx="212">
                  <c:v>JAN</c:v>
                </c:pt>
                <c:pt idx="213">
                  <c:v>JAN</c:v>
                </c:pt>
                <c:pt idx="214">
                  <c:v>JAN</c:v>
                </c:pt>
                <c:pt idx="215">
                  <c:v>JAN</c:v>
                </c:pt>
                <c:pt idx="216">
                  <c:v>JAN</c:v>
                </c:pt>
                <c:pt idx="217">
                  <c:v>JAN</c:v>
                </c:pt>
                <c:pt idx="218">
                  <c:v>JAN</c:v>
                </c:pt>
                <c:pt idx="219">
                  <c:v>JAN</c:v>
                </c:pt>
                <c:pt idx="220">
                  <c:v>JAN</c:v>
                </c:pt>
                <c:pt idx="221">
                  <c:v>JAN</c:v>
                </c:pt>
                <c:pt idx="222">
                  <c:v>February 23 live</c:v>
                </c:pt>
                <c:pt idx="223">
                  <c:v>FEB</c:v>
                </c:pt>
                <c:pt idx="224">
                  <c:v>FEB</c:v>
                </c:pt>
                <c:pt idx="225">
                  <c:v>FEB</c:v>
                </c:pt>
                <c:pt idx="226">
                  <c:v>FEB</c:v>
                </c:pt>
                <c:pt idx="227">
                  <c:v>FEB</c:v>
                </c:pt>
                <c:pt idx="228">
                  <c:v>FEB</c:v>
                </c:pt>
                <c:pt idx="229">
                  <c:v>FEB</c:v>
                </c:pt>
                <c:pt idx="230">
                  <c:v>FEB</c:v>
                </c:pt>
                <c:pt idx="231">
                  <c:v>FEB</c:v>
                </c:pt>
                <c:pt idx="232">
                  <c:v>FEB</c:v>
                </c:pt>
                <c:pt idx="233">
                  <c:v>FEB</c:v>
                </c:pt>
                <c:pt idx="234">
                  <c:v>FEB</c:v>
                </c:pt>
                <c:pt idx="235">
                  <c:v>FEB</c:v>
                </c:pt>
                <c:pt idx="236">
                  <c:v>FEB</c:v>
                </c:pt>
                <c:pt idx="237">
                  <c:v>FEB</c:v>
                </c:pt>
                <c:pt idx="238">
                  <c:v>FEB</c:v>
                </c:pt>
                <c:pt idx="239">
                  <c:v>FEB</c:v>
                </c:pt>
                <c:pt idx="240">
                  <c:v>FEB</c:v>
                </c:pt>
                <c:pt idx="241">
                  <c:v>FEB</c:v>
                </c:pt>
                <c:pt idx="242">
                  <c:v>FEB</c:v>
                </c:pt>
                <c:pt idx="243">
                  <c:v>FEB</c:v>
                </c:pt>
                <c:pt idx="244">
                  <c:v>FEB</c:v>
                </c:pt>
                <c:pt idx="245">
                  <c:v>FEB</c:v>
                </c:pt>
                <c:pt idx="246">
                  <c:v>FEB</c:v>
                </c:pt>
                <c:pt idx="247">
                  <c:v>FEB</c:v>
                </c:pt>
                <c:pt idx="248">
                  <c:v>FEB</c:v>
                </c:pt>
                <c:pt idx="249">
                  <c:v>FEB</c:v>
                </c:pt>
                <c:pt idx="250">
                  <c:v>FEB</c:v>
                </c:pt>
                <c:pt idx="251">
                  <c:v>FEB</c:v>
                </c:pt>
                <c:pt idx="252">
                  <c:v>FEB</c:v>
                </c:pt>
                <c:pt idx="253">
                  <c:v>FEB</c:v>
                </c:pt>
                <c:pt idx="254">
                  <c:v>FEB</c:v>
                </c:pt>
                <c:pt idx="255">
                  <c:v>FEB</c:v>
                </c:pt>
                <c:pt idx="256">
                  <c:v>FEB</c:v>
                </c:pt>
                <c:pt idx="257">
                  <c:v>FEB</c:v>
                </c:pt>
                <c:pt idx="258">
                  <c:v>FEB</c:v>
                </c:pt>
                <c:pt idx="259">
                  <c:v>FEB</c:v>
                </c:pt>
                <c:pt idx="260">
                  <c:v>FEB</c:v>
                </c:pt>
                <c:pt idx="261">
                  <c:v>FEB</c:v>
                </c:pt>
                <c:pt idx="262">
                  <c:v>FEB</c:v>
                </c:pt>
                <c:pt idx="263">
                  <c:v>FEB</c:v>
                </c:pt>
                <c:pt idx="264">
                  <c:v>FEB</c:v>
                </c:pt>
                <c:pt idx="265">
                  <c:v>FEB</c:v>
                </c:pt>
                <c:pt idx="266">
                  <c:v>FEB</c:v>
                </c:pt>
                <c:pt idx="267">
                  <c:v>FEB</c:v>
                </c:pt>
                <c:pt idx="268">
                  <c:v>FEB</c:v>
                </c:pt>
                <c:pt idx="269">
                  <c:v>FEB</c:v>
                </c:pt>
                <c:pt idx="270">
                  <c:v>FEB</c:v>
                </c:pt>
                <c:pt idx="271">
                  <c:v>FEB</c:v>
                </c:pt>
                <c:pt idx="272">
                  <c:v>FEB</c:v>
                </c:pt>
                <c:pt idx="273">
                  <c:v>FEB</c:v>
                </c:pt>
                <c:pt idx="274">
                  <c:v>FEB</c:v>
                </c:pt>
                <c:pt idx="275">
                  <c:v>FEB</c:v>
                </c:pt>
                <c:pt idx="276">
                  <c:v>FEB</c:v>
                </c:pt>
                <c:pt idx="277">
                  <c:v>FEB</c:v>
                </c:pt>
                <c:pt idx="278">
                  <c:v>FEB</c:v>
                </c:pt>
                <c:pt idx="279">
                  <c:v>FEB</c:v>
                </c:pt>
                <c:pt idx="280">
                  <c:v>FEB</c:v>
                </c:pt>
                <c:pt idx="281">
                  <c:v>FEB</c:v>
                </c:pt>
                <c:pt idx="282">
                  <c:v>FEB</c:v>
                </c:pt>
                <c:pt idx="283">
                  <c:v>FEB</c:v>
                </c:pt>
                <c:pt idx="284">
                  <c:v>FEB</c:v>
                </c:pt>
                <c:pt idx="285">
                  <c:v>FEB</c:v>
                </c:pt>
                <c:pt idx="286">
                  <c:v>FEB</c:v>
                </c:pt>
                <c:pt idx="287">
                  <c:v>FEB</c:v>
                </c:pt>
                <c:pt idx="288">
                  <c:v>FEB</c:v>
                </c:pt>
                <c:pt idx="289">
                  <c:v>FEB</c:v>
                </c:pt>
                <c:pt idx="290">
                  <c:v>FEB</c:v>
                </c:pt>
                <c:pt idx="291">
                  <c:v>FEB</c:v>
                </c:pt>
                <c:pt idx="292">
                  <c:v>FEB</c:v>
                </c:pt>
                <c:pt idx="293">
                  <c:v>FEB</c:v>
                </c:pt>
                <c:pt idx="294">
                  <c:v>FEB</c:v>
                </c:pt>
                <c:pt idx="295">
                  <c:v>FEB</c:v>
                </c:pt>
                <c:pt idx="296">
                  <c:v>FEB</c:v>
                </c:pt>
                <c:pt idx="297">
                  <c:v>FEB</c:v>
                </c:pt>
                <c:pt idx="298">
                  <c:v>FEB</c:v>
                </c:pt>
                <c:pt idx="299">
                  <c:v>FEB</c:v>
                </c:pt>
                <c:pt idx="300">
                  <c:v>FEB</c:v>
                </c:pt>
                <c:pt idx="301">
                  <c:v>FEB</c:v>
                </c:pt>
                <c:pt idx="302">
                  <c:v>FEB</c:v>
                </c:pt>
                <c:pt idx="303">
                  <c:v>FEB</c:v>
                </c:pt>
                <c:pt idx="304">
                  <c:v>FEB</c:v>
                </c:pt>
                <c:pt idx="305">
                  <c:v>FEB</c:v>
                </c:pt>
                <c:pt idx="306">
                  <c:v>FEB</c:v>
                </c:pt>
                <c:pt idx="307">
                  <c:v>FEB</c:v>
                </c:pt>
                <c:pt idx="308">
                  <c:v>March 23 live</c:v>
                </c:pt>
                <c:pt idx="309">
                  <c:v>MAR</c:v>
                </c:pt>
                <c:pt idx="310">
                  <c:v>MAR</c:v>
                </c:pt>
                <c:pt idx="311">
                  <c:v>MAR</c:v>
                </c:pt>
                <c:pt idx="312">
                  <c:v>MAR</c:v>
                </c:pt>
                <c:pt idx="313">
                  <c:v>MAR</c:v>
                </c:pt>
                <c:pt idx="314">
                  <c:v>MAR</c:v>
                </c:pt>
                <c:pt idx="315">
                  <c:v>MAR</c:v>
                </c:pt>
                <c:pt idx="316">
                  <c:v>MAR</c:v>
                </c:pt>
                <c:pt idx="317">
                  <c:v>MAR</c:v>
                </c:pt>
                <c:pt idx="318">
                  <c:v>MAR</c:v>
                </c:pt>
                <c:pt idx="319">
                  <c:v>MAR</c:v>
                </c:pt>
                <c:pt idx="320">
                  <c:v>MAR</c:v>
                </c:pt>
                <c:pt idx="321">
                  <c:v>MAR</c:v>
                </c:pt>
                <c:pt idx="322">
                  <c:v>MAR</c:v>
                </c:pt>
                <c:pt idx="323">
                  <c:v>MAR</c:v>
                </c:pt>
                <c:pt idx="324">
                  <c:v>MAR</c:v>
                </c:pt>
                <c:pt idx="325">
                  <c:v>MAR</c:v>
                </c:pt>
                <c:pt idx="326">
                  <c:v>MAR</c:v>
                </c:pt>
                <c:pt idx="327">
                  <c:v>MAR</c:v>
                </c:pt>
                <c:pt idx="328">
                  <c:v>MAR</c:v>
                </c:pt>
                <c:pt idx="329">
                  <c:v>MAR</c:v>
                </c:pt>
                <c:pt idx="330">
                  <c:v>MAR</c:v>
                </c:pt>
                <c:pt idx="331">
                  <c:v>MAR</c:v>
                </c:pt>
                <c:pt idx="332">
                  <c:v>MAR</c:v>
                </c:pt>
                <c:pt idx="333">
                  <c:v>MAR</c:v>
                </c:pt>
                <c:pt idx="334">
                  <c:v>MAR</c:v>
                </c:pt>
                <c:pt idx="335">
                  <c:v>MAR</c:v>
                </c:pt>
                <c:pt idx="336">
                  <c:v>MAR</c:v>
                </c:pt>
                <c:pt idx="337">
                  <c:v>MAR</c:v>
                </c:pt>
                <c:pt idx="338">
                  <c:v>MAR</c:v>
                </c:pt>
                <c:pt idx="339">
                  <c:v>MAR</c:v>
                </c:pt>
                <c:pt idx="340">
                  <c:v>MAR</c:v>
                </c:pt>
                <c:pt idx="341">
                  <c:v>MAR</c:v>
                </c:pt>
                <c:pt idx="342">
                  <c:v>MAR</c:v>
                </c:pt>
                <c:pt idx="343">
                  <c:v>MAR</c:v>
                </c:pt>
                <c:pt idx="344">
                  <c:v>MAR</c:v>
                </c:pt>
                <c:pt idx="345">
                  <c:v>MAR</c:v>
                </c:pt>
                <c:pt idx="346">
                  <c:v>MAR</c:v>
                </c:pt>
                <c:pt idx="347">
                  <c:v>MAR</c:v>
                </c:pt>
                <c:pt idx="348">
                  <c:v>MAR</c:v>
                </c:pt>
                <c:pt idx="349">
                  <c:v>MAR</c:v>
                </c:pt>
                <c:pt idx="350">
                  <c:v>MAR</c:v>
                </c:pt>
                <c:pt idx="351">
                  <c:v>MAR</c:v>
                </c:pt>
                <c:pt idx="352">
                  <c:v>MAR.II</c:v>
                </c:pt>
                <c:pt idx="353">
                  <c:v>MAR.II</c:v>
                </c:pt>
                <c:pt idx="354">
                  <c:v>MAR.II</c:v>
                </c:pt>
                <c:pt idx="355">
                  <c:v>MAR.II</c:v>
                </c:pt>
                <c:pt idx="356">
                  <c:v>MAR.II</c:v>
                </c:pt>
                <c:pt idx="357">
                  <c:v>MAR.II</c:v>
                </c:pt>
                <c:pt idx="358">
                  <c:v>MAR.II</c:v>
                </c:pt>
                <c:pt idx="359">
                  <c:v>MAR.II</c:v>
                </c:pt>
                <c:pt idx="360">
                  <c:v>MAR.II</c:v>
                </c:pt>
                <c:pt idx="361">
                  <c:v>MAR.II</c:v>
                </c:pt>
                <c:pt idx="362">
                  <c:v>MAR.II</c:v>
                </c:pt>
                <c:pt idx="363">
                  <c:v>MAR.II</c:v>
                </c:pt>
                <c:pt idx="364">
                  <c:v>MAR.II</c:v>
                </c:pt>
                <c:pt idx="365">
                  <c:v>MAR.II</c:v>
                </c:pt>
                <c:pt idx="366">
                  <c:v>MAR.II</c:v>
                </c:pt>
                <c:pt idx="367">
                  <c:v>MAR.II</c:v>
                </c:pt>
                <c:pt idx="368">
                  <c:v>MAR.II</c:v>
                </c:pt>
                <c:pt idx="369">
                  <c:v>MAR.II</c:v>
                </c:pt>
                <c:pt idx="370">
                  <c:v>MAR.II</c:v>
                </c:pt>
                <c:pt idx="371">
                  <c:v>MAR.II</c:v>
                </c:pt>
                <c:pt idx="372">
                  <c:v>MAR.II</c:v>
                </c:pt>
                <c:pt idx="373">
                  <c:v>MAR.II</c:v>
                </c:pt>
                <c:pt idx="374">
                  <c:v>MAR.II</c:v>
                </c:pt>
                <c:pt idx="375">
                  <c:v>MAR.II</c:v>
                </c:pt>
                <c:pt idx="376">
                  <c:v>MAR.II</c:v>
                </c:pt>
                <c:pt idx="377">
                  <c:v>MAR.II</c:v>
                </c:pt>
                <c:pt idx="378">
                  <c:v>MAR.II</c:v>
                </c:pt>
                <c:pt idx="379">
                  <c:v>MAR.II</c:v>
                </c:pt>
                <c:pt idx="380">
                  <c:v>MAR.II</c:v>
                </c:pt>
                <c:pt idx="381">
                  <c:v>MAR.II</c:v>
                </c:pt>
                <c:pt idx="382">
                  <c:v>MAR.II</c:v>
                </c:pt>
                <c:pt idx="383">
                  <c:v>MAR.II</c:v>
                </c:pt>
                <c:pt idx="384">
                  <c:v>MAR.II</c:v>
                </c:pt>
                <c:pt idx="385">
                  <c:v>MAR.II</c:v>
                </c:pt>
                <c:pt idx="386">
                  <c:v>MAR.II</c:v>
                </c:pt>
                <c:pt idx="387">
                  <c:v>MAR.II</c:v>
                </c:pt>
                <c:pt idx="388">
                  <c:v>MAR.II</c:v>
                </c:pt>
                <c:pt idx="389">
                  <c:v>MAR.II</c:v>
                </c:pt>
                <c:pt idx="390">
                  <c:v>MAR.II</c:v>
                </c:pt>
                <c:pt idx="391">
                  <c:v>MAR.II</c:v>
                </c:pt>
                <c:pt idx="392">
                  <c:v>MAR.II</c:v>
                </c:pt>
                <c:pt idx="393">
                  <c:v>MAR.II</c:v>
                </c:pt>
                <c:pt idx="394">
                  <c:v>MAR.II</c:v>
                </c:pt>
                <c:pt idx="395">
                  <c:v>MAR.II</c:v>
                </c:pt>
                <c:pt idx="396">
                  <c:v>MAR.II</c:v>
                </c:pt>
                <c:pt idx="397">
                  <c:v>MAR.II</c:v>
                </c:pt>
                <c:pt idx="398">
                  <c:v>MAR.II</c:v>
                </c:pt>
                <c:pt idx="399">
                  <c:v>MAR.II</c:v>
                </c:pt>
                <c:pt idx="400">
                  <c:v>MAR.II</c:v>
                </c:pt>
                <c:pt idx="401">
                  <c:v>MAR.II</c:v>
                </c:pt>
                <c:pt idx="402">
                  <c:v>MAR.II</c:v>
                </c:pt>
                <c:pt idx="403">
                  <c:v>MAR.II</c:v>
                </c:pt>
                <c:pt idx="404">
                  <c:v>MAR.II</c:v>
                </c:pt>
                <c:pt idx="405">
                  <c:v>MAR.II</c:v>
                </c:pt>
                <c:pt idx="406">
                  <c:v>MAR.II</c:v>
                </c:pt>
                <c:pt idx="407">
                  <c:v>MAR.II</c:v>
                </c:pt>
                <c:pt idx="408">
                  <c:v>MAR.II</c:v>
                </c:pt>
                <c:pt idx="409">
                  <c:v>MAR.II</c:v>
                </c:pt>
                <c:pt idx="410">
                  <c:v>MAR.II</c:v>
                </c:pt>
                <c:pt idx="411">
                  <c:v>MAR.II</c:v>
                </c:pt>
                <c:pt idx="412">
                  <c:v>MAR.II</c:v>
                </c:pt>
                <c:pt idx="413">
                  <c:v>MAR.II</c:v>
                </c:pt>
                <c:pt idx="414">
                  <c:v>MAR.II</c:v>
                </c:pt>
                <c:pt idx="415">
                  <c:v>MAR.II</c:v>
                </c:pt>
                <c:pt idx="416">
                  <c:v>MAR.II</c:v>
                </c:pt>
                <c:pt idx="417">
                  <c:v>MAR.II</c:v>
                </c:pt>
                <c:pt idx="418">
                  <c:v>MAR.II</c:v>
                </c:pt>
                <c:pt idx="419">
                  <c:v>MAR.II</c:v>
                </c:pt>
                <c:pt idx="420">
                  <c:v>MAR.II</c:v>
                </c:pt>
                <c:pt idx="421">
                  <c:v>MAR.II</c:v>
                </c:pt>
                <c:pt idx="422">
                  <c:v>MAR.II</c:v>
                </c:pt>
                <c:pt idx="423">
                  <c:v>MAR.II</c:v>
                </c:pt>
                <c:pt idx="424">
                  <c:v>MAR.II</c:v>
                </c:pt>
                <c:pt idx="425">
                  <c:v>MAR.II</c:v>
                </c:pt>
                <c:pt idx="426">
                  <c:v>MAR.II</c:v>
                </c:pt>
                <c:pt idx="427">
                  <c:v>MAR.II</c:v>
                </c:pt>
                <c:pt idx="428">
                  <c:v>MAR.II</c:v>
                </c:pt>
                <c:pt idx="429">
                  <c:v>MAR.II</c:v>
                </c:pt>
                <c:pt idx="430">
                  <c:v>MAR.II</c:v>
                </c:pt>
                <c:pt idx="431">
                  <c:v>MAR.II</c:v>
                </c:pt>
                <c:pt idx="432">
                  <c:v>MAR.II</c:v>
                </c:pt>
                <c:pt idx="433">
                  <c:v>MAR.II</c:v>
                </c:pt>
                <c:pt idx="434">
                  <c:v>MAR.II</c:v>
                </c:pt>
                <c:pt idx="435">
                  <c:v>MAR.II</c:v>
                </c:pt>
                <c:pt idx="436">
                  <c:v>MAR.II</c:v>
                </c:pt>
                <c:pt idx="437">
                  <c:v>MAR.II</c:v>
                </c:pt>
                <c:pt idx="441">
                  <c:v>April 23 live</c:v>
                </c:pt>
                <c:pt idx="442">
                  <c:v>APR</c:v>
                </c:pt>
                <c:pt idx="443">
                  <c:v>APR</c:v>
                </c:pt>
                <c:pt idx="444">
                  <c:v>APR</c:v>
                </c:pt>
                <c:pt idx="445">
                  <c:v>APR</c:v>
                </c:pt>
                <c:pt idx="446">
                  <c:v>APR</c:v>
                </c:pt>
                <c:pt idx="447">
                  <c:v>APR</c:v>
                </c:pt>
                <c:pt idx="448">
                  <c:v>APR</c:v>
                </c:pt>
                <c:pt idx="449">
                  <c:v>APR</c:v>
                </c:pt>
                <c:pt idx="450">
                  <c:v>APR</c:v>
                </c:pt>
                <c:pt idx="451">
                  <c:v>APR</c:v>
                </c:pt>
                <c:pt idx="452">
                  <c:v>APR</c:v>
                </c:pt>
                <c:pt idx="453">
                  <c:v>APR</c:v>
                </c:pt>
                <c:pt idx="454">
                  <c:v>APR</c:v>
                </c:pt>
                <c:pt idx="455">
                  <c:v>APR</c:v>
                </c:pt>
                <c:pt idx="456">
                  <c:v>APR</c:v>
                </c:pt>
                <c:pt idx="457">
                  <c:v>APR</c:v>
                </c:pt>
                <c:pt idx="458">
                  <c:v>APR</c:v>
                </c:pt>
                <c:pt idx="459">
                  <c:v>APR</c:v>
                </c:pt>
                <c:pt idx="460">
                  <c:v>APR</c:v>
                </c:pt>
                <c:pt idx="461">
                  <c:v>APR</c:v>
                </c:pt>
                <c:pt idx="462">
                  <c:v>BREAK</c:v>
                </c:pt>
                <c:pt idx="463">
                  <c:v>APR</c:v>
                </c:pt>
                <c:pt idx="464">
                  <c:v>APR</c:v>
                </c:pt>
                <c:pt idx="465">
                  <c:v>APR</c:v>
                </c:pt>
                <c:pt idx="466">
                  <c:v>APR</c:v>
                </c:pt>
                <c:pt idx="467">
                  <c:v>APR</c:v>
                </c:pt>
                <c:pt idx="468">
                  <c:v>APR</c:v>
                </c:pt>
                <c:pt idx="469">
                  <c:v>APR</c:v>
                </c:pt>
                <c:pt idx="470">
                  <c:v>APR</c:v>
                </c:pt>
                <c:pt idx="471">
                  <c:v>APR</c:v>
                </c:pt>
                <c:pt idx="472">
                  <c:v>APR</c:v>
                </c:pt>
                <c:pt idx="473">
                  <c:v>APR</c:v>
                </c:pt>
                <c:pt idx="474">
                  <c:v>APR</c:v>
                </c:pt>
                <c:pt idx="475">
                  <c:v>APR</c:v>
                </c:pt>
                <c:pt idx="476">
                  <c:v>APR</c:v>
                </c:pt>
                <c:pt idx="477">
                  <c:v>APR</c:v>
                </c:pt>
                <c:pt idx="478">
                  <c:v>APR</c:v>
                </c:pt>
                <c:pt idx="479">
                  <c:v>APR</c:v>
                </c:pt>
                <c:pt idx="480">
                  <c:v>APR</c:v>
                </c:pt>
                <c:pt idx="481">
                  <c:v>APR</c:v>
                </c:pt>
                <c:pt idx="482">
                  <c:v>APR</c:v>
                </c:pt>
                <c:pt idx="483">
                  <c:v>APR</c:v>
                </c:pt>
                <c:pt idx="484">
                  <c:v>oi</c:v>
                </c:pt>
                <c:pt idx="485">
                  <c:v>APR</c:v>
                </c:pt>
                <c:pt idx="486">
                  <c:v>APR</c:v>
                </c:pt>
                <c:pt idx="487">
                  <c:v>APR</c:v>
                </c:pt>
                <c:pt idx="488">
                  <c:v>APR</c:v>
                </c:pt>
                <c:pt idx="489">
                  <c:v>APR</c:v>
                </c:pt>
                <c:pt idx="490">
                  <c:v>APR</c:v>
                </c:pt>
                <c:pt idx="491">
                  <c:v>APR</c:v>
                </c:pt>
                <c:pt idx="492">
                  <c:v>APR</c:v>
                </c:pt>
                <c:pt idx="493">
                  <c:v>APR</c:v>
                </c:pt>
                <c:pt idx="494">
                  <c:v>APR</c:v>
                </c:pt>
                <c:pt idx="495">
                  <c:v>APR</c:v>
                </c:pt>
                <c:pt idx="496">
                  <c:v>APR</c:v>
                </c:pt>
                <c:pt idx="497">
                  <c:v>APR</c:v>
                </c:pt>
                <c:pt idx="498">
                  <c:v>APR</c:v>
                </c:pt>
                <c:pt idx="499">
                  <c:v>APR</c:v>
                </c:pt>
                <c:pt idx="500">
                  <c:v>APR</c:v>
                </c:pt>
                <c:pt idx="501">
                  <c:v>APR</c:v>
                </c:pt>
                <c:pt idx="502">
                  <c:v>APR</c:v>
                </c:pt>
                <c:pt idx="503">
                  <c:v>APR</c:v>
                </c:pt>
                <c:pt idx="504">
                  <c:v>APR</c:v>
                </c:pt>
                <c:pt idx="505">
                  <c:v>APR</c:v>
                </c:pt>
                <c:pt idx="506">
                  <c:v>APR</c:v>
                </c:pt>
                <c:pt idx="507">
                  <c:v>APR</c:v>
                </c:pt>
                <c:pt idx="508">
                  <c:v>APR</c:v>
                </c:pt>
                <c:pt idx="509">
                  <c:v>APR</c:v>
                </c:pt>
                <c:pt idx="510">
                  <c:v>APR</c:v>
                </c:pt>
                <c:pt idx="511">
                  <c:v>APR</c:v>
                </c:pt>
                <c:pt idx="512">
                  <c:v>APR</c:v>
                </c:pt>
                <c:pt idx="513">
                  <c:v>APR</c:v>
                </c:pt>
                <c:pt idx="514">
                  <c:v>APR</c:v>
                </c:pt>
                <c:pt idx="515">
                  <c:v>APR</c:v>
                </c:pt>
                <c:pt idx="516">
                  <c:v>APR</c:v>
                </c:pt>
                <c:pt idx="517">
                  <c:v>APR</c:v>
                </c:pt>
                <c:pt idx="518">
                  <c:v>APR</c:v>
                </c:pt>
                <c:pt idx="519">
                  <c:v>APR</c:v>
                </c:pt>
                <c:pt idx="520">
                  <c:v>APR</c:v>
                </c:pt>
                <c:pt idx="521">
                  <c:v>APR</c:v>
                </c:pt>
                <c:pt idx="522">
                  <c:v>APR</c:v>
                </c:pt>
                <c:pt idx="523">
                  <c:v>APR</c:v>
                </c:pt>
                <c:pt idx="524">
                  <c:v>APR</c:v>
                </c:pt>
                <c:pt idx="525">
                  <c:v>APR</c:v>
                </c:pt>
                <c:pt idx="526">
                  <c:v>APR</c:v>
                </c:pt>
                <c:pt idx="527">
                  <c:v>APR</c:v>
                </c:pt>
                <c:pt idx="528">
                  <c:v>APR</c:v>
                </c:pt>
                <c:pt idx="529">
                  <c:v>APR</c:v>
                </c:pt>
                <c:pt idx="530">
                  <c:v>APR</c:v>
                </c:pt>
                <c:pt idx="531">
                  <c:v>May 23 live</c:v>
                </c:pt>
                <c:pt idx="532">
                  <c:v>MAY</c:v>
                </c:pt>
                <c:pt idx="533">
                  <c:v>MAY</c:v>
                </c:pt>
                <c:pt idx="534">
                  <c:v>MAY</c:v>
                </c:pt>
                <c:pt idx="535">
                  <c:v>MAY</c:v>
                </c:pt>
                <c:pt idx="536">
                  <c:v>MAY</c:v>
                </c:pt>
                <c:pt idx="537">
                  <c:v>MAY</c:v>
                </c:pt>
                <c:pt idx="538">
                  <c:v>MAY</c:v>
                </c:pt>
                <c:pt idx="539">
                  <c:v>MAY</c:v>
                </c:pt>
                <c:pt idx="540">
                  <c:v>MAY</c:v>
                </c:pt>
                <c:pt idx="541">
                  <c:v>MAY</c:v>
                </c:pt>
                <c:pt idx="542">
                  <c:v>MAY</c:v>
                </c:pt>
                <c:pt idx="543">
                  <c:v>MAY</c:v>
                </c:pt>
                <c:pt idx="544">
                  <c:v>MAY</c:v>
                </c:pt>
                <c:pt idx="545">
                  <c:v>MAY</c:v>
                </c:pt>
                <c:pt idx="546">
                  <c:v>MAY</c:v>
                </c:pt>
                <c:pt idx="547">
                  <c:v>MAY</c:v>
                </c:pt>
                <c:pt idx="548">
                  <c:v>MAY</c:v>
                </c:pt>
                <c:pt idx="549">
                  <c:v>MAY</c:v>
                </c:pt>
                <c:pt idx="550">
                  <c:v>MAY</c:v>
                </c:pt>
                <c:pt idx="551">
                  <c:v>MAY</c:v>
                </c:pt>
                <c:pt idx="552">
                  <c:v>MAY</c:v>
                </c:pt>
                <c:pt idx="553">
                  <c:v>MAY</c:v>
                </c:pt>
                <c:pt idx="554">
                  <c:v>MAY</c:v>
                </c:pt>
                <c:pt idx="555">
                  <c:v>MAY</c:v>
                </c:pt>
                <c:pt idx="556">
                  <c:v>MAY</c:v>
                </c:pt>
                <c:pt idx="557">
                  <c:v>MAY</c:v>
                </c:pt>
                <c:pt idx="558">
                  <c:v>MAY</c:v>
                </c:pt>
                <c:pt idx="559">
                  <c:v>MAY</c:v>
                </c:pt>
                <c:pt idx="560">
                  <c:v>MAY</c:v>
                </c:pt>
                <c:pt idx="561">
                  <c:v>MAY</c:v>
                </c:pt>
                <c:pt idx="562">
                  <c:v>MAY</c:v>
                </c:pt>
                <c:pt idx="563">
                  <c:v>MAY</c:v>
                </c:pt>
                <c:pt idx="564">
                  <c:v>MAY</c:v>
                </c:pt>
                <c:pt idx="565">
                  <c:v>MAY</c:v>
                </c:pt>
                <c:pt idx="566">
                  <c:v>MAY</c:v>
                </c:pt>
                <c:pt idx="567">
                  <c:v>MAY</c:v>
                </c:pt>
                <c:pt idx="568">
                  <c:v>MAY</c:v>
                </c:pt>
                <c:pt idx="569">
                  <c:v>MAY</c:v>
                </c:pt>
                <c:pt idx="570">
                  <c:v>MAY</c:v>
                </c:pt>
                <c:pt idx="571">
                  <c:v>MAY</c:v>
                </c:pt>
                <c:pt idx="572">
                  <c:v>MAY</c:v>
                </c:pt>
                <c:pt idx="573">
                  <c:v>MAY</c:v>
                </c:pt>
                <c:pt idx="574">
                  <c:v>MAY</c:v>
                </c:pt>
                <c:pt idx="575">
                  <c:v>MAY</c:v>
                </c:pt>
                <c:pt idx="576">
                  <c:v>MAY</c:v>
                </c:pt>
                <c:pt idx="577">
                  <c:v>MAY</c:v>
                </c:pt>
                <c:pt idx="578">
                  <c:v>MAY</c:v>
                </c:pt>
                <c:pt idx="579">
                  <c:v>MAY</c:v>
                </c:pt>
                <c:pt idx="580">
                  <c:v>MAY</c:v>
                </c:pt>
                <c:pt idx="581">
                  <c:v>MAY</c:v>
                </c:pt>
                <c:pt idx="582">
                  <c:v>MAY</c:v>
                </c:pt>
                <c:pt idx="583">
                  <c:v>MAY</c:v>
                </c:pt>
                <c:pt idx="584">
                  <c:v>MAY</c:v>
                </c:pt>
                <c:pt idx="585">
                  <c:v>MAY</c:v>
                </c:pt>
                <c:pt idx="586">
                  <c:v>MAY</c:v>
                </c:pt>
                <c:pt idx="587">
                  <c:v>MAY</c:v>
                </c:pt>
                <c:pt idx="588">
                  <c:v>MAY</c:v>
                </c:pt>
                <c:pt idx="589">
                  <c:v>MAY</c:v>
                </c:pt>
                <c:pt idx="590">
                  <c:v>MAY</c:v>
                </c:pt>
                <c:pt idx="591">
                  <c:v>MAY</c:v>
                </c:pt>
                <c:pt idx="592">
                  <c:v>MAY</c:v>
                </c:pt>
                <c:pt idx="593">
                  <c:v>MAY</c:v>
                </c:pt>
                <c:pt idx="594">
                  <c:v>MAY</c:v>
                </c:pt>
                <c:pt idx="595">
                  <c:v>MAY</c:v>
                </c:pt>
                <c:pt idx="596">
                  <c:v>MAY</c:v>
                </c:pt>
                <c:pt idx="597">
                  <c:v>MAY</c:v>
                </c:pt>
                <c:pt idx="598">
                  <c:v>MAY</c:v>
                </c:pt>
                <c:pt idx="599">
                  <c:v>MAY</c:v>
                </c:pt>
                <c:pt idx="600">
                  <c:v>MAY</c:v>
                </c:pt>
                <c:pt idx="601">
                  <c:v>MAY</c:v>
                </c:pt>
                <c:pt idx="602">
                  <c:v>MAY</c:v>
                </c:pt>
                <c:pt idx="603">
                  <c:v>MAY</c:v>
                </c:pt>
                <c:pt idx="604">
                  <c:v>MAY</c:v>
                </c:pt>
                <c:pt idx="605">
                  <c:v>MAY</c:v>
                </c:pt>
                <c:pt idx="606">
                  <c:v>MAY</c:v>
                </c:pt>
                <c:pt idx="607">
                  <c:v>MAY</c:v>
                </c:pt>
                <c:pt idx="608">
                  <c:v>MAY</c:v>
                </c:pt>
                <c:pt idx="609">
                  <c:v>MAY</c:v>
                </c:pt>
                <c:pt idx="610">
                  <c:v>MAY</c:v>
                </c:pt>
                <c:pt idx="611">
                  <c:v>MAY</c:v>
                </c:pt>
                <c:pt idx="612">
                  <c:v>MAY</c:v>
                </c:pt>
                <c:pt idx="613">
                  <c:v>MAY</c:v>
                </c:pt>
                <c:pt idx="614">
                  <c:v>MAY</c:v>
                </c:pt>
                <c:pt idx="615">
                  <c:v>MAY</c:v>
                </c:pt>
                <c:pt idx="616">
                  <c:v>MAY</c:v>
                </c:pt>
                <c:pt idx="617">
                  <c:v>MAY</c:v>
                </c:pt>
                <c:pt idx="618">
                  <c:v>MAY</c:v>
                </c:pt>
                <c:pt idx="620">
                  <c:v>MAY</c:v>
                </c:pt>
                <c:pt idx="621">
                  <c:v>MAY</c:v>
                </c:pt>
                <c:pt idx="622">
                  <c:v>MAY</c:v>
                </c:pt>
                <c:pt idx="623">
                  <c:v>MAY</c:v>
                </c:pt>
                <c:pt idx="624">
                  <c:v>MAY</c:v>
                </c:pt>
                <c:pt idx="625">
                  <c:v>MAY</c:v>
                </c:pt>
                <c:pt idx="626">
                  <c:v>MAY</c:v>
                </c:pt>
                <c:pt idx="627">
                  <c:v>MAY</c:v>
                </c:pt>
                <c:pt idx="628">
                  <c:v>MAY</c:v>
                </c:pt>
                <c:pt idx="629">
                  <c:v>JUNE</c:v>
                </c:pt>
                <c:pt idx="630">
                  <c:v>MAY</c:v>
                </c:pt>
                <c:pt idx="631">
                  <c:v>MAY</c:v>
                </c:pt>
                <c:pt idx="632">
                  <c:v>MAY</c:v>
                </c:pt>
                <c:pt idx="633">
                  <c:v>MAY</c:v>
                </c:pt>
                <c:pt idx="634">
                  <c:v>MAY</c:v>
                </c:pt>
                <c:pt idx="635">
                  <c:v>MAY</c:v>
                </c:pt>
                <c:pt idx="636">
                  <c:v>MAY</c:v>
                </c:pt>
                <c:pt idx="637">
                  <c:v>MAY</c:v>
                </c:pt>
                <c:pt idx="638">
                  <c:v>MAY</c:v>
                </c:pt>
                <c:pt idx="639">
                  <c:v>MAY</c:v>
                </c:pt>
                <c:pt idx="640">
                  <c:v>MAY</c:v>
                </c:pt>
                <c:pt idx="645">
                  <c:v>Jun 23 live</c:v>
                </c:pt>
                <c:pt idx="646">
                  <c:v>JUN</c:v>
                </c:pt>
                <c:pt idx="647">
                  <c:v>JUN</c:v>
                </c:pt>
                <c:pt idx="648">
                  <c:v>JUN</c:v>
                </c:pt>
                <c:pt idx="649">
                  <c:v>JUN</c:v>
                </c:pt>
                <c:pt idx="650">
                  <c:v>JUN</c:v>
                </c:pt>
                <c:pt idx="651">
                  <c:v>JUN</c:v>
                </c:pt>
                <c:pt idx="652">
                  <c:v>JUN</c:v>
                </c:pt>
                <c:pt idx="653">
                  <c:v>JUN</c:v>
                </c:pt>
                <c:pt idx="654">
                  <c:v>JUN</c:v>
                </c:pt>
                <c:pt idx="655">
                  <c:v>JUN</c:v>
                </c:pt>
                <c:pt idx="656">
                  <c:v>JUN</c:v>
                </c:pt>
                <c:pt idx="657">
                  <c:v>JUN</c:v>
                </c:pt>
                <c:pt idx="658">
                  <c:v>JUN</c:v>
                </c:pt>
                <c:pt idx="659">
                  <c:v>JUN</c:v>
                </c:pt>
                <c:pt idx="660">
                  <c:v>JUN</c:v>
                </c:pt>
                <c:pt idx="661">
                  <c:v>JUN</c:v>
                </c:pt>
                <c:pt idx="662">
                  <c:v>JUN</c:v>
                </c:pt>
                <c:pt idx="663">
                  <c:v>JUN</c:v>
                </c:pt>
                <c:pt idx="664">
                  <c:v>JUN</c:v>
                </c:pt>
                <c:pt idx="665">
                  <c:v>JUN</c:v>
                </c:pt>
                <c:pt idx="666">
                  <c:v>JUN</c:v>
                </c:pt>
                <c:pt idx="667">
                  <c:v>JUN</c:v>
                </c:pt>
                <c:pt idx="668">
                  <c:v>JUN</c:v>
                </c:pt>
                <c:pt idx="669">
                  <c:v>JUN</c:v>
                </c:pt>
                <c:pt idx="670">
                  <c:v>JUN</c:v>
                </c:pt>
                <c:pt idx="671">
                  <c:v>JUN</c:v>
                </c:pt>
                <c:pt idx="672">
                  <c:v>JUN</c:v>
                </c:pt>
                <c:pt idx="673">
                  <c:v>JUN</c:v>
                </c:pt>
                <c:pt idx="674">
                  <c:v>JUN</c:v>
                </c:pt>
                <c:pt idx="675">
                  <c:v>JUN</c:v>
                </c:pt>
                <c:pt idx="676">
                  <c:v>JUN</c:v>
                </c:pt>
                <c:pt idx="677">
                  <c:v>JUN</c:v>
                </c:pt>
                <c:pt idx="678">
                  <c:v>JUN</c:v>
                </c:pt>
                <c:pt idx="679">
                  <c:v>JUN</c:v>
                </c:pt>
                <c:pt idx="680">
                  <c:v>JUN</c:v>
                </c:pt>
                <c:pt idx="681">
                  <c:v>JUN</c:v>
                </c:pt>
                <c:pt idx="682">
                  <c:v>JUN</c:v>
                </c:pt>
                <c:pt idx="683">
                  <c:v>JUN</c:v>
                </c:pt>
                <c:pt idx="684">
                  <c:v>JUN</c:v>
                </c:pt>
                <c:pt idx="685">
                  <c:v>JUN</c:v>
                </c:pt>
                <c:pt idx="686">
                  <c:v>JUN</c:v>
                </c:pt>
                <c:pt idx="687">
                  <c:v>JUN</c:v>
                </c:pt>
                <c:pt idx="688">
                  <c:v>JUN</c:v>
                </c:pt>
                <c:pt idx="689">
                  <c:v>JUN</c:v>
                </c:pt>
                <c:pt idx="690">
                  <c:v>JUN</c:v>
                </c:pt>
                <c:pt idx="691">
                  <c:v>JUN</c:v>
                </c:pt>
                <c:pt idx="692">
                  <c:v>JUN</c:v>
                </c:pt>
                <c:pt idx="693">
                  <c:v>JUN</c:v>
                </c:pt>
                <c:pt idx="694">
                  <c:v>JUN</c:v>
                </c:pt>
                <c:pt idx="695">
                  <c:v>JUN</c:v>
                </c:pt>
                <c:pt idx="696">
                  <c:v>JUN</c:v>
                </c:pt>
                <c:pt idx="697">
                  <c:v>JUN</c:v>
                </c:pt>
                <c:pt idx="698">
                  <c:v>JUN</c:v>
                </c:pt>
                <c:pt idx="699">
                  <c:v>JUN</c:v>
                </c:pt>
                <c:pt idx="700">
                  <c:v>JUN</c:v>
                </c:pt>
                <c:pt idx="701">
                  <c:v>JUN</c:v>
                </c:pt>
                <c:pt idx="702">
                  <c:v>JUN</c:v>
                </c:pt>
                <c:pt idx="703">
                  <c:v>JUN</c:v>
                </c:pt>
                <c:pt idx="704">
                  <c:v>JUN</c:v>
                </c:pt>
                <c:pt idx="705">
                  <c:v>JUN</c:v>
                </c:pt>
                <c:pt idx="706">
                  <c:v>JUN</c:v>
                </c:pt>
                <c:pt idx="707">
                  <c:v>JUN</c:v>
                </c:pt>
                <c:pt idx="708">
                  <c:v>JUN</c:v>
                </c:pt>
                <c:pt idx="709">
                  <c:v>JUN</c:v>
                </c:pt>
                <c:pt idx="710">
                  <c:v>JUN</c:v>
                </c:pt>
                <c:pt idx="711">
                  <c:v>JUN</c:v>
                </c:pt>
                <c:pt idx="712">
                  <c:v>JUN</c:v>
                </c:pt>
                <c:pt idx="713">
                  <c:v>JUN</c:v>
                </c:pt>
                <c:pt idx="714">
                  <c:v>JUN</c:v>
                </c:pt>
                <c:pt idx="715">
                  <c:v>JUN</c:v>
                </c:pt>
                <c:pt idx="716">
                  <c:v>JUN</c:v>
                </c:pt>
                <c:pt idx="717">
                  <c:v>JUN</c:v>
                </c:pt>
                <c:pt idx="718">
                  <c:v>JUN</c:v>
                </c:pt>
                <c:pt idx="719">
                  <c:v>JUN</c:v>
                </c:pt>
                <c:pt idx="720">
                  <c:v>JUN</c:v>
                </c:pt>
                <c:pt idx="721">
                  <c:v>JUN</c:v>
                </c:pt>
                <c:pt idx="722">
                  <c:v>JUN</c:v>
                </c:pt>
                <c:pt idx="723">
                  <c:v>JUN</c:v>
                </c:pt>
                <c:pt idx="724">
                  <c:v>JUN</c:v>
                </c:pt>
                <c:pt idx="725">
                  <c:v>JUN</c:v>
                </c:pt>
                <c:pt idx="726">
                  <c:v>JUN</c:v>
                </c:pt>
                <c:pt idx="727">
                  <c:v>JUN</c:v>
                </c:pt>
                <c:pt idx="728">
                  <c:v>JUN</c:v>
                </c:pt>
                <c:pt idx="729">
                  <c:v>JUN</c:v>
                </c:pt>
                <c:pt idx="730">
                  <c:v>JUN</c:v>
                </c:pt>
                <c:pt idx="731">
                  <c:v>JUN</c:v>
                </c:pt>
                <c:pt idx="732">
                  <c:v>JUN</c:v>
                </c:pt>
                <c:pt idx="733">
                  <c:v>JUN</c:v>
                </c:pt>
                <c:pt idx="734">
                  <c:v>JUN</c:v>
                </c:pt>
                <c:pt idx="735">
                  <c:v>JUN</c:v>
                </c:pt>
                <c:pt idx="736">
                  <c:v>JUN</c:v>
                </c:pt>
                <c:pt idx="737">
                  <c:v>JUN</c:v>
                </c:pt>
                <c:pt idx="738">
                  <c:v>JUN</c:v>
                </c:pt>
                <c:pt idx="739">
                  <c:v>JUN</c:v>
                </c:pt>
                <c:pt idx="740">
                  <c:v>JUN</c:v>
                </c:pt>
                <c:pt idx="741">
                  <c:v>JUN</c:v>
                </c:pt>
                <c:pt idx="742">
                  <c:v>JUN</c:v>
                </c:pt>
                <c:pt idx="743">
                  <c:v>JUN</c:v>
                </c:pt>
                <c:pt idx="744">
                  <c:v>JUN</c:v>
                </c:pt>
                <c:pt idx="745">
                  <c:v>JUN</c:v>
                </c:pt>
                <c:pt idx="746">
                  <c:v>JUN</c:v>
                </c:pt>
                <c:pt idx="747">
                  <c:v>JUN</c:v>
                </c:pt>
                <c:pt idx="748">
                  <c:v>JUN</c:v>
                </c:pt>
                <c:pt idx="749">
                  <c:v>JUN</c:v>
                </c:pt>
                <c:pt idx="750">
                  <c:v>JUN</c:v>
                </c:pt>
                <c:pt idx="751">
                  <c:v>JUN</c:v>
                </c:pt>
                <c:pt idx="752">
                  <c:v>JUN</c:v>
                </c:pt>
                <c:pt idx="753">
                  <c:v>JUN</c:v>
                </c:pt>
                <c:pt idx="754">
                  <c:v>JUN</c:v>
                </c:pt>
                <c:pt idx="755">
                  <c:v>JUN</c:v>
                </c:pt>
                <c:pt idx="756">
                  <c:v>JUN</c:v>
                </c:pt>
                <c:pt idx="757">
                  <c:v>JUN</c:v>
                </c:pt>
                <c:pt idx="758">
                  <c:v>JUN</c:v>
                </c:pt>
                <c:pt idx="759">
                  <c:v>Jul 23 live</c:v>
                </c:pt>
                <c:pt idx="760">
                  <c:v>JUL</c:v>
                </c:pt>
                <c:pt idx="761">
                  <c:v>JUL</c:v>
                </c:pt>
                <c:pt idx="762">
                  <c:v>JUL</c:v>
                </c:pt>
                <c:pt idx="763">
                  <c:v>JUL</c:v>
                </c:pt>
                <c:pt idx="764">
                  <c:v>JUL</c:v>
                </c:pt>
                <c:pt idx="765">
                  <c:v>JUL</c:v>
                </c:pt>
                <c:pt idx="766">
                  <c:v>JUL</c:v>
                </c:pt>
                <c:pt idx="767">
                  <c:v>JUL</c:v>
                </c:pt>
                <c:pt idx="768">
                  <c:v>JUL</c:v>
                </c:pt>
                <c:pt idx="769">
                  <c:v>JUL</c:v>
                </c:pt>
                <c:pt idx="770">
                  <c:v>JUL</c:v>
                </c:pt>
                <c:pt idx="771">
                  <c:v>JUL</c:v>
                </c:pt>
                <c:pt idx="772">
                  <c:v>JUL</c:v>
                </c:pt>
                <c:pt idx="773">
                  <c:v>JUL</c:v>
                </c:pt>
                <c:pt idx="774">
                  <c:v>JUL</c:v>
                </c:pt>
                <c:pt idx="775">
                  <c:v>JUL</c:v>
                </c:pt>
                <c:pt idx="776">
                  <c:v>JUL</c:v>
                </c:pt>
                <c:pt idx="777">
                  <c:v>JUL</c:v>
                </c:pt>
                <c:pt idx="778">
                  <c:v>JUL</c:v>
                </c:pt>
                <c:pt idx="779">
                  <c:v>JUL</c:v>
                </c:pt>
                <c:pt idx="780">
                  <c:v>JUL</c:v>
                </c:pt>
                <c:pt idx="781">
                  <c:v>JUL</c:v>
                </c:pt>
                <c:pt idx="782">
                  <c:v>JUL</c:v>
                </c:pt>
                <c:pt idx="783">
                  <c:v>JUL</c:v>
                </c:pt>
                <c:pt idx="784">
                  <c:v>JUL</c:v>
                </c:pt>
                <c:pt idx="785">
                  <c:v>JUL</c:v>
                </c:pt>
                <c:pt idx="786">
                  <c:v>JUL</c:v>
                </c:pt>
                <c:pt idx="787">
                  <c:v>JUL</c:v>
                </c:pt>
                <c:pt idx="788">
                  <c:v>JUL</c:v>
                </c:pt>
                <c:pt idx="789">
                  <c:v>JUL</c:v>
                </c:pt>
                <c:pt idx="790">
                  <c:v>JUL</c:v>
                </c:pt>
                <c:pt idx="791">
                  <c:v>JUL</c:v>
                </c:pt>
                <c:pt idx="792">
                  <c:v>JUL</c:v>
                </c:pt>
                <c:pt idx="793">
                  <c:v>JUL</c:v>
                </c:pt>
                <c:pt idx="794">
                  <c:v>JUL</c:v>
                </c:pt>
                <c:pt idx="795">
                  <c:v>JUL</c:v>
                </c:pt>
                <c:pt idx="796">
                  <c:v>JUL</c:v>
                </c:pt>
                <c:pt idx="797">
                  <c:v>JUL</c:v>
                </c:pt>
                <c:pt idx="798">
                  <c:v>JUL</c:v>
                </c:pt>
                <c:pt idx="799">
                  <c:v>JUL</c:v>
                </c:pt>
                <c:pt idx="800">
                  <c:v>JUL</c:v>
                </c:pt>
                <c:pt idx="801">
                  <c:v>JUL</c:v>
                </c:pt>
                <c:pt idx="802">
                  <c:v>JUL</c:v>
                </c:pt>
                <c:pt idx="803">
                  <c:v>JUL</c:v>
                </c:pt>
                <c:pt idx="804">
                  <c:v>JUL</c:v>
                </c:pt>
                <c:pt idx="805">
                  <c:v>JUL</c:v>
                </c:pt>
                <c:pt idx="806">
                  <c:v>JUL</c:v>
                </c:pt>
                <c:pt idx="807">
                  <c:v>JUL</c:v>
                </c:pt>
                <c:pt idx="808">
                  <c:v>JUL</c:v>
                </c:pt>
                <c:pt idx="809">
                  <c:v>JUL</c:v>
                </c:pt>
                <c:pt idx="810">
                  <c:v>JUL</c:v>
                </c:pt>
                <c:pt idx="811">
                  <c:v>JUL</c:v>
                </c:pt>
                <c:pt idx="812">
                  <c:v>JUL</c:v>
                </c:pt>
                <c:pt idx="813">
                  <c:v>JUL</c:v>
                </c:pt>
                <c:pt idx="814">
                  <c:v>JUL</c:v>
                </c:pt>
                <c:pt idx="815">
                  <c:v>JUL</c:v>
                </c:pt>
                <c:pt idx="816">
                  <c:v>JUL</c:v>
                </c:pt>
                <c:pt idx="817">
                  <c:v>JUL</c:v>
                </c:pt>
                <c:pt idx="818">
                  <c:v>JUL</c:v>
                </c:pt>
                <c:pt idx="819">
                  <c:v>JUL</c:v>
                </c:pt>
                <c:pt idx="820">
                  <c:v>JUL</c:v>
                </c:pt>
                <c:pt idx="821">
                  <c:v>JUL</c:v>
                </c:pt>
                <c:pt idx="823">
                  <c:v>JUL</c:v>
                </c:pt>
                <c:pt idx="824">
                  <c:v>JUL</c:v>
                </c:pt>
                <c:pt idx="825">
                  <c:v>JUL</c:v>
                </c:pt>
                <c:pt idx="826">
                  <c:v>JUL</c:v>
                </c:pt>
                <c:pt idx="827">
                  <c:v>JUL</c:v>
                </c:pt>
                <c:pt idx="828">
                  <c:v>JUL</c:v>
                </c:pt>
                <c:pt idx="829">
                  <c:v>JUL</c:v>
                </c:pt>
                <c:pt idx="830">
                  <c:v>JUL</c:v>
                </c:pt>
                <c:pt idx="831">
                  <c:v>JUL</c:v>
                </c:pt>
                <c:pt idx="832">
                  <c:v>JUL</c:v>
                </c:pt>
                <c:pt idx="833">
                  <c:v>JUL</c:v>
                </c:pt>
                <c:pt idx="834">
                  <c:v>JUL</c:v>
                </c:pt>
                <c:pt idx="835">
                  <c:v>JUL</c:v>
                </c:pt>
                <c:pt idx="836">
                  <c:v>JUL</c:v>
                </c:pt>
                <c:pt idx="837">
                  <c:v>JUL</c:v>
                </c:pt>
                <c:pt idx="838">
                  <c:v>JUL</c:v>
                </c:pt>
                <c:pt idx="839">
                  <c:v>JUL</c:v>
                </c:pt>
                <c:pt idx="840">
                  <c:v>JUL</c:v>
                </c:pt>
                <c:pt idx="841">
                  <c:v>JUL</c:v>
                </c:pt>
                <c:pt idx="842">
                  <c:v>JUL</c:v>
                </c:pt>
                <c:pt idx="843">
                  <c:v>JUL</c:v>
                </c:pt>
                <c:pt idx="844">
                  <c:v>JUL</c:v>
                </c:pt>
                <c:pt idx="845">
                  <c:v>JUL</c:v>
                </c:pt>
                <c:pt idx="846">
                  <c:v>JUL</c:v>
                </c:pt>
                <c:pt idx="847">
                  <c:v>JUL</c:v>
                </c:pt>
                <c:pt idx="848">
                  <c:v>JUL</c:v>
                </c:pt>
                <c:pt idx="849">
                  <c:v>JUL</c:v>
                </c:pt>
                <c:pt idx="850">
                  <c:v>JUL</c:v>
                </c:pt>
                <c:pt idx="851">
                  <c:v>JUL</c:v>
                </c:pt>
                <c:pt idx="852">
                  <c:v>JUL</c:v>
                </c:pt>
                <c:pt idx="853">
                  <c:v>JUL</c:v>
                </c:pt>
                <c:pt idx="854">
                  <c:v>JUL</c:v>
                </c:pt>
                <c:pt idx="855">
                  <c:v>JUL</c:v>
                </c:pt>
                <c:pt idx="856">
                  <c:v>JUL</c:v>
                </c:pt>
                <c:pt idx="857">
                  <c:v>JUL</c:v>
                </c:pt>
                <c:pt idx="858">
                  <c:v>JUL</c:v>
                </c:pt>
                <c:pt idx="859">
                  <c:v>JUL</c:v>
                </c:pt>
                <c:pt idx="860">
                  <c:v>JUL</c:v>
                </c:pt>
                <c:pt idx="861">
                  <c:v>JUL</c:v>
                </c:pt>
                <c:pt idx="862">
                  <c:v>JUL</c:v>
                </c:pt>
                <c:pt idx="863">
                  <c:v>JUL</c:v>
                </c:pt>
                <c:pt idx="864">
                  <c:v>JUL</c:v>
                </c:pt>
                <c:pt idx="865">
                  <c:v>JUL</c:v>
                </c:pt>
                <c:pt idx="866">
                  <c:v>JUL</c:v>
                </c:pt>
                <c:pt idx="867">
                  <c:v>JUL</c:v>
                </c:pt>
                <c:pt idx="868">
                  <c:v>JUL</c:v>
                </c:pt>
                <c:pt idx="869">
                  <c:v>JUL</c:v>
                </c:pt>
                <c:pt idx="870">
                  <c:v>Aug 23 live - Graveyard month</c:v>
                </c:pt>
                <c:pt idx="871">
                  <c:v>AUG</c:v>
                </c:pt>
                <c:pt idx="872">
                  <c:v>AUG</c:v>
                </c:pt>
                <c:pt idx="873">
                  <c:v>AUG</c:v>
                </c:pt>
                <c:pt idx="874">
                  <c:v>AUG</c:v>
                </c:pt>
                <c:pt idx="875">
                  <c:v>AUG</c:v>
                </c:pt>
                <c:pt idx="876">
                  <c:v>AUG</c:v>
                </c:pt>
                <c:pt idx="877">
                  <c:v>AUG</c:v>
                </c:pt>
                <c:pt idx="878">
                  <c:v>AUG</c:v>
                </c:pt>
                <c:pt idx="879">
                  <c:v>AUG</c:v>
                </c:pt>
                <c:pt idx="880">
                  <c:v>AUG</c:v>
                </c:pt>
                <c:pt idx="881">
                  <c:v>AUG</c:v>
                </c:pt>
                <c:pt idx="882">
                  <c:v>AUG</c:v>
                </c:pt>
                <c:pt idx="883">
                  <c:v>AUG</c:v>
                </c:pt>
                <c:pt idx="884">
                  <c:v>AUG</c:v>
                </c:pt>
                <c:pt idx="885">
                  <c:v>AUG</c:v>
                </c:pt>
                <c:pt idx="886">
                  <c:v>AUG</c:v>
                </c:pt>
                <c:pt idx="887">
                  <c:v>AUG</c:v>
                </c:pt>
                <c:pt idx="888">
                  <c:v>AUG</c:v>
                </c:pt>
                <c:pt idx="889">
                  <c:v>AUG</c:v>
                </c:pt>
                <c:pt idx="890">
                  <c:v>AUG</c:v>
                </c:pt>
                <c:pt idx="891">
                  <c:v>AUG</c:v>
                </c:pt>
                <c:pt idx="892">
                  <c:v>AUG</c:v>
                </c:pt>
                <c:pt idx="893">
                  <c:v>AUG</c:v>
                </c:pt>
                <c:pt idx="894">
                  <c:v>AUG</c:v>
                </c:pt>
                <c:pt idx="895">
                  <c:v>AUG</c:v>
                </c:pt>
                <c:pt idx="896">
                  <c:v>AUG</c:v>
                </c:pt>
                <c:pt idx="897">
                  <c:v>AUG</c:v>
                </c:pt>
                <c:pt idx="898">
                  <c:v>AUG</c:v>
                </c:pt>
                <c:pt idx="899">
                  <c:v>AUG</c:v>
                </c:pt>
                <c:pt idx="900">
                  <c:v>AUG</c:v>
                </c:pt>
                <c:pt idx="901">
                  <c:v>AUG</c:v>
                </c:pt>
                <c:pt idx="902">
                  <c:v>AUG</c:v>
                </c:pt>
                <c:pt idx="903">
                  <c:v>AUG</c:v>
                </c:pt>
                <c:pt idx="904">
                  <c:v>AUG</c:v>
                </c:pt>
                <c:pt idx="905">
                  <c:v>AUG</c:v>
                </c:pt>
                <c:pt idx="906">
                  <c:v>AUG</c:v>
                </c:pt>
                <c:pt idx="907">
                  <c:v>AUG</c:v>
                </c:pt>
                <c:pt idx="908">
                  <c:v>AUG</c:v>
                </c:pt>
                <c:pt idx="909">
                  <c:v>AUG</c:v>
                </c:pt>
                <c:pt idx="910">
                  <c:v>AUG</c:v>
                </c:pt>
                <c:pt idx="911">
                  <c:v>AUG</c:v>
                </c:pt>
                <c:pt idx="912">
                  <c:v>AUG</c:v>
                </c:pt>
                <c:pt idx="913">
                  <c:v>AUG</c:v>
                </c:pt>
                <c:pt idx="914">
                  <c:v>AUG</c:v>
                </c:pt>
                <c:pt idx="915">
                  <c:v>AUG</c:v>
                </c:pt>
                <c:pt idx="916">
                  <c:v>AUG</c:v>
                </c:pt>
                <c:pt idx="917">
                  <c:v>AUG</c:v>
                </c:pt>
                <c:pt idx="918">
                  <c:v>AUG</c:v>
                </c:pt>
                <c:pt idx="919">
                  <c:v>AUG</c:v>
                </c:pt>
                <c:pt idx="920">
                  <c:v>AUG</c:v>
                </c:pt>
                <c:pt idx="921">
                  <c:v>AUG</c:v>
                </c:pt>
                <c:pt idx="922">
                  <c:v>AUG</c:v>
                </c:pt>
                <c:pt idx="923">
                  <c:v>AUG</c:v>
                </c:pt>
                <c:pt idx="924">
                  <c:v>AUG</c:v>
                </c:pt>
                <c:pt idx="925">
                  <c:v>AUG</c:v>
                </c:pt>
                <c:pt idx="926">
                  <c:v>AUG</c:v>
                </c:pt>
                <c:pt idx="927">
                  <c:v>AUG</c:v>
                </c:pt>
                <c:pt idx="928">
                  <c:v>AUG</c:v>
                </c:pt>
                <c:pt idx="929">
                  <c:v>AUG</c:v>
                </c:pt>
                <c:pt idx="930">
                  <c:v>AUG</c:v>
                </c:pt>
                <c:pt idx="931">
                  <c:v>AUG</c:v>
                </c:pt>
                <c:pt idx="932">
                  <c:v>AUG</c:v>
                </c:pt>
                <c:pt idx="933">
                  <c:v>AUG</c:v>
                </c:pt>
                <c:pt idx="934">
                  <c:v>AUG</c:v>
                </c:pt>
                <c:pt idx="935">
                  <c:v>AUG</c:v>
                </c:pt>
                <c:pt idx="936">
                  <c:v>AUG</c:v>
                </c:pt>
                <c:pt idx="937">
                  <c:v>AUG</c:v>
                </c:pt>
                <c:pt idx="938">
                  <c:v>AUG</c:v>
                </c:pt>
                <c:pt idx="939">
                  <c:v>AUG</c:v>
                </c:pt>
                <c:pt idx="940">
                  <c:v>AUG</c:v>
                </c:pt>
                <c:pt idx="941">
                  <c:v>AUG</c:v>
                </c:pt>
                <c:pt idx="942">
                  <c:v>AUG</c:v>
                </c:pt>
                <c:pt idx="943">
                  <c:v>AUG</c:v>
                </c:pt>
                <c:pt idx="944">
                  <c:v>AUG</c:v>
                </c:pt>
                <c:pt idx="945">
                  <c:v>AUG</c:v>
                </c:pt>
                <c:pt idx="946">
                  <c:v>AUG</c:v>
                </c:pt>
                <c:pt idx="947">
                  <c:v>AUG</c:v>
                </c:pt>
                <c:pt idx="948">
                  <c:v>AUG</c:v>
                </c:pt>
                <c:pt idx="949">
                  <c:v>AUG</c:v>
                </c:pt>
                <c:pt idx="950">
                  <c:v>AUG</c:v>
                </c:pt>
                <c:pt idx="951">
                  <c:v>AUG</c:v>
                </c:pt>
                <c:pt idx="952">
                  <c:v>AUG</c:v>
                </c:pt>
                <c:pt idx="953">
                  <c:v>AUG</c:v>
                </c:pt>
                <c:pt idx="954">
                  <c:v>AUG</c:v>
                </c:pt>
                <c:pt idx="955">
                  <c:v>AUG</c:v>
                </c:pt>
                <c:pt idx="956">
                  <c:v>AUG</c:v>
                </c:pt>
                <c:pt idx="957">
                  <c:v>AUG</c:v>
                </c:pt>
                <c:pt idx="958">
                  <c:v>AUG</c:v>
                </c:pt>
                <c:pt idx="959">
                  <c:v>AUG</c:v>
                </c:pt>
                <c:pt idx="960">
                  <c:v>AUG</c:v>
                </c:pt>
                <c:pt idx="961">
                  <c:v>AUG</c:v>
                </c:pt>
                <c:pt idx="962">
                  <c:v>AUG</c:v>
                </c:pt>
                <c:pt idx="963">
                  <c:v>AUG</c:v>
                </c:pt>
                <c:pt idx="964">
                  <c:v>AUG</c:v>
                </c:pt>
                <c:pt idx="965">
                  <c:v>AUG</c:v>
                </c:pt>
                <c:pt idx="966">
                  <c:v>AUG</c:v>
                </c:pt>
                <c:pt idx="967">
                  <c:v>AUG</c:v>
                </c:pt>
                <c:pt idx="968">
                  <c:v>AUG</c:v>
                </c:pt>
                <c:pt idx="969">
                  <c:v>AUG</c:v>
                </c:pt>
                <c:pt idx="970">
                  <c:v>AUG</c:v>
                </c:pt>
                <c:pt idx="971">
                  <c:v>AUG</c:v>
                </c:pt>
                <c:pt idx="972">
                  <c:v>AUG</c:v>
                </c:pt>
                <c:pt idx="973">
                  <c:v>AUG</c:v>
                </c:pt>
                <c:pt idx="974">
                  <c:v>AUG</c:v>
                </c:pt>
                <c:pt idx="975">
                  <c:v>AUG</c:v>
                </c:pt>
                <c:pt idx="976">
                  <c:v>AUG</c:v>
                </c:pt>
                <c:pt idx="977">
                  <c:v>AUG</c:v>
                </c:pt>
                <c:pt idx="978">
                  <c:v>AUG</c:v>
                </c:pt>
                <c:pt idx="979">
                  <c:v>AUG</c:v>
                </c:pt>
                <c:pt idx="980">
                  <c:v>AUG</c:v>
                </c:pt>
                <c:pt idx="981">
                  <c:v>AUG</c:v>
                </c:pt>
                <c:pt idx="982">
                  <c:v>AUG</c:v>
                </c:pt>
                <c:pt idx="983">
                  <c:v>AUG</c:v>
                </c:pt>
                <c:pt idx="984">
                  <c:v>AUG</c:v>
                </c:pt>
                <c:pt idx="985">
                  <c:v>AUG</c:v>
                </c:pt>
                <c:pt idx="986">
                  <c:v>AUG</c:v>
                </c:pt>
                <c:pt idx="987">
                  <c:v>AUG</c:v>
                </c:pt>
                <c:pt idx="988">
                  <c:v>AUG</c:v>
                </c:pt>
                <c:pt idx="989">
                  <c:v>AUG</c:v>
                </c:pt>
                <c:pt idx="990">
                  <c:v>AUG</c:v>
                </c:pt>
                <c:pt idx="991">
                  <c:v>AUG</c:v>
                </c:pt>
                <c:pt idx="992">
                  <c:v>Sep 23 live</c:v>
                </c:pt>
                <c:pt idx="993">
                  <c:v>SEP</c:v>
                </c:pt>
                <c:pt idx="994">
                  <c:v>SEP</c:v>
                </c:pt>
                <c:pt idx="995">
                  <c:v>SEP</c:v>
                </c:pt>
                <c:pt idx="996">
                  <c:v>SEP</c:v>
                </c:pt>
                <c:pt idx="997">
                  <c:v>SEP</c:v>
                </c:pt>
                <c:pt idx="998">
                  <c:v>SEP</c:v>
                </c:pt>
                <c:pt idx="999">
                  <c:v>SEP</c:v>
                </c:pt>
                <c:pt idx="1000">
                  <c:v>SEP</c:v>
                </c:pt>
                <c:pt idx="1001">
                  <c:v>SEP</c:v>
                </c:pt>
                <c:pt idx="1002">
                  <c:v>SEP</c:v>
                </c:pt>
                <c:pt idx="1003">
                  <c:v>SEP</c:v>
                </c:pt>
                <c:pt idx="1004">
                  <c:v>SEP</c:v>
                </c:pt>
                <c:pt idx="1005">
                  <c:v>SEP</c:v>
                </c:pt>
                <c:pt idx="1006">
                  <c:v>SEP</c:v>
                </c:pt>
                <c:pt idx="1007">
                  <c:v>SEP</c:v>
                </c:pt>
                <c:pt idx="1008">
                  <c:v>SEP</c:v>
                </c:pt>
                <c:pt idx="1009">
                  <c:v>SEP</c:v>
                </c:pt>
                <c:pt idx="1010">
                  <c:v>SEP</c:v>
                </c:pt>
                <c:pt idx="1011">
                  <c:v>SEP</c:v>
                </c:pt>
                <c:pt idx="1012">
                  <c:v>SEP</c:v>
                </c:pt>
                <c:pt idx="1013">
                  <c:v>SEP</c:v>
                </c:pt>
                <c:pt idx="1014">
                  <c:v>SEP</c:v>
                </c:pt>
                <c:pt idx="1015">
                  <c:v>SEP</c:v>
                </c:pt>
                <c:pt idx="1016">
                  <c:v>SEP</c:v>
                </c:pt>
                <c:pt idx="1017">
                  <c:v>SEP</c:v>
                </c:pt>
                <c:pt idx="1018">
                  <c:v>SEP</c:v>
                </c:pt>
                <c:pt idx="1019">
                  <c:v>SEP</c:v>
                </c:pt>
                <c:pt idx="1020">
                  <c:v>SEP</c:v>
                </c:pt>
                <c:pt idx="1021">
                  <c:v>SEP</c:v>
                </c:pt>
                <c:pt idx="1022">
                  <c:v>SEP</c:v>
                </c:pt>
                <c:pt idx="1023">
                  <c:v>SEP</c:v>
                </c:pt>
                <c:pt idx="1024">
                  <c:v>SEP</c:v>
                </c:pt>
                <c:pt idx="1025">
                  <c:v>SEP</c:v>
                </c:pt>
                <c:pt idx="1026">
                  <c:v>SEP</c:v>
                </c:pt>
                <c:pt idx="1027">
                  <c:v>SEP</c:v>
                </c:pt>
                <c:pt idx="1028">
                  <c:v>SEP</c:v>
                </c:pt>
                <c:pt idx="1029">
                  <c:v>SEP</c:v>
                </c:pt>
                <c:pt idx="1030">
                  <c:v>SEP</c:v>
                </c:pt>
                <c:pt idx="1031">
                  <c:v>SEP</c:v>
                </c:pt>
                <c:pt idx="1032">
                  <c:v>SEP</c:v>
                </c:pt>
                <c:pt idx="1033">
                  <c:v>SEP</c:v>
                </c:pt>
                <c:pt idx="1034">
                  <c:v>SEP</c:v>
                </c:pt>
                <c:pt idx="1035">
                  <c:v>SEP</c:v>
                </c:pt>
                <c:pt idx="1036">
                  <c:v>SEP</c:v>
                </c:pt>
                <c:pt idx="1037">
                  <c:v>SEP</c:v>
                </c:pt>
                <c:pt idx="1038">
                  <c:v>SEP</c:v>
                </c:pt>
                <c:pt idx="1039">
                  <c:v>SEP</c:v>
                </c:pt>
                <c:pt idx="1040">
                  <c:v>SEP</c:v>
                </c:pt>
                <c:pt idx="1041">
                  <c:v>SEP</c:v>
                </c:pt>
                <c:pt idx="1042">
                  <c:v>SEP</c:v>
                </c:pt>
                <c:pt idx="1043">
                  <c:v>SEP</c:v>
                </c:pt>
                <c:pt idx="1044">
                  <c:v>SEP</c:v>
                </c:pt>
                <c:pt idx="1045">
                  <c:v>SEP</c:v>
                </c:pt>
                <c:pt idx="1046">
                  <c:v>SEP</c:v>
                </c:pt>
                <c:pt idx="1047">
                  <c:v>SEP</c:v>
                </c:pt>
                <c:pt idx="1048">
                  <c:v>SEP</c:v>
                </c:pt>
                <c:pt idx="1049">
                  <c:v>SEP</c:v>
                </c:pt>
                <c:pt idx="1050">
                  <c:v>SEP</c:v>
                </c:pt>
                <c:pt idx="1051">
                  <c:v>SEP</c:v>
                </c:pt>
                <c:pt idx="1052">
                  <c:v>SEP</c:v>
                </c:pt>
                <c:pt idx="1053">
                  <c:v>SEP</c:v>
                </c:pt>
                <c:pt idx="1054">
                  <c:v>SEP</c:v>
                </c:pt>
                <c:pt idx="1055">
                  <c:v>SEP</c:v>
                </c:pt>
                <c:pt idx="1056">
                  <c:v>SEP</c:v>
                </c:pt>
                <c:pt idx="1057">
                  <c:v>SEP</c:v>
                </c:pt>
                <c:pt idx="1058">
                  <c:v>SEP</c:v>
                </c:pt>
                <c:pt idx="1059">
                  <c:v>SEP</c:v>
                </c:pt>
                <c:pt idx="1060">
                  <c:v>SEP</c:v>
                </c:pt>
                <c:pt idx="1061">
                  <c:v>SEP</c:v>
                </c:pt>
                <c:pt idx="1062">
                  <c:v>SEP</c:v>
                </c:pt>
                <c:pt idx="1063">
                  <c:v>SEP</c:v>
                </c:pt>
                <c:pt idx="1064">
                  <c:v>SEP</c:v>
                </c:pt>
                <c:pt idx="1065">
                  <c:v>SEP</c:v>
                </c:pt>
                <c:pt idx="1066">
                  <c:v>SEP</c:v>
                </c:pt>
                <c:pt idx="1067">
                  <c:v>SEP</c:v>
                </c:pt>
                <c:pt idx="1068">
                  <c:v>SEP</c:v>
                </c:pt>
                <c:pt idx="1069">
                  <c:v>SEP</c:v>
                </c:pt>
                <c:pt idx="1070">
                  <c:v>SEP</c:v>
                </c:pt>
                <c:pt idx="1071">
                  <c:v>SEP</c:v>
                </c:pt>
                <c:pt idx="1072">
                  <c:v>SEP</c:v>
                </c:pt>
                <c:pt idx="1073">
                  <c:v>SEP</c:v>
                </c:pt>
              </c:strCache>
            </c:strRef>
          </c:cat>
          <c:val>
            <c:numRef>
              <c:f>'Journal Live'!$BE$3:$BE$1077</c:f>
              <c:numCache>
                <c:formatCode>"$"#,##0.00</c:formatCode>
                <c:ptCount val="1075"/>
                <c:pt idx="1">
                  <c:v>15.5</c:v>
                </c:pt>
                <c:pt idx="2">
                  <c:v>15.5</c:v>
                </c:pt>
                <c:pt idx="3">
                  <c:v>15.5</c:v>
                </c:pt>
                <c:pt idx="4">
                  <c:v>15.5</c:v>
                </c:pt>
                <c:pt idx="5">
                  <c:v>30.9</c:v>
                </c:pt>
                <c:pt idx="6">
                  <c:v>30.9</c:v>
                </c:pt>
                <c:pt idx="7">
                  <c:v>30.9</c:v>
                </c:pt>
                <c:pt idx="8">
                  <c:v>46.039999999999992</c:v>
                </c:pt>
                <c:pt idx="9">
                  <c:v>46.039999999999992</c:v>
                </c:pt>
                <c:pt idx="10">
                  <c:v>46.039999999999992</c:v>
                </c:pt>
                <c:pt idx="11">
                  <c:v>61.039999999999992</c:v>
                </c:pt>
                <c:pt idx="12">
                  <c:v>61.039999999999992</c:v>
                </c:pt>
                <c:pt idx="13">
                  <c:v>76.169999999999987</c:v>
                </c:pt>
                <c:pt idx="14">
                  <c:v>91.32</c:v>
                </c:pt>
                <c:pt idx="15">
                  <c:v>91.32</c:v>
                </c:pt>
                <c:pt idx="16">
                  <c:v>106.47</c:v>
                </c:pt>
                <c:pt idx="17">
                  <c:v>106.47</c:v>
                </c:pt>
                <c:pt idx="18">
                  <c:v>106.47</c:v>
                </c:pt>
                <c:pt idx="19">
                  <c:v>106.47</c:v>
                </c:pt>
                <c:pt idx="20">
                  <c:v>45.869999999999948</c:v>
                </c:pt>
                <c:pt idx="21">
                  <c:v>15.569999999999922</c:v>
                </c:pt>
                <c:pt idx="22">
                  <c:v>15.569999999999922</c:v>
                </c:pt>
                <c:pt idx="23">
                  <c:v>61.169999999999959</c:v>
                </c:pt>
                <c:pt idx="24">
                  <c:v>61.169999999999959</c:v>
                </c:pt>
                <c:pt idx="25">
                  <c:v>61.169999999999959</c:v>
                </c:pt>
                <c:pt idx="26">
                  <c:v>76.369999999999976</c:v>
                </c:pt>
                <c:pt idx="27">
                  <c:v>76.369999999999976</c:v>
                </c:pt>
                <c:pt idx="28">
                  <c:v>91.669999999999973</c:v>
                </c:pt>
                <c:pt idx="29">
                  <c:v>106.86999999999996</c:v>
                </c:pt>
                <c:pt idx="30">
                  <c:v>106.86999999999996</c:v>
                </c:pt>
                <c:pt idx="31">
                  <c:v>106.86999999999996</c:v>
                </c:pt>
                <c:pt idx="32">
                  <c:v>106.86999999999996</c:v>
                </c:pt>
                <c:pt idx="33">
                  <c:v>106.86999999999996</c:v>
                </c:pt>
                <c:pt idx="34">
                  <c:v>106.86999999999996</c:v>
                </c:pt>
                <c:pt idx="35">
                  <c:v>106.86999999999996</c:v>
                </c:pt>
                <c:pt idx="36">
                  <c:v>106.86999999999996</c:v>
                </c:pt>
                <c:pt idx="37">
                  <c:v>137.46999999999994</c:v>
                </c:pt>
                <c:pt idx="38">
                  <c:v>152.86999999999995</c:v>
                </c:pt>
                <c:pt idx="39">
                  <c:v>168.16999999999993</c:v>
                </c:pt>
                <c:pt idx="40">
                  <c:v>168.16999999999993</c:v>
                </c:pt>
                <c:pt idx="41">
                  <c:v>168.16999999999993</c:v>
                </c:pt>
                <c:pt idx="42">
                  <c:v>168.16999999999993</c:v>
                </c:pt>
                <c:pt idx="43">
                  <c:v>168.16999999999993</c:v>
                </c:pt>
                <c:pt idx="44">
                  <c:v>168.16999999999993</c:v>
                </c:pt>
                <c:pt idx="45">
                  <c:v>198.76999999999992</c:v>
                </c:pt>
                <c:pt idx="46">
                  <c:v>229.36999999999992</c:v>
                </c:pt>
                <c:pt idx="47">
                  <c:v>290.56999999999994</c:v>
                </c:pt>
                <c:pt idx="48">
                  <c:v>290.56999999999994</c:v>
                </c:pt>
                <c:pt idx="49">
                  <c:v>290.56999999999994</c:v>
                </c:pt>
                <c:pt idx="50">
                  <c:v>320.96999999999991</c:v>
                </c:pt>
                <c:pt idx="51">
                  <c:v>351.26999999999992</c:v>
                </c:pt>
                <c:pt idx="52">
                  <c:v>351.26999999999992</c:v>
                </c:pt>
                <c:pt idx="53">
                  <c:v>366.76999999999992</c:v>
                </c:pt>
                <c:pt idx="54">
                  <c:v>320.27000000002022</c:v>
                </c:pt>
                <c:pt idx="55">
                  <c:v>320.27000000002022</c:v>
                </c:pt>
                <c:pt idx="56">
                  <c:v>320.27000000002022</c:v>
                </c:pt>
                <c:pt idx="57">
                  <c:v>335.87000000002024</c:v>
                </c:pt>
                <c:pt idx="58">
                  <c:v>366.87000000002024</c:v>
                </c:pt>
                <c:pt idx="59">
                  <c:v>383.07000000002023</c:v>
                </c:pt>
                <c:pt idx="60">
                  <c:v>319.87000000002024</c:v>
                </c:pt>
                <c:pt idx="61">
                  <c:v>384.27000000002027</c:v>
                </c:pt>
                <c:pt idx="62">
                  <c:v>384.27000000002027</c:v>
                </c:pt>
                <c:pt idx="63">
                  <c:v>384.27000000002027</c:v>
                </c:pt>
                <c:pt idx="64">
                  <c:v>384.27000000002027</c:v>
                </c:pt>
                <c:pt idx="65">
                  <c:v>431.67000000002025</c:v>
                </c:pt>
                <c:pt idx="66">
                  <c:v>400.07000000002029</c:v>
                </c:pt>
                <c:pt idx="67">
                  <c:v>463.27000000002027</c:v>
                </c:pt>
                <c:pt idx="68">
                  <c:v>463.27000000002027</c:v>
                </c:pt>
                <c:pt idx="69">
                  <c:v>495.67000000002031</c:v>
                </c:pt>
                <c:pt idx="70">
                  <c:v>560.47000000002026</c:v>
                </c:pt>
                <c:pt idx="71">
                  <c:v>657.67000000002031</c:v>
                </c:pt>
                <c:pt idx="72">
                  <c:v>657.67000000002031</c:v>
                </c:pt>
                <c:pt idx="73">
                  <c:v>625.27000000002033</c:v>
                </c:pt>
                <c:pt idx="74">
                  <c:v>625.27000000002033</c:v>
                </c:pt>
                <c:pt idx="75">
                  <c:v>625.27000000002033</c:v>
                </c:pt>
                <c:pt idx="76">
                  <c:v>625.27000000002033</c:v>
                </c:pt>
                <c:pt idx="77">
                  <c:v>672.67000000002031</c:v>
                </c:pt>
                <c:pt idx="78">
                  <c:v>672.67000000002031</c:v>
                </c:pt>
                <c:pt idx="79">
                  <c:v>672.67000000002031</c:v>
                </c:pt>
                <c:pt idx="80">
                  <c:v>672.67000000002031</c:v>
                </c:pt>
                <c:pt idx="81">
                  <c:v>672.67000000002031</c:v>
                </c:pt>
                <c:pt idx="82">
                  <c:v>672.67000000002031</c:v>
                </c:pt>
                <c:pt idx="83">
                  <c:v>672.67000000002031</c:v>
                </c:pt>
                <c:pt idx="84">
                  <c:v>688.67000000002031</c:v>
                </c:pt>
                <c:pt idx="85">
                  <c:v>783.47000000002026</c:v>
                </c:pt>
                <c:pt idx="86">
                  <c:v>815.47000000002026</c:v>
                </c:pt>
                <c:pt idx="87">
                  <c:v>815.47000000002026</c:v>
                </c:pt>
                <c:pt idx="88">
                  <c:v>815.47000000002026</c:v>
                </c:pt>
                <c:pt idx="89">
                  <c:v>815.47000000002026</c:v>
                </c:pt>
                <c:pt idx="90">
                  <c:v>847.87000000002024</c:v>
                </c:pt>
                <c:pt idx="91">
                  <c:v>847.87000000002024</c:v>
                </c:pt>
                <c:pt idx="92">
                  <c:v>864.07000000002029</c:v>
                </c:pt>
                <c:pt idx="93">
                  <c:v>896.07000000002029</c:v>
                </c:pt>
                <c:pt idx="94">
                  <c:v>960.87000000002035</c:v>
                </c:pt>
                <c:pt idx="95">
                  <c:v>928.47000000002038</c:v>
                </c:pt>
                <c:pt idx="96">
                  <c:v>928.47000000002038</c:v>
                </c:pt>
                <c:pt idx="97">
                  <c:v>928.47000000002038</c:v>
                </c:pt>
                <c:pt idx="98">
                  <c:v>960.47000000002038</c:v>
                </c:pt>
                <c:pt idx="99">
                  <c:v>1136.4700000000203</c:v>
                </c:pt>
                <c:pt idx="100">
                  <c:v>1136.4700000000203</c:v>
                </c:pt>
                <c:pt idx="101">
                  <c:v>1136.4700000000203</c:v>
                </c:pt>
                <c:pt idx="102">
                  <c:v>1200.4700000000203</c:v>
                </c:pt>
                <c:pt idx="103">
                  <c:v>1233.0700000000204</c:v>
                </c:pt>
                <c:pt idx="104">
                  <c:v>1249.0700000000204</c:v>
                </c:pt>
                <c:pt idx="105">
                  <c:v>1249.0700000000204</c:v>
                </c:pt>
                <c:pt idx="106">
                  <c:v>1249.0700000000204</c:v>
                </c:pt>
                <c:pt idx="107">
                  <c:v>1249.0700000000204</c:v>
                </c:pt>
                <c:pt idx="108">
                  <c:v>1281.8700000000204</c:v>
                </c:pt>
                <c:pt idx="109">
                  <c:v>1281.8700000000204</c:v>
                </c:pt>
                <c:pt idx="110">
                  <c:v>1249.6700000000267</c:v>
                </c:pt>
                <c:pt idx="111">
                  <c:v>1249.6700000000267</c:v>
                </c:pt>
                <c:pt idx="112">
                  <c:v>1281.8700000000267</c:v>
                </c:pt>
                <c:pt idx="113">
                  <c:v>1314.4700000000266</c:v>
                </c:pt>
                <c:pt idx="114">
                  <c:v>1314.4700000000266</c:v>
                </c:pt>
                <c:pt idx="115">
                  <c:v>1330.4700000000266</c:v>
                </c:pt>
                <c:pt idx="116">
                  <c:v>1362.4700000000266</c:v>
                </c:pt>
                <c:pt idx="117">
                  <c:v>1362.4700000000266</c:v>
                </c:pt>
                <c:pt idx="118">
                  <c:v>1410.4700000000266</c:v>
                </c:pt>
                <c:pt idx="119">
                  <c:v>1410.4700000000266</c:v>
                </c:pt>
                <c:pt idx="120">
                  <c:v>1540.8700000000267</c:v>
                </c:pt>
                <c:pt idx="121">
                  <c:v>1780.8700000000267</c:v>
                </c:pt>
                <c:pt idx="122">
                  <c:v>1813.4700000000266</c:v>
                </c:pt>
                <c:pt idx="123">
                  <c:v>1813.4700000000266</c:v>
                </c:pt>
                <c:pt idx="124">
                  <c:v>1813.4700000000266</c:v>
                </c:pt>
                <c:pt idx="125">
                  <c:v>1813.4700000000266</c:v>
                </c:pt>
                <c:pt idx="126">
                  <c:v>1813.4700000000266</c:v>
                </c:pt>
                <c:pt idx="127">
                  <c:v>1813.4700000000266</c:v>
                </c:pt>
                <c:pt idx="128">
                  <c:v>1813.4700000000266</c:v>
                </c:pt>
                <c:pt idx="129">
                  <c:v>1813.4700000000266</c:v>
                </c:pt>
                <c:pt idx="130">
                  <c:v>1813.4700000000266</c:v>
                </c:pt>
                <c:pt idx="131">
                  <c:v>1813.4700000000266</c:v>
                </c:pt>
                <c:pt idx="132">
                  <c:v>1813.4700000000266</c:v>
                </c:pt>
                <c:pt idx="133">
                  <c:v>1829.7700000000266</c:v>
                </c:pt>
                <c:pt idx="134">
                  <c:v>1846.0700000000265</c:v>
                </c:pt>
                <c:pt idx="135">
                  <c:v>1927.5700000000265</c:v>
                </c:pt>
                <c:pt idx="136">
                  <c:v>1943.8700000000265</c:v>
                </c:pt>
                <c:pt idx="137">
                  <c:v>2010.2700000000264</c:v>
                </c:pt>
                <c:pt idx="138">
                  <c:v>1961.3700000000244</c:v>
                </c:pt>
                <c:pt idx="139">
                  <c:v>1993.7700000000245</c:v>
                </c:pt>
                <c:pt idx="140">
                  <c:v>2026.9700000000246</c:v>
                </c:pt>
                <c:pt idx="141">
                  <c:v>2194.1700000000246</c:v>
                </c:pt>
                <c:pt idx="142">
                  <c:v>2243.9700000000248</c:v>
                </c:pt>
                <c:pt idx="143">
                  <c:v>2409.9700000000248</c:v>
                </c:pt>
                <c:pt idx="144">
                  <c:v>2409.9700000000248</c:v>
                </c:pt>
                <c:pt idx="145">
                  <c:v>2409.9700000000248</c:v>
                </c:pt>
                <c:pt idx="146">
                  <c:v>2593.6700000000246</c:v>
                </c:pt>
                <c:pt idx="147">
                  <c:v>2512.1700000000246</c:v>
                </c:pt>
                <c:pt idx="148">
                  <c:v>2512.1700000000246</c:v>
                </c:pt>
                <c:pt idx="149">
                  <c:v>2528.4700000000248</c:v>
                </c:pt>
                <c:pt idx="150">
                  <c:v>2611.9700000000248</c:v>
                </c:pt>
                <c:pt idx="151">
                  <c:v>2563.0700000000247</c:v>
                </c:pt>
                <c:pt idx="152">
                  <c:v>2579.6700000000246</c:v>
                </c:pt>
                <c:pt idx="153">
                  <c:v>2612.8700000000244</c:v>
                </c:pt>
                <c:pt idx="154">
                  <c:v>2612.8700000000244</c:v>
                </c:pt>
                <c:pt idx="155">
                  <c:v>2612.8700000000244</c:v>
                </c:pt>
                <c:pt idx="156">
                  <c:v>2612.8700000000244</c:v>
                </c:pt>
                <c:pt idx="157">
                  <c:v>2646.0700000000243</c:v>
                </c:pt>
                <c:pt idx="158">
                  <c:v>2646.0700000000243</c:v>
                </c:pt>
                <c:pt idx="159">
                  <c:v>2679.2700000000241</c:v>
                </c:pt>
                <c:pt idx="160">
                  <c:v>2779.4700000000239</c:v>
                </c:pt>
                <c:pt idx="161">
                  <c:v>2779.4700000000239</c:v>
                </c:pt>
                <c:pt idx="162">
                  <c:v>2779.4700000000239</c:v>
                </c:pt>
                <c:pt idx="163">
                  <c:v>2779.4700000000239</c:v>
                </c:pt>
                <c:pt idx="164">
                  <c:v>2779.4700000000239</c:v>
                </c:pt>
                <c:pt idx="165">
                  <c:v>2829.5700000000238</c:v>
                </c:pt>
                <c:pt idx="166">
                  <c:v>2846.2700000000236</c:v>
                </c:pt>
                <c:pt idx="167">
                  <c:v>2762.7700000000282</c:v>
                </c:pt>
                <c:pt idx="168">
                  <c:v>2762.7700000000282</c:v>
                </c:pt>
                <c:pt idx="169">
                  <c:v>2829.5700000000284</c:v>
                </c:pt>
                <c:pt idx="170">
                  <c:v>2862.9700000000284</c:v>
                </c:pt>
                <c:pt idx="171">
                  <c:v>2862.9700000000284</c:v>
                </c:pt>
                <c:pt idx="172">
                  <c:v>2862.9700000000284</c:v>
                </c:pt>
                <c:pt idx="173">
                  <c:v>2779.470000000033</c:v>
                </c:pt>
                <c:pt idx="174">
                  <c:v>2779.470000000033</c:v>
                </c:pt>
                <c:pt idx="175">
                  <c:v>2762.7700000000245</c:v>
                </c:pt>
                <c:pt idx="176">
                  <c:v>2762.7700000000245</c:v>
                </c:pt>
                <c:pt idx="177">
                  <c:v>2762.7700000000245</c:v>
                </c:pt>
                <c:pt idx="178">
                  <c:v>2762.7700000000245</c:v>
                </c:pt>
                <c:pt idx="179">
                  <c:v>2762.7700000000245</c:v>
                </c:pt>
                <c:pt idx="180">
                  <c:v>2829.5700000000247</c:v>
                </c:pt>
                <c:pt idx="181">
                  <c:v>2879.6700000000246</c:v>
                </c:pt>
                <c:pt idx="182">
                  <c:v>2812.470000000038</c:v>
                </c:pt>
                <c:pt idx="183">
                  <c:v>2795.6700000000292</c:v>
                </c:pt>
                <c:pt idx="184">
                  <c:v>2879.1700000000292</c:v>
                </c:pt>
                <c:pt idx="185">
                  <c:v>2778.9700000000253</c:v>
                </c:pt>
                <c:pt idx="186">
                  <c:v>2778.9700000000253</c:v>
                </c:pt>
                <c:pt idx="187">
                  <c:v>2778.9700000000253</c:v>
                </c:pt>
                <c:pt idx="188">
                  <c:v>2778.9700000000253</c:v>
                </c:pt>
                <c:pt idx="189">
                  <c:v>2929.2700000000309</c:v>
                </c:pt>
                <c:pt idx="190">
                  <c:v>2945.9700000000307</c:v>
                </c:pt>
                <c:pt idx="191">
                  <c:v>3029.4700000000307</c:v>
                </c:pt>
                <c:pt idx="192">
                  <c:v>3129.6700000000305</c:v>
                </c:pt>
                <c:pt idx="193">
                  <c:v>3112.9700000000307</c:v>
                </c:pt>
                <c:pt idx="194">
                  <c:v>3163.0700000000306</c:v>
                </c:pt>
                <c:pt idx="195">
                  <c:v>3249.3700000000504</c:v>
                </c:pt>
                <c:pt idx="196">
                  <c:v>3249.3700000000504</c:v>
                </c:pt>
                <c:pt idx="197">
                  <c:v>3249.3700000000504</c:v>
                </c:pt>
                <c:pt idx="198">
                  <c:v>3282.7700000000505</c:v>
                </c:pt>
                <c:pt idx="199">
                  <c:v>3332.8700000000504</c:v>
                </c:pt>
                <c:pt idx="200">
                  <c:v>3349.5700000000502</c:v>
                </c:pt>
                <c:pt idx="201">
                  <c:v>3483.1700000000501</c:v>
                </c:pt>
                <c:pt idx="202">
                  <c:v>3583.3700000000499</c:v>
                </c:pt>
                <c:pt idx="203">
                  <c:v>3633.4700000000498</c:v>
                </c:pt>
                <c:pt idx="204">
                  <c:v>3633.4700000000498</c:v>
                </c:pt>
                <c:pt idx="205">
                  <c:v>3633.4700000000498</c:v>
                </c:pt>
                <c:pt idx="206">
                  <c:v>3633.4700000000498</c:v>
                </c:pt>
                <c:pt idx="207">
                  <c:v>3633.4700000000498</c:v>
                </c:pt>
                <c:pt idx="208">
                  <c:v>3701.4700000000362</c:v>
                </c:pt>
                <c:pt idx="209">
                  <c:v>3684.2100000000028</c:v>
                </c:pt>
                <c:pt idx="210">
                  <c:v>3684.2100000000028</c:v>
                </c:pt>
                <c:pt idx="211">
                  <c:v>3684.2100000000028</c:v>
                </c:pt>
                <c:pt idx="212">
                  <c:v>3820.2100000000028</c:v>
                </c:pt>
                <c:pt idx="213">
                  <c:v>3854.2100000000028</c:v>
                </c:pt>
                <c:pt idx="214">
                  <c:v>3854.2100000000028</c:v>
                </c:pt>
                <c:pt idx="215">
                  <c:v>3854.2100000000028</c:v>
                </c:pt>
                <c:pt idx="216">
                  <c:v>3888.2100000000028</c:v>
                </c:pt>
                <c:pt idx="217">
                  <c:v>4023.4100000000026</c:v>
                </c:pt>
                <c:pt idx="218">
                  <c:v>4023.4100000000026</c:v>
                </c:pt>
                <c:pt idx="219">
                  <c:v>4040.3099999999872</c:v>
                </c:pt>
                <c:pt idx="220">
                  <c:v>4040.3099999999872</c:v>
                </c:pt>
                <c:pt idx="221">
                  <c:v>4040.3099999999872</c:v>
                </c:pt>
                <c:pt idx="222">
                  <c:v>4040.3099999999872</c:v>
                </c:pt>
                <c:pt idx="223">
                  <c:v>4040.3099999999872</c:v>
                </c:pt>
                <c:pt idx="224">
                  <c:v>4142.9099999999871</c:v>
                </c:pt>
                <c:pt idx="225">
                  <c:v>4142.9099999999871</c:v>
                </c:pt>
                <c:pt idx="226">
                  <c:v>4142.9099999999871</c:v>
                </c:pt>
                <c:pt idx="227">
                  <c:v>4142.9099999999871</c:v>
                </c:pt>
                <c:pt idx="228">
                  <c:v>3989.9099999999871</c:v>
                </c:pt>
                <c:pt idx="229">
                  <c:v>4074.9099999999871</c:v>
                </c:pt>
                <c:pt idx="230">
                  <c:v>3972.9099999999871</c:v>
                </c:pt>
                <c:pt idx="231">
                  <c:v>3972.9099999999871</c:v>
                </c:pt>
                <c:pt idx="232">
                  <c:v>4057.9099999999871</c:v>
                </c:pt>
                <c:pt idx="233">
                  <c:v>4057.9099999999871</c:v>
                </c:pt>
                <c:pt idx="234">
                  <c:v>4057.9099999999871</c:v>
                </c:pt>
                <c:pt idx="235">
                  <c:v>4057.9099999999871</c:v>
                </c:pt>
                <c:pt idx="236">
                  <c:v>4074.9099999999958</c:v>
                </c:pt>
                <c:pt idx="237">
                  <c:v>4108.9099999999889</c:v>
                </c:pt>
                <c:pt idx="238">
                  <c:v>4091.9099999999803</c:v>
                </c:pt>
                <c:pt idx="239">
                  <c:v>4091.9099999999803</c:v>
                </c:pt>
                <c:pt idx="240">
                  <c:v>4091.9099999999803</c:v>
                </c:pt>
                <c:pt idx="241">
                  <c:v>4158.3099999999804</c:v>
                </c:pt>
                <c:pt idx="242">
                  <c:v>4158.3099999999804</c:v>
                </c:pt>
                <c:pt idx="243">
                  <c:v>4158.3099999999804</c:v>
                </c:pt>
                <c:pt idx="244">
                  <c:v>4191.5099999999802</c:v>
                </c:pt>
                <c:pt idx="245">
                  <c:v>4474.5599999999804</c:v>
                </c:pt>
                <c:pt idx="246">
                  <c:v>4474.5599999999804</c:v>
                </c:pt>
                <c:pt idx="247">
                  <c:v>4391.5599999999849</c:v>
                </c:pt>
                <c:pt idx="248">
                  <c:v>4341.7599999999848</c:v>
                </c:pt>
                <c:pt idx="249">
                  <c:v>4258.7599999999848</c:v>
                </c:pt>
                <c:pt idx="250">
                  <c:v>4258.7599999999848</c:v>
                </c:pt>
                <c:pt idx="251">
                  <c:v>4141.8599999999851</c:v>
                </c:pt>
                <c:pt idx="252">
                  <c:v>4175.0599999999849</c:v>
                </c:pt>
                <c:pt idx="253">
                  <c:v>4191.6599999999853</c:v>
                </c:pt>
                <c:pt idx="254">
                  <c:v>4208.2599999999857</c:v>
                </c:pt>
                <c:pt idx="255">
                  <c:v>4208.2599999999857</c:v>
                </c:pt>
                <c:pt idx="256">
                  <c:v>4208.2599999999857</c:v>
                </c:pt>
                <c:pt idx="257">
                  <c:v>4141.859999999986</c:v>
                </c:pt>
                <c:pt idx="258">
                  <c:v>4141.859999999986</c:v>
                </c:pt>
                <c:pt idx="259">
                  <c:v>4191.6599999999862</c:v>
                </c:pt>
                <c:pt idx="260">
                  <c:v>4191.6599999999862</c:v>
                </c:pt>
                <c:pt idx="261">
                  <c:v>4191.6599999999862</c:v>
                </c:pt>
                <c:pt idx="262">
                  <c:v>3892.859999999986</c:v>
                </c:pt>
                <c:pt idx="263">
                  <c:v>3693.6599999999862</c:v>
                </c:pt>
                <c:pt idx="264">
                  <c:v>3776.6599999999862</c:v>
                </c:pt>
                <c:pt idx="265">
                  <c:v>3776.6599999999862</c:v>
                </c:pt>
                <c:pt idx="266">
                  <c:v>3776.6599999999862</c:v>
                </c:pt>
                <c:pt idx="267">
                  <c:v>3776.6599999999862</c:v>
                </c:pt>
                <c:pt idx="268">
                  <c:v>3776.6599999999862</c:v>
                </c:pt>
                <c:pt idx="269">
                  <c:v>3826.4599999999864</c:v>
                </c:pt>
                <c:pt idx="270">
                  <c:v>3826.4599999999864</c:v>
                </c:pt>
                <c:pt idx="271">
                  <c:v>3826.4599999999864</c:v>
                </c:pt>
                <c:pt idx="272">
                  <c:v>3826.4599999999864</c:v>
                </c:pt>
                <c:pt idx="273">
                  <c:v>3876.2599999999866</c:v>
                </c:pt>
                <c:pt idx="274">
                  <c:v>3975.8599999999865</c:v>
                </c:pt>
                <c:pt idx="275">
                  <c:v>3975.8599999999865</c:v>
                </c:pt>
                <c:pt idx="276">
                  <c:v>3975.8599999999865</c:v>
                </c:pt>
                <c:pt idx="277">
                  <c:v>3975.8599999999865</c:v>
                </c:pt>
                <c:pt idx="278">
                  <c:v>3975.8599999999865</c:v>
                </c:pt>
                <c:pt idx="279">
                  <c:v>4058.8599999999819</c:v>
                </c:pt>
                <c:pt idx="280">
                  <c:v>4141.8599999999769</c:v>
                </c:pt>
                <c:pt idx="281">
                  <c:v>4191.6599999999771</c:v>
                </c:pt>
                <c:pt idx="282">
                  <c:v>4191.6599999999771</c:v>
                </c:pt>
                <c:pt idx="283">
                  <c:v>4208.1599999999771</c:v>
                </c:pt>
                <c:pt idx="284">
                  <c:v>4241.1599999999771</c:v>
                </c:pt>
                <c:pt idx="285">
                  <c:v>4241.1599999999771</c:v>
                </c:pt>
                <c:pt idx="286">
                  <c:v>4289.4599999999773</c:v>
                </c:pt>
                <c:pt idx="287">
                  <c:v>4371.4599999999773</c:v>
                </c:pt>
                <c:pt idx="288">
                  <c:v>4453.9599999999773</c:v>
                </c:pt>
                <c:pt idx="289">
                  <c:v>4453.9599999999773</c:v>
                </c:pt>
                <c:pt idx="290">
                  <c:v>4519.5599999999777</c:v>
                </c:pt>
                <c:pt idx="291">
                  <c:v>4519.5599999999777</c:v>
                </c:pt>
                <c:pt idx="292">
                  <c:v>4519.5599999999777</c:v>
                </c:pt>
                <c:pt idx="293">
                  <c:v>4552.3599999999942</c:v>
                </c:pt>
                <c:pt idx="294">
                  <c:v>4552.3599999999942</c:v>
                </c:pt>
                <c:pt idx="295">
                  <c:v>4617.9599999999937</c:v>
                </c:pt>
                <c:pt idx="296">
                  <c:v>4634.3599999999933</c:v>
                </c:pt>
                <c:pt idx="297">
                  <c:v>4634.3599999999933</c:v>
                </c:pt>
                <c:pt idx="298">
                  <c:v>4634.3599999999933</c:v>
                </c:pt>
                <c:pt idx="299">
                  <c:v>4634.3599999999933</c:v>
                </c:pt>
                <c:pt idx="300">
                  <c:v>4634.3599999999933</c:v>
                </c:pt>
                <c:pt idx="301">
                  <c:v>4634.3599999999933</c:v>
                </c:pt>
                <c:pt idx="302">
                  <c:v>4634.3599999999933</c:v>
                </c:pt>
                <c:pt idx="303">
                  <c:v>4569.5600000000059</c:v>
                </c:pt>
                <c:pt idx="304">
                  <c:v>4569.5600000000059</c:v>
                </c:pt>
                <c:pt idx="305">
                  <c:v>4342.7600000000057</c:v>
                </c:pt>
                <c:pt idx="306">
                  <c:v>4342.7600000000057</c:v>
                </c:pt>
                <c:pt idx="307">
                  <c:v>4342.7600000000057</c:v>
                </c:pt>
                <c:pt idx="308">
                  <c:v>4342.7600000000057</c:v>
                </c:pt>
                <c:pt idx="309">
                  <c:v>4342.7600000000057</c:v>
                </c:pt>
                <c:pt idx="310">
                  <c:v>4342.7600000000057</c:v>
                </c:pt>
                <c:pt idx="311">
                  <c:v>4472.360000000026</c:v>
                </c:pt>
                <c:pt idx="312">
                  <c:v>4472.360000000026</c:v>
                </c:pt>
                <c:pt idx="313">
                  <c:v>4021.5600000000259</c:v>
                </c:pt>
                <c:pt idx="314">
                  <c:v>4021.5600000000259</c:v>
                </c:pt>
                <c:pt idx="315">
                  <c:v>3570.7600000000257</c:v>
                </c:pt>
                <c:pt idx="316">
                  <c:v>3570.7600000000257</c:v>
                </c:pt>
                <c:pt idx="317">
                  <c:v>3570.7600000000257</c:v>
                </c:pt>
                <c:pt idx="318">
                  <c:v>3586.8600000000256</c:v>
                </c:pt>
                <c:pt idx="319">
                  <c:v>3602.9600000000255</c:v>
                </c:pt>
                <c:pt idx="320">
                  <c:v>3763.9600000000255</c:v>
                </c:pt>
                <c:pt idx="321">
                  <c:v>3812.2600000000257</c:v>
                </c:pt>
                <c:pt idx="322">
                  <c:v>3812.2600000000257</c:v>
                </c:pt>
                <c:pt idx="323">
                  <c:v>3893.2600000000257</c:v>
                </c:pt>
                <c:pt idx="324">
                  <c:v>3893.2600000000257</c:v>
                </c:pt>
                <c:pt idx="325">
                  <c:v>3893.2600000000257</c:v>
                </c:pt>
                <c:pt idx="326">
                  <c:v>2597.2600000000257</c:v>
                </c:pt>
                <c:pt idx="327">
                  <c:v>2597.2600000000257</c:v>
                </c:pt>
                <c:pt idx="328">
                  <c:v>2597.2600000000257</c:v>
                </c:pt>
                <c:pt idx="329">
                  <c:v>2597.2600000000257</c:v>
                </c:pt>
                <c:pt idx="330">
                  <c:v>2597.2600000000257</c:v>
                </c:pt>
                <c:pt idx="331">
                  <c:v>2597.2600000000257</c:v>
                </c:pt>
                <c:pt idx="332">
                  <c:v>2597.2600000000257</c:v>
                </c:pt>
                <c:pt idx="333">
                  <c:v>2723.6600000000258</c:v>
                </c:pt>
                <c:pt idx="334">
                  <c:v>2850.0600000000259</c:v>
                </c:pt>
                <c:pt idx="335">
                  <c:v>2850.0600000000259</c:v>
                </c:pt>
                <c:pt idx="336">
                  <c:v>2850.0600000000259</c:v>
                </c:pt>
                <c:pt idx="337">
                  <c:v>2850.0600000000259</c:v>
                </c:pt>
                <c:pt idx="338">
                  <c:v>2850.0600000000259</c:v>
                </c:pt>
                <c:pt idx="339">
                  <c:v>2297.0600000000259</c:v>
                </c:pt>
                <c:pt idx="340">
                  <c:v>2297.0600000000259</c:v>
                </c:pt>
                <c:pt idx="341">
                  <c:v>2423.460000000026</c:v>
                </c:pt>
                <c:pt idx="342">
                  <c:v>1791.460000000026</c:v>
                </c:pt>
                <c:pt idx="343">
                  <c:v>1791.460000000026</c:v>
                </c:pt>
                <c:pt idx="344">
                  <c:v>1744.060000000024</c:v>
                </c:pt>
                <c:pt idx="345">
                  <c:v>1501.060000000024</c:v>
                </c:pt>
                <c:pt idx="346">
                  <c:v>1177.060000000024</c:v>
                </c:pt>
                <c:pt idx="347">
                  <c:v>1177.060000000024</c:v>
                </c:pt>
                <c:pt idx="348">
                  <c:v>1177.060000000024</c:v>
                </c:pt>
                <c:pt idx="349">
                  <c:v>1177.060000000024</c:v>
                </c:pt>
                <c:pt idx="350">
                  <c:v>1177.060000000024</c:v>
                </c:pt>
                <c:pt idx="351">
                  <c:v>1177.060000000024</c:v>
                </c:pt>
                <c:pt idx="352">
                  <c:v>1193.060000000024</c:v>
                </c:pt>
                <c:pt idx="353">
                  <c:v>1193.060000000024</c:v>
                </c:pt>
                <c:pt idx="354">
                  <c:v>1209.060000000024</c:v>
                </c:pt>
                <c:pt idx="355">
                  <c:v>1209.060000000024</c:v>
                </c:pt>
                <c:pt idx="356">
                  <c:v>1209.060000000024</c:v>
                </c:pt>
                <c:pt idx="357">
                  <c:v>1209.060000000024</c:v>
                </c:pt>
                <c:pt idx="358">
                  <c:v>1209.060000000024</c:v>
                </c:pt>
                <c:pt idx="359">
                  <c:v>1209.060000000024</c:v>
                </c:pt>
                <c:pt idx="360">
                  <c:v>1049.0600000000331</c:v>
                </c:pt>
                <c:pt idx="361">
                  <c:v>1049.0600000000331</c:v>
                </c:pt>
                <c:pt idx="362">
                  <c:v>905.06000000002769</c:v>
                </c:pt>
                <c:pt idx="363">
                  <c:v>953.05999999998403</c:v>
                </c:pt>
                <c:pt idx="364">
                  <c:v>953.05999999998403</c:v>
                </c:pt>
                <c:pt idx="365">
                  <c:v>953.05999999998403</c:v>
                </c:pt>
                <c:pt idx="366">
                  <c:v>953.05999999998403</c:v>
                </c:pt>
                <c:pt idx="367">
                  <c:v>953.05999999998403</c:v>
                </c:pt>
                <c:pt idx="368">
                  <c:v>969.05999999998403</c:v>
                </c:pt>
                <c:pt idx="369">
                  <c:v>921.05999999998403</c:v>
                </c:pt>
                <c:pt idx="370">
                  <c:v>889.05999999998403</c:v>
                </c:pt>
                <c:pt idx="371">
                  <c:v>905.05999999998403</c:v>
                </c:pt>
                <c:pt idx="372">
                  <c:v>921.05999999998403</c:v>
                </c:pt>
                <c:pt idx="373">
                  <c:v>937.05999999998403</c:v>
                </c:pt>
                <c:pt idx="374">
                  <c:v>937.05999999998403</c:v>
                </c:pt>
                <c:pt idx="375">
                  <c:v>937.05999999998403</c:v>
                </c:pt>
                <c:pt idx="376">
                  <c:v>937.05999999998403</c:v>
                </c:pt>
                <c:pt idx="377">
                  <c:v>1081.9599999999841</c:v>
                </c:pt>
                <c:pt idx="378">
                  <c:v>1194.6599999999842</c:v>
                </c:pt>
                <c:pt idx="379">
                  <c:v>1194.6599999999842</c:v>
                </c:pt>
                <c:pt idx="380">
                  <c:v>1226.8599999999842</c:v>
                </c:pt>
                <c:pt idx="381">
                  <c:v>1226.8599999999842</c:v>
                </c:pt>
                <c:pt idx="382">
                  <c:v>1242.9599999999841</c:v>
                </c:pt>
                <c:pt idx="383">
                  <c:v>1259.059999999984</c:v>
                </c:pt>
                <c:pt idx="384">
                  <c:v>1275.1599999999839</c:v>
                </c:pt>
                <c:pt idx="385">
                  <c:v>1291.2599999999838</c:v>
                </c:pt>
                <c:pt idx="386">
                  <c:v>1307.3599999999838</c:v>
                </c:pt>
                <c:pt idx="387">
                  <c:v>1323.4599999999837</c:v>
                </c:pt>
                <c:pt idx="388">
                  <c:v>1323.4599999999837</c:v>
                </c:pt>
                <c:pt idx="389">
                  <c:v>1323.4599999999837</c:v>
                </c:pt>
                <c:pt idx="390">
                  <c:v>1339.5599999999836</c:v>
                </c:pt>
                <c:pt idx="391">
                  <c:v>1339.5599999999836</c:v>
                </c:pt>
                <c:pt idx="392">
                  <c:v>1339.5599999999836</c:v>
                </c:pt>
                <c:pt idx="393">
                  <c:v>1339.5599999999836</c:v>
                </c:pt>
                <c:pt idx="394">
                  <c:v>1339.5599999999836</c:v>
                </c:pt>
                <c:pt idx="395">
                  <c:v>1355.5599999999836</c:v>
                </c:pt>
                <c:pt idx="396">
                  <c:v>1371.5599999999836</c:v>
                </c:pt>
                <c:pt idx="397">
                  <c:v>1371.5599999999836</c:v>
                </c:pt>
                <c:pt idx="398">
                  <c:v>1371.5599999999836</c:v>
                </c:pt>
                <c:pt idx="399">
                  <c:v>1451.5599999999836</c:v>
                </c:pt>
                <c:pt idx="400">
                  <c:v>1531.5599999999836</c:v>
                </c:pt>
                <c:pt idx="401">
                  <c:v>1611.5599999999836</c:v>
                </c:pt>
                <c:pt idx="402">
                  <c:v>1611.5599999999836</c:v>
                </c:pt>
                <c:pt idx="403">
                  <c:v>1771.5599999999838</c:v>
                </c:pt>
                <c:pt idx="404">
                  <c:v>1851.5599999999838</c:v>
                </c:pt>
                <c:pt idx="405">
                  <c:v>1931.5599999999838</c:v>
                </c:pt>
                <c:pt idx="406">
                  <c:v>1931.5599999999838</c:v>
                </c:pt>
                <c:pt idx="407">
                  <c:v>1931.5599999999838</c:v>
                </c:pt>
                <c:pt idx="408">
                  <c:v>2011.5599999999838</c:v>
                </c:pt>
                <c:pt idx="409">
                  <c:v>2171.559999999984</c:v>
                </c:pt>
                <c:pt idx="410">
                  <c:v>2251.559999999984</c:v>
                </c:pt>
                <c:pt idx="411">
                  <c:v>2411.559999999984</c:v>
                </c:pt>
                <c:pt idx="412">
                  <c:v>2491.559999999984</c:v>
                </c:pt>
                <c:pt idx="413">
                  <c:v>2571.559999999984</c:v>
                </c:pt>
                <c:pt idx="414">
                  <c:v>2731.559999999984</c:v>
                </c:pt>
                <c:pt idx="415">
                  <c:v>2731.559999999984</c:v>
                </c:pt>
                <c:pt idx="416">
                  <c:v>2811.559999999984</c:v>
                </c:pt>
                <c:pt idx="417">
                  <c:v>3131.559999999984</c:v>
                </c:pt>
                <c:pt idx="418">
                  <c:v>3147.559999999984</c:v>
                </c:pt>
                <c:pt idx="419">
                  <c:v>3147.559999999984</c:v>
                </c:pt>
                <c:pt idx="420">
                  <c:v>3147.559999999984</c:v>
                </c:pt>
                <c:pt idx="421">
                  <c:v>3147.559999999984</c:v>
                </c:pt>
                <c:pt idx="422">
                  <c:v>3115.5599999999677</c:v>
                </c:pt>
                <c:pt idx="423">
                  <c:v>3195.5599999999677</c:v>
                </c:pt>
                <c:pt idx="424">
                  <c:v>3195.5599999999677</c:v>
                </c:pt>
                <c:pt idx="425">
                  <c:v>3355.5599999999677</c:v>
                </c:pt>
                <c:pt idx="426">
                  <c:v>3435.5599999999677</c:v>
                </c:pt>
                <c:pt idx="427">
                  <c:v>3387.5599999999658</c:v>
                </c:pt>
                <c:pt idx="428">
                  <c:v>3323.5599999999786</c:v>
                </c:pt>
                <c:pt idx="429">
                  <c:v>3323.5599999999786</c:v>
                </c:pt>
                <c:pt idx="430">
                  <c:v>3323.5599999999786</c:v>
                </c:pt>
                <c:pt idx="431">
                  <c:v>3211.5599999999786</c:v>
                </c:pt>
                <c:pt idx="432">
                  <c:v>3291.5599999999786</c:v>
                </c:pt>
                <c:pt idx="433">
                  <c:v>3291.5599999999786</c:v>
                </c:pt>
                <c:pt idx="434">
                  <c:v>3291.5599999999786</c:v>
                </c:pt>
                <c:pt idx="435">
                  <c:v>3451.5599999999786</c:v>
                </c:pt>
                <c:pt idx="436">
                  <c:v>3451.5599999999786</c:v>
                </c:pt>
                <c:pt idx="437">
                  <c:v>3451.5599999999786</c:v>
                </c:pt>
                <c:pt idx="438">
                  <c:v>3451.5599999999786</c:v>
                </c:pt>
                <c:pt idx="439">
                  <c:v>3451.5599999999786</c:v>
                </c:pt>
                <c:pt idx="440">
                  <c:v>3451.5599999999786</c:v>
                </c:pt>
                <c:pt idx="441">
                  <c:v>3451.5599999999786</c:v>
                </c:pt>
                <c:pt idx="442">
                  <c:v>3451.5599999999786</c:v>
                </c:pt>
                <c:pt idx="443">
                  <c:v>3451.5599999999786</c:v>
                </c:pt>
                <c:pt idx="444">
                  <c:v>3419.1599999999785</c:v>
                </c:pt>
                <c:pt idx="445">
                  <c:v>3289.5599999999786</c:v>
                </c:pt>
                <c:pt idx="446">
                  <c:v>3305.7599999999784</c:v>
                </c:pt>
                <c:pt idx="447">
                  <c:v>3305.7599999999784</c:v>
                </c:pt>
                <c:pt idx="448">
                  <c:v>3305.7599999999784</c:v>
                </c:pt>
                <c:pt idx="449">
                  <c:v>3305.7599999999784</c:v>
                </c:pt>
                <c:pt idx="450">
                  <c:v>3305.7599999999784</c:v>
                </c:pt>
                <c:pt idx="451">
                  <c:v>3419.1599999999785</c:v>
                </c:pt>
                <c:pt idx="452">
                  <c:v>3419.1599999999785</c:v>
                </c:pt>
                <c:pt idx="453">
                  <c:v>3419.1599999999785</c:v>
                </c:pt>
                <c:pt idx="454">
                  <c:v>3581.1599999999785</c:v>
                </c:pt>
                <c:pt idx="455">
                  <c:v>3694.5599999999786</c:v>
                </c:pt>
                <c:pt idx="456">
                  <c:v>3694.5599999999786</c:v>
                </c:pt>
                <c:pt idx="457">
                  <c:v>3856.5599999999786</c:v>
                </c:pt>
                <c:pt idx="458">
                  <c:v>3969.9599999999787</c:v>
                </c:pt>
                <c:pt idx="459">
                  <c:v>3969.9599999999787</c:v>
                </c:pt>
                <c:pt idx="460">
                  <c:v>3969.9599999999787</c:v>
                </c:pt>
                <c:pt idx="461">
                  <c:v>3937.5599999999622</c:v>
                </c:pt>
                <c:pt idx="462">
                  <c:v>3937.5599999999622</c:v>
                </c:pt>
                <c:pt idx="463">
                  <c:v>3937.5599999999622</c:v>
                </c:pt>
                <c:pt idx="464">
                  <c:v>4001.5599999999622</c:v>
                </c:pt>
                <c:pt idx="465">
                  <c:v>4049.5599999999622</c:v>
                </c:pt>
                <c:pt idx="466">
                  <c:v>4161.5599999999622</c:v>
                </c:pt>
                <c:pt idx="467">
                  <c:v>4356.1999999999625</c:v>
                </c:pt>
                <c:pt idx="468">
                  <c:v>4500.1999999999625</c:v>
                </c:pt>
                <c:pt idx="469">
                  <c:v>4500.1999999999625</c:v>
                </c:pt>
                <c:pt idx="470">
                  <c:v>4500.1999999999625</c:v>
                </c:pt>
                <c:pt idx="471">
                  <c:v>4500.1999999999625</c:v>
                </c:pt>
                <c:pt idx="472">
                  <c:v>4724.1999999999625</c:v>
                </c:pt>
                <c:pt idx="473">
                  <c:v>4788.1999999999625</c:v>
                </c:pt>
                <c:pt idx="474">
                  <c:v>4756.1999999999625</c:v>
                </c:pt>
                <c:pt idx="475">
                  <c:v>4756.1999999999625</c:v>
                </c:pt>
                <c:pt idx="476">
                  <c:v>4756.1999999999625</c:v>
                </c:pt>
                <c:pt idx="477">
                  <c:v>4756.1999999999625</c:v>
                </c:pt>
                <c:pt idx="478">
                  <c:v>4756.1999999999625</c:v>
                </c:pt>
                <c:pt idx="479">
                  <c:v>4756.1999999999625</c:v>
                </c:pt>
                <c:pt idx="480">
                  <c:v>4756.1999999999625</c:v>
                </c:pt>
                <c:pt idx="481">
                  <c:v>4756.1999999999625</c:v>
                </c:pt>
                <c:pt idx="482">
                  <c:v>4756.1999999999625</c:v>
                </c:pt>
                <c:pt idx="483">
                  <c:v>4756.1999999999625</c:v>
                </c:pt>
                <c:pt idx="484">
                  <c:v>4756.1999999999625</c:v>
                </c:pt>
                <c:pt idx="485">
                  <c:v>4836.1999999999625</c:v>
                </c:pt>
                <c:pt idx="486">
                  <c:v>5060.1999999999625</c:v>
                </c:pt>
                <c:pt idx="487">
                  <c:v>5060.1999999999625</c:v>
                </c:pt>
                <c:pt idx="488">
                  <c:v>5060.1999999999625</c:v>
                </c:pt>
                <c:pt idx="489">
                  <c:v>5060.1999999999625</c:v>
                </c:pt>
                <c:pt idx="490">
                  <c:v>5188.1999999999625</c:v>
                </c:pt>
                <c:pt idx="491">
                  <c:v>5268.1999999999625</c:v>
                </c:pt>
                <c:pt idx="492">
                  <c:v>5268.1999999999625</c:v>
                </c:pt>
                <c:pt idx="493">
                  <c:v>5268.1999999999625</c:v>
                </c:pt>
                <c:pt idx="494">
                  <c:v>5268.1999999999625</c:v>
                </c:pt>
                <c:pt idx="495">
                  <c:v>5268.1999999999625</c:v>
                </c:pt>
                <c:pt idx="496">
                  <c:v>5196.1999999999625</c:v>
                </c:pt>
                <c:pt idx="497">
                  <c:v>4972.1999999999625</c:v>
                </c:pt>
                <c:pt idx="498">
                  <c:v>4972.1999999999625</c:v>
                </c:pt>
                <c:pt idx="499">
                  <c:v>4972.1999999999625</c:v>
                </c:pt>
                <c:pt idx="500">
                  <c:v>4972.1999999999625</c:v>
                </c:pt>
                <c:pt idx="501">
                  <c:v>4972.1999999999625</c:v>
                </c:pt>
                <c:pt idx="502">
                  <c:v>5260.1999999999625</c:v>
                </c:pt>
                <c:pt idx="503">
                  <c:v>5260.1999999999625</c:v>
                </c:pt>
                <c:pt idx="504">
                  <c:v>5516.1999999999625</c:v>
                </c:pt>
                <c:pt idx="505">
                  <c:v>5452.1999999999625</c:v>
                </c:pt>
                <c:pt idx="506">
                  <c:v>5452.1999999999625</c:v>
                </c:pt>
                <c:pt idx="507">
                  <c:v>5452.1999999999625</c:v>
                </c:pt>
                <c:pt idx="508">
                  <c:v>5452.1999999999625</c:v>
                </c:pt>
                <c:pt idx="509">
                  <c:v>5340.1999999999625</c:v>
                </c:pt>
                <c:pt idx="510">
                  <c:v>5340.1999999999625</c:v>
                </c:pt>
                <c:pt idx="511">
                  <c:v>5340.1999999999625</c:v>
                </c:pt>
                <c:pt idx="512">
                  <c:v>4636.1999999999625</c:v>
                </c:pt>
                <c:pt idx="513">
                  <c:v>4876.1999999999625</c:v>
                </c:pt>
                <c:pt idx="514">
                  <c:v>4204.1999999999625</c:v>
                </c:pt>
                <c:pt idx="515">
                  <c:v>3532.199999999963</c:v>
                </c:pt>
                <c:pt idx="516">
                  <c:v>3532.199999999963</c:v>
                </c:pt>
                <c:pt idx="517">
                  <c:v>3532.199999999963</c:v>
                </c:pt>
                <c:pt idx="518">
                  <c:v>3532.199999999963</c:v>
                </c:pt>
                <c:pt idx="519">
                  <c:v>3532.199999999963</c:v>
                </c:pt>
                <c:pt idx="520">
                  <c:v>3532.199999999963</c:v>
                </c:pt>
                <c:pt idx="521">
                  <c:v>3484.199999999963</c:v>
                </c:pt>
                <c:pt idx="522">
                  <c:v>3484.199999999963</c:v>
                </c:pt>
                <c:pt idx="523">
                  <c:v>3484.199999999963</c:v>
                </c:pt>
                <c:pt idx="524">
                  <c:v>3484.199999999963</c:v>
                </c:pt>
                <c:pt idx="525">
                  <c:v>3484.199999999963</c:v>
                </c:pt>
                <c:pt idx="526">
                  <c:v>4124.1999999999634</c:v>
                </c:pt>
                <c:pt idx="527">
                  <c:v>4540.1999999999634</c:v>
                </c:pt>
                <c:pt idx="528">
                  <c:v>4540.1999999999634</c:v>
                </c:pt>
                <c:pt idx="529">
                  <c:v>4540.1999999999634</c:v>
                </c:pt>
                <c:pt idx="530">
                  <c:v>4540.1999999999634</c:v>
                </c:pt>
                <c:pt idx="531">
                  <c:v>4540.1999999999634</c:v>
                </c:pt>
                <c:pt idx="532">
                  <c:v>4540.1999999999634</c:v>
                </c:pt>
                <c:pt idx="533">
                  <c:v>4540.1999999999634</c:v>
                </c:pt>
                <c:pt idx="534">
                  <c:v>4540.1999999999634</c:v>
                </c:pt>
                <c:pt idx="535">
                  <c:v>4540.1999999999634</c:v>
                </c:pt>
                <c:pt idx="536">
                  <c:v>4540.1999999999634</c:v>
                </c:pt>
                <c:pt idx="537">
                  <c:v>4668.1999999999634</c:v>
                </c:pt>
                <c:pt idx="538">
                  <c:v>4361.9599999999627</c:v>
                </c:pt>
                <c:pt idx="539">
                  <c:v>4377.9599999999627</c:v>
                </c:pt>
                <c:pt idx="540">
                  <c:v>4617.9599999999627</c:v>
                </c:pt>
                <c:pt idx="541">
                  <c:v>4617.9599999999627</c:v>
                </c:pt>
                <c:pt idx="542">
                  <c:v>4617.9599999999627</c:v>
                </c:pt>
                <c:pt idx="543">
                  <c:v>4617.9599999999627</c:v>
                </c:pt>
                <c:pt idx="544">
                  <c:v>4729.9599999999627</c:v>
                </c:pt>
                <c:pt idx="545">
                  <c:v>4809.9599999999627</c:v>
                </c:pt>
                <c:pt idx="546">
                  <c:v>4809.9599999999627</c:v>
                </c:pt>
                <c:pt idx="547">
                  <c:v>4809.9599999999627</c:v>
                </c:pt>
                <c:pt idx="548">
                  <c:v>4329.9599999999627</c:v>
                </c:pt>
                <c:pt idx="549">
                  <c:v>3529.9599999999627</c:v>
                </c:pt>
                <c:pt idx="550">
                  <c:v>3801.9599999999627</c:v>
                </c:pt>
                <c:pt idx="551">
                  <c:v>3801.9599999999627</c:v>
                </c:pt>
                <c:pt idx="552">
                  <c:v>3801.9599999999627</c:v>
                </c:pt>
                <c:pt idx="553">
                  <c:v>3416.5519999999628</c:v>
                </c:pt>
                <c:pt idx="554">
                  <c:v>4104.5519999999633</c:v>
                </c:pt>
                <c:pt idx="555">
                  <c:v>4264.5519999999633</c:v>
                </c:pt>
                <c:pt idx="556">
                  <c:v>4264.5519999999633</c:v>
                </c:pt>
                <c:pt idx="557">
                  <c:v>4264.5519999999633</c:v>
                </c:pt>
                <c:pt idx="558">
                  <c:v>4264.5519999999633</c:v>
                </c:pt>
                <c:pt idx="559">
                  <c:v>4776.5519999999633</c:v>
                </c:pt>
                <c:pt idx="560">
                  <c:v>5096.5519999999633</c:v>
                </c:pt>
                <c:pt idx="561">
                  <c:v>5096.5519999999633</c:v>
                </c:pt>
                <c:pt idx="562">
                  <c:v>5336.5519999999633</c:v>
                </c:pt>
                <c:pt idx="563">
                  <c:v>5448.5519999999633</c:v>
                </c:pt>
                <c:pt idx="564">
                  <c:v>5608.5519999999633</c:v>
                </c:pt>
                <c:pt idx="565">
                  <c:v>5608.5519999999633</c:v>
                </c:pt>
                <c:pt idx="566">
                  <c:v>5608.5519999999633</c:v>
                </c:pt>
                <c:pt idx="567">
                  <c:v>5608.5519999999633</c:v>
                </c:pt>
                <c:pt idx="568">
                  <c:v>5608.5519999999633</c:v>
                </c:pt>
                <c:pt idx="569">
                  <c:v>5608.5519999999633</c:v>
                </c:pt>
                <c:pt idx="570">
                  <c:v>5720.5519999999633</c:v>
                </c:pt>
                <c:pt idx="571">
                  <c:v>5768.5519999999633</c:v>
                </c:pt>
                <c:pt idx="572">
                  <c:v>5768.5519999999633</c:v>
                </c:pt>
                <c:pt idx="573">
                  <c:v>5768.5519999999633</c:v>
                </c:pt>
                <c:pt idx="574">
                  <c:v>5768.5519999999633</c:v>
                </c:pt>
                <c:pt idx="575">
                  <c:v>5792.5519999999633</c:v>
                </c:pt>
                <c:pt idx="576">
                  <c:v>5792.5519999999633</c:v>
                </c:pt>
                <c:pt idx="577">
                  <c:v>5792.5519999999633</c:v>
                </c:pt>
                <c:pt idx="578">
                  <c:v>5792.5519999999633</c:v>
                </c:pt>
                <c:pt idx="579">
                  <c:v>5792.5519999999633</c:v>
                </c:pt>
                <c:pt idx="580">
                  <c:v>5792.5519999999633</c:v>
                </c:pt>
                <c:pt idx="581">
                  <c:v>5792.5519999999633</c:v>
                </c:pt>
                <c:pt idx="582">
                  <c:v>5792.5519999999633</c:v>
                </c:pt>
                <c:pt idx="583">
                  <c:v>5792.5519999999633</c:v>
                </c:pt>
                <c:pt idx="584">
                  <c:v>5680.5519999999633</c:v>
                </c:pt>
                <c:pt idx="585">
                  <c:v>5680.5519999999633</c:v>
                </c:pt>
                <c:pt idx="586">
                  <c:v>5680.5519999999633</c:v>
                </c:pt>
                <c:pt idx="587">
                  <c:v>5680.5519999999633</c:v>
                </c:pt>
                <c:pt idx="588">
                  <c:v>5680.5519999999633</c:v>
                </c:pt>
                <c:pt idx="589">
                  <c:v>5840.5519999999633</c:v>
                </c:pt>
                <c:pt idx="590">
                  <c:v>5936.5519999999633</c:v>
                </c:pt>
                <c:pt idx="591">
                  <c:v>6789.8853333332963</c:v>
                </c:pt>
                <c:pt idx="592">
                  <c:v>6789.8853333332963</c:v>
                </c:pt>
                <c:pt idx="593">
                  <c:v>6789.8853333332963</c:v>
                </c:pt>
                <c:pt idx="594">
                  <c:v>6789.8853333332963</c:v>
                </c:pt>
                <c:pt idx="595">
                  <c:v>6629.8853333332963</c:v>
                </c:pt>
                <c:pt idx="596">
                  <c:v>6709.8853333332963</c:v>
                </c:pt>
                <c:pt idx="597">
                  <c:v>6733.8853333332963</c:v>
                </c:pt>
                <c:pt idx="598">
                  <c:v>6893.8853333332963</c:v>
                </c:pt>
                <c:pt idx="599">
                  <c:v>6893.8853333332963</c:v>
                </c:pt>
                <c:pt idx="600">
                  <c:v>6893.8853333332963</c:v>
                </c:pt>
                <c:pt idx="601">
                  <c:v>6893.8853333332963</c:v>
                </c:pt>
                <c:pt idx="602">
                  <c:v>6893.8853333332963</c:v>
                </c:pt>
                <c:pt idx="603">
                  <c:v>6893.8853333332963</c:v>
                </c:pt>
                <c:pt idx="604">
                  <c:v>7213.8853333332963</c:v>
                </c:pt>
                <c:pt idx="605">
                  <c:v>7453.8853333332963</c:v>
                </c:pt>
                <c:pt idx="606">
                  <c:v>7453.8853333332963</c:v>
                </c:pt>
                <c:pt idx="607">
                  <c:v>7501.8853333332963</c:v>
                </c:pt>
                <c:pt idx="608">
                  <c:v>7501.8853333332963</c:v>
                </c:pt>
                <c:pt idx="609">
                  <c:v>7501.8853333332963</c:v>
                </c:pt>
                <c:pt idx="610">
                  <c:v>7549.8853333332963</c:v>
                </c:pt>
                <c:pt idx="611">
                  <c:v>7549.8853333332963</c:v>
                </c:pt>
                <c:pt idx="612">
                  <c:v>7549.8853333332963</c:v>
                </c:pt>
                <c:pt idx="613">
                  <c:v>7549.8853333332963</c:v>
                </c:pt>
                <c:pt idx="614">
                  <c:v>7629.8853333332963</c:v>
                </c:pt>
                <c:pt idx="615">
                  <c:v>7629.8853333332963</c:v>
                </c:pt>
                <c:pt idx="616">
                  <c:v>7629.8853333332963</c:v>
                </c:pt>
                <c:pt idx="617">
                  <c:v>7629.8853333332963</c:v>
                </c:pt>
                <c:pt idx="618">
                  <c:v>7709.8853333332963</c:v>
                </c:pt>
                <c:pt idx="619">
                  <c:v>7709.8853333332963</c:v>
                </c:pt>
                <c:pt idx="620">
                  <c:v>7709.8853333332963</c:v>
                </c:pt>
                <c:pt idx="621">
                  <c:v>7709.8853333332963</c:v>
                </c:pt>
                <c:pt idx="622">
                  <c:v>7629.8853333332963</c:v>
                </c:pt>
                <c:pt idx="623">
                  <c:v>7709.8853333332963</c:v>
                </c:pt>
                <c:pt idx="624">
                  <c:v>7709.8853333332963</c:v>
                </c:pt>
                <c:pt idx="625">
                  <c:v>7685.8853333332963</c:v>
                </c:pt>
                <c:pt idx="626">
                  <c:v>7765.8853333332963</c:v>
                </c:pt>
                <c:pt idx="627">
                  <c:v>7765.8853333332963</c:v>
                </c:pt>
                <c:pt idx="628">
                  <c:v>7765.8853333332963</c:v>
                </c:pt>
                <c:pt idx="629">
                  <c:v>7765.8853333332963</c:v>
                </c:pt>
                <c:pt idx="630">
                  <c:v>7925.8853333332963</c:v>
                </c:pt>
                <c:pt idx="631">
                  <c:v>7925.8853333332963</c:v>
                </c:pt>
                <c:pt idx="632">
                  <c:v>7845.8853333333118</c:v>
                </c:pt>
                <c:pt idx="633">
                  <c:v>7845.8853333333118</c:v>
                </c:pt>
                <c:pt idx="634">
                  <c:v>8005.8853333333118</c:v>
                </c:pt>
                <c:pt idx="635">
                  <c:v>8149.8853333333118</c:v>
                </c:pt>
                <c:pt idx="636">
                  <c:v>8149.8853333333118</c:v>
                </c:pt>
                <c:pt idx="637">
                  <c:v>8149.8853333333118</c:v>
                </c:pt>
                <c:pt idx="638">
                  <c:v>8149.8853333333118</c:v>
                </c:pt>
                <c:pt idx="639">
                  <c:v>8149.8853333333118</c:v>
                </c:pt>
                <c:pt idx="640">
                  <c:v>8213.8853333333118</c:v>
                </c:pt>
                <c:pt idx="642">
                  <c:v>8213.8853333333118</c:v>
                </c:pt>
                <c:pt idx="643">
                  <c:v>8213.8853333333118</c:v>
                </c:pt>
                <c:pt idx="644">
                  <c:v>8213.8853333333118</c:v>
                </c:pt>
                <c:pt idx="645">
                  <c:v>8213.8853333333118</c:v>
                </c:pt>
                <c:pt idx="646">
                  <c:v>8213.8853333333118</c:v>
                </c:pt>
                <c:pt idx="647">
                  <c:v>8213.8853333333118</c:v>
                </c:pt>
                <c:pt idx="648">
                  <c:v>8213.8853333333118</c:v>
                </c:pt>
                <c:pt idx="649">
                  <c:v>8213.8853333333118</c:v>
                </c:pt>
                <c:pt idx="650">
                  <c:v>8213.8853333333118</c:v>
                </c:pt>
                <c:pt idx="651">
                  <c:v>8213.8853333333118</c:v>
                </c:pt>
                <c:pt idx="652">
                  <c:v>8213.8853333333118</c:v>
                </c:pt>
                <c:pt idx="653">
                  <c:v>8213.8853333333118</c:v>
                </c:pt>
                <c:pt idx="654">
                  <c:v>8213.8853333333118</c:v>
                </c:pt>
                <c:pt idx="655">
                  <c:v>8213.8853333333118</c:v>
                </c:pt>
                <c:pt idx="656">
                  <c:v>8261.8853333333118</c:v>
                </c:pt>
                <c:pt idx="657">
                  <c:v>8261.8853333333118</c:v>
                </c:pt>
                <c:pt idx="658">
                  <c:v>8181.8853333333118</c:v>
                </c:pt>
                <c:pt idx="659">
                  <c:v>8181.8853333333118</c:v>
                </c:pt>
                <c:pt idx="660">
                  <c:v>8181.8853333333118</c:v>
                </c:pt>
                <c:pt idx="661">
                  <c:v>8181.8853333333118</c:v>
                </c:pt>
                <c:pt idx="662">
                  <c:v>8101.8853333333118</c:v>
                </c:pt>
                <c:pt idx="663">
                  <c:v>8101.8853333333118</c:v>
                </c:pt>
                <c:pt idx="664">
                  <c:v>8101.8853333333118</c:v>
                </c:pt>
                <c:pt idx="665">
                  <c:v>8101.8853333333118</c:v>
                </c:pt>
                <c:pt idx="666">
                  <c:v>8101.8853333333118</c:v>
                </c:pt>
                <c:pt idx="667">
                  <c:v>8101.8853333333118</c:v>
                </c:pt>
                <c:pt idx="668">
                  <c:v>8117.8853333333118</c:v>
                </c:pt>
                <c:pt idx="669">
                  <c:v>8117.8853333333118</c:v>
                </c:pt>
                <c:pt idx="670">
                  <c:v>8277.8853333333118</c:v>
                </c:pt>
                <c:pt idx="671">
                  <c:v>8321.0353333333223</c:v>
                </c:pt>
                <c:pt idx="672">
                  <c:v>8401.0353333333223</c:v>
                </c:pt>
                <c:pt idx="673">
                  <c:v>8329.0353333333223</c:v>
                </c:pt>
                <c:pt idx="674">
                  <c:v>8354.9253333333236</c:v>
                </c:pt>
                <c:pt idx="675">
                  <c:v>8354.9253333333236</c:v>
                </c:pt>
                <c:pt idx="676">
                  <c:v>8354.9253333333236</c:v>
                </c:pt>
                <c:pt idx="677">
                  <c:v>8354.9253333333236</c:v>
                </c:pt>
                <c:pt idx="678">
                  <c:v>8354.9253333333236</c:v>
                </c:pt>
                <c:pt idx="679">
                  <c:v>8354.9253333333236</c:v>
                </c:pt>
                <c:pt idx="680">
                  <c:v>8354.9253333333236</c:v>
                </c:pt>
                <c:pt idx="681">
                  <c:v>8314.9253333333309</c:v>
                </c:pt>
                <c:pt idx="682">
                  <c:v>7962.9253333333309</c:v>
                </c:pt>
                <c:pt idx="683">
                  <c:v>7930.9253333333309</c:v>
                </c:pt>
                <c:pt idx="684">
                  <c:v>7930.9253333333309</c:v>
                </c:pt>
                <c:pt idx="685">
                  <c:v>7978.9253333333309</c:v>
                </c:pt>
                <c:pt idx="686">
                  <c:v>7978.9253333333309</c:v>
                </c:pt>
                <c:pt idx="687">
                  <c:v>7978.9253333333309</c:v>
                </c:pt>
                <c:pt idx="688">
                  <c:v>7978.9253333333309</c:v>
                </c:pt>
                <c:pt idx="689">
                  <c:v>7978.9253333333309</c:v>
                </c:pt>
                <c:pt idx="690">
                  <c:v>7978.9253333333309</c:v>
                </c:pt>
                <c:pt idx="691">
                  <c:v>7978.9253333333309</c:v>
                </c:pt>
                <c:pt idx="692">
                  <c:v>7978.9253333333309</c:v>
                </c:pt>
                <c:pt idx="693">
                  <c:v>8298.9253333333309</c:v>
                </c:pt>
                <c:pt idx="694">
                  <c:v>8298.9253333333309</c:v>
                </c:pt>
                <c:pt idx="695">
                  <c:v>8618.9253333333309</c:v>
                </c:pt>
                <c:pt idx="696">
                  <c:v>9962.9253333333309</c:v>
                </c:pt>
                <c:pt idx="697">
                  <c:v>10634.925333333331</c:v>
                </c:pt>
                <c:pt idx="698">
                  <c:v>11066.925333333331</c:v>
                </c:pt>
                <c:pt idx="699">
                  <c:v>11066.925333333331</c:v>
                </c:pt>
                <c:pt idx="700">
                  <c:v>11066.925333333331</c:v>
                </c:pt>
                <c:pt idx="701">
                  <c:v>11066.925333333331</c:v>
                </c:pt>
                <c:pt idx="702">
                  <c:v>11066.925333333331</c:v>
                </c:pt>
                <c:pt idx="703">
                  <c:v>11066.925333333331</c:v>
                </c:pt>
                <c:pt idx="704">
                  <c:v>11066.925333333331</c:v>
                </c:pt>
                <c:pt idx="705">
                  <c:v>11098.925333333331</c:v>
                </c:pt>
                <c:pt idx="706">
                  <c:v>11098.925333333331</c:v>
                </c:pt>
                <c:pt idx="707">
                  <c:v>11098.925333333331</c:v>
                </c:pt>
                <c:pt idx="708">
                  <c:v>11098.925333333331</c:v>
                </c:pt>
                <c:pt idx="709">
                  <c:v>11098.925333333331</c:v>
                </c:pt>
                <c:pt idx="710">
                  <c:v>11098.925333333331</c:v>
                </c:pt>
                <c:pt idx="711">
                  <c:v>11098.925333333331</c:v>
                </c:pt>
                <c:pt idx="712">
                  <c:v>11098.925333333331</c:v>
                </c:pt>
                <c:pt idx="713">
                  <c:v>11290.925333333331</c:v>
                </c:pt>
                <c:pt idx="714">
                  <c:v>11290.925333333331</c:v>
                </c:pt>
                <c:pt idx="715">
                  <c:v>11290.925333333331</c:v>
                </c:pt>
                <c:pt idx="716">
                  <c:v>11610.925333333331</c:v>
                </c:pt>
                <c:pt idx="717">
                  <c:v>11610.925333333331</c:v>
                </c:pt>
                <c:pt idx="718">
                  <c:v>11610.925333333331</c:v>
                </c:pt>
                <c:pt idx="719">
                  <c:v>11610.925333333331</c:v>
                </c:pt>
                <c:pt idx="720">
                  <c:v>11610.925333333331</c:v>
                </c:pt>
                <c:pt idx="721">
                  <c:v>11770.925333333331</c:v>
                </c:pt>
                <c:pt idx="722">
                  <c:v>11770.925333333331</c:v>
                </c:pt>
                <c:pt idx="723">
                  <c:v>11770.925333333331</c:v>
                </c:pt>
                <c:pt idx="724">
                  <c:v>11850.925333333331</c:v>
                </c:pt>
                <c:pt idx="725">
                  <c:v>11850.925333333331</c:v>
                </c:pt>
                <c:pt idx="726">
                  <c:v>12170.925333333331</c:v>
                </c:pt>
                <c:pt idx="727">
                  <c:v>12250.925333333331</c:v>
                </c:pt>
                <c:pt idx="728">
                  <c:v>12250.925333333331</c:v>
                </c:pt>
                <c:pt idx="729">
                  <c:v>12276.815333333405</c:v>
                </c:pt>
                <c:pt idx="730">
                  <c:v>12276.815333333405</c:v>
                </c:pt>
                <c:pt idx="731">
                  <c:v>12276.815333333405</c:v>
                </c:pt>
                <c:pt idx="732">
                  <c:v>13156.815333333405</c:v>
                </c:pt>
                <c:pt idx="733">
                  <c:v>13252.815333333405</c:v>
                </c:pt>
                <c:pt idx="734">
                  <c:v>13348.815333333405</c:v>
                </c:pt>
                <c:pt idx="735">
                  <c:v>13396.815333333405</c:v>
                </c:pt>
                <c:pt idx="736">
                  <c:v>13668.815333333405</c:v>
                </c:pt>
                <c:pt idx="737">
                  <c:v>13668.815333333405</c:v>
                </c:pt>
                <c:pt idx="738">
                  <c:v>13668.815333333405</c:v>
                </c:pt>
                <c:pt idx="739">
                  <c:v>13668.815333333405</c:v>
                </c:pt>
                <c:pt idx="740">
                  <c:v>13668.815333333405</c:v>
                </c:pt>
                <c:pt idx="741">
                  <c:v>13697.582000000046</c:v>
                </c:pt>
                <c:pt idx="742">
                  <c:v>13697.582000000046</c:v>
                </c:pt>
                <c:pt idx="743">
                  <c:v>13889.582000000046</c:v>
                </c:pt>
                <c:pt idx="744">
                  <c:v>13949.582000000048</c:v>
                </c:pt>
                <c:pt idx="745">
                  <c:v>14141.582000000048</c:v>
                </c:pt>
                <c:pt idx="746">
                  <c:v>14221.582000000048</c:v>
                </c:pt>
                <c:pt idx="747">
                  <c:v>14221.582000000048</c:v>
                </c:pt>
                <c:pt idx="748">
                  <c:v>14221.582000000048</c:v>
                </c:pt>
                <c:pt idx="749">
                  <c:v>14173.582000000048</c:v>
                </c:pt>
                <c:pt idx="750">
                  <c:v>14173.582000000048</c:v>
                </c:pt>
                <c:pt idx="751">
                  <c:v>14173.582000000048</c:v>
                </c:pt>
                <c:pt idx="752">
                  <c:v>14173.582000000048</c:v>
                </c:pt>
                <c:pt idx="753">
                  <c:v>14173.582000000048</c:v>
                </c:pt>
                <c:pt idx="754">
                  <c:v>14173.582000000048</c:v>
                </c:pt>
                <c:pt idx="755">
                  <c:v>14173.582000000048</c:v>
                </c:pt>
                <c:pt idx="756">
                  <c:v>14173.582000000048</c:v>
                </c:pt>
                <c:pt idx="757">
                  <c:v>14173.582000000048</c:v>
                </c:pt>
                <c:pt idx="758">
                  <c:v>14173.582000000048</c:v>
                </c:pt>
                <c:pt idx="759">
                  <c:v>14173.582000000048</c:v>
                </c:pt>
                <c:pt idx="760">
                  <c:v>14173.582000000048</c:v>
                </c:pt>
                <c:pt idx="761">
                  <c:v>14157.582000000048</c:v>
                </c:pt>
                <c:pt idx="762">
                  <c:v>14157.582000000048</c:v>
                </c:pt>
                <c:pt idx="763">
                  <c:v>14157.582000000048</c:v>
                </c:pt>
                <c:pt idx="764">
                  <c:v>14157.582000000048</c:v>
                </c:pt>
                <c:pt idx="765">
                  <c:v>14157.582000000048</c:v>
                </c:pt>
                <c:pt idx="766">
                  <c:v>14205.582000000049</c:v>
                </c:pt>
                <c:pt idx="767">
                  <c:v>14205.582000000049</c:v>
                </c:pt>
                <c:pt idx="768">
                  <c:v>14205.582000000049</c:v>
                </c:pt>
                <c:pt idx="769">
                  <c:v>14205.582000000049</c:v>
                </c:pt>
                <c:pt idx="770">
                  <c:v>14205.582000000049</c:v>
                </c:pt>
                <c:pt idx="771">
                  <c:v>14205.582000000049</c:v>
                </c:pt>
                <c:pt idx="772">
                  <c:v>14205.582000000049</c:v>
                </c:pt>
                <c:pt idx="773">
                  <c:v>14205.582000000049</c:v>
                </c:pt>
                <c:pt idx="774">
                  <c:v>14205.582000000049</c:v>
                </c:pt>
                <c:pt idx="775">
                  <c:v>14205.582000000049</c:v>
                </c:pt>
                <c:pt idx="776">
                  <c:v>14205.582000000049</c:v>
                </c:pt>
                <c:pt idx="777">
                  <c:v>14205.582000000049</c:v>
                </c:pt>
                <c:pt idx="778">
                  <c:v>14253.582000000051</c:v>
                </c:pt>
                <c:pt idx="779">
                  <c:v>14253.582000000051</c:v>
                </c:pt>
                <c:pt idx="780">
                  <c:v>14285.582000000051</c:v>
                </c:pt>
                <c:pt idx="781">
                  <c:v>14285.582000000051</c:v>
                </c:pt>
                <c:pt idx="782">
                  <c:v>14285.582000000051</c:v>
                </c:pt>
                <c:pt idx="783">
                  <c:v>14285.582000000051</c:v>
                </c:pt>
                <c:pt idx="784">
                  <c:v>14285.582000000051</c:v>
                </c:pt>
                <c:pt idx="785">
                  <c:v>14285.582000000051</c:v>
                </c:pt>
                <c:pt idx="786">
                  <c:v>14573.582000000051</c:v>
                </c:pt>
                <c:pt idx="787">
                  <c:v>14525.582000000051</c:v>
                </c:pt>
                <c:pt idx="788">
                  <c:v>14525.582000000051</c:v>
                </c:pt>
                <c:pt idx="789">
                  <c:v>14525.582000000051</c:v>
                </c:pt>
                <c:pt idx="790">
                  <c:v>14525.582000000051</c:v>
                </c:pt>
                <c:pt idx="791">
                  <c:v>14525.582000000051</c:v>
                </c:pt>
                <c:pt idx="792">
                  <c:v>14525.582000000051</c:v>
                </c:pt>
                <c:pt idx="793">
                  <c:v>14525.582000000051</c:v>
                </c:pt>
                <c:pt idx="794">
                  <c:v>14525.582000000051</c:v>
                </c:pt>
                <c:pt idx="795">
                  <c:v>14525.582000000051</c:v>
                </c:pt>
                <c:pt idx="796">
                  <c:v>14525.582000000051</c:v>
                </c:pt>
                <c:pt idx="797">
                  <c:v>14605.582000000051</c:v>
                </c:pt>
                <c:pt idx="798">
                  <c:v>14605.582000000051</c:v>
                </c:pt>
                <c:pt idx="799">
                  <c:v>14605.582000000051</c:v>
                </c:pt>
                <c:pt idx="800">
                  <c:v>14605.582000000051</c:v>
                </c:pt>
                <c:pt idx="801">
                  <c:v>14605.582000000051</c:v>
                </c:pt>
                <c:pt idx="802">
                  <c:v>14605.582000000051</c:v>
                </c:pt>
                <c:pt idx="803">
                  <c:v>14605.582000000051</c:v>
                </c:pt>
                <c:pt idx="804">
                  <c:v>15453.582000000051</c:v>
                </c:pt>
                <c:pt idx="805">
                  <c:v>16509.582000000053</c:v>
                </c:pt>
                <c:pt idx="806">
                  <c:v>16461.582000000053</c:v>
                </c:pt>
                <c:pt idx="807">
                  <c:v>16461.582000000053</c:v>
                </c:pt>
                <c:pt idx="808">
                  <c:v>16301.582000000053</c:v>
                </c:pt>
                <c:pt idx="809">
                  <c:v>16381.582000000053</c:v>
                </c:pt>
                <c:pt idx="810">
                  <c:v>16653.582000000053</c:v>
                </c:pt>
                <c:pt idx="811">
                  <c:v>16653.582000000053</c:v>
                </c:pt>
                <c:pt idx="812">
                  <c:v>16653.582000000053</c:v>
                </c:pt>
                <c:pt idx="813">
                  <c:v>17581.582000000053</c:v>
                </c:pt>
                <c:pt idx="814">
                  <c:v>17581.582000000053</c:v>
                </c:pt>
                <c:pt idx="815">
                  <c:v>17581.582000000053</c:v>
                </c:pt>
                <c:pt idx="816">
                  <c:v>17581.582000000053</c:v>
                </c:pt>
                <c:pt idx="817">
                  <c:v>17581.582000000053</c:v>
                </c:pt>
                <c:pt idx="818">
                  <c:v>17581.582000000053</c:v>
                </c:pt>
                <c:pt idx="819">
                  <c:v>17581.582000000053</c:v>
                </c:pt>
                <c:pt idx="820">
                  <c:v>17581.582000000053</c:v>
                </c:pt>
                <c:pt idx="821">
                  <c:v>17581.582000000053</c:v>
                </c:pt>
                <c:pt idx="822">
                  <c:v>17581.582000000053</c:v>
                </c:pt>
                <c:pt idx="823">
                  <c:v>17661.582000000053</c:v>
                </c:pt>
                <c:pt idx="824">
                  <c:v>17789.582000000053</c:v>
                </c:pt>
                <c:pt idx="825">
                  <c:v>17789.582000000053</c:v>
                </c:pt>
                <c:pt idx="826">
                  <c:v>17789.582000000053</c:v>
                </c:pt>
                <c:pt idx="827">
                  <c:v>17901.772000000343</c:v>
                </c:pt>
                <c:pt idx="828">
                  <c:v>17901.772000000343</c:v>
                </c:pt>
                <c:pt idx="829">
                  <c:v>17901.772000000343</c:v>
                </c:pt>
                <c:pt idx="830">
                  <c:v>17901.772000000343</c:v>
                </c:pt>
                <c:pt idx="831">
                  <c:v>17901.772000000343</c:v>
                </c:pt>
                <c:pt idx="832">
                  <c:v>17901.772000000343</c:v>
                </c:pt>
                <c:pt idx="833">
                  <c:v>17901.772000000343</c:v>
                </c:pt>
                <c:pt idx="834">
                  <c:v>18093.772000000343</c:v>
                </c:pt>
                <c:pt idx="835">
                  <c:v>18093.772000000343</c:v>
                </c:pt>
                <c:pt idx="836">
                  <c:v>18093.772000000343</c:v>
                </c:pt>
                <c:pt idx="837">
                  <c:v>18093.772000000343</c:v>
                </c:pt>
                <c:pt idx="838">
                  <c:v>18093.772000000343</c:v>
                </c:pt>
                <c:pt idx="839">
                  <c:v>18093.772000000343</c:v>
                </c:pt>
                <c:pt idx="840">
                  <c:v>18093.772000000343</c:v>
                </c:pt>
                <c:pt idx="841">
                  <c:v>18173.772000000343</c:v>
                </c:pt>
                <c:pt idx="842">
                  <c:v>18173.772000000343</c:v>
                </c:pt>
                <c:pt idx="843">
                  <c:v>18173.772000000343</c:v>
                </c:pt>
                <c:pt idx="844">
                  <c:v>18205.772000000343</c:v>
                </c:pt>
                <c:pt idx="845">
                  <c:v>18173.77200000035</c:v>
                </c:pt>
                <c:pt idx="846">
                  <c:v>18197.77200000035</c:v>
                </c:pt>
                <c:pt idx="847">
                  <c:v>18197.77200000035</c:v>
                </c:pt>
                <c:pt idx="848">
                  <c:v>18197.77200000035</c:v>
                </c:pt>
                <c:pt idx="849">
                  <c:v>18197.77200000035</c:v>
                </c:pt>
                <c:pt idx="850">
                  <c:v>18197.77200000035</c:v>
                </c:pt>
                <c:pt idx="851">
                  <c:v>18197.77200000035</c:v>
                </c:pt>
                <c:pt idx="852">
                  <c:v>18197.77200000035</c:v>
                </c:pt>
                <c:pt idx="853">
                  <c:v>18197.77200000035</c:v>
                </c:pt>
                <c:pt idx="854">
                  <c:v>18197.77200000035</c:v>
                </c:pt>
                <c:pt idx="855">
                  <c:v>18197.77200000035</c:v>
                </c:pt>
                <c:pt idx="856">
                  <c:v>18197.77200000035</c:v>
                </c:pt>
                <c:pt idx="857">
                  <c:v>18197.77200000035</c:v>
                </c:pt>
                <c:pt idx="858">
                  <c:v>18197.77200000035</c:v>
                </c:pt>
                <c:pt idx="859">
                  <c:v>18197.77200000035</c:v>
                </c:pt>
                <c:pt idx="860">
                  <c:v>18197.77200000035</c:v>
                </c:pt>
                <c:pt idx="861">
                  <c:v>18197.77200000035</c:v>
                </c:pt>
                <c:pt idx="862">
                  <c:v>18197.77200000035</c:v>
                </c:pt>
                <c:pt idx="863">
                  <c:v>18197.77200000035</c:v>
                </c:pt>
                <c:pt idx="864">
                  <c:v>18101.772000000346</c:v>
                </c:pt>
                <c:pt idx="865">
                  <c:v>18101.772000000346</c:v>
                </c:pt>
                <c:pt idx="866">
                  <c:v>18149.772000000346</c:v>
                </c:pt>
                <c:pt idx="867">
                  <c:v>18149.772000000346</c:v>
                </c:pt>
                <c:pt idx="868">
                  <c:v>18149.772000000346</c:v>
                </c:pt>
                <c:pt idx="869">
                  <c:v>18149.772000000346</c:v>
                </c:pt>
                <c:pt idx="870">
                  <c:v>18149.772000000346</c:v>
                </c:pt>
                <c:pt idx="871">
                  <c:v>18373.772000000346</c:v>
                </c:pt>
                <c:pt idx="872">
                  <c:v>18373.772000000346</c:v>
                </c:pt>
                <c:pt idx="873">
                  <c:v>18373.772000000346</c:v>
                </c:pt>
                <c:pt idx="874">
                  <c:v>18453.772000000346</c:v>
                </c:pt>
                <c:pt idx="875">
                  <c:v>18453.772000000346</c:v>
                </c:pt>
                <c:pt idx="876">
                  <c:v>18533.772000000346</c:v>
                </c:pt>
                <c:pt idx="877">
                  <c:v>18533.772000000346</c:v>
                </c:pt>
                <c:pt idx="878">
                  <c:v>18533.772000000346</c:v>
                </c:pt>
                <c:pt idx="879">
                  <c:v>18533.772000000346</c:v>
                </c:pt>
                <c:pt idx="880">
                  <c:v>18581.772000000346</c:v>
                </c:pt>
                <c:pt idx="881">
                  <c:v>18581.772000000346</c:v>
                </c:pt>
                <c:pt idx="882">
                  <c:v>18805.772000000346</c:v>
                </c:pt>
                <c:pt idx="883">
                  <c:v>18805.772000000346</c:v>
                </c:pt>
                <c:pt idx="884">
                  <c:v>18805.772000000346</c:v>
                </c:pt>
                <c:pt idx="885">
                  <c:v>18805.772000000346</c:v>
                </c:pt>
                <c:pt idx="886">
                  <c:v>18805.772000000346</c:v>
                </c:pt>
                <c:pt idx="887">
                  <c:v>18805.772000000346</c:v>
                </c:pt>
                <c:pt idx="888">
                  <c:v>19029.772000000346</c:v>
                </c:pt>
                <c:pt idx="889">
                  <c:v>19029.772000000346</c:v>
                </c:pt>
                <c:pt idx="890">
                  <c:v>18645.772000000346</c:v>
                </c:pt>
                <c:pt idx="891">
                  <c:v>18110.712000000243</c:v>
                </c:pt>
                <c:pt idx="892">
                  <c:v>18190.712000000243</c:v>
                </c:pt>
                <c:pt idx="893">
                  <c:v>18414.712000000243</c:v>
                </c:pt>
                <c:pt idx="894">
                  <c:v>18414.712000000243</c:v>
                </c:pt>
                <c:pt idx="895">
                  <c:v>18414.712000000243</c:v>
                </c:pt>
                <c:pt idx="896">
                  <c:v>18702.712000000243</c:v>
                </c:pt>
                <c:pt idx="897">
                  <c:v>18702.712000000243</c:v>
                </c:pt>
                <c:pt idx="898">
                  <c:v>18702.712000000243</c:v>
                </c:pt>
                <c:pt idx="899">
                  <c:v>18702.712000000243</c:v>
                </c:pt>
                <c:pt idx="900">
                  <c:v>18702.712000000243</c:v>
                </c:pt>
                <c:pt idx="901">
                  <c:v>18702.712000000243</c:v>
                </c:pt>
                <c:pt idx="902">
                  <c:v>18702.712000000243</c:v>
                </c:pt>
                <c:pt idx="903">
                  <c:v>18782.712000000243</c:v>
                </c:pt>
                <c:pt idx="904">
                  <c:v>18782.712000000243</c:v>
                </c:pt>
                <c:pt idx="905">
                  <c:v>18782.712000000243</c:v>
                </c:pt>
                <c:pt idx="906">
                  <c:v>18782.712000000243</c:v>
                </c:pt>
                <c:pt idx="907">
                  <c:v>18782.712000000243</c:v>
                </c:pt>
                <c:pt idx="908">
                  <c:v>18782.712000000243</c:v>
                </c:pt>
                <c:pt idx="909">
                  <c:v>18782.712000000243</c:v>
                </c:pt>
                <c:pt idx="910">
                  <c:v>18894.712000000243</c:v>
                </c:pt>
                <c:pt idx="911">
                  <c:v>18942.712000000243</c:v>
                </c:pt>
                <c:pt idx="912">
                  <c:v>18846.712000000243</c:v>
                </c:pt>
                <c:pt idx="913">
                  <c:v>18894.712000000243</c:v>
                </c:pt>
                <c:pt idx="914">
                  <c:v>18894.712000000243</c:v>
                </c:pt>
                <c:pt idx="915">
                  <c:v>18894.712000000243</c:v>
                </c:pt>
                <c:pt idx="916">
                  <c:v>18894.712000000243</c:v>
                </c:pt>
                <c:pt idx="917">
                  <c:v>18894.712000000243</c:v>
                </c:pt>
                <c:pt idx="918">
                  <c:v>18894.712000000243</c:v>
                </c:pt>
                <c:pt idx="919">
                  <c:v>18894.712000000243</c:v>
                </c:pt>
                <c:pt idx="920">
                  <c:v>18190.712000000243</c:v>
                </c:pt>
                <c:pt idx="921">
                  <c:v>18190.712000000243</c:v>
                </c:pt>
                <c:pt idx="922">
                  <c:v>18190.712000000243</c:v>
                </c:pt>
                <c:pt idx="923">
                  <c:v>18190.712000000243</c:v>
                </c:pt>
                <c:pt idx="924">
                  <c:v>18478.712000000243</c:v>
                </c:pt>
                <c:pt idx="925">
                  <c:v>18478.712000000243</c:v>
                </c:pt>
                <c:pt idx="926">
                  <c:v>18478.712000000243</c:v>
                </c:pt>
                <c:pt idx="927">
                  <c:v>18478.712000000243</c:v>
                </c:pt>
                <c:pt idx="928">
                  <c:v>18526.712000000243</c:v>
                </c:pt>
                <c:pt idx="929">
                  <c:v>18526.712000000243</c:v>
                </c:pt>
                <c:pt idx="930">
                  <c:v>18526.712000000243</c:v>
                </c:pt>
                <c:pt idx="931">
                  <c:v>18526.712000000243</c:v>
                </c:pt>
                <c:pt idx="932">
                  <c:v>18526.712000000243</c:v>
                </c:pt>
                <c:pt idx="933">
                  <c:v>18526.712000000243</c:v>
                </c:pt>
                <c:pt idx="934">
                  <c:v>18526.712000000243</c:v>
                </c:pt>
                <c:pt idx="935">
                  <c:v>18526.712000000243</c:v>
                </c:pt>
                <c:pt idx="936">
                  <c:v>18526.712000000243</c:v>
                </c:pt>
                <c:pt idx="937">
                  <c:v>18526.712000000243</c:v>
                </c:pt>
                <c:pt idx="938">
                  <c:v>18526.712000000243</c:v>
                </c:pt>
                <c:pt idx="939">
                  <c:v>18606.712000000243</c:v>
                </c:pt>
                <c:pt idx="940">
                  <c:v>18654.712000000243</c:v>
                </c:pt>
                <c:pt idx="941">
                  <c:v>18654.712000000243</c:v>
                </c:pt>
                <c:pt idx="942">
                  <c:v>18974.712000000243</c:v>
                </c:pt>
                <c:pt idx="943">
                  <c:v>18974.712000000243</c:v>
                </c:pt>
                <c:pt idx="944">
                  <c:v>18974.712000000243</c:v>
                </c:pt>
                <c:pt idx="945">
                  <c:v>19294.712000000243</c:v>
                </c:pt>
                <c:pt idx="946">
                  <c:v>19294.712000000243</c:v>
                </c:pt>
                <c:pt idx="947">
                  <c:v>19294.712000000243</c:v>
                </c:pt>
                <c:pt idx="948">
                  <c:v>19294.712000000243</c:v>
                </c:pt>
                <c:pt idx="949">
                  <c:v>19258.712000000174</c:v>
                </c:pt>
                <c:pt idx="950">
                  <c:v>19258.712000000174</c:v>
                </c:pt>
                <c:pt idx="951">
                  <c:v>19962.712000000174</c:v>
                </c:pt>
                <c:pt idx="952">
                  <c:v>19962.712000000174</c:v>
                </c:pt>
                <c:pt idx="953">
                  <c:v>20042.712000000174</c:v>
                </c:pt>
                <c:pt idx="954">
                  <c:v>20330.712000000174</c:v>
                </c:pt>
                <c:pt idx="955">
                  <c:v>20330.712000000174</c:v>
                </c:pt>
                <c:pt idx="956">
                  <c:v>20330.712000000174</c:v>
                </c:pt>
                <c:pt idx="957">
                  <c:v>20354.712000000174</c:v>
                </c:pt>
                <c:pt idx="958">
                  <c:v>20354.712000000174</c:v>
                </c:pt>
                <c:pt idx="959">
                  <c:v>20354.712000000174</c:v>
                </c:pt>
                <c:pt idx="960">
                  <c:v>20354.712000000174</c:v>
                </c:pt>
                <c:pt idx="961">
                  <c:v>20354.712000000174</c:v>
                </c:pt>
                <c:pt idx="962">
                  <c:v>20322.712000000174</c:v>
                </c:pt>
                <c:pt idx="963">
                  <c:v>20322.712000000174</c:v>
                </c:pt>
                <c:pt idx="964">
                  <c:v>20322.712000000174</c:v>
                </c:pt>
                <c:pt idx="965">
                  <c:v>20322.712000000174</c:v>
                </c:pt>
                <c:pt idx="966">
                  <c:v>20466.712000000174</c:v>
                </c:pt>
                <c:pt idx="967">
                  <c:v>20466.712000000174</c:v>
                </c:pt>
                <c:pt idx="968">
                  <c:v>20466.712000000174</c:v>
                </c:pt>
                <c:pt idx="969">
                  <c:v>20466.712000000174</c:v>
                </c:pt>
                <c:pt idx="970">
                  <c:v>20466.712000000174</c:v>
                </c:pt>
                <c:pt idx="971">
                  <c:v>20530.712000000174</c:v>
                </c:pt>
                <c:pt idx="972">
                  <c:v>20530.712000000174</c:v>
                </c:pt>
                <c:pt idx="973">
                  <c:v>20690.712000000174</c:v>
                </c:pt>
                <c:pt idx="974">
                  <c:v>20690.712000000174</c:v>
                </c:pt>
                <c:pt idx="975">
                  <c:v>20882.712000000174</c:v>
                </c:pt>
                <c:pt idx="976">
                  <c:v>21042.712000000174</c:v>
                </c:pt>
                <c:pt idx="977">
                  <c:v>21042.712000000174</c:v>
                </c:pt>
                <c:pt idx="978">
                  <c:v>21042.712000000174</c:v>
                </c:pt>
                <c:pt idx="979">
                  <c:v>21042.712000000174</c:v>
                </c:pt>
                <c:pt idx="980">
                  <c:v>21042.712000000174</c:v>
                </c:pt>
                <c:pt idx="981">
                  <c:v>21042.712000000174</c:v>
                </c:pt>
                <c:pt idx="982">
                  <c:v>21698.712000000174</c:v>
                </c:pt>
                <c:pt idx="983">
                  <c:v>21698.712000000174</c:v>
                </c:pt>
                <c:pt idx="984">
                  <c:v>21698.712000000174</c:v>
                </c:pt>
                <c:pt idx="985">
                  <c:v>21698.712000000174</c:v>
                </c:pt>
                <c:pt idx="986">
                  <c:v>21746.712000000174</c:v>
                </c:pt>
                <c:pt idx="987">
                  <c:v>21746.712000000174</c:v>
                </c:pt>
                <c:pt idx="988">
                  <c:v>21746.712000000174</c:v>
                </c:pt>
                <c:pt idx="989">
                  <c:v>21746.712000000174</c:v>
                </c:pt>
                <c:pt idx="990">
                  <c:v>21746.712000000174</c:v>
                </c:pt>
                <c:pt idx="991">
                  <c:v>21746.712000000174</c:v>
                </c:pt>
                <c:pt idx="992">
                  <c:v>21746.712000000174</c:v>
                </c:pt>
                <c:pt idx="993">
                  <c:v>21746.712000000174</c:v>
                </c:pt>
                <c:pt idx="994">
                  <c:v>21986.712000000174</c:v>
                </c:pt>
                <c:pt idx="995">
                  <c:v>21986.712000000174</c:v>
                </c:pt>
                <c:pt idx="996">
                  <c:v>21986.712000000174</c:v>
                </c:pt>
                <c:pt idx="997">
                  <c:v>22226.712000000174</c:v>
                </c:pt>
                <c:pt idx="998">
                  <c:v>22466.712000000174</c:v>
                </c:pt>
                <c:pt idx="999">
                  <c:v>22466.712000000174</c:v>
                </c:pt>
                <c:pt idx="1000">
                  <c:v>22466.712000000174</c:v>
                </c:pt>
                <c:pt idx="1001">
                  <c:v>22466.712000000174</c:v>
                </c:pt>
                <c:pt idx="1002">
                  <c:v>22466.712000000174</c:v>
                </c:pt>
                <c:pt idx="1003">
                  <c:v>22466.712000000174</c:v>
                </c:pt>
                <c:pt idx="1004">
                  <c:v>22466.712000000174</c:v>
                </c:pt>
                <c:pt idx="1005">
                  <c:v>22498.712000000174</c:v>
                </c:pt>
                <c:pt idx="1006">
                  <c:v>22850.712000000174</c:v>
                </c:pt>
                <c:pt idx="1007">
                  <c:v>22850.712000000174</c:v>
                </c:pt>
                <c:pt idx="1008">
                  <c:v>22850.712000000174</c:v>
                </c:pt>
                <c:pt idx="1009">
                  <c:v>22850.712000000174</c:v>
                </c:pt>
                <c:pt idx="1010">
                  <c:v>22850.712000000174</c:v>
                </c:pt>
                <c:pt idx="1011">
                  <c:v>22850.712000000174</c:v>
                </c:pt>
                <c:pt idx="1012">
                  <c:v>22850.712000000174</c:v>
                </c:pt>
                <c:pt idx="1013">
                  <c:v>22850.712000000174</c:v>
                </c:pt>
                <c:pt idx="1014">
                  <c:v>22850.712000000174</c:v>
                </c:pt>
                <c:pt idx="1015">
                  <c:v>23042.712000000174</c:v>
                </c:pt>
                <c:pt idx="1016">
                  <c:v>23042.712000000174</c:v>
                </c:pt>
                <c:pt idx="1017">
                  <c:v>23042.712000000174</c:v>
                </c:pt>
                <c:pt idx="1018">
                  <c:v>23042.712000000174</c:v>
                </c:pt>
                <c:pt idx="1019">
                  <c:v>23042.712000000174</c:v>
                </c:pt>
                <c:pt idx="1020">
                  <c:v>23122.712000000174</c:v>
                </c:pt>
                <c:pt idx="1021">
                  <c:v>23122.712000000174</c:v>
                </c:pt>
                <c:pt idx="1022">
                  <c:v>23362.712000000174</c:v>
                </c:pt>
                <c:pt idx="1023">
                  <c:v>23362.712000000174</c:v>
                </c:pt>
                <c:pt idx="1024">
                  <c:v>23362.712000000174</c:v>
                </c:pt>
                <c:pt idx="1025">
                  <c:v>23362.712000000174</c:v>
                </c:pt>
                <c:pt idx="1026">
                  <c:v>23362.712000000174</c:v>
                </c:pt>
                <c:pt idx="1027">
                  <c:v>23410.712000000174</c:v>
                </c:pt>
                <c:pt idx="1028">
                  <c:v>23602.712000000174</c:v>
                </c:pt>
                <c:pt idx="1029">
                  <c:v>23762.712000000174</c:v>
                </c:pt>
                <c:pt idx="1030">
                  <c:v>23762.712000000174</c:v>
                </c:pt>
                <c:pt idx="1031">
                  <c:v>23762.712000000174</c:v>
                </c:pt>
                <c:pt idx="1032">
                  <c:v>23762.712000000174</c:v>
                </c:pt>
                <c:pt idx="1033">
                  <c:v>23762.712000000174</c:v>
                </c:pt>
                <c:pt idx="1034">
                  <c:v>23762.712000000174</c:v>
                </c:pt>
                <c:pt idx="1035">
                  <c:v>23762.712000000174</c:v>
                </c:pt>
                <c:pt idx="1036">
                  <c:v>23762.712000000174</c:v>
                </c:pt>
                <c:pt idx="1037">
                  <c:v>23762.712000000174</c:v>
                </c:pt>
                <c:pt idx="1038">
                  <c:v>23762.712000000174</c:v>
                </c:pt>
                <c:pt idx="1039">
                  <c:v>23122.712000000174</c:v>
                </c:pt>
                <c:pt idx="1040">
                  <c:v>23218.712000000174</c:v>
                </c:pt>
                <c:pt idx="1041">
                  <c:v>23378.712000000174</c:v>
                </c:pt>
                <c:pt idx="1042">
                  <c:v>22466.712000000174</c:v>
                </c:pt>
                <c:pt idx="1043">
                  <c:v>22530.712000000174</c:v>
                </c:pt>
                <c:pt idx="1044">
                  <c:v>22530.712000000174</c:v>
                </c:pt>
                <c:pt idx="1045">
                  <c:v>22290.712000000174</c:v>
                </c:pt>
                <c:pt idx="1046">
                  <c:v>22290.712000000174</c:v>
                </c:pt>
                <c:pt idx="1047">
                  <c:v>22316.602000000225</c:v>
                </c:pt>
                <c:pt idx="1048">
                  <c:v>22316.602000000225</c:v>
                </c:pt>
                <c:pt idx="1049">
                  <c:v>22892.602000000225</c:v>
                </c:pt>
                <c:pt idx="1050">
                  <c:v>22892.602000000225</c:v>
                </c:pt>
                <c:pt idx="1051">
                  <c:v>22892.602000000225</c:v>
                </c:pt>
                <c:pt idx="1052">
                  <c:v>22892.602000000225</c:v>
                </c:pt>
                <c:pt idx="1053">
                  <c:v>22892.602000000225</c:v>
                </c:pt>
                <c:pt idx="1054">
                  <c:v>22892.602000000225</c:v>
                </c:pt>
                <c:pt idx="1055">
                  <c:v>22892.602000000225</c:v>
                </c:pt>
                <c:pt idx="1056">
                  <c:v>22892.602000000225</c:v>
                </c:pt>
                <c:pt idx="1057">
                  <c:v>23132.602000000225</c:v>
                </c:pt>
                <c:pt idx="1058">
                  <c:v>23292.602000000225</c:v>
                </c:pt>
                <c:pt idx="1059">
                  <c:v>23292.602000000225</c:v>
                </c:pt>
                <c:pt idx="1060">
                  <c:v>23292.602000000225</c:v>
                </c:pt>
                <c:pt idx="1061">
                  <c:v>23292.602000000225</c:v>
                </c:pt>
                <c:pt idx="1062">
                  <c:v>23292.602000000225</c:v>
                </c:pt>
                <c:pt idx="1063">
                  <c:v>23292.602000000225</c:v>
                </c:pt>
                <c:pt idx="1064">
                  <c:v>23324.602000000225</c:v>
                </c:pt>
                <c:pt idx="1065">
                  <c:v>23396.602000000261</c:v>
                </c:pt>
                <c:pt idx="1066">
                  <c:v>23396.602000000261</c:v>
                </c:pt>
                <c:pt idx="1067">
                  <c:v>23396.602000000261</c:v>
                </c:pt>
                <c:pt idx="1068">
                  <c:v>23396.602000000261</c:v>
                </c:pt>
                <c:pt idx="1069">
                  <c:v>23396.602000000261</c:v>
                </c:pt>
                <c:pt idx="1070">
                  <c:v>23396.602000000261</c:v>
                </c:pt>
                <c:pt idx="1071">
                  <c:v>23396.602000000261</c:v>
                </c:pt>
                <c:pt idx="1072">
                  <c:v>23396.602000000261</c:v>
                </c:pt>
                <c:pt idx="1073">
                  <c:v>23396.602000000261</c:v>
                </c:pt>
              </c:numCache>
            </c:numRef>
          </c:val>
          <c:smooth val="0"/>
          <c:extLst>
            <c:ext xmlns:c16="http://schemas.microsoft.com/office/drawing/2014/chart" uri="{C3380CC4-5D6E-409C-BE32-E72D297353CC}">
              <c16:uniqueId val="{00000000-0CB9-4425-94C6-D76EFA39C12C}"/>
            </c:ext>
          </c:extLst>
        </c:ser>
        <c:ser>
          <c:idx val="1"/>
          <c:order val="1"/>
          <c:tx>
            <c:v>per lot</c:v>
          </c:tx>
          <c:spPr>
            <a:ln w="28575" cap="rnd">
              <a:solidFill>
                <a:schemeClr val="accent2"/>
              </a:solidFill>
              <a:round/>
            </a:ln>
            <a:effectLst/>
          </c:spPr>
          <c:marker>
            <c:symbol val="none"/>
          </c:marker>
          <c:val>
            <c:numRef>
              <c:f>'Journal Live'!$BD$3:$BD$1077</c:f>
              <c:numCache>
                <c:formatCode>0.00</c:formatCode>
                <c:ptCount val="1075"/>
                <c:pt idx="1">
                  <c:v>15.5</c:v>
                </c:pt>
                <c:pt idx="2">
                  <c:v>15.5</c:v>
                </c:pt>
                <c:pt idx="3">
                  <c:v>15.5</c:v>
                </c:pt>
                <c:pt idx="4">
                  <c:v>15.5</c:v>
                </c:pt>
                <c:pt idx="5">
                  <c:v>30.9</c:v>
                </c:pt>
                <c:pt idx="6">
                  <c:v>30.9</c:v>
                </c:pt>
                <c:pt idx="7">
                  <c:v>30.9</c:v>
                </c:pt>
                <c:pt idx="8">
                  <c:v>46.039999999999992</c:v>
                </c:pt>
                <c:pt idx="9">
                  <c:v>46.039999999999992</c:v>
                </c:pt>
                <c:pt idx="10">
                  <c:v>46.039999999999992</c:v>
                </c:pt>
                <c:pt idx="11">
                  <c:v>61.039999999999992</c:v>
                </c:pt>
                <c:pt idx="12">
                  <c:v>61.039999999999992</c:v>
                </c:pt>
                <c:pt idx="13">
                  <c:v>76.169999999999987</c:v>
                </c:pt>
                <c:pt idx="14">
                  <c:v>91.32</c:v>
                </c:pt>
                <c:pt idx="15">
                  <c:v>91.32</c:v>
                </c:pt>
                <c:pt idx="16">
                  <c:v>106.47</c:v>
                </c:pt>
                <c:pt idx="17">
                  <c:v>106.47</c:v>
                </c:pt>
                <c:pt idx="18">
                  <c:v>106.47</c:v>
                </c:pt>
                <c:pt idx="19">
                  <c:v>106.47</c:v>
                </c:pt>
                <c:pt idx="20">
                  <c:v>45.869999999999948</c:v>
                </c:pt>
                <c:pt idx="21">
                  <c:v>15.569999999999922</c:v>
                </c:pt>
                <c:pt idx="22">
                  <c:v>15.569999999999922</c:v>
                </c:pt>
                <c:pt idx="23">
                  <c:v>38.369999999999941</c:v>
                </c:pt>
                <c:pt idx="24">
                  <c:v>38.369999999999941</c:v>
                </c:pt>
                <c:pt idx="25">
                  <c:v>38.369999999999941</c:v>
                </c:pt>
                <c:pt idx="26">
                  <c:v>53.569999999999951</c:v>
                </c:pt>
                <c:pt idx="27">
                  <c:v>53.569999999999951</c:v>
                </c:pt>
                <c:pt idx="28">
                  <c:v>68.869999999999948</c:v>
                </c:pt>
                <c:pt idx="29">
                  <c:v>84.069999999999936</c:v>
                </c:pt>
                <c:pt idx="30">
                  <c:v>84.069999999999936</c:v>
                </c:pt>
                <c:pt idx="31">
                  <c:v>84.069999999999936</c:v>
                </c:pt>
                <c:pt idx="32">
                  <c:v>84.069999999999936</c:v>
                </c:pt>
                <c:pt idx="33">
                  <c:v>84.069999999999936</c:v>
                </c:pt>
                <c:pt idx="34">
                  <c:v>84.069999999999936</c:v>
                </c:pt>
                <c:pt idx="35">
                  <c:v>84.069999999999936</c:v>
                </c:pt>
                <c:pt idx="36">
                  <c:v>84.069999999999936</c:v>
                </c:pt>
                <c:pt idx="37">
                  <c:v>114.66999999999992</c:v>
                </c:pt>
                <c:pt idx="38">
                  <c:v>130.06999999999991</c:v>
                </c:pt>
                <c:pt idx="39">
                  <c:v>145.36999999999989</c:v>
                </c:pt>
                <c:pt idx="40">
                  <c:v>145.36999999999989</c:v>
                </c:pt>
                <c:pt idx="41">
                  <c:v>145.36999999999989</c:v>
                </c:pt>
                <c:pt idx="42">
                  <c:v>145.36999999999989</c:v>
                </c:pt>
                <c:pt idx="43">
                  <c:v>145.36999999999989</c:v>
                </c:pt>
                <c:pt idx="44">
                  <c:v>145.36999999999989</c:v>
                </c:pt>
                <c:pt idx="45">
                  <c:v>160.6699999999999</c:v>
                </c:pt>
                <c:pt idx="46">
                  <c:v>175.96999999999991</c:v>
                </c:pt>
                <c:pt idx="47">
                  <c:v>206.56999999999991</c:v>
                </c:pt>
                <c:pt idx="48">
                  <c:v>206.56999999999991</c:v>
                </c:pt>
                <c:pt idx="49">
                  <c:v>206.56999999999991</c:v>
                </c:pt>
                <c:pt idx="50">
                  <c:v>221.7699999999999</c:v>
                </c:pt>
                <c:pt idx="51">
                  <c:v>236.9199999999999</c:v>
                </c:pt>
                <c:pt idx="52">
                  <c:v>236.9199999999999</c:v>
                </c:pt>
                <c:pt idx="53">
                  <c:v>252.4199999999999</c:v>
                </c:pt>
                <c:pt idx="54">
                  <c:v>205.92000000002017</c:v>
                </c:pt>
                <c:pt idx="55">
                  <c:v>205.92000000002017</c:v>
                </c:pt>
                <c:pt idx="56">
                  <c:v>205.92000000002017</c:v>
                </c:pt>
                <c:pt idx="57">
                  <c:v>221.52000000002019</c:v>
                </c:pt>
                <c:pt idx="58">
                  <c:v>237.02000000002019</c:v>
                </c:pt>
                <c:pt idx="59">
                  <c:v>253.22000000002021</c:v>
                </c:pt>
                <c:pt idx="60">
                  <c:v>190.02000000002019</c:v>
                </c:pt>
                <c:pt idx="61">
                  <c:v>254.4200000000202</c:v>
                </c:pt>
                <c:pt idx="62">
                  <c:v>254.4200000000202</c:v>
                </c:pt>
                <c:pt idx="63">
                  <c:v>254.4200000000202</c:v>
                </c:pt>
                <c:pt idx="64">
                  <c:v>254.4200000000202</c:v>
                </c:pt>
                <c:pt idx="65">
                  <c:v>301.82000000002017</c:v>
                </c:pt>
                <c:pt idx="66">
                  <c:v>270.22000000002021</c:v>
                </c:pt>
                <c:pt idx="67">
                  <c:v>333.4200000000202</c:v>
                </c:pt>
                <c:pt idx="68">
                  <c:v>333.4200000000202</c:v>
                </c:pt>
                <c:pt idx="69">
                  <c:v>349.62000000002018</c:v>
                </c:pt>
                <c:pt idx="70">
                  <c:v>382.02000000002022</c:v>
                </c:pt>
                <c:pt idx="71">
                  <c:v>430.62000000002024</c:v>
                </c:pt>
                <c:pt idx="72">
                  <c:v>430.62000000002024</c:v>
                </c:pt>
                <c:pt idx="73">
                  <c:v>398.22000000002026</c:v>
                </c:pt>
                <c:pt idx="74">
                  <c:v>398.22000000002026</c:v>
                </c:pt>
                <c:pt idx="75">
                  <c:v>398.22000000002026</c:v>
                </c:pt>
                <c:pt idx="76">
                  <c:v>398.22000000002026</c:v>
                </c:pt>
                <c:pt idx="77">
                  <c:v>445.62000000002024</c:v>
                </c:pt>
                <c:pt idx="78">
                  <c:v>445.62000000002024</c:v>
                </c:pt>
                <c:pt idx="79">
                  <c:v>445.62000000002024</c:v>
                </c:pt>
                <c:pt idx="80">
                  <c:v>445.62000000002024</c:v>
                </c:pt>
                <c:pt idx="81">
                  <c:v>445.62000000002024</c:v>
                </c:pt>
                <c:pt idx="82">
                  <c:v>445.62000000002024</c:v>
                </c:pt>
                <c:pt idx="83">
                  <c:v>445.62000000002024</c:v>
                </c:pt>
                <c:pt idx="84">
                  <c:v>461.62000000002024</c:v>
                </c:pt>
                <c:pt idx="85">
                  <c:v>493.22000000002021</c:v>
                </c:pt>
                <c:pt idx="86">
                  <c:v>509.22000000002021</c:v>
                </c:pt>
                <c:pt idx="87">
                  <c:v>509.22000000002021</c:v>
                </c:pt>
                <c:pt idx="88">
                  <c:v>509.22000000002021</c:v>
                </c:pt>
                <c:pt idx="89">
                  <c:v>509.22000000002021</c:v>
                </c:pt>
                <c:pt idx="90">
                  <c:v>525.4200000000202</c:v>
                </c:pt>
                <c:pt idx="91">
                  <c:v>525.4200000000202</c:v>
                </c:pt>
                <c:pt idx="92">
                  <c:v>541.62000000002024</c:v>
                </c:pt>
                <c:pt idx="93">
                  <c:v>557.62000000002024</c:v>
                </c:pt>
                <c:pt idx="94">
                  <c:v>622.42000000002031</c:v>
                </c:pt>
                <c:pt idx="95">
                  <c:v>606.22000000002026</c:v>
                </c:pt>
                <c:pt idx="96">
                  <c:v>606.22000000002026</c:v>
                </c:pt>
                <c:pt idx="97">
                  <c:v>606.22000000002026</c:v>
                </c:pt>
                <c:pt idx="98">
                  <c:v>622.22000000002026</c:v>
                </c:pt>
                <c:pt idx="99">
                  <c:v>710.22000000002026</c:v>
                </c:pt>
                <c:pt idx="100">
                  <c:v>710.22000000002026</c:v>
                </c:pt>
                <c:pt idx="101">
                  <c:v>710.22000000002026</c:v>
                </c:pt>
                <c:pt idx="102">
                  <c:v>742.22000000002026</c:v>
                </c:pt>
                <c:pt idx="103">
                  <c:v>758.52000000002033</c:v>
                </c:pt>
                <c:pt idx="104">
                  <c:v>774.52000000002033</c:v>
                </c:pt>
                <c:pt idx="105">
                  <c:v>774.52000000002033</c:v>
                </c:pt>
                <c:pt idx="106">
                  <c:v>774.52000000002033</c:v>
                </c:pt>
                <c:pt idx="107">
                  <c:v>774.52000000002033</c:v>
                </c:pt>
                <c:pt idx="108">
                  <c:v>790.92000000002031</c:v>
                </c:pt>
                <c:pt idx="109">
                  <c:v>790.92000000002031</c:v>
                </c:pt>
                <c:pt idx="110">
                  <c:v>758.72000000002674</c:v>
                </c:pt>
                <c:pt idx="111">
                  <c:v>758.72000000002674</c:v>
                </c:pt>
                <c:pt idx="112">
                  <c:v>774.82000000002677</c:v>
                </c:pt>
                <c:pt idx="113">
                  <c:v>791.12000000002672</c:v>
                </c:pt>
                <c:pt idx="114">
                  <c:v>791.12000000002672</c:v>
                </c:pt>
                <c:pt idx="115">
                  <c:v>807.12000000002672</c:v>
                </c:pt>
                <c:pt idx="116">
                  <c:v>823.12000000002672</c:v>
                </c:pt>
                <c:pt idx="117">
                  <c:v>823.12000000002672</c:v>
                </c:pt>
                <c:pt idx="118">
                  <c:v>839.12000000002672</c:v>
                </c:pt>
                <c:pt idx="119">
                  <c:v>839.12000000002672</c:v>
                </c:pt>
                <c:pt idx="120">
                  <c:v>871.72000000002674</c:v>
                </c:pt>
                <c:pt idx="121">
                  <c:v>919.72000000002674</c:v>
                </c:pt>
                <c:pt idx="122">
                  <c:v>936.0200000000267</c:v>
                </c:pt>
                <c:pt idx="123">
                  <c:v>936.0200000000267</c:v>
                </c:pt>
                <c:pt idx="124">
                  <c:v>936.0200000000267</c:v>
                </c:pt>
                <c:pt idx="125">
                  <c:v>936.0200000000267</c:v>
                </c:pt>
                <c:pt idx="126">
                  <c:v>936.0200000000267</c:v>
                </c:pt>
                <c:pt idx="127">
                  <c:v>936.0200000000267</c:v>
                </c:pt>
                <c:pt idx="128">
                  <c:v>936.0200000000267</c:v>
                </c:pt>
                <c:pt idx="129">
                  <c:v>936.0200000000267</c:v>
                </c:pt>
                <c:pt idx="130">
                  <c:v>936.0200000000267</c:v>
                </c:pt>
                <c:pt idx="131">
                  <c:v>936.0200000000267</c:v>
                </c:pt>
                <c:pt idx="132">
                  <c:v>936.0200000000267</c:v>
                </c:pt>
                <c:pt idx="133">
                  <c:v>952.32000000002677</c:v>
                </c:pt>
                <c:pt idx="134">
                  <c:v>968.62000000002683</c:v>
                </c:pt>
                <c:pt idx="135">
                  <c:v>1050.1200000000267</c:v>
                </c:pt>
                <c:pt idx="136">
                  <c:v>1066.4200000000267</c:v>
                </c:pt>
                <c:pt idx="137">
                  <c:v>1132.8200000000265</c:v>
                </c:pt>
                <c:pt idx="138">
                  <c:v>1083.9200000000246</c:v>
                </c:pt>
                <c:pt idx="139">
                  <c:v>1100.1200000000247</c:v>
                </c:pt>
                <c:pt idx="140">
                  <c:v>1133.3200000000247</c:v>
                </c:pt>
                <c:pt idx="141">
                  <c:v>1300.5200000000248</c:v>
                </c:pt>
                <c:pt idx="142">
                  <c:v>1325.4200000000249</c:v>
                </c:pt>
                <c:pt idx="143">
                  <c:v>1491.4200000000249</c:v>
                </c:pt>
                <c:pt idx="144">
                  <c:v>1491.4200000000249</c:v>
                </c:pt>
                <c:pt idx="145">
                  <c:v>1491.4200000000249</c:v>
                </c:pt>
                <c:pt idx="146">
                  <c:v>1675.1200000000249</c:v>
                </c:pt>
                <c:pt idx="147">
                  <c:v>1634.3700000000249</c:v>
                </c:pt>
                <c:pt idx="148">
                  <c:v>1634.3700000000249</c:v>
                </c:pt>
                <c:pt idx="149">
                  <c:v>1650.6700000000249</c:v>
                </c:pt>
                <c:pt idx="150">
                  <c:v>1692.4200000000249</c:v>
                </c:pt>
                <c:pt idx="151">
                  <c:v>1676.1200000000249</c:v>
                </c:pt>
                <c:pt idx="152">
                  <c:v>1684.4200000000249</c:v>
                </c:pt>
                <c:pt idx="153">
                  <c:v>1717.6200000000249</c:v>
                </c:pt>
                <c:pt idx="154">
                  <c:v>1717.6200000000249</c:v>
                </c:pt>
                <c:pt idx="155">
                  <c:v>1717.6200000000249</c:v>
                </c:pt>
                <c:pt idx="156">
                  <c:v>1717.6200000000249</c:v>
                </c:pt>
                <c:pt idx="157">
                  <c:v>1750.8200000000249</c:v>
                </c:pt>
                <c:pt idx="158">
                  <c:v>1750.8200000000249</c:v>
                </c:pt>
                <c:pt idx="159">
                  <c:v>1767.4200000000249</c:v>
                </c:pt>
                <c:pt idx="160">
                  <c:v>1817.5200000000248</c:v>
                </c:pt>
                <c:pt idx="161">
                  <c:v>1817.5200000000248</c:v>
                </c:pt>
                <c:pt idx="162">
                  <c:v>1817.5200000000248</c:v>
                </c:pt>
                <c:pt idx="163">
                  <c:v>1817.5200000000248</c:v>
                </c:pt>
                <c:pt idx="164">
                  <c:v>1817.5200000000248</c:v>
                </c:pt>
                <c:pt idx="165">
                  <c:v>1867.6200000000247</c:v>
                </c:pt>
                <c:pt idx="166">
                  <c:v>1884.3200000000247</c:v>
                </c:pt>
                <c:pt idx="167">
                  <c:v>1800.8200000000295</c:v>
                </c:pt>
                <c:pt idx="168">
                  <c:v>1800.8200000000295</c:v>
                </c:pt>
                <c:pt idx="169">
                  <c:v>1834.2200000000296</c:v>
                </c:pt>
                <c:pt idx="170">
                  <c:v>1850.9200000000296</c:v>
                </c:pt>
                <c:pt idx="171">
                  <c:v>1850.9200000000296</c:v>
                </c:pt>
                <c:pt idx="172">
                  <c:v>1850.9200000000296</c:v>
                </c:pt>
                <c:pt idx="173">
                  <c:v>1767.4200000000344</c:v>
                </c:pt>
                <c:pt idx="174">
                  <c:v>1767.4200000000344</c:v>
                </c:pt>
                <c:pt idx="175">
                  <c:v>1750.7200000000259</c:v>
                </c:pt>
                <c:pt idx="176">
                  <c:v>1750.7200000000259</c:v>
                </c:pt>
                <c:pt idx="177">
                  <c:v>1750.7200000000259</c:v>
                </c:pt>
                <c:pt idx="178">
                  <c:v>1750.7200000000259</c:v>
                </c:pt>
                <c:pt idx="179">
                  <c:v>1750.7200000000259</c:v>
                </c:pt>
                <c:pt idx="180">
                  <c:v>1764.0800000000258</c:v>
                </c:pt>
                <c:pt idx="181">
                  <c:v>1776.6050000000259</c:v>
                </c:pt>
                <c:pt idx="182">
                  <c:v>1709.4050000000393</c:v>
                </c:pt>
                <c:pt idx="183">
                  <c:v>1692.6050000000307</c:v>
                </c:pt>
                <c:pt idx="184">
                  <c:v>1709.3050000000308</c:v>
                </c:pt>
                <c:pt idx="185">
                  <c:v>1659.2050000000288</c:v>
                </c:pt>
                <c:pt idx="186">
                  <c:v>1659.2050000000288</c:v>
                </c:pt>
                <c:pt idx="187">
                  <c:v>1659.2050000000288</c:v>
                </c:pt>
                <c:pt idx="188">
                  <c:v>1659.2050000000288</c:v>
                </c:pt>
                <c:pt idx="189">
                  <c:v>1809.5050000000344</c:v>
                </c:pt>
                <c:pt idx="190">
                  <c:v>1826.2050000000345</c:v>
                </c:pt>
                <c:pt idx="191">
                  <c:v>1867.9550000000345</c:v>
                </c:pt>
                <c:pt idx="192">
                  <c:v>1918.0550000000344</c:v>
                </c:pt>
                <c:pt idx="193">
                  <c:v>1901.3550000000344</c:v>
                </c:pt>
                <c:pt idx="194">
                  <c:v>1918.0550000000344</c:v>
                </c:pt>
                <c:pt idx="195">
                  <c:v>1961.2050000000443</c:v>
                </c:pt>
                <c:pt idx="196">
                  <c:v>1961.2050000000443</c:v>
                </c:pt>
                <c:pt idx="197">
                  <c:v>1961.2050000000443</c:v>
                </c:pt>
                <c:pt idx="198">
                  <c:v>1977.9050000000443</c:v>
                </c:pt>
                <c:pt idx="199">
                  <c:v>1994.6050000000444</c:v>
                </c:pt>
                <c:pt idx="200">
                  <c:v>2011.3050000000444</c:v>
                </c:pt>
                <c:pt idx="201">
                  <c:v>2044.7050000000445</c:v>
                </c:pt>
                <c:pt idx="202">
                  <c:v>2078.1050000000446</c:v>
                </c:pt>
                <c:pt idx="203">
                  <c:v>2128.2050000000445</c:v>
                </c:pt>
                <c:pt idx="204">
                  <c:v>2128.2050000000445</c:v>
                </c:pt>
                <c:pt idx="205">
                  <c:v>2128.2050000000445</c:v>
                </c:pt>
                <c:pt idx="206">
                  <c:v>2128.2050000000445</c:v>
                </c:pt>
                <c:pt idx="207">
                  <c:v>2128.2050000000445</c:v>
                </c:pt>
                <c:pt idx="208">
                  <c:v>2196.2050000000309</c:v>
                </c:pt>
                <c:pt idx="209">
                  <c:v>2187.5750000000144</c:v>
                </c:pt>
                <c:pt idx="210">
                  <c:v>2187.5750000000144</c:v>
                </c:pt>
                <c:pt idx="211">
                  <c:v>2187.5750000000144</c:v>
                </c:pt>
                <c:pt idx="212">
                  <c:v>2221.5750000000144</c:v>
                </c:pt>
                <c:pt idx="213">
                  <c:v>2238.5750000000144</c:v>
                </c:pt>
                <c:pt idx="214">
                  <c:v>2238.5750000000144</c:v>
                </c:pt>
                <c:pt idx="215">
                  <c:v>2238.5750000000144</c:v>
                </c:pt>
                <c:pt idx="216">
                  <c:v>2247.0750000000144</c:v>
                </c:pt>
                <c:pt idx="217">
                  <c:v>2280.8750000000146</c:v>
                </c:pt>
                <c:pt idx="218">
                  <c:v>2280.8750000000146</c:v>
                </c:pt>
                <c:pt idx="219">
                  <c:v>2297.7749999999992</c:v>
                </c:pt>
                <c:pt idx="220">
                  <c:v>2297.7749999999992</c:v>
                </c:pt>
                <c:pt idx="221">
                  <c:v>2297.7749999999992</c:v>
                </c:pt>
                <c:pt idx="222">
                  <c:v>2297.7749999999992</c:v>
                </c:pt>
                <c:pt idx="223">
                  <c:v>2297.7749999999992</c:v>
                </c:pt>
                <c:pt idx="224">
                  <c:v>2331.974999999999</c:v>
                </c:pt>
                <c:pt idx="225">
                  <c:v>2331.974999999999</c:v>
                </c:pt>
                <c:pt idx="226">
                  <c:v>2331.974999999999</c:v>
                </c:pt>
                <c:pt idx="227">
                  <c:v>2331.974999999999</c:v>
                </c:pt>
                <c:pt idx="228">
                  <c:v>2280.974999999999</c:v>
                </c:pt>
                <c:pt idx="229">
                  <c:v>2297.974999999999</c:v>
                </c:pt>
                <c:pt idx="230">
                  <c:v>2263.974999999999</c:v>
                </c:pt>
                <c:pt idx="231">
                  <c:v>2263.974999999999</c:v>
                </c:pt>
                <c:pt idx="232">
                  <c:v>2280.974999999999</c:v>
                </c:pt>
                <c:pt idx="233">
                  <c:v>2280.974999999999</c:v>
                </c:pt>
                <c:pt idx="234">
                  <c:v>2280.974999999999</c:v>
                </c:pt>
                <c:pt idx="235">
                  <c:v>2280.974999999999</c:v>
                </c:pt>
                <c:pt idx="236">
                  <c:v>2297.9750000000076</c:v>
                </c:pt>
                <c:pt idx="237">
                  <c:v>2331.9750000000008</c:v>
                </c:pt>
                <c:pt idx="238">
                  <c:v>2314.9749999999922</c:v>
                </c:pt>
                <c:pt idx="239">
                  <c:v>2314.9749999999922</c:v>
                </c:pt>
                <c:pt idx="240">
                  <c:v>2314.9749999999922</c:v>
                </c:pt>
                <c:pt idx="241">
                  <c:v>2328.2549999999924</c:v>
                </c:pt>
                <c:pt idx="242">
                  <c:v>2328.2549999999924</c:v>
                </c:pt>
                <c:pt idx="243">
                  <c:v>2328.2549999999924</c:v>
                </c:pt>
                <c:pt idx="244">
                  <c:v>2344.8549999999923</c:v>
                </c:pt>
                <c:pt idx="245">
                  <c:v>2401.4649999999924</c:v>
                </c:pt>
                <c:pt idx="246">
                  <c:v>2401.4649999999924</c:v>
                </c:pt>
                <c:pt idx="247">
                  <c:v>2318.464999999997</c:v>
                </c:pt>
                <c:pt idx="248">
                  <c:v>2293.5649999999969</c:v>
                </c:pt>
                <c:pt idx="249">
                  <c:v>2276.964999999997</c:v>
                </c:pt>
                <c:pt idx="250">
                  <c:v>2276.964999999997</c:v>
                </c:pt>
                <c:pt idx="251">
                  <c:v>2253.5849999999969</c:v>
                </c:pt>
                <c:pt idx="252">
                  <c:v>2270.1849999999968</c:v>
                </c:pt>
                <c:pt idx="253">
                  <c:v>2286.7849999999967</c:v>
                </c:pt>
                <c:pt idx="254">
                  <c:v>2303.3849999999966</c:v>
                </c:pt>
                <c:pt idx="255">
                  <c:v>2303.3849999999966</c:v>
                </c:pt>
                <c:pt idx="256">
                  <c:v>2303.3849999999966</c:v>
                </c:pt>
                <c:pt idx="257">
                  <c:v>2270.1849999999968</c:v>
                </c:pt>
                <c:pt idx="258">
                  <c:v>2270.1849999999968</c:v>
                </c:pt>
                <c:pt idx="259">
                  <c:v>2286.7849999999967</c:v>
                </c:pt>
                <c:pt idx="260">
                  <c:v>2286.7849999999967</c:v>
                </c:pt>
                <c:pt idx="261">
                  <c:v>2286.7849999999967</c:v>
                </c:pt>
                <c:pt idx="262">
                  <c:v>2187.1849999999968</c:v>
                </c:pt>
                <c:pt idx="263">
                  <c:v>2137.3849999999966</c:v>
                </c:pt>
                <c:pt idx="264">
                  <c:v>2220.3849999999966</c:v>
                </c:pt>
                <c:pt idx="265">
                  <c:v>2220.3849999999966</c:v>
                </c:pt>
                <c:pt idx="266">
                  <c:v>2220.3849999999966</c:v>
                </c:pt>
                <c:pt idx="267">
                  <c:v>2220.3849999999966</c:v>
                </c:pt>
                <c:pt idx="268">
                  <c:v>2220.3849999999966</c:v>
                </c:pt>
                <c:pt idx="269">
                  <c:v>2236.9849999999965</c:v>
                </c:pt>
                <c:pt idx="270">
                  <c:v>2236.9849999999965</c:v>
                </c:pt>
                <c:pt idx="271">
                  <c:v>2236.9849999999965</c:v>
                </c:pt>
                <c:pt idx="272">
                  <c:v>2236.9849999999965</c:v>
                </c:pt>
                <c:pt idx="273">
                  <c:v>2253.5849999999964</c:v>
                </c:pt>
                <c:pt idx="274">
                  <c:v>2286.7849999999962</c:v>
                </c:pt>
                <c:pt idx="275">
                  <c:v>2286.7849999999962</c:v>
                </c:pt>
                <c:pt idx="276">
                  <c:v>2286.7849999999962</c:v>
                </c:pt>
                <c:pt idx="277">
                  <c:v>2286.7849999999962</c:v>
                </c:pt>
                <c:pt idx="278">
                  <c:v>2286.7849999999962</c:v>
                </c:pt>
                <c:pt idx="279">
                  <c:v>2369.7849999999917</c:v>
                </c:pt>
                <c:pt idx="280">
                  <c:v>2452.7849999999871</c:v>
                </c:pt>
                <c:pt idx="281">
                  <c:v>2469.384999999987</c:v>
                </c:pt>
                <c:pt idx="282">
                  <c:v>2469.384999999987</c:v>
                </c:pt>
                <c:pt idx="283">
                  <c:v>2485.884999999987</c:v>
                </c:pt>
                <c:pt idx="284">
                  <c:v>2518.884999999987</c:v>
                </c:pt>
                <c:pt idx="285">
                  <c:v>2518.884999999987</c:v>
                </c:pt>
                <c:pt idx="286">
                  <c:v>2525.7849999999871</c:v>
                </c:pt>
                <c:pt idx="287">
                  <c:v>2542.1849999999872</c:v>
                </c:pt>
                <c:pt idx="288">
                  <c:v>2558.6849999999872</c:v>
                </c:pt>
                <c:pt idx="289">
                  <c:v>2558.6849999999872</c:v>
                </c:pt>
                <c:pt idx="290">
                  <c:v>2575.0849999999873</c:v>
                </c:pt>
                <c:pt idx="291">
                  <c:v>2575.0849999999873</c:v>
                </c:pt>
                <c:pt idx="292">
                  <c:v>2575.0849999999873</c:v>
                </c:pt>
                <c:pt idx="293">
                  <c:v>2607.8850000000039</c:v>
                </c:pt>
                <c:pt idx="294">
                  <c:v>2607.8850000000039</c:v>
                </c:pt>
                <c:pt idx="295">
                  <c:v>2624.2850000000039</c:v>
                </c:pt>
                <c:pt idx="296">
                  <c:v>2640.685000000004</c:v>
                </c:pt>
                <c:pt idx="297">
                  <c:v>2640.685000000004</c:v>
                </c:pt>
                <c:pt idx="298">
                  <c:v>2640.685000000004</c:v>
                </c:pt>
                <c:pt idx="299">
                  <c:v>2640.685000000004</c:v>
                </c:pt>
                <c:pt idx="300">
                  <c:v>2640.685000000004</c:v>
                </c:pt>
                <c:pt idx="301">
                  <c:v>2640.685000000004</c:v>
                </c:pt>
                <c:pt idx="302">
                  <c:v>2640.685000000004</c:v>
                </c:pt>
                <c:pt idx="303">
                  <c:v>2608.2850000000103</c:v>
                </c:pt>
                <c:pt idx="304">
                  <c:v>2608.2850000000103</c:v>
                </c:pt>
                <c:pt idx="305">
                  <c:v>2575.8850000000102</c:v>
                </c:pt>
                <c:pt idx="306">
                  <c:v>2575.8850000000102</c:v>
                </c:pt>
                <c:pt idx="307">
                  <c:v>2575.8850000000102</c:v>
                </c:pt>
                <c:pt idx="308">
                  <c:v>2575.8850000000102</c:v>
                </c:pt>
                <c:pt idx="309">
                  <c:v>2575.8850000000102</c:v>
                </c:pt>
                <c:pt idx="310">
                  <c:v>2575.8850000000102</c:v>
                </c:pt>
                <c:pt idx="311">
                  <c:v>2705.4850000000306</c:v>
                </c:pt>
                <c:pt idx="312">
                  <c:v>2705.4850000000306</c:v>
                </c:pt>
                <c:pt idx="313">
                  <c:v>2641.0850000000305</c:v>
                </c:pt>
                <c:pt idx="314">
                  <c:v>2641.0850000000305</c:v>
                </c:pt>
                <c:pt idx="315">
                  <c:v>2576.6850000000304</c:v>
                </c:pt>
                <c:pt idx="316">
                  <c:v>2576.6850000000304</c:v>
                </c:pt>
                <c:pt idx="317">
                  <c:v>2576.6850000000304</c:v>
                </c:pt>
                <c:pt idx="318">
                  <c:v>2592.7850000000303</c:v>
                </c:pt>
                <c:pt idx="319">
                  <c:v>2608.8850000000302</c:v>
                </c:pt>
                <c:pt idx="320">
                  <c:v>2624.9850000000301</c:v>
                </c:pt>
                <c:pt idx="321">
                  <c:v>2641.08500000003</c:v>
                </c:pt>
                <c:pt idx="322">
                  <c:v>2641.08500000003</c:v>
                </c:pt>
                <c:pt idx="323">
                  <c:v>2657.2850000000299</c:v>
                </c:pt>
                <c:pt idx="324">
                  <c:v>2657.2850000000299</c:v>
                </c:pt>
                <c:pt idx="325">
                  <c:v>2657.2850000000299</c:v>
                </c:pt>
                <c:pt idx="326">
                  <c:v>2527.68500000003</c:v>
                </c:pt>
                <c:pt idx="327">
                  <c:v>2527.68500000003</c:v>
                </c:pt>
                <c:pt idx="328">
                  <c:v>2527.68500000003</c:v>
                </c:pt>
                <c:pt idx="329">
                  <c:v>2527.68500000003</c:v>
                </c:pt>
                <c:pt idx="330">
                  <c:v>2527.68500000003</c:v>
                </c:pt>
                <c:pt idx="331">
                  <c:v>2527.68500000003</c:v>
                </c:pt>
                <c:pt idx="332">
                  <c:v>2527.68500000003</c:v>
                </c:pt>
                <c:pt idx="333">
                  <c:v>2543.4850000000301</c:v>
                </c:pt>
                <c:pt idx="334">
                  <c:v>2559.2850000000303</c:v>
                </c:pt>
                <c:pt idx="335">
                  <c:v>2559.2850000000303</c:v>
                </c:pt>
                <c:pt idx="336">
                  <c:v>2559.2850000000303</c:v>
                </c:pt>
                <c:pt idx="337">
                  <c:v>2559.2850000000303</c:v>
                </c:pt>
                <c:pt idx="338">
                  <c:v>2559.2850000000303</c:v>
                </c:pt>
                <c:pt idx="339">
                  <c:v>2448.6850000000304</c:v>
                </c:pt>
                <c:pt idx="340">
                  <c:v>2448.6850000000304</c:v>
                </c:pt>
                <c:pt idx="341">
                  <c:v>2464.4850000000306</c:v>
                </c:pt>
                <c:pt idx="342">
                  <c:v>2401.2850000000308</c:v>
                </c:pt>
                <c:pt idx="343">
                  <c:v>2401.2850000000308</c:v>
                </c:pt>
                <c:pt idx="344">
                  <c:v>2353.8850000000289</c:v>
                </c:pt>
                <c:pt idx="345">
                  <c:v>2305.285000000029</c:v>
                </c:pt>
                <c:pt idx="346">
                  <c:v>2240.4850000000288</c:v>
                </c:pt>
                <c:pt idx="347">
                  <c:v>2240.4850000000288</c:v>
                </c:pt>
                <c:pt idx="348">
                  <c:v>2240.4850000000288</c:v>
                </c:pt>
                <c:pt idx="349">
                  <c:v>2240.4850000000288</c:v>
                </c:pt>
                <c:pt idx="350">
                  <c:v>2240.4850000000288</c:v>
                </c:pt>
                <c:pt idx="351">
                  <c:v>2240.4850000000288</c:v>
                </c:pt>
                <c:pt idx="352">
                  <c:v>2256.4850000000288</c:v>
                </c:pt>
                <c:pt idx="353">
                  <c:v>2256.4850000000288</c:v>
                </c:pt>
                <c:pt idx="354">
                  <c:v>2272.4850000000288</c:v>
                </c:pt>
                <c:pt idx="355">
                  <c:v>2272.4850000000288</c:v>
                </c:pt>
                <c:pt idx="356">
                  <c:v>2272.4850000000288</c:v>
                </c:pt>
                <c:pt idx="357">
                  <c:v>2272.4850000000288</c:v>
                </c:pt>
                <c:pt idx="358">
                  <c:v>2272.4850000000288</c:v>
                </c:pt>
                <c:pt idx="359">
                  <c:v>2272.4850000000288</c:v>
                </c:pt>
                <c:pt idx="360">
                  <c:v>2192.4850000000333</c:v>
                </c:pt>
                <c:pt idx="361">
                  <c:v>2192.4850000000333</c:v>
                </c:pt>
                <c:pt idx="362">
                  <c:v>2144.4850000000315</c:v>
                </c:pt>
                <c:pt idx="363">
                  <c:v>2160.485000000017</c:v>
                </c:pt>
                <c:pt idx="364">
                  <c:v>2160.485000000017</c:v>
                </c:pt>
                <c:pt idx="365">
                  <c:v>2160.485000000017</c:v>
                </c:pt>
                <c:pt idx="366">
                  <c:v>2160.485000000017</c:v>
                </c:pt>
                <c:pt idx="367">
                  <c:v>2160.485000000017</c:v>
                </c:pt>
                <c:pt idx="368">
                  <c:v>2176.485000000017</c:v>
                </c:pt>
                <c:pt idx="369">
                  <c:v>2128.485000000017</c:v>
                </c:pt>
                <c:pt idx="370">
                  <c:v>2096.485000000017</c:v>
                </c:pt>
                <c:pt idx="371">
                  <c:v>2112.485000000017</c:v>
                </c:pt>
                <c:pt idx="372">
                  <c:v>2128.485000000017</c:v>
                </c:pt>
                <c:pt idx="373">
                  <c:v>2144.485000000017</c:v>
                </c:pt>
                <c:pt idx="374">
                  <c:v>2144.485000000017</c:v>
                </c:pt>
                <c:pt idx="375">
                  <c:v>2144.485000000017</c:v>
                </c:pt>
                <c:pt idx="376">
                  <c:v>2144.485000000017</c:v>
                </c:pt>
                <c:pt idx="377">
                  <c:v>2289.385000000017</c:v>
                </c:pt>
                <c:pt idx="378">
                  <c:v>2402.0850000000169</c:v>
                </c:pt>
                <c:pt idx="379">
                  <c:v>2402.0850000000169</c:v>
                </c:pt>
                <c:pt idx="380">
                  <c:v>2434.2850000000167</c:v>
                </c:pt>
                <c:pt idx="381">
                  <c:v>2434.2850000000167</c:v>
                </c:pt>
                <c:pt idx="382">
                  <c:v>2450.3850000000166</c:v>
                </c:pt>
                <c:pt idx="383">
                  <c:v>2466.4850000000165</c:v>
                </c:pt>
                <c:pt idx="384">
                  <c:v>2482.5850000000164</c:v>
                </c:pt>
                <c:pt idx="385">
                  <c:v>2498.6850000000163</c:v>
                </c:pt>
                <c:pt idx="386">
                  <c:v>2514.7850000000162</c:v>
                </c:pt>
                <c:pt idx="387">
                  <c:v>2522.8350000000164</c:v>
                </c:pt>
                <c:pt idx="388">
                  <c:v>2522.8350000000164</c:v>
                </c:pt>
                <c:pt idx="389">
                  <c:v>2522.8350000000164</c:v>
                </c:pt>
                <c:pt idx="390">
                  <c:v>2538.9350000000163</c:v>
                </c:pt>
                <c:pt idx="391">
                  <c:v>2538.9350000000163</c:v>
                </c:pt>
                <c:pt idx="392">
                  <c:v>2538.9350000000163</c:v>
                </c:pt>
                <c:pt idx="393">
                  <c:v>2538.9350000000163</c:v>
                </c:pt>
                <c:pt idx="394">
                  <c:v>2538.9350000000163</c:v>
                </c:pt>
                <c:pt idx="395">
                  <c:v>2554.9350000000163</c:v>
                </c:pt>
                <c:pt idx="396">
                  <c:v>2570.9350000000163</c:v>
                </c:pt>
                <c:pt idx="397">
                  <c:v>2570.9350000000163</c:v>
                </c:pt>
                <c:pt idx="398">
                  <c:v>2570.9350000000163</c:v>
                </c:pt>
                <c:pt idx="399">
                  <c:v>2586.9350000000163</c:v>
                </c:pt>
                <c:pt idx="400">
                  <c:v>2596.9350000000163</c:v>
                </c:pt>
                <c:pt idx="401">
                  <c:v>2612.9350000000163</c:v>
                </c:pt>
                <c:pt idx="402">
                  <c:v>2612.9350000000163</c:v>
                </c:pt>
                <c:pt idx="403">
                  <c:v>2628.9350000000163</c:v>
                </c:pt>
                <c:pt idx="404">
                  <c:v>2644.9350000000163</c:v>
                </c:pt>
                <c:pt idx="405">
                  <c:v>2660.9350000000163</c:v>
                </c:pt>
                <c:pt idx="406">
                  <c:v>2660.9350000000163</c:v>
                </c:pt>
                <c:pt idx="407">
                  <c:v>2660.9350000000163</c:v>
                </c:pt>
                <c:pt idx="408">
                  <c:v>2676.9350000000163</c:v>
                </c:pt>
                <c:pt idx="409">
                  <c:v>2692.9350000000163</c:v>
                </c:pt>
                <c:pt idx="410">
                  <c:v>2708.9350000000163</c:v>
                </c:pt>
                <c:pt idx="411">
                  <c:v>2724.9350000000163</c:v>
                </c:pt>
                <c:pt idx="412">
                  <c:v>2740.9350000000163</c:v>
                </c:pt>
                <c:pt idx="413">
                  <c:v>2756.9350000000163</c:v>
                </c:pt>
                <c:pt idx="414">
                  <c:v>2772.9350000000163</c:v>
                </c:pt>
                <c:pt idx="415">
                  <c:v>2772.9350000000163</c:v>
                </c:pt>
                <c:pt idx="416">
                  <c:v>2788.9350000000163</c:v>
                </c:pt>
                <c:pt idx="417">
                  <c:v>2820.9350000000163</c:v>
                </c:pt>
                <c:pt idx="418">
                  <c:v>2824.1350000000161</c:v>
                </c:pt>
                <c:pt idx="419">
                  <c:v>2824.1350000000161</c:v>
                </c:pt>
                <c:pt idx="420">
                  <c:v>2824.1350000000161</c:v>
                </c:pt>
                <c:pt idx="421">
                  <c:v>2824.1350000000161</c:v>
                </c:pt>
                <c:pt idx="422">
                  <c:v>2808.1350000000079</c:v>
                </c:pt>
                <c:pt idx="423">
                  <c:v>2816.1350000000079</c:v>
                </c:pt>
                <c:pt idx="424">
                  <c:v>2816.1350000000079</c:v>
                </c:pt>
                <c:pt idx="425">
                  <c:v>2848.1350000000079</c:v>
                </c:pt>
                <c:pt idx="426">
                  <c:v>2864.1350000000079</c:v>
                </c:pt>
                <c:pt idx="427">
                  <c:v>2816.1350000000061</c:v>
                </c:pt>
                <c:pt idx="428">
                  <c:v>2784.1350000000125</c:v>
                </c:pt>
                <c:pt idx="429">
                  <c:v>2784.1350000000125</c:v>
                </c:pt>
                <c:pt idx="430">
                  <c:v>2784.1350000000125</c:v>
                </c:pt>
                <c:pt idx="431">
                  <c:v>2768.1350000000125</c:v>
                </c:pt>
                <c:pt idx="432">
                  <c:v>2784.1350000000125</c:v>
                </c:pt>
                <c:pt idx="433">
                  <c:v>2784.1350000000125</c:v>
                </c:pt>
                <c:pt idx="434">
                  <c:v>2784.1350000000125</c:v>
                </c:pt>
                <c:pt idx="435">
                  <c:v>2800.1350000000125</c:v>
                </c:pt>
                <c:pt idx="436">
                  <c:v>2800.1350000000125</c:v>
                </c:pt>
                <c:pt idx="437">
                  <c:v>2800.1350000000125</c:v>
                </c:pt>
                <c:pt idx="438">
                  <c:v>2800.1350000000125</c:v>
                </c:pt>
                <c:pt idx="439">
                  <c:v>2800.1350000000125</c:v>
                </c:pt>
                <c:pt idx="440">
                  <c:v>2800.1350000000125</c:v>
                </c:pt>
                <c:pt idx="441">
                  <c:v>2800.1350000000125</c:v>
                </c:pt>
                <c:pt idx="442">
                  <c:v>2800.1350000000125</c:v>
                </c:pt>
                <c:pt idx="443">
                  <c:v>2800.1350000000125</c:v>
                </c:pt>
                <c:pt idx="444">
                  <c:v>2793.6550000000125</c:v>
                </c:pt>
                <c:pt idx="445">
                  <c:v>2780.6950000000124</c:v>
                </c:pt>
                <c:pt idx="446">
                  <c:v>2783.0092857142981</c:v>
                </c:pt>
                <c:pt idx="447">
                  <c:v>2783.0092857142981</c:v>
                </c:pt>
                <c:pt idx="448">
                  <c:v>2783.0092857142981</c:v>
                </c:pt>
                <c:pt idx="449">
                  <c:v>2783.0092857142981</c:v>
                </c:pt>
                <c:pt idx="450">
                  <c:v>2783.0092857142981</c:v>
                </c:pt>
                <c:pt idx="451">
                  <c:v>2799.2092857142979</c:v>
                </c:pt>
                <c:pt idx="452">
                  <c:v>2799.2092857142979</c:v>
                </c:pt>
                <c:pt idx="453">
                  <c:v>2799.2092857142979</c:v>
                </c:pt>
                <c:pt idx="454">
                  <c:v>2815.4092857142978</c:v>
                </c:pt>
                <c:pt idx="455">
                  <c:v>2831.6092857142976</c:v>
                </c:pt>
                <c:pt idx="456">
                  <c:v>2831.6092857142976</c:v>
                </c:pt>
                <c:pt idx="457">
                  <c:v>2847.8092857142974</c:v>
                </c:pt>
                <c:pt idx="458">
                  <c:v>2864.0092857142972</c:v>
                </c:pt>
                <c:pt idx="459">
                  <c:v>2864.0092857142972</c:v>
                </c:pt>
                <c:pt idx="460">
                  <c:v>2864.0092857142972</c:v>
                </c:pt>
                <c:pt idx="461">
                  <c:v>2831.6092857142808</c:v>
                </c:pt>
                <c:pt idx="462">
                  <c:v>2831.6092857142808</c:v>
                </c:pt>
                <c:pt idx="463">
                  <c:v>2831.6092857142808</c:v>
                </c:pt>
                <c:pt idx="464">
                  <c:v>2847.6092857142808</c:v>
                </c:pt>
                <c:pt idx="465">
                  <c:v>2863.6092857142808</c:v>
                </c:pt>
                <c:pt idx="466">
                  <c:v>2879.6092857142808</c:v>
                </c:pt>
                <c:pt idx="467">
                  <c:v>2893.5121428571379</c:v>
                </c:pt>
                <c:pt idx="468">
                  <c:v>2909.5121428571379</c:v>
                </c:pt>
                <c:pt idx="469">
                  <c:v>2909.5121428571379</c:v>
                </c:pt>
                <c:pt idx="470">
                  <c:v>2909.5121428571379</c:v>
                </c:pt>
                <c:pt idx="471">
                  <c:v>2909.5121428571379</c:v>
                </c:pt>
                <c:pt idx="472">
                  <c:v>2925.5121428571379</c:v>
                </c:pt>
                <c:pt idx="473">
                  <c:v>2941.5121428571379</c:v>
                </c:pt>
                <c:pt idx="474">
                  <c:v>2930.8454761904713</c:v>
                </c:pt>
                <c:pt idx="475">
                  <c:v>2930.8454761904713</c:v>
                </c:pt>
                <c:pt idx="476">
                  <c:v>2930.8454761904713</c:v>
                </c:pt>
                <c:pt idx="477">
                  <c:v>2930.8454761904713</c:v>
                </c:pt>
                <c:pt idx="478">
                  <c:v>2930.8454761904713</c:v>
                </c:pt>
                <c:pt idx="479">
                  <c:v>2930.8454761904713</c:v>
                </c:pt>
                <c:pt idx="480">
                  <c:v>2930.8454761904713</c:v>
                </c:pt>
                <c:pt idx="481">
                  <c:v>2930.8454761904713</c:v>
                </c:pt>
                <c:pt idx="482">
                  <c:v>2930.8454761904713</c:v>
                </c:pt>
                <c:pt idx="483">
                  <c:v>2930.8454761904713</c:v>
                </c:pt>
                <c:pt idx="484">
                  <c:v>2930.8454761904713</c:v>
                </c:pt>
                <c:pt idx="485">
                  <c:v>2946.8454761904713</c:v>
                </c:pt>
                <c:pt idx="486">
                  <c:v>2962.8454761904713</c:v>
                </c:pt>
                <c:pt idx="487">
                  <c:v>2962.8454761904713</c:v>
                </c:pt>
                <c:pt idx="488">
                  <c:v>2962.8454761904713</c:v>
                </c:pt>
                <c:pt idx="489">
                  <c:v>2962.8454761904713</c:v>
                </c:pt>
                <c:pt idx="490">
                  <c:v>2978.8454761904713</c:v>
                </c:pt>
                <c:pt idx="491">
                  <c:v>2994.8454761904713</c:v>
                </c:pt>
                <c:pt idx="492">
                  <c:v>2994.8454761904713</c:v>
                </c:pt>
                <c:pt idx="493">
                  <c:v>2994.8454761904713</c:v>
                </c:pt>
                <c:pt idx="494">
                  <c:v>2994.8454761904713</c:v>
                </c:pt>
                <c:pt idx="495">
                  <c:v>2994.8454761904713</c:v>
                </c:pt>
                <c:pt idx="496">
                  <c:v>2922.8454761904713</c:v>
                </c:pt>
                <c:pt idx="497">
                  <c:v>2890.8454761904713</c:v>
                </c:pt>
                <c:pt idx="498">
                  <c:v>2890.8454761904713</c:v>
                </c:pt>
                <c:pt idx="499">
                  <c:v>2890.8454761904713</c:v>
                </c:pt>
                <c:pt idx="500">
                  <c:v>2890.8454761904713</c:v>
                </c:pt>
                <c:pt idx="501">
                  <c:v>2890.8454761904713</c:v>
                </c:pt>
                <c:pt idx="502">
                  <c:v>2906.8454761904713</c:v>
                </c:pt>
                <c:pt idx="503">
                  <c:v>2906.8454761904713</c:v>
                </c:pt>
                <c:pt idx="504">
                  <c:v>2922.8454761904713</c:v>
                </c:pt>
                <c:pt idx="505">
                  <c:v>2916.4454761904713</c:v>
                </c:pt>
                <c:pt idx="506">
                  <c:v>2916.4454761904713</c:v>
                </c:pt>
                <c:pt idx="507">
                  <c:v>2916.4454761904713</c:v>
                </c:pt>
                <c:pt idx="508">
                  <c:v>2916.4454761904713</c:v>
                </c:pt>
                <c:pt idx="509">
                  <c:v>2905.2454761904714</c:v>
                </c:pt>
                <c:pt idx="510">
                  <c:v>2905.2454761904714</c:v>
                </c:pt>
                <c:pt idx="511">
                  <c:v>2905.2454761904714</c:v>
                </c:pt>
                <c:pt idx="512">
                  <c:v>2841.2454761904714</c:v>
                </c:pt>
                <c:pt idx="513">
                  <c:v>2857.2454761904714</c:v>
                </c:pt>
                <c:pt idx="514">
                  <c:v>2833.2454761904714</c:v>
                </c:pt>
                <c:pt idx="515">
                  <c:v>2801.2454761904714</c:v>
                </c:pt>
                <c:pt idx="516">
                  <c:v>2801.2454761904714</c:v>
                </c:pt>
                <c:pt idx="517">
                  <c:v>2801.2454761904714</c:v>
                </c:pt>
                <c:pt idx="518">
                  <c:v>2801.2454761904714</c:v>
                </c:pt>
                <c:pt idx="519">
                  <c:v>2801.2454761904714</c:v>
                </c:pt>
                <c:pt idx="520">
                  <c:v>2801.2454761904714</c:v>
                </c:pt>
                <c:pt idx="521">
                  <c:v>2799.2454761904714</c:v>
                </c:pt>
                <c:pt idx="522">
                  <c:v>2799.2454761904714</c:v>
                </c:pt>
                <c:pt idx="523">
                  <c:v>2799.2454761904714</c:v>
                </c:pt>
                <c:pt idx="524">
                  <c:v>2799.2454761904714</c:v>
                </c:pt>
                <c:pt idx="525">
                  <c:v>2799.2454761904714</c:v>
                </c:pt>
                <c:pt idx="526">
                  <c:v>2831.2454761904714</c:v>
                </c:pt>
                <c:pt idx="527">
                  <c:v>2900.5788095238049</c:v>
                </c:pt>
                <c:pt idx="528">
                  <c:v>2900.5788095238049</c:v>
                </c:pt>
                <c:pt idx="529">
                  <c:v>2900.5788095238049</c:v>
                </c:pt>
                <c:pt idx="530">
                  <c:v>2900.5788095238049</c:v>
                </c:pt>
                <c:pt idx="531">
                  <c:v>2900.5788095238049</c:v>
                </c:pt>
                <c:pt idx="532">
                  <c:v>2900.5788095238049</c:v>
                </c:pt>
                <c:pt idx="533">
                  <c:v>2900.5788095238049</c:v>
                </c:pt>
                <c:pt idx="534">
                  <c:v>2900.5788095238049</c:v>
                </c:pt>
                <c:pt idx="535">
                  <c:v>2900.5788095238049</c:v>
                </c:pt>
                <c:pt idx="536">
                  <c:v>2900.5788095238049</c:v>
                </c:pt>
                <c:pt idx="537">
                  <c:v>2916.5788095238049</c:v>
                </c:pt>
                <c:pt idx="538">
                  <c:v>2906.018809523805</c:v>
                </c:pt>
                <c:pt idx="539">
                  <c:v>2922.018809523805</c:v>
                </c:pt>
                <c:pt idx="540">
                  <c:v>2938.018809523805</c:v>
                </c:pt>
                <c:pt idx="541">
                  <c:v>2938.018809523805</c:v>
                </c:pt>
                <c:pt idx="542">
                  <c:v>2938.018809523805</c:v>
                </c:pt>
                <c:pt idx="543">
                  <c:v>2938.018809523805</c:v>
                </c:pt>
                <c:pt idx="544">
                  <c:v>2954.018809523805</c:v>
                </c:pt>
                <c:pt idx="545">
                  <c:v>2970.018809523805</c:v>
                </c:pt>
                <c:pt idx="546">
                  <c:v>2970.018809523805</c:v>
                </c:pt>
                <c:pt idx="547">
                  <c:v>2970.018809523805</c:v>
                </c:pt>
                <c:pt idx="548">
                  <c:v>2922.018809523805</c:v>
                </c:pt>
                <c:pt idx="549">
                  <c:v>2868.6854761904715</c:v>
                </c:pt>
                <c:pt idx="550">
                  <c:v>2884.6854761904715</c:v>
                </c:pt>
                <c:pt idx="551">
                  <c:v>2884.6854761904715</c:v>
                </c:pt>
                <c:pt idx="552">
                  <c:v>2884.6854761904715</c:v>
                </c:pt>
                <c:pt idx="553">
                  <c:v>2860.5974761904713</c:v>
                </c:pt>
                <c:pt idx="554">
                  <c:v>2929.3974761904715</c:v>
                </c:pt>
                <c:pt idx="555">
                  <c:v>2945.3974761904715</c:v>
                </c:pt>
                <c:pt idx="556">
                  <c:v>2945.3974761904715</c:v>
                </c:pt>
                <c:pt idx="557">
                  <c:v>2945.3974761904715</c:v>
                </c:pt>
                <c:pt idx="558">
                  <c:v>2945.3974761904715</c:v>
                </c:pt>
                <c:pt idx="559">
                  <c:v>2996.5974761904713</c:v>
                </c:pt>
                <c:pt idx="560">
                  <c:v>3028.5974761904713</c:v>
                </c:pt>
                <c:pt idx="561">
                  <c:v>3028.5974761904713</c:v>
                </c:pt>
                <c:pt idx="562">
                  <c:v>3052.5974761904713</c:v>
                </c:pt>
                <c:pt idx="563">
                  <c:v>3068.5974761904713</c:v>
                </c:pt>
                <c:pt idx="564">
                  <c:v>3084.5974761904713</c:v>
                </c:pt>
                <c:pt idx="565">
                  <c:v>3084.5974761904713</c:v>
                </c:pt>
                <c:pt idx="566">
                  <c:v>3084.5974761904713</c:v>
                </c:pt>
                <c:pt idx="567">
                  <c:v>3084.5974761904713</c:v>
                </c:pt>
                <c:pt idx="568">
                  <c:v>3084.5974761904713</c:v>
                </c:pt>
                <c:pt idx="569">
                  <c:v>3084.5974761904713</c:v>
                </c:pt>
                <c:pt idx="570">
                  <c:v>3100.5974761904713</c:v>
                </c:pt>
                <c:pt idx="571">
                  <c:v>3116.5974761904713</c:v>
                </c:pt>
                <c:pt idx="572">
                  <c:v>3116.5974761904713</c:v>
                </c:pt>
                <c:pt idx="573">
                  <c:v>3116.5974761904713</c:v>
                </c:pt>
                <c:pt idx="574">
                  <c:v>3116.5974761904713</c:v>
                </c:pt>
                <c:pt idx="575">
                  <c:v>3140.5974761904713</c:v>
                </c:pt>
                <c:pt idx="576">
                  <c:v>3140.5974761904713</c:v>
                </c:pt>
                <c:pt idx="577">
                  <c:v>3140.5974761904713</c:v>
                </c:pt>
                <c:pt idx="578">
                  <c:v>3140.5974761904713</c:v>
                </c:pt>
                <c:pt idx="579">
                  <c:v>3140.5974761904713</c:v>
                </c:pt>
                <c:pt idx="580">
                  <c:v>3140.5974761904713</c:v>
                </c:pt>
                <c:pt idx="581">
                  <c:v>3140.5974761904713</c:v>
                </c:pt>
                <c:pt idx="582">
                  <c:v>3140.5974761904713</c:v>
                </c:pt>
                <c:pt idx="583">
                  <c:v>3140.5974761904713</c:v>
                </c:pt>
                <c:pt idx="584">
                  <c:v>3124.5974761904713</c:v>
                </c:pt>
                <c:pt idx="585">
                  <c:v>3124.5974761904713</c:v>
                </c:pt>
                <c:pt idx="586">
                  <c:v>3124.5974761904713</c:v>
                </c:pt>
                <c:pt idx="587">
                  <c:v>3124.5974761904713</c:v>
                </c:pt>
                <c:pt idx="588">
                  <c:v>3124.5974761904713</c:v>
                </c:pt>
                <c:pt idx="589">
                  <c:v>3140.5974761904713</c:v>
                </c:pt>
                <c:pt idx="590">
                  <c:v>3236.5974761904713</c:v>
                </c:pt>
                <c:pt idx="591">
                  <c:v>3279.2641428571378</c:v>
                </c:pt>
                <c:pt idx="592">
                  <c:v>3279.2641428571378</c:v>
                </c:pt>
                <c:pt idx="593">
                  <c:v>3279.2641428571378</c:v>
                </c:pt>
                <c:pt idx="594">
                  <c:v>3279.2641428571378</c:v>
                </c:pt>
                <c:pt idx="595">
                  <c:v>3247.2641428571378</c:v>
                </c:pt>
                <c:pt idx="596">
                  <c:v>3327.2641428571378</c:v>
                </c:pt>
                <c:pt idx="597">
                  <c:v>3351.2641428571374</c:v>
                </c:pt>
                <c:pt idx="598">
                  <c:v>3367.2641428571374</c:v>
                </c:pt>
                <c:pt idx="599">
                  <c:v>3367.2641428571374</c:v>
                </c:pt>
                <c:pt idx="600">
                  <c:v>3367.2641428571374</c:v>
                </c:pt>
                <c:pt idx="601">
                  <c:v>3367.2641428571374</c:v>
                </c:pt>
                <c:pt idx="602">
                  <c:v>3367.2641428571374</c:v>
                </c:pt>
                <c:pt idx="603">
                  <c:v>3367.2641428571374</c:v>
                </c:pt>
                <c:pt idx="604">
                  <c:v>3399.2641428571374</c:v>
                </c:pt>
                <c:pt idx="605">
                  <c:v>3447.2641428571374</c:v>
                </c:pt>
                <c:pt idx="606">
                  <c:v>3447.2641428571374</c:v>
                </c:pt>
                <c:pt idx="607">
                  <c:v>3463.2641428571374</c:v>
                </c:pt>
                <c:pt idx="608">
                  <c:v>3463.2641428571374</c:v>
                </c:pt>
                <c:pt idx="609">
                  <c:v>3463.2641428571374</c:v>
                </c:pt>
                <c:pt idx="610">
                  <c:v>3479.2641428571374</c:v>
                </c:pt>
                <c:pt idx="612">
                  <c:v>3479.2641428571374</c:v>
                </c:pt>
                <c:pt idx="613">
                  <c:v>3479.2641428571374</c:v>
                </c:pt>
                <c:pt idx="614">
                  <c:v>3495.2641428571374</c:v>
                </c:pt>
                <c:pt idx="615">
                  <c:v>3495.2641428571374</c:v>
                </c:pt>
                <c:pt idx="616">
                  <c:v>3495.2641428571374</c:v>
                </c:pt>
                <c:pt idx="617">
                  <c:v>3495.2641428571374</c:v>
                </c:pt>
                <c:pt idx="618">
                  <c:v>3511.2641428571374</c:v>
                </c:pt>
                <c:pt idx="620">
                  <c:v>3511.2641428571374</c:v>
                </c:pt>
                <c:pt idx="621">
                  <c:v>3511.2641428571374</c:v>
                </c:pt>
                <c:pt idx="622">
                  <c:v>3495.2641428571374</c:v>
                </c:pt>
                <c:pt idx="623">
                  <c:v>3511.2641428571374</c:v>
                </c:pt>
                <c:pt idx="624">
                  <c:v>3511.2641428571374</c:v>
                </c:pt>
                <c:pt idx="625">
                  <c:v>3487.2641428571374</c:v>
                </c:pt>
                <c:pt idx="626">
                  <c:v>3503.2641428571374</c:v>
                </c:pt>
                <c:pt idx="627">
                  <c:v>3503.2641428571374</c:v>
                </c:pt>
                <c:pt idx="628">
                  <c:v>3503.2641428571374</c:v>
                </c:pt>
                <c:pt idx="630">
                  <c:v>3519.2641428571374</c:v>
                </c:pt>
                <c:pt idx="631">
                  <c:v>3519.2641428571374</c:v>
                </c:pt>
                <c:pt idx="632">
                  <c:v>3439.2641428571533</c:v>
                </c:pt>
                <c:pt idx="633">
                  <c:v>3439.2641428571533</c:v>
                </c:pt>
                <c:pt idx="634">
                  <c:v>3455.2641428571533</c:v>
                </c:pt>
                <c:pt idx="635">
                  <c:v>3491.2641428571533</c:v>
                </c:pt>
                <c:pt idx="636">
                  <c:v>3491.2641428571533</c:v>
                </c:pt>
                <c:pt idx="637">
                  <c:v>3491.2641428571533</c:v>
                </c:pt>
                <c:pt idx="638">
                  <c:v>3491.2641428571533</c:v>
                </c:pt>
                <c:pt idx="639">
                  <c:v>3491.2641428571533</c:v>
                </c:pt>
                <c:pt idx="640">
                  <c:v>3507.2641428571533</c:v>
                </c:pt>
                <c:pt idx="641">
                  <c:v>3507.2641428571533</c:v>
                </c:pt>
                <c:pt idx="642">
                  <c:v>3507.2641428571533</c:v>
                </c:pt>
                <c:pt idx="643">
                  <c:v>3507.2641428571533</c:v>
                </c:pt>
                <c:pt idx="644">
                  <c:v>3507.2641428571533</c:v>
                </c:pt>
                <c:pt idx="645">
                  <c:v>3507.2641428571533</c:v>
                </c:pt>
                <c:pt idx="647">
                  <c:v>3507.2641428571533</c:v>
                </c:pt>
                <c:pt idx="648">
                  <c:v>3507.2641428571533</c:v>
                </c:pt>
                <c:pt idx="649">
                  <c:v>3507.2641428571533</c:v>
                </c:pt>
                <c:pt idx="650">
                  <c:v>3507.2641428571533</c:v>
                </c:pt>
                <c:pt idx="651">
                  <c:v>3507.2641428571533</c:v>
                </c:pt>
                <c:pt idx="652">
                  <c:v>3507.2641428571533</c:v>
                </c:pt>
                <c:pt idx="653">
                  <c:v>3507.2641428571533</c:v>
                </c:pt>
                <c:pt idx="654">
                  <c:v>3507.2641428571533</c:v>
                </c:pt>
                <c:pt idx="655">
                  <c:v>3507.2641428571533</c:v>
                </c:pt>
                <c:pt idx="656">
                  <c:v>3523.2641428571533</c:v>
                </c:pt>
                <c:pt idx="657">
                  <c:v>3523.2641428571533</c:v>
                </c:pt>
                <c:pt idx="658">
                  <c:v>3507.2641428571533</c:v>
                </c:pt>
                <c:pt idx="659">
                  <c:v>3507.2641428571533</c:v>
                </c:pt>
                <c:pt idx="660">
                  <c:v>3507.2641428571533</c:v>
                </c:pt>
                <c:pt idx="661">
                  <c:v>3507.2641428571533</c:v>
                </c:pt>
                <c:pt idx="662">
                  <c:v>3499.2641428571533</c:v>
                </c:pt>
                <c:pt idx="663">
                  <c:v>3499.2641428571533</c:v>
                </c:pt>
                <c:pt idx="664">
                  <c:v>3499.2641428571533</c:v>
                </c:pt>
                <c:pt idx="665">
                  <c:v>3499.2641428571533</c:v>
                </c:pt>
                <c:pt idx="666">
                  <c:v>3499.2641428571533</c:v>
                </c:pt>
                <c:pt idx="667">
                  <c:v>3499.2641428571533</c:v>
                </c:pt>
                <c:pt idx="668">
                  <c:v>3515.2641428571533</c:v>
                </c:pt>
                <c:pt idx="669">
                  <c:v>3515.2641428571533</c:v>
                </c:pt>
                <c:pt idx="670">
                  <c:v>3531.2641428571533</c:v>
                </c:pt>
                <c:pt idx="671">
                  <c:v>3574.4141428571629</c:v>
                </c:pt>
                <c:pt idx="672">
                  <c:v>3590.4141428571629</c:v>
                </c:pt>
                <c:pt idx="673">
                  <c:v>3518.4141428571629</c:v>
                </c:pt>
                <c:pt idx="674">
                  <c:v>3544.3041428571637</c:v>
                </c:pt>
                <c:pt idx="675">
                  <c:v>3544.3041428571637</c:v>
                </c:pt>
                <c:pt idx="676">
                  <c:v>3544.3041428571637</c:v>
                </c:pt>
                <c:pt idx="677">
                  <c:v>3544.3041428571637</c:v>
                </c:pt>
                <c:pt idx="678">
                  <c:v>3544.3041428571637</c:v>
                </c:pt>
                <c:pt idx="679">
                  <c:v>3544.3041428571637</c:v>
                </c:pt>
                <c:pt idx="680">
                  <c:v>3544.3041428571637</c:v>
                </c:pt>
                <c:pt idx="681">
                  <c:v>3504.3041428571714</c:v>
                </c:pt>
                <c:pt idx="682">
                  <c:v>3460.3041428571714</c:v>
                </c:pt>
                <c:pt idx="683">
                  <c:v>3458.8495974026259</c:v>
                </c:pt>
                <c:pt idx="684">
                  <c:v>3458.8495974026259</c:v>
                </c:pt>
                <c:pt idx="685">
                  <c:v>3463.6495974026261</c:v>
                </c:pt>
                <c:pt idx="686">
                  <c:v>3463.6495974026261</c:v>
                </c:pt>
                <c:pt idx="687">
                  <c:v>3463.6495974026261</c:v>
                </c:pt>
                <c:pt idx="689">
                  <c:v>3463.6495974026261</c:v>
                </c:pt>
                <c:pt idx="690">
                  <c:v>3463.6495974026261</c:v>
                </c:pt>
                <c:pt idx="691">
                  <c:v>3463.6495974026261</c:v>
                </c:pt>
                <c:pt idx="692">
                  <c:v>3463.6495974026261</c:v>
                </c:pt>
                <c:pt idx="693">
                  <c:v>3495.6495974026261</c:v>
                </c:pt>
                <c:pt idx="694">
                  <c:v>3495.6495974026261</c:v>
                </c:pt>
                <c:pt idx="695">
                  <c:v>3527.6495974026261</c:v>
                </c:pt>
                <c:pt idx="696">
                  <c:v>3588.7405064935351</c:v>
                </c:pt>
                <c:pt idx="697">
                  <c:v>3615.6205064935352</c:v>
                </c:pt>
                <c:pt idx="698">
                  <c:v>3644.4205064935354</c:v>
                </c:pt>
                <c:pt idx="699">
                  <c:v>3644.4205064935354</c:v>
                </c:pt>
                <c:pt idx="700">
                  <c:v>3644.4205064935354</c:v>
                </c:pt>
                <c:pt idx="701">
                  <c:v>3644.4205064935354</c:v>
                </c:pt>
                <c:pt idx="702">
                  <c:v>3644.4205064935354</c:v>
                </c:pt>
                <c:pt idx="703">
                  <c:v>3644.4205064935354</c:v>
                </c:pt>
                <c:pt idx="704">
                  <c:v>3644.4205064935354</c:v>
                </c:pt>
                <c:pt idx="705">
                  <c:v>3647.9760620490911</c:v>
                </c:pt>
                <c:pt idx="706">
                  <c:v>3647.9760620490911</c:v>
                </c:pt>
                <c:pt idx="707">
                  <c:v>3647.9760620490911</c:v>
                </c:pt>
                <c:pt idx="708">
                  <c:v>3647.9760620490911</c:v>
                </c:pt>
                <c:pt idx="709">
                  <c:v>3647.9760620490911</c:v>
                </c:pt>
                <c:pt idx="710">
                  <c:v>3647.9760620490911</c:v>
                </c:pt>
                <c:pt idx="711">
                  <c:v>3647.9760620490911</c:v>
                </c:pt>
                <c:pt idx="712">
                  <c:v>3647.9760620490911</c:v>
                </c:pt>
                <c:pt idx="713">
                  <c:v>3660.7760620490913</c:v>
                </c:pt>
                <c:pt idx="714">
                  <c:v>3660.7760620490913</c:v>
                </c:pt>
                <c:pt idx="715">
                  <c:v>3660.7760620490913</c:v>
                </c:pt>
                <c:pt idx="716">
                  <c:v>3671.4427287157578</c:v>
                </c:pt>
                <c:pt idx="717">
                  <c:v>3671.4427287157578</c:v>
                </c:pt>
                <c:pt idx="718">
                  <c:v>3671.4427287157578</c:v>
                </c:pt>
                <c:pt idx="719">
                  <c:v>3671.4427287157578</c:v>
                </c:pt>
                <c:pt idx="720">
                  <c:v>3671.4427287157578</c:v>
                </c:pt>
                <c:pt idx="721">
                  <c:v>3687.4427287157578</c:v>
                </c:pt>
                <c:pt idx="722">
                  <c:v>3687.4427287157578</c:v>
                </c:pt>
                <c:pt idx="723">
                  <c:v>3687.4427287157578</c:v>
                </c:pt>
                <c:pt idx="724">
                  <c:v>3695.4427287157578</c:v>
                </c:pt>
                <c:pt idx="725">
                  <c:v>3695.4427287157578</c:v>
                </c:pt>
                <c:pt idx="726">
                  <c:v>3759.4427287157578</c:v>
                </c:pt>
                <c:pt idx="727">
                  <c:v>3767.4427287157578</c:v>
                </c:pt>
                <c:pt idx="728">
                  <c:v>3767.4427287157578</c:v>
                </c:pt>
                <c:pt idx="729">
                  <c:v>3780.3877287157952</c:v>
                </c:pt>
                <c:pt idx="730">
                  <c:v>3780.3877287157952</c:v>
                </c:pt>
                <c:pt idx="732">
                  <c:v>3839.0543953824617</c:v>
                </c:pt>
                <c:pt idx="733">
                  <c:v>3855.0543953824617</c:v>
                </c:pt>
                <c:pt idx="734">
                  <c:v>3871.0543953824617</c:v>
                </c:pt>
                <c:pt idx="735">
                  <c:v>3877.9115382396044</c:v>
                </c:pt>
                <c:pt idx="736">
                  <c:v>3900.5782049062709</c:v>
                </c:pt>
                <c:pt idx="737">
                  <c:v>3900.5782049062709</c:v>
                </c:pt>
                <c:pt idx="738">
                  <c:v>3900.5782049062709</c:v>
                </c:pt>
                <c:pt idx="739">
                  <c:v>3900.5782049062709</c:v>
                </c:pt>
                <c:pt idx="740">
                  <c:v>3900.5782049062709</c:v>
                </c:pt>
                <c:pt idx="741">
                  <c:v>3907.7698715729312</c:v>
                </c:pt>
                <c:pt idx="742">
                  <c:v>3907.7698715729312</c:v>
                </c:pt>
                <c:pt idx="743">
                  <c:v>3923.7698715729312</c:v>
                </c:pt>
                <c:pt idx="744">
                  <c:v>3983.7698715729334</c:v>
                </c:pt>
                <c:pt idx="745">
                  <c:v>3999.7698715729334</c:v>
                </c:pt>
                <c:pt idx="746">
                  <c:v>4015.7698715729334</c:v>
                </c:pt>
                <c:pt idx="747">
                  <c:v>4015.7698715729334</c:v>
                </c:pt>
                <c:pt idx="748">
                  <c:v>4015.7698715729334</c:v>
                </c:pt>
                <c:pt idx="749">
                  <c:v>3999.7698715729334</c:v>
                </c:pt>
                <c:pt idx="750">
                  <c:v>3999.7698715729334</c:v>
                </c:pt>
                <c:pt idx="751">
                  <c:v>3999.7698715729334</c:v>
                </c:pt>
                <c:pt idx="752">
                  <c:v>3999.7698715729334</c:v>
                </c:pt>
                <c:pt idx="753">
                  <c:v>3999.7698715729334</c:v>
                </c:pt>
                <c:pt idx="754">
                  <c:v>3999.7698715729334</c:v>
                </c:pt>
                <c:pt idx="755">
                  <c:v>3999.7698715729334</c:v>
                </c:pt>
                <c:pt idx="756">
                  <c:v>3999.7698715729334</c:v>
                </c:pt>
                <c:pt idx="757">
                  <c:v>3999.7698715729334</c:v>
                </c:pt>
                <c:pt idx="758">
                  <c:v>3999.7698715729334</c:v>
                </c:pt>
                <c:pt idx="759">
                  <c:v>3999.7698715729334</c:v>
                </c:pt>
                <c:pt idx="760">
                  <c:v>3999.7698715729334</c:v>
                </c:pt>
                <c:pt idx="761">
                  <c:v>3983.7698715729334</c:v>
                </c:pt>
                <c:pt idx="762">
                  <c:v>3983.7698715729334</c:v>
                </c:pt>
                <c:pt idx="763">
                  <c:v>3983.7698715729334</c:v>
                </c:pt>
                <c:pt idx="764">
                  <c:v>3983.7698715729334</c:v>
                </c:pt>
                <c:pt idx="765">
                  <c:v>3983.7698715729334</c:v>
                </c:pt>
                <c:pt idx="766">
                  <c:v>4031.7698715729352</c:v>
                </c:pt>
                <c:pt idx="767">
                  <c:v>4031.7698715729352</c:v>
                </c:pt>
                <c:pt idx="768">
                  <c:v>4031.7698715729352</c:v>
                </c:pt>
                <c:pt idx="769">
                  <c:v>4031.7698715729352</c:v>
                </c:pt>
                <c:pt idx="770">
                  <c:v>4031.7698715729352</c:v>
                </c:pt>
                <c:pt idx="771">
                  <c:v>4031.7698715729352</c:v>
                </c:pt>
                <c:pt idx="772">
                  <c:v>4031.7698715729352</c:v>
                </c:pt>
                <c:pt idx="773">
                  <c:v>4031.7698715729352</c:v>
                </c:pt>
                <c:pt idx="774">
                  <c:v>4031.7698715729352</c:v>
                </c:pt>
                <c:pt idx="775">
                  <c:v>4031.7698715729352</c:v>
                </c:pt>
                <c:pt idx="776">
                  <c:v>4031.7698715729352</c:v>
                </c:pt>
                <c:pt idx="777">
                  <c:v>4031.7698715729352</c:v>
                </c:pt>
                <c:pt idx="778">
                  <c:v>4035.7698715729352</c:v>
                </c:pt>
                <c:pt idx="779">
                  <c:v>4035.7698715729352</c:v>
                </c:pt>
                <c:pt idx="780">
                  <c:v>4067.7698715729352</c:v>
                </c:pt>
                <c:pt idx="781">
                  <c:v>4067.7698715729352</c:v>
                </c:pt>
                <c:pt idx="782">
                  <c:v>4067.7698715729352</c:v>
                </c:pt>
                <c:pt idx="783">
                  <c:v>4067.7698715729352</c:v>
                </c:pt>
                <c:pt idx="784">
                  <c:v>4067.7698715729352</c:v>
                </c:pt>
                <c:pt idx="785">
                  <c:v>4067.7698715729352</c:v>
                </c:pt>
                <c:pt idx="786">
                  <c:v>4083.7698715729352</c:v>
                </c:pt>
                <c:pt idx="787">
                  <c:v>4067.7698715729352</c:v>
                </c:pt>
                <c:pt idx="788">
                  <c:v>4067.7698715729352</c:v>
                </c:pt>
                <c:pt idx="789">
                  <c:v>4067.7698715729352</c:v>
                </c:pt>
                <c:pt idx="790">
                  <c:v>4067.7698715729352</c:v>
                </c:pt>
                <c:pt idx="791">
                  <c:v>4067.7698715729352</c:v>
                </c:pt>
                <c:pt idx="792">
                  <c:v>4067.7698715729352</c:v>
                </c:pt>
                <c:pt idx="793">
                  <c:v>4067.7698715729352</c:v>
                </c:pt>
                <c:pt idx="794">
                  <c:v>4067.7698715729352</c:v>
                </c:pt>
                <c:pt idx="795">
                  <c:v>4067.7698715729352</c:v>
                </c:pt>
                <c:pt idx="796">
                  <c:v>4067.7698715729352</c:v>
                </c:pt>
                <c:pt idx="797">
                  <c:v>4083.7698715729352</c:v>
                </c:pt>
                <c:pt idx="798">
                  <c:v>4083.7698715729352</c:v>
                </c:pt>
                <c:pt idx="799">
                  <c:v>4083.7698715729352</c:v>
                </c:pt>
                <c:pt idx="800">
                  <c:v>4083.7698715729352</c:v>
                </c:pt>
                <c:pt idx="801">
                  <c:v>4083.7698715729352</c:v>
                </c:pt>
                <c:pt idx="802">
                  <c:v>4083.7698715729352</c:v>
                </c:pt>
                <c:pt idx="803">
                  <c:v>4083.7698715729352</c:v>
                </c:pt>
                <c:pt idx="804">
                  <c:v>4126.1698715729353</c:v>
                </c:pt>
                <c:pt idx="805">
                  <c:v>4196.569871572935</c:v>
                </c:pt>
                <c:pt idx="806">
                  <c:v>4172.569871572935</c:v>
                </c:pt>
                <c:pt idx="807">
                  <c:v>4172.569871572935</c:v>
                </c:pt>
                <c:pt idx="808">
                  <c:v>4140.569871572935</c:v>
                </c:pt>
                <c:pt idx="809">
                  <c:v>4156.569871572935</c:v>
                </c:pt>
                <c:pt idx="810">
                  <c:v>4179.2365382396019</c:v>
                </c:pt>
                <c:pt idx="811">
                  <c:v>4179.2365382396019</c:v>
                </c:pt>
                <c:pt idx="812">
                  <c:v>4179.2365382396019</c:v>
                </c:pt>
                <c:pt idx="813">
                  <c:v>4217.9032049062689</c:v>
                </c:pt>
                <c:pt idx="814">
                  <c:v>4217.9032049062689</c:v>
                </c:pt>
                <c:pt idx="815">
                  <c:v>4217.9032049062689</c:v>
                </c:pt>
                <c:pt idx="816">
                  <c:v>4217.9032049062689</c:v>
                </c:pt>
                <c:pt idx="817">
                  <c:v>4217.9032049062689</c:v>
                </c:pt>
                <c:pt idx="818">
                  <c:v>4217.9032049062689</c:v>
                </c:pt>
                <c:pt idx="819">
                  <c:v>4217.9032049062689</c:v>
                </c:pt>
                <c:pt idx="820">
                  <c:v>4217.9032049062689</c:v>
                </c:pt>
                <c:pt idx="821">
                  <c:v>4217.9032049062689</c:v>
                </c:pt>
                <c:pt idx="823">
                  <c:v>4233.9032049062689</c:v>
                </c:pt>
                <c:pt idx="824">
                  <c:v>4249.9032049062689</c:v>
                </c:pt>
                <c:pt idx="825">
                  <c:v>4249.9032049062689</c:v>
                </c:pt>
                <c:pt idx="826">
                  <c:v>4249.9032049062689</c:v>
                </c:pt>
                <c:pt idx="827">
                  <c:v>4263.9269549063056</c:v>
                </c:pt>
                <c:pt idx="828">
                  <c:v>4263.9269549063056</c:v>
                </c:pt>
                <c:pt idx="829">
                  <c:v>4263.9269549063056</c:v>
                </c:pt>
                <c:pt idx="830">
                  <c:v>4263.9269549063056</c:v>
                </c:pt>
                <c:pt idx="831">
                  <c:v>4263.9269549063056</c:v>
                </c:pt>
                <c:pt idx="832">
                  <c:v>4263.9269549063056</c:v>
                </c:pt>
                <c:pt idx="833">
                  <c:v>4263.9269549063056</c:v>
                </c:pt>
                <c:pt idx="834">
                  <c:v>4291.3555263348771</c:v>
                </c:pt>
                <c:pt idx="835">
                  <c:v>4291.3555263348771</c:v>
                </c:pt>
                <c:pt idx="836">
                  <c:v>4291.3555263348771</c:v>
                </c:pt>
                <c:pt idx="837">
                  <c:v>4291.3555263348771</c:v>
                </c:pt>
                <c:pt idx="838">
                  <c:v>4291.3555263348771</c:v>
                </c:pt>
                <c:pt idx="839">
                  <c:v>4291.3555263348771</c:v>
                </c:pt>
                <c:pt idx="840">
                  <c:v>4291.3555263348771</c:v>
                </c:pt>
                <c:pt idx="841">
                  <c:v>4307.3555263348771</c:v>
                </c:pt>
                <c:pt idx="842">
                  <c:v>4307.3555263348771</c:v>
                </c:pt>
                <c:pt idx="843">
                  <c:v>4307.3555263348771</c:v>
                </c:pt>
                <c:pt idx="844">
                  <c:v>4323.3555263348771</c:v>
                </c:pt>
                <c:pt idx="845">
                  <c:v>4291.3555263348835</c:v>
                </c:pt>
                <c:pt idx="846">
                  <c:v>4315.3555263348835</c:v>
                </c:pt>
                <c:pt idx="847">
                  <c:v>4315.3555263348835</c:v>
                </c:pt>
                <c:pt idx="848">
                  <c:v>4315.3555263348835</c:v>
                </c:pt>
                <c:pt idx="849">
                  <c:v>4315.3555263348835</c:v>
                </c:pt>
                <c:pt idx="851">
                  <c:v>4315.3555263348835</c:v>
                </c:pt>
                <c:pt idx="852">
                  <c:v>4315.3555263348835</c:v>
                </c:pt>
                <c:pt idx="853">
                  <c:v>4315.3555263348835</c:v>
                </c:pt>
                <c:pt idx="854">
                  <c:v>4315.3555263348835</c:v>
                </c:pt>
                <c:pt idx="855">
                  <c:v>4315.3555263348835</c:v>
                </c:pt>
                <c:pt idx="856">
                  <c:v>4315.3555263348835</c:v>
                </c:pt>
                <c:pt idx="857">
                  <c:v>4315.3555263348835</c:v>
                </c:pt>
                <c:pt idx="858">
                  <c:v>4315.3555263348835</c:v>
                </c:pt>
                <c:pt idx="859">
                  <c:v>4315.3555263348835</c:v>
                </c:pt>
                <c:pt idx="860">
                  <c:v>4315.3555263348835</c:v>
                </c:pt>
                <c:pt idx="861">
                  <c:v>4315.3555263348835</c:v>
                </c:pt>
                <c:pt idx="862">
                  <c:v>4315.3555263348835</c:v>
                </c:pt>
                <c:pt idx="863">
                  <c:v>4315.3555263348835</c:v>
                </c:pt>
                <c:pt idx="864">
                  <c:v>4267.3555263348817</c:v>
                </c:pt>
                <c:pt idx="865">
                  <c:v>4267.3555263348817</c:v>
                </c:pt>
                <c:pt idx="866">
                  <c:v>4283.3555263348817</c:v>
                </c:pt>
                <c:pt idx="867">
                  <c:v>4283.3555263348817</c:v>
                </c:pt>
                <c:pt idx="868">
                  <c:v>4283.3555263348817</c:v>
                </c:pt>
                <c:pt idx="869">
                  <c:v>4283.3555263348817</c:v>
                </c:pt>
                <c:pt idx="870">
                  <c:v>4283.3555263348817</c:v>
                </c:pt>
                <c:pt idx="871">
                  <c:v>4299.3555263348817</c:v>
                </c:pt>
                <c:pt idx="872">
                  <c:v>4299.3555263348817</c:v>
                </c:pt>
                <c:pt idx="873">
                  <c:v>4299.3555263348817</c:v>
                </c:pt>
                <c:pt idx="874">
                  <c:v>4315.3555263348817</c:v>
                </c:pt>
                <c:pt idx="875">
                  <c:v>4315.3555263348817</c:v>
                </c:pt>
                <c:pt idx="876">
                  <c:v>4331.3555263348817</c:v>
                </c:pt>
                <c:pt idx="877">
                  <c:v>4331.3555263348817</c:v>
                </c:pt>
                <c:pt idx="878">
                  <c:v>4331.3555263348817</c:v>
                </c:pt>
                <c:pt idx="879">
                  <c:v>4331.3555263348817</c:v>
                </c:pt>
                <c:pt idx="880">
                  <c:v>4379.3555263348817</c:v>
                </c:pt>
                <c:pt idx="881">
                  <c:v>4379.3555263348817</c:v>
                </c:pt>
                <c:pt idx="882">
                  <c:v>4395.3555263348817</c:v>
                </c:pt>
                <c:pt idx="883">
                  <c:v>4395.3555263348817</c:v>
                </c:pt>
                <c:pt idx="884">
                  <c:v>4395.3555263348817</c:v>
                </c:pt>
                <c:pt idx="885">
                  <c:v>4395.3555263348817</c:v>
                </c:pt>
                <c:pt idx="886">
                  <c:v>4395.3555263348817</c:v>
                </c:pt>
                <c:pt idx="887">
                  <c:v>4395.3555263348817</c:v>
                </c:pt>
                <c:pt idx="888">
                  <c:v>4427.3555263348817</c:v>
                </c:pt>
                <c:pt idx="889">
                  <c:v>4427.3555263348817</c:v>
                </c:pt>
                <c:pt idx="890">
                  <c:v>4235.3555263348817</c:v>
                </c:pt>
                <c:pt idx="891">
                  <c:v>4181.8495263348714</c:v>
                </c:pt>
                <c:pt idx="892">
                  <c:v>4197.8495263348714</c:v>
                </c:pt>
                <c:pt idx="893">
                  <c:v>4213.8495263348714</c:v>
                </c:pt>
                <c:pt idx="894">
                  <c:v>4213.8495263348714</c:v>
                </c:pt>
                <c:pt idx="895">
                  <c:v>4213.8495263348714</c:v>
                </c:pt>
                <c:pt idx="896">
                  <c:v>4229.8495263348714</c:v>
                </c:pt>
                <c:pt idx="897">
                  <c:v>4229.8495263348714</c:v>
                </c:pt>
                <c:pt idx="898">
                  <c:v>4229.8495263348714</c:v>
                </c:pt>
                <c:pt idx="899">
                  <c:v>4229.8495263348714</c:v>
                </c:pt>
                <c:pt idx="900">
                  <c:v>4229.8495263348714</c:v>
                </c:pt>
                <c:pt idx="901">
                  <c:v>4229.8495263348714</c:v>
                </c:pt>
                <c:pt idx="902">
                  <c:v>4229.8495263348714</c:v>
                </c:pt>
                <c:pt idx="904">
                  <c:v>4245.8495263348714</c:v>
                </c:pt>
                <c:pt idx="905">
                  <c:v>4245.8495263348714</c:v>
                </c:pt>
                <c:pt idx="906">
                  <c:v>4245.8495263348714</c:v>
                </c:pt>
                <c:pt idx="907">
                  <c:v>4245.8495263348714</c:v>
                </c:pt>
                <c:pt idx="908">
                  <c:v>4245.8495263348714</c:v>
                </c:pt>
                <c:pt idx="909">
                  <c:v>4245.8495263348714</c:v>
                </c:pt>
                <c:pt idx="910">
                  <c:v>4261.8495263348714</c:v>
                </c:pt>
                <c:pt idx="911">
                  <c:v>4266.6495263348716</c:v>
                </c:pt>
                <c:pt idx="912">
                  <c:v>4252.9352406205862</c:v>
                </c:pt>
                <c:pt idx="913">
                  <c:v>4268.9352406205862</c:v>
                </c:pt>
                <c:pt idx="914">
                  <c:v>4268.9352406205862</c:v>
                </c:pt>
                <c:pt idx="915">
                  <c:v>4268.9352406205862</c:v>
                </c:pt>
                <c:pt idx="916">
                  <c:v>4268.9352406205862</c:v>
                </c:pt>
                <c:pt idx="917">
                  <c:v>4268.9352406205862</c:v>
                </c:pt>
                <c:pt idx="918">
                  <c:v>4268.9352406205862</c:v>
                </c:pt>
                <c:pt idx="919">
                  <c:v>4268.9352406205862</c:v>
                </c:pt>
                <c:pt idx="920">
                  <c:v>4233.7352406205864</c:v>
                </c:pt>
                <c:pt idx="921">
                  <c:v>4233.7352406205864</c:v>
                </c:pt>
                <c:pt idx="922">
                  <c:v>4233.7352406205864</c:v>
                </c:pt>
                <c:pt idx="924">
                  <c:v>4242.7352406205864</c:v>
                </c:pt>
                <c:pt idx="925">
                  <c:v>4242.7352406205864</c:v>
                </c:pt>
                <c:pt idx="926">
                  <c:v>4242.7352406205864</c:v>
                </c:pt>
                <c:pt idx="927">
                  <c:v>4242.7352406205864</c:v>
                </c:pt>
                <c:pt idx="928">
                  <c:v>4247.0988769842224</c:v>
                </c:pt>
                <c:pt idx="929">
                  <c:v>4247.0988769842224</c:v>
                </c:pt>
                <c:pt idx="930">
                  <c:v>4247.0988769842224</c:v>
                </c:pt>
                <c:pt idx="931">
                  <c:v>4247.0988769842224</c:v>
                </c:pt>
                <c:pt idx="932">
                  <c:v>4247.0988769842224</c:v>
                </c:pt>
                <c:pt idx="933">
                  <c:v>4247.0988769842224</c:v>
                </c:pt>
                <c:pt idx="934">
                  <c:v>4247.0988769842224</c:v>
                </c:pt>
                <c:pt idx="935">
                  <c:v>4247.0988769842224</c:v>
                </c:pt>
                <c:pt idx="936">
                  <c:v>4247.0988769842224</c:v>
                </c:pt>
                <c:pt idx="937">
                  <c:v>4247.0988769842224</c:v>
                </c:pt>
                <c:pt idx="938">
                  <c:v>4247.0988769842224</c:v>
                </c:pt>
                <c:pt idx="939">
                  <c:v>4263.0988769842224</c:v>
                </c:pt>
                <c:pt idx="940">
                  <c:v>4279.0988769842224</c:v>
                </c:pt>
                <c:pt idx="941">
                  <c:v>4279.0988769842224</c:v>
                </c:pt>
                <c:pt idx="942">
                  <c:v>4311.0988769842224</c:v>
                </c:pt>
                <c:pt idx="943">
                  <c:v>4311.0988769842224</c:v>
                </c:pt>
                <c:pt idx="944">
                  <c:v>4311.0988769842224</c:v>
                </c:pt>
                <c:pt idx="945">
                  <c:v>4343.0988769842224</c:v>
                </c:pt>
                <c:pt idx="946">
                  <c:v>4343.0988769842224</c:v>
                </c:pt>
                <c:pt idx="947">
                  <c:v>4343.0988769842224</c:v>
                </c:pt>
                <c:pt idx="948">
                  <c:v>4343.0988769842224</c:v>
                </c:pt>
                <c:pt idx="949">
                  <c:v>4307.0988769841533</c:v>
                </c:pt>
                <c:pt idx="950">
                  <c:v>4307.0988769841533</c:v>
                </c:pt>
                <c:pt idx="951">
                  <c:v>4336.4322103174864</c:v>
                </c:pt>
                <c:pt idx="952">
                  <c:v>4336.4322103174864</c:v>
                </c:pt>
                <c:pt idx="953">
                  <c:v>4352.4322103174864</c:v>
                </c:pt>
                <c:pt idx="954">
                  <c:v>4369.3733867880746</c:v>
                </c:pt>
                <c:pt idx="955">
                  <c:v>4369.3733867880746</c:v>
                </c:pt>
                <c:pt idx="956">
                  <c:v>4369.3733867880746</c:v>
                </c:pt>
                <c:pt idx="957">
                  <c:v>4377.3733867880746</c:v>
                </c:pt>
                <c:pt idx="958">
                  <c:v>4377.3733867880746</c:v>
                </c:pt>
                <c:pt idx="959">
                  <c:v>4377.3733867880746</c:v>
                </c:pt>
                <c:pt idx="960">
                  <c:v>4377.3733867880746</c:v>
                </c:pt>
                <c:pt idx="961">
                  <c:v>4377.3733867880746</c:v>
                </c:pt>
                <c:pt idx="962">
                  <c:v>4361.3733867880746</c:v>
                </c:pt>
                <c:pt idx="963">
                  <c:v>4361.3733867880746</c:v>
                </c:pt>
                <c:pt idx="965">
                  <c:v>4361.3733867880746</c:v>
                </c:pt>
                <c:pt idx="966">
                  <c:v>4377.3733867880746</c:v>
                </c:pt>
                <c:pt idx="967">
                  <c:v>4377.3733867880746</c:v>
                </c:pt>
                <c:pt idx="968">
                  <c:v>4377.3733867880746</c:v>
                </c:pt>
                <c:pt idx="969">
                  <c:v>4377.3733867880746</c:v>
                </c:pt>
                <c:pt idx="970">
                  <c:v>4377.3733867880746</c:v>
                </c:pt>
                <c:pt idx="971">
                  <c:v>4393.3733867880746</c:v>
                </c:pt>
                <c:pt idx="972">
                  <c:v>4393.3733867880746</c:v>
                </c:pt>
                <c:pt idx="973">
                  <c:v>4409.3733867880746</c:v>
                </c:pt>
                <c:pt idx="974">
                  <c:v>4409.3733867880746</c:v>
                </c:pt>
                <c:pt idx="975">
                  <c:v>4425.3733867880746</c:v>
                </c:pt>
                <c:pt idx="976">
                  <c:v>4441.3733867880746</c:v>
                </c:pt>
                <c:pt idx="977">
                  <c:v>4441.3733867880746</c:v>
                </c:pt>
                <c:pt idx="978">
                  <c:v>4441.3733867880746</c:v>
                </c:pt>
                <c:pt idx="979">
                  <c:v>4441.3733867880746</c:v>
                </c:pt>
                <c:pt idx="980">
                  <c:v>4441.3733867880746</c:v>
                </c:pt>
                <c:pt idx="981">
                  <c:v>4441.3733867880746</c:v>
                </c:pt>
                <c:pt idx="982">
                  <c:v>4496.0400534547416</c:v>
                </c:pt>
                <c:pt idx="983">
                  <c:v>4496.0400534547416</c:v>
                </c:pt>
                <c:pt idx="984">
                  <c:v>4496.0400534547416</c:v>
                </c:pt>
                <c:pt idx="986">
                  <c:v>4512.0400534547416</c:v>
                </c:pt>
                <c:pt idx="987">
                  <c:v>4512.0400534547416</c:v>
                </c:pt>
                <c:pt idx="988">
                  <c:v>4512.0400534547416</c:v>
                </c:pt>
                <c:pt idx="989">
                  <c:v>4512.0400534547416</c:v>
                </c:pt>
                <c:pt idx="990">
                  <c:v>4512.0400534547416</c:v>
                </c:pt>
                <c:pt idx="991">
                  <c:v>4512.0400534547416</c:v>
                </c:pt>
                <c:pt idx="992">
                  <c:v>4512.0400534547416</c:v>
                </c:pt>
                <c:pt idx="993">
                  <c:v>4512.0400534547416</c:v>
                </c:pt>
                <c:pt idx="994">
                  <c:v>4528.0400534547416</c:v>
                </c:pt>
                <c:pt idx="995">
                  <c:v>4528.0400534547416</c:v>
                </c:pt>
                <c:pt idx="996">
                  <c:v>4528.0400534547416</c:v>
                </c:pt>
                <c:pt idx="997">
                  <c:v>4543.0400534547416</c:v>
                </c:pt>
                <c:pt idx="998">
                  <c:v>4591.0400534547416</c:v>
                </c:pt>
                <c:pt idx="999">
                  <c:v>4591.0400534547416</c:v>
                </c:pt>
                <c:pt idx="1000">
                  <c:v>4591.0400534547416</c:v>
                </c:pt>
                <c:pt idx="1001">
                  <c:v>4591.0400534547416</c:v>
                </c:pt>
                <c:pt idx="1002">
                  <c:v>4591.0400534547416</c:v>
                </c:pt>
                <c:pt idx="1003">
                  <c:v>4591.0400534547416</c:v>
                </c:pt>
                <c:pt idx="1004">
                  <c:v>4591.0400534547416</c:v>
                </c:pt>
                <c:pt idx="1005">
                  <c:v>4593.7067201214086</c:v>
                </c:pt>
                <c:pt idx="1006">
                  <c:v>4610.4686248833132</c:v>
                </c:pt>
                <c:pt idx="1007">
                  <c:v>4610.4686248833132</c:v>
                </c:pt>
                <c:pt idx="1008">
                  <c:v>4610.4686248833132</c:v>
                </c:pt>
                <c:pt idx="1009">
                  <c:v>4610.4686248833132</c:v>
                </c:pt>
                <c:pt idx="1010">
                  <c:v>4610.4686248833132</c:v>
                </c:pt>
                <c:pt idx="1011">
                  <c:v>4610.4686248833132</c:v>
                </c:pt>
                <c:pt idx="1012">
                  <c:v>4610.4686248833132</c:v>
                </c:pt>
                <c:pt idx="1013">
                  <c:v>4610.4686248833132</c:v>
                </c:pt>
                <c:pt idx="1014">
                  <c:v>4610.4686248833132</c:v>
                </c:pt>
                <c:pt idx="1015">
                  <c:v>4626.4686248833132</c:v>
                </c:pt>
                <c:pt idx="1016">
                  <c:v>4626.4686248833132</c:v>
                </c:pt>
                <c:pt idx="1017">
                  <c:v>4626.4686248833132</c:v>
                </c:pt>
                <c:pt idx="1018">
                  <c:v>4626.4686248833132</c:v>
                </c:pt>
                <c:pt idx="1019">
                  <c:v>4626.4686248833132</c:v>
                </c:pt>
                <c:pt idx="1020">
                  <c:v>4642.4686248833132</c:v>
                </c:pt>
                <c:pt idx="1021">
                  <c:v>4642.4686248833132</c:v>
                </c:pt>
                <c:pt idx="1022">
                  <c:v>4658.4686248833132</c:v>
                </c:pt>
                <c:pt idx="1023">
                  <c:v>4658.4686248833132</c:v>
                </c:pt>
                <c:pt idx="1024">
                  <c:v>4658.4686248833132</c:v>
                </c:pt>
                <c:pt idx="1025">
                  <c:v>4658.4686248833132</c:v>
                </c:pt>
                <c:pt idx="1026">
                  <c:v>4658.4686248833132</c:v>
                </c:pt>
                <c:pt idx="1027">
                  <c:v>4706.468624883315</c:v>
                </c:pt>
                <c:pt idx="1028">
                  <c:v>4722.468624883315</c:v>
                </c:pt>
                <c:pt idx="1029">
                  <c:v>4738.468624883315</c:v>
                </c:pt>
                <c:pt idx="1030">
                  <c:v>4738.468624883315</c:v>
                </c:pt>
                <c:pt idx="1031">
                  <c:v>4738.468624883315</c:v>
                </c:pt>
                <c:pt idx="1032">
                  <c:v>4738.468624883315</c:v>
                </c:pt>
                <c:pt idx="1033">
                  <c:v>4738.468624883315</c:v>
                </c:pt>
                <c:pt idx="1034">
                  <c:v>4738.468624883315</c:v>
                </c:pt>
                <c:pt idx="1035">
                  <c:v>4738.468624883315</c:v>
                </c:pt>
                <c:pt idx="1036">
                  <c:v>4738.468624883315</c:v>
                </c:pt>
                <c:pt idx="1037">
                  <c:v>4738.468624883315</c:v>
                </c:pt>
                <c:pt idx="1039">
                  <c:v>4647.0400534547434</c:v>
                </c:pt>
                <c:pt idx="1040">
                  <c:v>4663.0400534547434</c:v>
                </c:pt>
                <c:pt idx="1041">
                  <c:v>4679.0400534547434</c:v>
                </c:pt>
                <c:pt idx="1042">
                  <c:v>4645.2622756769661</c:v>
                </c:pt>
                <c:pt idx="1043">
                  <c:v>4661.2622756769661</c:v>
                </c:pt>
                <c:pt idx="1045">
                  <c:v>4613.2622756769661</c:v>
                </c:pt>
                <c:pt idx="1046">
                  <c:v>4613.2622756769661</c:v>
                </c:pt>
                <c:pt idx="1047">
                  <c:v>4621.8922756769825</c:v>
                </c:pt>
                <c:pt idx="1048">
                  <c:v>4621.8922756769825</c:v>
                </c:pt>
                <c:pt idx="1049">
                  <c:v>4669.8922756769825</c:v>
                </c:pt>
                <c:pt idx="1050">
                  <c:v>4669.8922756769825</c:v>
                </c:pt>
                <c:pt idx="1051">
                  <c:v>4669.8922756769825</c:v>
                </c:pt>
                <c:pt idx="1052">
                  <c:v>4669.8922756769825</c:v>
                </c:pt>
                <c:pt idx="1053">
                  <c:v>4669.8922756769825</c:v>
                </c:pt>
                <c:pt idx="1054">
                  <c:v>4669.8922756769825</c:v>
                </c:pt>
                <c:pt idx="1055">
                  <c:v>4669.8922756769825</c:v>
                </c:pt>
                <c:pt idx="1056">
                  <c:v>4669.8922756769825</c:v>
                </c:pt>
                <c:pt idx="1057">
                  <c:v>4685.8922756769825</c:v>
                </c:pt>
                <c:pt idx="1058">
                  <c:v>4693.8922756769825</c:v>
                </c:pt>
                <c:pt idx="1059">
                  <c:v>4693.8922756769825</c:v>
                </c:pt>
                <c:pt idx="1060">
                  <c:v>4693.8922756769825</c:v>
                </c:pt>
                <c:pt idx="1061">
                  <c:v>4693.8922756769825</c:v>
                </c:pt>
                <c:pt idx="1062">
                  <c:v>4693.8922756769825</c:v>
                </c:pt>
                <c:pt idx="1063">
                  <c:v>4693.8922756769825</c:v>
                </c:pt>
                <c:pt idx="1064">
                  <c:v>4698.463704248411</c:v>
                </c:pt>
                <c:pt idx="1065">
                  <c:v>4770.4637042484483</c:v>
                </c:pt>
                <c:pt idx="1066">
                  <c:v>4770.4637042484483</c:v>
                </c:pt>
                <c:pt idx="1067">
                  <c:v>4770.4637042484483</c:v>
                </c:pt>
                <c:pt idx="1068">
                  <c:v>4770.4637042484483</c:v>
                </c:pt>
                <c:pt idx="1069">
                  <c:v>4770.4637042484483</c:v>
                </c:pt>
                <c:pt idx="1070">
                  <c:v>4770.4637042484483</c:v>
                </c:pt>
                <c:pt idx="1071">
                  <c:v>4770.4637042484483</c:v>
                </c:pt>
                <c:pt idx="1072">
                  <c:v>4770.4637042484483</c:v>
                </c:pt>
                <c:pt idx="1073">
                  <c:v>4770.4637042484483</c:v>
                </c:pt>
              </c:numCache>
            </c:numRef>
          </c:val>
          <c:smooth val="0"/>
          <c:extLst>
            <c:ext xmlns:c16="http://schemas.microsoft.com/office/drawing/2014/chart" uri="{C3380CC4-5D6E-409C-BE32-E72D297353CC}">
              <c16:uniqueId val="{00000001-0CB9-4425-94C6-D76EFA39C12C}"/>
            </c:ext>
          </c:extLst>
        </c:ser>
        <c:dLbls>
          <c:showLegendKey val="0"/>
          <c:showVal val="0"/>
          <c:showCatName val="0"/>
          <c:showSerName val="0"/>
          <c:showPercent val="0"/>
          <c:showBubbleSize val="0"/>
        </c:dLbls>
        <c:smooth val="0"/>
        <c:axId val="1322606512"/>
        <c:axId val="1634060128"/>
      </c:lineChart>
      <c:catAx>
        <c:axId val="1322606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lumMod val="50000"/>
                  </a:schemeClr>
                </a:solidFill>
                <a:latin typeface="+mn-lt"/>
                <a:ea typeface="+mn-ea"/>
                <a:cs typeface="+mn-cs"/>
              </a:defRPr>
            </a:pPr>
            <a:endParaRPr lang="en-US"/>
          </a:p>
        </c:txPr>
        <c:crossAx val="1634060128"/>
        <c:crosses val="autoZero"/>
        <c:auto val="1"/>
        <c:lblAlgn val="ctr"/>
        <c:lblOffset val="100"/>
        <c:noMultiLvlLbl val="0"/>
      </c:catAx>
      <c:valAx>
        <c:axId val="1634060128"/>
        <c:scaling>
          <c:orientation val="minMax"/>
        </c:scaling>
        <c:delete val="0"/>
        <c:axPos val="l"/>
        <c:majorGridlines>
          <c:spPr>
            <a:ln w="9525" cap="flat" cmpd="sng" algn="ctr">
              <a:solidFill>
                <a:schemeClr val="bg2">
                  <a:lumMod val="7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2606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Efficiency: Net PnL/Order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rgbClr val="262626"/>
            </a:solidFill>
            <a:ln>
              <a:noFill/>
            </a:ln>
            <a:effectLst/>
          </c:spPr>
          <c:invertIfNegative val="1"/>
          <c:dLbls>
            <c:dLbl>
              <c:idx val="0"/>
              <c:tx>
                <c:rich>
                  <a:bodyPr/>
                  <a:lstStyle/>
                  <a:p>
                    <a:fld id="{6C8DAF5D-96F4-4F73-AFED-81B2CA8E2812}" type="CELLRANGE">
                      <a:rPr lang="en-US"/>
                      <a:pPr/>
                      <a:t>[]</a:t>
                    </a:fld>
                    <a:endParaRPr/>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4075-4D16-AB51-D60BED86DE9A}"/>
                </c:ext>
              </c:extLst>
            </c:dLbl>
            <c:dLbl>
              <c:idx val="1"/>
              <c:tx>
                <c:rich>
                  <a:bodyPr/>
                  <a:lstStyle/>
                  <a:p>
                    <a:fld id="{12ADE546-7891-44A9-96D5-97F90CF6C434}" type="CELLRANGE">
                      <a:rPr lang="en-US"/>
                      <a:pPr/>
                      <a:t>[]</a:t>
                    </a:fld>
                    <a:endParaRPr/>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4075-4D16-AB51-D60BED86DE9A}"/>
                </c:ext>
              </c:extLst>
            </c:dLbl>
            <c:dLbl>
              <c:idx val="2"/>
              <c:tx>
                <c:rich>
                  <a:bodyPr/>
                  <a:lstStyle/>
                  <a:p>
                    <a:fld id="{EC30FA5F-71A8-430F-A18C-0586F407C999}" type="CELLRANGE">
                      <a:rPr lang="en-US"/>
                      <a:pPr/>
                      <a:t>[]</a:t>
                    </a:fld>
                    <a:endParaRPr/>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4075-4D16-AB51-D60BED86DE9A}"/>
                </c:ext>
              </c:extLst>
            </c:dLbl>
            <c:dLbl>
              <c:idx val="3"/>
              <c:tx>
                <c:rich>
                  <a:bodyPr/>
                  <a:lstStyle/>
                  <a:p>
                    <a:fld id="{95CB73F8-D9F5-40B6-9548-341EA5B54D7A}" type="CELLRANGE">
                      <a:rPr lang="en-US"/>
                      <a:pPr/>
                      <a:t>[]</a:t>
                    </a:fld>
                    <a:endParaRPr/>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4075-4D16-AB51-D60BED86DE9A}"/>
                </c:ext>
              </c:extLst>
            </c:dLbl>
            <c:dLbl>
              <c:idx val="4"/>
              <c:tx>
                <c:rich>
                  <a:bodyPr/>
                  <a:lstStyle/>
                  <a:p>
                    <a:fld id="{505EA05B-C67B-46FB-8A34-7459B200BB80}" type="CELLRANGE">
                      <a:rPr lang="en-US"/>
                      <a:pPr/>
                      <a:t>[]</a:t>
                    </a:fld>
                    <a:endParaRPr/>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4075-4D16-AB51-D60BED86DE9A}"/>
                </c:ext>
              </c:extLst>
            </c:dLbl>
            <c:dLbl>
              <c:idx val="5"/>
              <c:tx>
                <c:rich>
                  <a:bodyPr/>
                  <a:lstStyle/>
                  <a:p>
                    <a:fld id="{C6F9D3D5-1FD8-4F01-9491-3484B05151F4}" type="CELLRANGE">
                      <a:rPr lang="en-US"/>
                      <a:pPr/>
                      <a:t>[]</a:t>
                    </a:fld>
                    <a:endParaRPr/>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4075-4D16-AB51-D60BED86DE9A}"/>
                </c:ext>
              </c:extLst>
            </c:dLbl>
            <c:dLbl>
              <c:idx val="6"/>
              <c:tx>
                <c:rich>
                  <a:bodyPr/>
                  <a:lstStyle/>
                  <a:p>
                    <a:fld id="{3F1DC4AB-E0A5-4A23-851B-208620E1B9F4}" type="CELLRANGE">
                      <a:rPr lang="en-US"/>
                      <a:pPr/>
                      <a:t>[]</a:t>
                    </a:fld>
                    <a:endParaRPr/>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4075-4D16-AB51-D60BED86DE9A}"/>
                </c:ext>
              </c:extLst>
            </c:dLbl>
            <c:dLbl>
              <c:idx val="7"/>
              <c:tx>
                <c:rich>
                  <a:bodyPr/>
                  <a:lstStyle/>
                  <a:p>
                    <a:fld id="{E970C67F-5A72-46F2-8A98-F1CD6501A54A}" type="CELLRANGE">
                      <a:rPr lang="en-US"/>
                      <a:pPr/>
                      <a:t>[]</a:t>
                    </a:fld>
                    <a:endParaRPr/>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4075-4D16-AB51-D60BED86DE9A}"/>
                </c:ext>
              </c:extLst>
            </c:dLbl>
            <c:dLbl>
              <c:idx val="8"/>
              <c:tx>
                <c:rich>
                  <a:bodyPr/>
                  <a:lstStyle/>
                  <a:p>
                    <a:fld id="{57ED0E6E-9869-41AB-ABEC-71A71F5B99E8}" type="CELLRANGE">
                      <a:rPr lang="en-US"/>
                      <a:pPr/>
                      <a:t>[]</a:t>
                    </a:fld>
                    <a:endParaRPr/>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4075-4D16-AB51-D60BED86DE9A}"/>
                </c:ext>
              </c:extLst>
            </c:dLbl>
            <c:dLbl>
              <c:idx val="9"/>
              <c:tx>
                <c:rich>
                  <a:bodyPr/>
                  <a:lstStyle/>
                  <a:p>
                    <a:fld id="{6CDB4679-A7EC-43A2-9BA6-5BB528BF4A40}" type="CELLRANGE">
                      <a:rPr lang="en-US"/>
                      <a:pPr/>
                      <a:t>[]</a:t>
                    </a:fld>
                    <a:endParaRPr/>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4075-4D16-AB51-D60BED86DE9A}"/>
                </c:ext>
              </c:extLst>
            </c:dLbl>
            <c:dLbl>
              <c:idx val="10"/>
              <c:tx>
                <c:rich>
                  <a:bodyPr/>
                  <a:lstStyle/>
                  <a:p>
                    <a:fld id="{D7319C66-DE36-4C34-9884-BF8EF8E8ECC3}" type="CELLRANGE">
                      <a:rPr lang="en-US"/>
                      <a:pPr/>
                      <a:t>[]</a:t>
                    </a:fld>
                    <a:endParaRPr/>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4075-4D16-AB51-D60BED86DE9A}"/>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2">
                        <a:lumMod val="9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'PERFORMANCE ANALYSIS'!$B$6:$B$17</c:f>
              <c:strCache>
                <c:ptCount val="11"/>
                <c:pt idx="0">
                  <c:v>TECHNICAL</c:v>
                </c:pt>
                <c:pt idx="1">
                  <c:v>FUNDAMENTAL</c:v>
                </c:pt>
                <c:pt idx="2">
                  <c:v>CURVE</c:v>
                </c:pt>
                <c:pt idx="3">
                  <c:v>WHITES</c:v>
                </c:pt>
                <c:pt idx="4">
                  <c:v>REDS</c:v>
                </c:pt>
                <c:pt idx="5">
                  <c:v>BONDS</c:v>
                </c:pt>
                <c:pt idx="6">
                  <c:v>OUTRIGHTS (IR,IB,YT)</c:v>
                </c:pt>
                <c:pt idx="7">
                  <c:v>SPREADS</c:v>
                </c:pt>
                <c:pt idx="8">
                  <c:v>FLIES</c:v>
                </c:pt>
                <c:pt idx="9">
                  <c:v>TED</c:v>
                </c:pt>
                <c:pt idx="10">
                  <c:v>YT-XT</c:v>
                </c:pt>
              </c:strCache>
            </c:strRef>
          </c:cat>
          <c:val>
            <c:numRef>
              <c:f>'PERFORMANCE ANALYSIS'!$U$6:$U$17</c:f>
              <c:numCache>
                <c:formatCode>0</c:formatCode>
                <c:ptCount val="11"/>
                <c:pt idx="0">
                  <c:v>40.000000000001293</c:v>
                </c:pt>
                <c:pt idx="1">
                  <c:v>6.9816666666750962</c:v>
                </c:pt>
                <c:pt idx="2">
                  <c:v>25.999999999999986</c:v>
                </c:pt>
                <c:pt idx="3">
                  <c:v>29.91304347826101</c:v>
                </c:pt>
                <c:pt idx="4">
                  <c:v>118.85714285714292</c:v>
                </c:pt>
                <c:pt idx="5">
                  <c:v>36.000000000018417</c:v>
                </c:pt>
                <c:pt idx="6">
                  <c:v>36.472500000022173</c:v>
                </c:pt>
                <c:pt idx="7">
                  <c:v>74.000000000000043</c:v>
                </c:pt>
                <c:pt idx="8">
                  <c:v>-60.799999999999955</c:v>
                </c:pt>
                <c:pt idx="9">
                  <c:v>0</c:v>
                </c:pt>
                <c:pt idx="10">
                  <c:v>0</c:v>
                </c:pt>
              </c:numCache>
            </c:numRef>
          </c:val>
          <c:extLst>
            <c:ext xmlns:c14="http://schemas.microsoft.com/office/drawing/2007/8/2/chart" uri="{6F2FDCE9-48DA-4B69-8628-5D25D57E5C99}">
              <c14:invertSolidFillFmt>
                <c14:spPr xmlns:c14="http://schemas.microsoft.com/office/drawing/2007/8/2/chart">
                  <a:solidFill>
                    <a:srgbClr val="DF007C"/>
                  </a:solidFill>
                  <a:ln>
                    <a:noFill/>
                  </a:ln>
                  <a:effectLst/>
                </c14:spPr>
              </c14:invertSolidFillFmt>
            </c:ext>
            <c:ext xmlns:c15="http://schemas.microsoft.com/office/drawing/2012/chart" uri="{02D57815-91ED-43cb-92C2-25804820EDAC}">
              <c15:datalabelsRange>
                <c15:f>'PERFORMANCE ANALYSIS'!$U$6:$U$17</c15:f>
                <c15:dlblRangeCache>
                  <c:ptCount val="11"/>
                  <c:pt idx="0">
                    <c:v>40</c:v>
                  </c:pt>
                  <c:pt idx="1">
                    <c:v>7</c:v>
                  </c:pt>
                  <c:pt idx="2">
                    <c:v>26</c:v>
                  </c:pt>
                  <c:pt idx="3">
                    <c:v>30</c:v>
                  </c:pt>
                  <c:pt idx="4">
                    <c:v>119</c:v>
                  </c:pt>
                  <c:pt idx="5">
                    <c:v>36</c:v>
                  </c:pt>
                  <c:pt idx="6">
                    <c:v>36</c:v>
                  </c:pt>
                  <c:pt idx="7">
                    <c:v>74</c:v>
                  </c:pt>
                  <c:pt idx="8">
                    <c:v>-61</c:v>
                  </c:pt>
                  <c:pt idx="9">
                    <c:v>0</c:v>
                  </c:pt>
                  <c:pt idx="10">
                    <c:v>0</c:v>
                  </c:pt>
                </c15:dlblRangeCache>
              </c15:datalabelsRange>
            </c:ext>
            <c:ext xmlns:c16="http://schemas.microsoft.com/office/drawing/2014/chart" uri="{C3380CC4-5D6E-409C-BE32-E72D297353CC}">
              <c16:uniqueId val="{00000000-4075-4D16-AB51-D60BED86DE9A}"/>
            </c:ext>
          </c:extLst>
        </c:ser>
        <c:dLbls>
          <c:showLegendKey val="0"/>
          <c:showVal val="0"/>
          <c:showCatName val="0"/>
          <c:showSerName val="0"/>
          <c:showPercent val="0"/>
          <c:showBubbleSize val="0"/>
        </c:dLbls>
        <c:gapWidth val="182"/>
        <c:axId val="367851423"/>
        <c:axId val="367844703"/>
      </c:barChart>
      <c:catAx>
        <c:axId val="367851423"/>
        <c:scaling>
          <c:orientation val="maxMin"/>
        </c:scaling>
        <c:delete val="0"/>
        <c:axPos val="l"/>
        <c:numFmt formatCode="General" sourceLinked="1"/>
        <c:majorTickMark val="none"/>
        <c:minorTickMark val="none"/>
        <c:tickLblPos val="low"/>
        <c:spPr>
          <a:noFill/>
          <a:ln w="9525" cap="flat" cmpd="sng" algn="ctr">
            <a:solidFill>
              <a:schemeClr val="bg2">
                <a:lumMod val="6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7844703"/>
        <c:crosses val="autoZero"/>
        <c:auto val="1"/>
        <c:lblAlgn val="ctr"/>
        <c:lblOffset val="300"/>
        <c:noMultiLvlLbl val="0"/>
      </c:catAx>
      <c:valAx>
        <c:axId val="367844703"/>
        <c:scaling>
          <c:orientation val="minMax"/>
        </c:scaling>
        <c:delete val="0"/>
        <c:axPos val="t"/>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7851423"/>
        <c:crosses val="autoZero"/>
        <c:crossBetween val="between"/>
      </c:valAx>
      <c:spPr>
        <a:noFill/>
        <a:ln>
          <a:noFill/>
        </a:ln>
        <a:effectLst/>
      </c:spPr>
    </c:plotArea>
    <c:plotVisOnly val="1"/>
    <c:dispBlanksAs val="gap"/>
    <c:showDLblsOverMax val="0"/>
  </c:chart>
  <c:spPr>
    <a:solidFill>
      <a:schemeClr val="tx1">
        <a:lumMod val="95000"/>
        <a:lumOff val="5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1" i="0" u="none" strike="noStrike" kern="1200" spc="0" baseline="0">
                <a:solidFill>
                  <a:schemeClr val="tx2">
                    <a:lumMod val="75000"/>
                    <a:lumOff val="25000"/>
                  </a:schemeClr>
                </a:solidFill>
                <a:latin typeface="+mn-lt"/>
                <a:ea typeface="+mn-ea"/>
                <a:cs typeface="+mn-cs"/>
              </a:defRPr>
            </a:pPr>
            <a:r>
              <a:rPr lang="en-IN" sz="1000" b="1">
                <a:solidFill>
                  <a:schemeClr val="tx2">
                    <a:lumMod val="75000"/>
                    <a:lumOff val="25000"/>
                  </a:schemeClr>
                </a:solidFill>
              </a:rPr>
              <a:t>SETUP</a:t>
            </a:r>
          </a:p>
        </c:rich>
      </c:tx>
      <c:overlay val="0"/>
      <c:spPr>
        <a:noFill/>
        <a:ln>
          <a:noFill/>
        </a:ln>
        <a:effectLst/>
      </c:spPr>
    </c:title>
    <c:autoTitleDeleted val="0"/>
    <c:plotArea>
      <c:layout>
        <c:manualLayout>
          <c:layoutTarget val="inner"/>
          <c:xMode val="edge"/>
          <c:yMode val="edge"/>
          <c:x val="3.6020407610748574E-2"/>
          <c:y val="0.17237285291398274"/>
          <c:w val="0.92795918477850281"/>
          <c:h val="0.70929927755031752"/>
        </c:manualLayout>
      </c:layout>
      <c:barChart>
        <c:barDir val="col"/>
        <c:grouping val="clustered"/>
        <c:varyColors val="0"/>
        <c:ser>
          <c:idx val="0"/>
          <c:order val="0"/>
          <c:spPr>
            <a:solidFill>
              <a:schemeClr val="tx2">
                <a:lumMod val="85000"/>
                <a:lumOff val="15000"/>
              </a:schemeClr>
            </a:solidFill>
            <a:ln w="177800">
              <a:solidFill>
                <a:schemeClr val="tx2">
                  <a:lumMod val="95000"/>
                  <a:lumOff val="5000"/>
                </a:schemeClr>
              </a:solidFill>
            </a:ln>
            <a:effectLst/>
          </c:spPr>
          <c:invertIfNegative val="0"/>
          <c:dPt>
            <c:idx val="2"/>
            <c:invertIfNegative val="0"/>
            <c:bubble3D val="0"/>
            <c:spPr>
              <a:solidFill>
                <a:schemeClr val="tx2">
                  <a:lumMod val="85000"/>
                  <a:lumOff val="15000"/>
                </a:schemeClr>
              </a:solidFill>
              <a:ln w="180975">
                <a:solidFill>
                  <a:schemeClr val="tx2">
                    <a:lumMod val="95000"/>
                    <a:lumOff val="5000"/>
                  </a:schemeClr>
                </a:solidFill>
              </a:ln>
              <a:effectLst/>
            </c:spPr>
            <c:extLst>
              <c:ext xmlns:c16="http://schemas.microsoft.com/office/drawing/2014/chart" uri="{C3380CC4-5D6E-409C-BE32-E72D297353CC}">
                <c16:uniqueId val="{00000003-3DE2-43E5-ADD1-A3DB653E8C74}"/>
              </c:ext>
            </c:extLst>
          </c:dPt>
          <c:dLbls>
            <c:spPr>
              <a:solidFill>
                <a:schemeClr val="tx1">
                  <a:lumMod val="95000"/>
                  <a:lumOff val="5000"/>
                </a:schemeClr>
              </a:solidFill>
              <a:ln>
                <a:noFill/>
              </a:ln>
              <a:effectLst/>
            </c:spPr>
            <c:txPr>
              <a:bodyPr rot="0" spcFirstLastPara="1" vertOverflow="ellipsis" vert="horz" wrap="none" lIns="38100" tIns="19050" rIns="38100" bIns="19050" anchor="ctr" anchorCtr="1">
                <a:spAutoFit/>
              </a:bodyPr>
              <a:lstStyle/>
              <a:p>
                <a:pPr>
                  <a:defRPr sz="2000" b="1" i="0" u="none" strike="noStrike" kern="1200" baseline="0">
                    <a:solidFill>
                      <a:schemeClr val="bg2">
                        <a:lumMod val="9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'PERFORMANCE ANALYSIS'!$B$6:$B$17</c15:sqref>
                  </c15:fullRef>
                </c:ext>
              </c:extLst>
              <c:f>('PERFORMANCE ANALYSIS'!$B$6:$B$8,'PERFORMANCE ANALYSIS'!$B$17)</c:f>
              <c:strCache>
                <c:ptCount val="3"/>
                <c:pt idx="0">
                  <c:v>TECHNICAL</c:v>
                </c:pt>
                <c:pt idx="1">
                  <c:v>FUNDAMENTAL</c:v>
                </c:pt>
                <c:pt idx="2">
                  <c:v>CURVE</c:v>
                </c:pt>
              </c:strCache>
            </c:strRef>
          </c:cat>
          <c:val>
            <c:numRef>
              <c:extLst>
                <c:ext xmlns:c15="http://schemas.microsoft.com/office/drawing/2012/chart" uri="{02D57815-91ED-43cb-92C2-25804820EDAC}">
                  <c15:fullRef>
                    <c15:sqref>'PERFORMANCE ANALYSIS'!$L$6:$L$17</c15:sqref>
                  </c15:fullRef>
                </c:ext>
              </c:extLst>
              <c:f>('PERFORMANCE ANALYSIS'!$L$6:$L$8,'PERFORMANCE ANALYSIS'!$L$17)</c:f>
              <c:numCache>
                <c:formatCode>"$"#,##0</c:formatCode>
                <c:ptCount val="3"/>
                <c:pt idx="0">
                  <c:v>1240.00000000004</c:v>
                </c:pt>
                <c:pt idx="1">
                  <c:v>41.890000000050577</c:v>
                </c:pt>
                <c:pt idx="2">
                  <c:v>207.99999999999989</c:v>
                </c:pt>
              </c:numCache>
            </c:numRef>
          </c:val>
          <c:extLst>
            <c:ext xmlns:c16="http://schemas.microsoft.com/office/drawing/2014/chart" uri="{C3380CC4-5D6E-409C-BE32-E72D297353CC}">
              <c16:uniqueId val="{00000000-68B6-4E0D-9635-34A8943EB731}"/>
            </c:ext>
          </c:extLst>
        </c:ser>
        <c:dLbls>
          <c:showLegendKey val="0"/>
          <c:showVal val="0"/>
          <c:showCatName val="0"/>
          <c:showSerName val="0"/>
          <c:showPercent val="0"/>
          <c:showBubbleSize val="0"/>
        </c:dLbls>
        <c:gapWidth val="500"/>
        <c:axId val="709832880"/>
        <c:axId val="611032896"/>
      </c:barChart>
      <c:catAx>
        <c:axId val="709832880"/>
        <c:scaling>
          <c:orientation val="minMax"/>
        </c:scaling>
        <c:delete val="0"/>
        <c:axPos val="b"/>
        <c:numFmt formatCode="General" sourceLinked="1"/>
        <c:majorTickMark val="none"/>
        <c:minorTickMark val="none"/>
        <c:tickLblPos val="low"/>
        <c:spPr>
          <a:noFill/>
          <a:ln w="9525" cap="flat" cmpd="sng" algn="ctr">
            <a:solidFill>
              <a:schemeClr val="tx2">
                <a:lumMod val="85000"/>
                <a:lumOff val="15000"/>
              </a:schemeClr>
            </a:solidFill>
            <a:round/>
          </a:ln>
          <a:effectLst/>
        </c:spPr>
        <c:txPr>
          <a:bodyPr rot="-60000000" spcFirstLastPara="1" vertOverflow="ellipsis" vert="horz" wrap="square" anchor="ctr" anchorCtr="1"/>
          <a:lstStyle/>
          <a:p>
            <a:pPr>
              <a:defRPr sz="900" b="1" i="0" u="none" strike="noStrike" kern="1200" baseline="0">
                <a:solidFill>
                  <a:schemeClr val="bg2">
                    <a:lumMod val="95000"/>
                  </a:schemeClr>
                </a:solidFill>
                <a:latin typeface="+mn-lt"/>
                <a:ea typeface="+mn-ea"/>
                <a:cs typeface="+mn-cs"/>
              </a:defRPr>
            </a:pPr>
            <a:endParaRPr lang="en-US"/>
          </a:p>
        </c:txPr>
        <c:crossAx val="611032896"/>
        <c:crosses val="autoZero"/>
        <c:auto val="1"/>
        <c:lblAlgn val="ctr"/>
        <c:lblOffset val="500"/>
        <c:noMultiLvlLbl val="0"/>
      </c:catAx>
      <c:valAx>
        <c:axId val="611032896"/>
        <c:scaling>
          <c:orientation val="minMax"/>
        </c:scaling>
        <c:delete val="1"/>
        <c:axPos val="l"/>
        <c:majorGridlines>
          <c:spPr>
            <a:ln w="9525" cap="flat" cmpd="sng" algn="ctr">
              <a:solidFill>
                <a:schemeClr val="tx2">
                  <a:lumMod val="95000"/>
                  <a:lumOff val="5000"/>
                </a:schemeClr>
              </a:solidFill>
              <a:round/>
            </a:ln>
            <a:effectLst/>
          </c:spPr>
        </c:majorGridlines>
        <c:numFmt formatCode="&quot;$&quot;#,##0" sourceLinked="1"/>
        <c:majorTickMark val="none"/>
        <c:minorTickMark val="none"/>
        <c:tickLblPos val="nextTo"/>
        <c:crossAx val="709832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95000"/>
        <a:lumOff val="5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1" i="0" u="none" strike="noStrike" kern="1200" spc="0" baseline="0">
                <a:solidFill>
                  <a:schemeClr val="bg1">
                    <a:lumMod val="75000"/>
                  </a:schemeClr>
                </a:solidFill>
                <a:latin typeface="+mn-lt"/>
                <a:ea typeface="+mn-ea"/>
                <a:cs typeface="+mn-cs"/>
              </a:defRPr>
            </a:pPr>
            <a:r>
              <a:rPr lang="en-US" sz="1000" b="1">
                <a:solidFill>
                  <a:schemeClr val="bg1">
                    <a:lumMod val="75000"/>
                  </a:schemeClr>
                </a:solidFill>
              </a:rPr>
              <a:t>TOTAL LOTS</a:t>
            </a:r>
          </a:p>
        </c:rich>
      </c:tx>
      <c:overlay val="0"/>
      <c:spPr>
        <a:noFill/>
        <a:ln>
          <a:noFill/>
        </a:ln>
        <a:effectLst/>
      </c:spPr>
      <c:txPr>
        <a:bodyPr rot="0" spcFirstLastPara="1" vertOverflow="ellipsis" vert="horz" wrap="square" anchor="ctr" anchorCtr="1"/>
        <a:lstStyle/>
        <a:p>
          <a:pPr>
            <a:defRPr sz="1000" b="1" i="0" u="none" strike="noStrike" kern="1200" spc="0" baseline="0">
              <a:solidFill>
                <a:schemeClr val="bg1">
                  <a:lumMod val="75000"/>
                </a:schemeClr>
              </a:solidFill>
              <a:latin typeface="+mn-lt"/>
              <a:ea typeface="+mn-ea"/>
              <a:cs typeface="+mn-cs"/>
            </a:defRPr>
          </a:pPr>
          <a:endParaRPr lang="en-US"/>
        </a:p>
      </c:txPr>
    </c:title>
    <c:autoTitleDeleted val="0"/>
    <c:plotArea>
      <c:layout>
        <c:manualLayout>
          <c:layoutTarget val="inner"/>
          <c:xMode val="edge"/>
          <c:yMode val="edge"/>
          <c:x val="3.6883319868413408E-2"/>
          <c:y val="0.27408119658119656"/>
          <c:w val="0.92623336026317316"/>
          <c:h val="0.52605598290598288"/>
        </c:manualLayout>
      </c:layout>
      <c:barChart>
        <c:barDir val="col"/>
        <c:grouping val="clustered"/>
        <c:varyColors val="0"/>
        <c:ser>
          <c:idx val="0"/>
          <c:order val="0"/>
          <c:tx>
            <c:v>participation</c:v>
          </c:tx>
          <c:spPr>
            <a:solidFill>
              <a:srgbClr val="0D0D0D"/>
            </a:solidFill>
            <a:ln w="152400">
              <a:noFill/>
            </a:ln>
            <a:effectLst/>
          </c:spPr>
          <c:invertIfNegative val="1"/>
          <c:dLbls>
            <c:spPr>
              <a:solidFill>
                <a:schemeClr val="tx2">
                  <a:lumMod val="85000"/>
                  <a:lumOff val="15000"/>
                </a:schemeClr>
              </a:solid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2">
                        <a:lumMod val="9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'PERFORMANCE ANALYSIS'!$B$6:$B$17</c15:sqref>
                  </c15:fullRef>
                </c:ext>
              </c:extLst>
              <c:f>'PERFORMANCE ANALYSIS'!$B$12:$B$17</c:f>
              <c:strCache>
                <c:ptCount val="5"/>
                <c:pt idx="0">
                  <c:v>OUTRIGHTS (IR,IB,YT)</c:v>
                </c:pt>
                <c:pt idx="1">
                  <c:v>SPREADS</c:v>
                </c:pt>
                <c:pt idx="2">
                  <c:v>FLIES</c:v>
                </c:pt>
                <c:pt idx="3">
                  <c:v>TED</c:v>
                </c:pt>
                <c:pt idx="4">
                  <c:v>YT-XT</c:v>
                </c:pt>
              </c:strCache>
            </c:strRef>
          </c:cat>
          <c:val>
            <c:numRef>
              <c:extLst>
                <c:ext xmlns:c15="http://schemas.microsoft.com/office/drawing/2012/chart" uri="{02D57815-91ED-43cb-92C2-25804820EDAC}">
                  <c15:fullRef>
                    <c15:sqref>'PERFORMANCE ANALYSIS'!$D$6:$D$17</c15:sqref>
                  </c15:fullRef>
                </c:ext>
              </c:extLst>
              <c:f>'PERFORMANCE ANALYSIS'!$D$12:$D$17</c:f>
              <c:numCache>
                <c:formatCode>General</c:formatCode>
                <c:ptCount val="5"/>
                <c:pt idx="0">
                  <c:v>6</c:v>
                </c:pt>
                <c:pt idx="1">
                  <c:v>256</c:v>
                </c:pt>
                <c:pt idx="2">
                  <c:v>117</c:v>
                </c:pt>
                <c:pt idx="3">
                  <c:v>0</c:v>
                </c:pt>
                <c:pt idx="4">
                  <c:v>0</c:v>
                </c:pt>
              </c:numCache>
            </c:numRef>
          </c:val>
          <c:extLst>
            <c:ext xmlns:c14="http://schemas.microsoft.com/office/drawing/2007/8/2/chart" uri="{6F2FDCE9-48DA-4B69-8628-5D25D57E5C99}">
              <c14:invertSolidFillFmt>
                <c14:spPr xmlns:c14="http://schemas.microsoft.com/office/drawing/2007/8/2/chart">
                  <a:solidFill>
                    <a:srgbClr val="F2F2F2"/>
                  </a:solidFill>
                  <a:ln w="152400">
                    <a:noFill/>
                  </a:ln>
                  <a:effectLst/>
                </c14:spPr>
              </c14:invertSolidFillFmt>
            </c:ext>
            <c:ext xmlns:c16="http://schemas.microsoft.com/office/drawing/2014/chart" uri="{C3380CC4-5D6E-409C-BE32-E72D297353CC}">
              <c16:uniqueId val="{00000000-BC8C-49F1-9971-0369DC209ABD}"/>
            </c:ext>
          </c:extLst>
        </c:ser>
        <c:dLbls>
          <c:showLegendKey val="0"/>
          <c:showVal val="0"/>
          <c:showCatName val="0"/>
          <c:showSerName val="0"/>
          <c:showPercent val="0"/>
          <c:showBubbleSize val="0"/>
        </c:dLbls>
        <c:gapWidth val="250"/>
        <c:axId val="709832880"/>
        <c:axId val="611032896"/>
      </c:barChart>
      <c:catAx>
        <c:axId val="709832880"/>
        <c:scaling>
          <c:orientation val="minMax"/>
        </c:scaling>
        <c:delete val="0"/>
        <c:axPos val="b"/>
        <c:numFmt formatCode="General" sourceLinked="1"/>
        <c:majorTickMark val="none"/>
        <c:minorTickMark val="none"/>
        <c:tickLblPos val="low"/>
        <c:spPr>
          <a:noFill/>
          <a:ln w="9525" cap="flat" cmpd="sng" algn="ctr">
            <a:solidFill>
              <a:schemeClr val="tx2">
                <a:lumMod val="95000"/>
                <a:lumOff val="5000"/>
              </a:schemeClr>
            </a:solidFill>
            <a:round/>
          </a:ln>
          <a:effectLst/>
        </c:spPr>
        <c:txPr>
          <a:bodyPr rot="-60000000" spcFirstLastPara="1" vertOverflow="ellipsis" vert="horz" wrap="square" anchor="ctr" anchorCtr="1"/>
          <a:lstStyle/>
          <a:p>
            <a:pPr>
              <a:defRPr sz="900" b="1" i="0" u="none" strike="noStrike" kern="1200" baseline="0">
                <a:solidFill>
                  <a:schemeClr val="bg2">
                    <a:lumMod val="85000"/>
                  </a:schemeClr>
                </a:solidFill>
                <a:latin typeface="+mn-lt"/>
                <a:ea typeface="+mn-ea"/>
                <a:cs typeface="+mn-cs"/>
              </a:defRPr>
            </a:pPr>
            <a:endParaRPr lang="en-US"/>
          </a:p>
        </c:txPr>
        <c:crossAx val="611032896"/>
        <c:crosses val="autoZero"/>
        <c:auto val="1"/>
        <c:lblAlgn val="ctr"/>
        <c:lblOffset val="250"/>
        <c:noMultiLvlLbl val="0"/>
      </c:catAx>
      <c:valAx>
        <c:axId val="611032896"/>
        <c:scaling>
          <c:orientation val="minMax"/>
        </c:scaling>
        <c:delete val="1"/>
        <c:axPos val="l"/>
        <c:numFmt formatCode="General" sourceLinked="1"/>
        <c:majorTickMark val="none"/>
        <c:minorTickMark val="none"/>
        <c:tickLblPos val="nextTo"/>
        <c:crossAx val="709832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85000"/>
        <a:lumOff val="15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2298942660691805E-2"/>
          <c:y val="0.21519059822168313"/>
          <c:w val="0.97540211467861637"/>
          <c:h val="0.54494521199458257"/>
        </c:manualLayout>
      </c:layout>
      <c:barChart>
        <c:barDir val="col"/>
        <c:grouping val="clustered"/>
        <c:varyColors val="0"/>
        <c:ser>
          <c:idx val="0"/>
          <c:order val="0"/>
          <c:spPr>
            <a:solidFill>
              <a:schemeClr val="tx2">
                <a:lumMod val="95000"/>
                <a:lumOff val="5000"/>
              </a:schemeClr>
            </a:solidFill>
            <a:ln>
              <a:noFill/>
            </a:ln>
            <a:effectLst/>
          </c:spPr>
          <c:invertIfNegative val="0"/>
          <c:dLbls>
            <c:spPr>
              <a:solidFill>
                <a:srgbClr val="00C5C8"/>
              </a:solid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lumMod val="95000"/>
                      </a:schemeClr>
                    </a:solidFill>
                    <a:latin typeface="Verdana Pro Black" panose="020B0A04030504040204" pitchFamily="34"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'PERFORMANCE ANALYSIS'!$B$6:$B$17</c15:sqref>
                  </c15:fullRef>
                </c:ext>
              </c:extLst>
              <c:f>('PERFORMANCE ANALYSIS'!$B$6:$B$10,'PERFORMANCE ANALYSIS'!$B$12:$B$17)</c:f>
              <c:strCache>
                <c:ptCount val="10"/>
                <c:pt idx="0">
                  <c:v>TECHNICAL</c:v>
                </c:pt>
                <c:pt idx="1">
                  <c:v>FUNDAMENTAL</c:v>
                </c:pt>
                <c:pt idx="2">
                  <c:v>CURVE</c:v>
                </c:pt>
                <c:pt idx="3">
                  <c:v>WHITES</c:v>
                </c:pt>
                <c:pt idx="4">
                  <c:v>REDS</c:v>
                </c:pt>
                <c:pt idx="5">
                  <c:v>OUTRIGHTS (IR,IB,YT)</c:v>
                </c:pt>
                <c:pt idx="6">
                  <c:v>SPREADS</c:v>
                </c:pt>
                <c:pt idx="7">
                  <c:v>FLIES</c:v>
                </c:pt>
                <c:pt idx="8">
                  <c:v>TED</c:v>
                </c:pt>
                <c:pt idx="9">
                  <c:v>YT-XT</c:v>
                </c:pt>
              </c:strCache>
            </c:strRef>
          </c:cat>
          <c:val>
            <c:numRef>
              <c:extLst>
                <c:ext xmlns:c15="http://schemas.microsoft.com/office/drawing/2012/chart" uri="{02D57815-91ED-43cb-92C2-25804820EDAC}">
                  <c15:fullRef>
                    <c15:sqref>'PERFORMANCE ANALYSIS'!$AT$6:$AT$16</c15:sqref>
                  </c15:fullRef>
                </c:ext>
              </c:extLst>
              <c:f>('PERFORMANCE ANALYSIS'!$AT$6:$AT$10,'PERFORMANCE ANALYSIS'!$AT$12:$AT$16)</c:f>
              <c:numCache>
                <c:formatCode>0.0</c:formatCode>
                <c:ptCount val="10"/>
                <c:pt idx="0">
                  <c:v>10.058823529411764</c:v>
                </c:pt>
                <c:pt idx="1">
                  <c:v>12</c:v>
                </c:pt>
                <c:pt idx="2">
                  <c:v>12.333333333333334</c:v>
                </c:pt>
                <c:pt idx="3">
                  <c:v>10</c:v>
                </c:pt>
                <c:pt idx="4">
                  <c:v>17</c:v>
                </c:pt>
                <c:pt idx="5">
                  <c:v>1.6666666666666667</c:v>
                </c:pt>
                <c:pt idx="6">
                  <c:v>11.76923076923077</c:v>
                </c:pt>
                <c:pt idx="7">
                  <c:v>12.333333333333334</c:v>
                </c:pt>
                <c:pt idx="8">
                  <c:v>0</c:v>
                </c:pt>
                <c:pt idx="9">
                  <c:v>0</c:v>
                </c:pt>
              </c:numCache>
            </c:numRef>
          </c:val>
          <c:extLst>
            <c:ext xmlns:c16="http://schemas.microsoft.com/office/drawing/2014/chart" uri="{C3380CC4-5D6E-409C-BE32-E72D297353CC}">
              <c16:uniqueId val="{00000000-8699-4B03-B305-C86E6AC8BD64}"/>
            </c:ext>
          </c:extLst>
        </c:ser>
        <c:ser>
          <c:idx val="1"/>
          <c:order val="1"/>
          <c:tx>
            <c:v>losses</c:v>
          </c:tx>
          <c:spPr>
            <a:solidFill>
              <a:schemeClr val="tx2">
                <a:lumMod val="95000"/>
                <a:lumOff val="5000"/>
              </a:schemeClr>
            </a:solidFill>
            <a:ln>
              <a:noFill/>
            </a:ln>
            <a:effectLst/>
          </c:spPr>
          <c:invertIfNegative val="0"/>
          <c:dLbls>
            <c:spPr>
              <a:solidFill>
                <a:srgbClr val="DF007C"/>
              </a:solid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lumMod val="95000"/>
                      </a:schemeClr>
                    </a:solidFill>
                    <a:latin typeface="Verdana Pro Black" panose="020B0A04030504040204" pitchFamily="34"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0"/>
              <c:pt idx="0">
                <c:v>TECHNICAL</c:v>
              </c:pt>
              <c:pt idx="1">
                <c:v>FUNDAMENTAL</c:v>
              </c:pt>
              <c:pt idx="2">
                <c:v>CURVE</c:v>
              </c:pt>
              <c:pt idx="3">
                <c:v>WHITES</c:v>
              </c:pt>
              <c:pt idx="4">
                <c:v>REDS</c:v>
              </c:pt>
              <c:pt idx="5">
                <c:v>OUTRIGHTS (IR,IB,YT)</c:v>
              </c:pt>
              <c:pt idx="6">
                <c:v>SPREADS</c:v>
              </c:pt>
              <c:pt idx="7">
                <c:v>FLIES</c:v>
              </c:pt>
              <c:pt idx="8">
                <c:v>TED</c:v>
              </c:pt>
              <c:pt idx="9">
                <c:v>YT-XT</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'PERFORMANCE ANALYSIS'!$AY$6:$AY$16</c15:sqref>
                  </c15:fullRef>
                </c:ext>
              </c:extLst>
              <c:f>('PERFORMANCE ANALYSIS'!$AY$6:$AY$10,'PERFORMANCE ANALYSIS'!$AY$12:$AY$16)</c:f>
              <c:numCache>
                <c:formatCode>0.0</c:formatCode>
                <c:ptCount val="10"/>
                <c:pt idx="0">
                  <c:v>13</c:v>
                </c:pt>
                <c:pt idx="1">
                  <c:v>27</c:v>
                </c:pt>
                <c:pt idx="2">
                  <c:v>5</c:v>
                </c:pt>
                <c:pt idx="3">
                  <c:v>13</c:v>
                </c:pt>
                <c:pt idx="4">
                  <c:v>0</c:v>
                </c:pt>
                <c:pt idx="5">
                  <c:v>0</c:v>
                </c:pt>
                <c:pt idx="6">
                  <c:v>6</c:v>
                </c:pt>
                <c:pt idx="7">
                  <c:v>27</c:v>
                </c:pt>
                <c:pt idx="8">
                  <c:v>0</c:v>
                </c:pt>
                <c:pt idx="9">
                  <c:v>0</c:v>
                </c:pt>
              </c:numCache>
            </c:numRef>
          </c:val>
          <c:extLst>
            <c:ext xmlns:c16="http://schemas.microsoft.com/office/drawing/2014/chart" uri="{C3380CC4-5D6E-409C-BE32-E72D297353CC}">
              <c16:uniqueId val="{00000001-8699-4B03-B305-C86E6AC8BD64}"/>
            </c:ext>
          </c:extLst>
        </c:ser>
        <c:dLbls>
          <c:showLegendKey val="0"/>
          <c:showVal val="0"/>
          <c:showCatName val="0"/>
          <c:showSerName val="0"/>
          <c:showPercent val="0"/>
          <c:showBubbleSize val="0"/>
        </c:dLbls>
        <c:gapWidth val="500"/>
        <c:overlap val="100"/>
        <c:axId val="154878527"/>
        <c:axId val="154879007"/>
      </c:barChart>
      <c:catAx>
        <c:axId val="154878527"/>
        <c:scaling>
          <c:orientation val="minMax"/>
        </c:scaling>
        <c:delete val="0"/>
        <c:axPos val="b"/>
        <c:numFmt formatCode="General" sourceLinked="1"/>
        <c:majorTickMark val="none"/>
        <c:minorTickMark val="none"/>
        <c:tickLblPos val="nextTo"/>
        <c:spPr>
          <a:noFill/>
          <a:ln w="9525" cap="flat" cmpd="sng" algn="ctr">
            <a:solidFill>
              <a:schemeClr val="tx2">
                <a:lumMod val="85000"/>
                <a:lumOff val="15000"/>
              </a:schemeClr>
            </a:solidFill>
            <a:round/>
          </a:ln>
          <a:effectLst/>
        </c:spPr>
        <c:txPr>
          <a:bodyPr rot="-60000000" spcFirstLastPara="1" vertOverflow="ellipsis" vert="horz" wrap="square" anchor="ctr" anchorCtr="1"/>
          <a:lstStyle/>
          <a:p>
            <a:pPr>
              <a:defRPr sz="900" b="0" i="0" u="none" strike="noStrike" kern="1200" baseline="0">
                <a:solidFill>
                  <a:schemeClr val="bg2">
                    <a:lumMod val="85000"/>
                  </a:schemeClr>
                </a:solidFill>
                <a:latin typeface="+mn-lt"/>
                <a:ea typeface="+mn-ea"/>
                <a:cs typeface="+mn-cs"/>
              </a:defRPr>
            </a:pPr>
            <a:endParaRPr lang="en-US"/>
          </a:p>
        </c:txPr>
        <c:crossAx val="154879007"/>
        <c:crosses val="autoZero"/>
        <c:auto val="1"/>
        <c:lblAlgn val="ctr"/>
        <c:lblOffset val="100"/>
        <c:noMultiLvlLbl val="0"/>
      </c:catAx>
      <c:valAx>
        <c:axId val="154879007"/>
        <c:scaling>
          <c:orientation val="minMax"/>
        </c:scaling>
        <c:delete val="1"/>
        <c:axPos val="l"/>
        <c:numFmt formatCode="0.0" sourceLinked="1"/>
        <c:majorTickMark val="none"/>
        <c:minorTickMark val="none"/>
        <c:tickLblPos val="nextTo"/>
        <c:crossAx val="154878527"/>
        <c:crosses val="autoZero"/>
        <c:crossBetween val="between"/>
      </c:valAx>
      <c:spPr>
        <a:noFill/>
        <a:ln>
          <a:noFill/>
        </a:ln>
        <a:effectLst/>
      </c:spPr>
    </c:plotArea>
    <c:plotVisOnly val="1"/>
    <c:dispBlanksAs val="gap"/>
    <c:showDLblsOverMax val="0"/>
  </c:chart>
  <c:spPr>
    <a:solidFill>
      <a:schemeClr val="tx2">
        <a:lumMod val="95000"/>
        <a:lumOff val="5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tx2">
                <a:lumMod val="95000"/>
                <a:lumOff val="5000"/>
              </a:schemeClr>
            </a:solidFill>
            <a:ln>
              <a:noFill/>
            </a:ln>
            <a:effectLst/>
          </c:spPr>
          <c:invertIfNegative val="0"/>
          <c:dLbls>
            <c:spPr>
              <a:solidFill>
                <a:srgbClr val="00C5C8"/>
              </a:solid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lumMod val="95000"/>
                      </a:schemeClr>
                    </a:solidFill>
                    <a:latin typeface="Verdana Pro Black" panose="020B0A04030504040204" pitchFamily="34"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'PERFORMANCE ANALYSIS'!$B$6:$B$17</c15:sqref>
                  </c15:fullRef>
                </c:ext>
              </c:extLst>
              <c:f>('PERFORMANCE ANALYSIS'!$B$6:$B$10,'PERFORMANCE ANALYSIS'!$B$12:$B$17)</c:f>
              <c:strCache>
                <c:ptCount val="10"/>
                <c:pt idx="0">
                  <c:v>TECHNICAL</c:v>
                </c:pt>
                <c:pt idx="1">
                  <c:v>FUNDAMENTAL</c:v>
                </c:pt>
                <c:pt idx="2">
                  <c:v>CURVE</c:v>
                </c:pt>
                <c:pt idx="3">
                  <c:v>WHITES</c:v>
                </c:pt>
                <c:pt idx="4">
                  <c:v>REDS</c:v>
                </c:pt>
                <c:pt idx="5">
                  <c:v>OUTRIGHTS (IR,IB,YT)</c:v>
                </c:pt>
                <c:pt idx="6">
                  <c:v>SPREADS</c:v>
                </c:pt>
                <c:pt idx="7">
                  <c:v>FLIES</c:v>
                </c:pt>
                <c:pt idx="8">
                  <c:v>TED</c:v>
                </c:pt>
                <c:pt idx="9">
                  <c:v>YT-XT</c:v>
                </c:pt>
              </c:strCache>
            </c:strRef>
          </c:cat>
          <c:val>
            <c:numRef>
              <c:extLst>
                <c:ext xmlns:c15="http://schemas.microsoft.com/office/drawing/2012/chart" uri="{02D57815-91ED-43cb-92C2-25804820EDAC}">
                  <c15:fullRef>
                    <c15:sqref>'PERFORMANCE ANALYSIS'!$AS$6:$AS$16</c15:sqref>
                  </c15:fullRef>
                </c:ext>
              </c:extLst>
              <c:f>('PERFORMANCE ANALYSIS'!$AS$6:$AS$10,'PERFORMANCE ANALYSIS'!$AS$12:$AS$16)</c:f>
              <c:numCache>
                <c:formatCode>"$"#,##0</c:formatCode>
                <c:ptCount val="10"/>
                <c:pt idx="0">
                  <c:v>23.627450980394435</c:v>
                </c:pt>
                <c:pt idx="1">
                  <c:v>24.463968253973821</c:v>
                </c:pt>
                <c:pt idx="2">
                  <c:v>11.809523809523805</c:v>
                </c:pt>
                <c:pt idx="3">
                  <c:v>21.261904761904894</c:v>
                </c:pt>
                <c:pt idx="4">
                  <c:v>16.253968253968264</c:v>
                </c:pt>
                <c:pt idx="5">
                  <c:v>42.876666666685111</c:v>
                </c:pt>
                <c:pt idx="6">
                  <c:v>19.205128205128212</c:v>
                </c:pt>
                <c:pt idx="7">
                  <c:v>16.25396825396825</c:v>
                </c:pt>
                <c:pt idx="8">
                  <c:v>0</c:v>
                </c:pt>
                <c:pt idx="9">
                  <c:v>0</c:v>
                </c:pt>
              </c:numCache>
            </c:numRef>
          </c:val>
          <c:extLst>
            <c:ext xmlns:c16="http://schemas.microsoft.com/office/drawing/2014/chart" uri="{C3380CC4-5D6E-409C-BE32-E72D297353CC}">
              <c16:uniqueId val="{00000000-8B5C-4399-82D8-1CD49D5F5519}"/>
            </c:ext>
          </c:extLst>
        </c:ser>
        <c:ser>
          <c:idx val="1"/>
          <c:order val="1"/>
          <c:tx>
            <c:v>losses</c:v>
          </c:tx>
          <c:spPr>
            <a:solidFill>
              <a:schemeClr val="tx2">
                <a:lumMod val="95000"/>
                <a:lumOff val="5000"/>
              </a:schemeClr>
            </a:solidFill>
            <a:ln>
              <a:noFill/>
            </a:ln>
            <a:effectLst/>
          </c:spPr>
          <c:invertIfNegative val="0"/>
          <c:dLbls>
            <c:spPr>
              <a:solidFill>
                <a:srgbClr val="DF007C"/>
              </a:solid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lumMod val="95000"/>
                      </a:schemeClr>
                    </a:solidFill>
                    <a:latin typeface="Verdana Pro Black" panose="020B0A04030504040204" pitchFamily="34"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0"/>
              <c:pt idx="0">
                <c:v>TECHNICAL</c:v>
              </c:pt>
              <c:pt idx="1">
                <c:v>FUNDAMENTAL</c:v>
              </c:pt>
              <c:pt idx="2">
                <c:v>CURVE</c:v>
              </c:pt>
              <c:pt idx="3">
                <c:v>WHITES</c:v>
              </c:pt>
              <c:pt idx="4">
                <c:v>REDS</c:v>
              </c:pt>
              <c:pt idx="5">
                <c:v>OUTRIGHTS (IR,IB,YT)</c:v>
              </c:pt>
              <c:pt idx="6">
                <c:v>SPREADS</c:v>
              </c:pt>
              <c:pt idx="7">
                <c:v>FLIES</c:v>
              </c:pt>
              <c:pt idx="8">
                <c:v>TED</c:v>
              </c:pt>
              <c:pt idx="9">
                <c:v>YT-XT</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'PERFORMANCE ANALYSIS'!$AX$6:$AX$16</c15:sqref>
                  </c15:fullRef>
                </c:ext>
              </c:extLst>
              <c:f>('PERFORMANCE ANALYSIS'!$AX$6:$AX$10,'PERFORMANCE ANALYSIS'!$AX$12:$AX$16)</c:f>
              <c:numCache>
                <c:formatCode>"$"#,##0</c:formatCode>
                <c:ptCount val="10"/>
                <c:pt idx="0">
                  <c:v>57.735449735449727</c:v>
                </c:pt>
                <c:pt idx="1">
                  <c:v>33.777777777777771</c:v>
                </c:pt>
                <c:pt idx="2">
                  <c:v>48</c:v>
                </c:pt>
                <c:pt idx="3">
                  <c:v>57.735449735449727</c:v>
                </c:pt>
                <c:pt idx="4">
                  <c:v>0</c:v>
                </c:pt>
                <c:pt idx="5">
                  <c:v>0</c:v>
                </c:pt>
                <c:pt idx="6">
                  <c:v>69.714285714285708</c:v>
                </c:pt>
                <c:pt idx="7">
                  <c:v>33.777777777777771</c:v>
                </c:pt>
                <c:pt idx="8">
                  <c:v>0</c:v>
                </c:pt>
                <c:pt idx="9">
                  <c:v>0</c:v>
                </c:pt>
              </c:numCache>
            </c:numRef>
          </c:val>
          <c:extLst>
            <c:ext xmlns:c16="http://schemas.microsoft.com/office/drawing/2014/chart" uri="{C3380CC4-5D6E-409C-BE32-E72D297353CC}">
              <c16:uniqueId val="{00000001-8B5C-4399-82D8-1CD49D5F5519}"/>
            </c:ext>
          </c:extLst>
        </c:ser>
        <c:dLbls>
          <c:showLegendKey val="0"/>
          <c:showVal val="0"/>
          <c:showCatName val="0"/>
          <c:showSerName val="0"/>
          <c:showPercent val="0"/>
          <c:showBubbleSize val="0"/>
        </c:dLbls>
        <c:gapWidth val="500"/>
        <c:overlap val="100"/>
        <c:axId val="154878527"/>
        <c:axId val="154879007"/>
      </c:barChart>
      <c:catAx>
        <c:axId val="154878527"/>
        <c:scaling>
          <c:orientation val="minMax"/>
        </c:scaling>
        <c:delete val="0"/>
        <c:axPos val="b"/>
        <c:numFmt formatCode="General" sourceLinked="1"/>
        <c:majorTickMark val="none"/>
        <c:minorTickMark val="none"/>
        <c:tickLblPos val="nextTo"/>
        <c:spPr>
          <a:noFill/>
          <a:ln w="9525" cap="flat" cmpd="sng" algn="ctr">
            <a:solidFill>
              <a:schemeClr val="tx2">
                <a:lumMod val="85000"/>
                <a:lumOff val="15000"/>
              </a:schemeClr>
            </a:solidFill>
            <a:round/>
          </a:ln>
          <a:effectLst/>
        </c:spPr>
        <c:txPr>
          <a:bodyPr rot="-60000000" spcFirstLastPara="1" vertOverflow="ellipsis" vert="horz" wrap="square" anchor="ctr" anchorCtr="1"/>
          <a:lstStyle/>
          <a:p>
            <a:pPr>
              <a:defRPr sz="900" b="0" i="0" u="none" strike="noStrike" kern="1200" baseline="0">
                <a:solidFill>
                  <a:schemeClr val="bg2">
                    <a:lumMod val="85000"/>
                  </a:schemeClr>
                </a:solidFill>
                <a:latin typeface="+mn-lt"/>
                <a:ea typeface="+mn-ea"/>
                <a:cs typeface="+mn-cs"/>
              </a:defRPr>
            </a:pPr>
            <a:endParaRPr lang="en-US"/>
          </a:p>
        </c:txPr>
        <c:crossAx val="154879007"/>
        <c:crosses val="autoZero"/>
        <c:auto val="1"/>
        <c:lblAlgn val="ctr"/>
        <c:lblOffset val="100"/>
        <c:noMultiLvlLbl val="0"/>
      </c:catAx>
      <c:valAx>
        <c:axId val="154879007"/>
        <c:scaling>
          <c:orientation val="minMax"/>
        </c:scaling>
        <c:delete val="1"/>
        <c:axPos val="l"/>
        <c:numFmt formatCode="&quot;$&quot;#,##0" sourceLinked="1"/>
        <c:majorTickMark val="none"/>
        <c:minorTickMark val="none"/>
        <c:tickLblPos val="nextTo"/>
        <c:crossAx val="154878527"/>
        <c:crosses val="autoZero"/>
        <c:crossBetween val="between"/>
      </c:valAx>
      <c:spPr>
        <a:noFill/>
        <a:ln>
          <a:noFill/>
        </a:ln>
        <a:effectLst/>
      </c:spPr>
    </c:plotArea>
    <c:plotVisOnly val="1"/>
    <c:dispBlanksAs val="gap"/>
    <c:showDLblsOverMax val="0"/>
  </c:chart>
  <c:spPr>
    <a:solidFill>
      <a:schemeClr val="tx2">
        <a:lumMod val="95000"/>
        <a:lumOff val="5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tx2">
                <a:lumMod val="95000"/>
                <a:lumOff val="5000"/>
              </a:schemeClr>
            </a:solidFill>
            <a:ln>
              <a:noFill/>
            </a:ln>
            <a:effectLst/>
          </c:spPr>
          <c:invertIfNegative val="0"/>
          <c:dLbls>
            <c:spPr>
              <a:solidFill>
                <a:srgbClr val="00C5C8"/>
              </a:solid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lumMod val="95000"/>
                      </a:schemeClr>
                    </a:solidFill>
                    <a:latin typeface="Verdana Pro Black" panose="020B0A04030504040204" pitchFamily="34"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'PERFORMANCE ANALYSIS'!$B$6:$B$17</c15:sqref>
                  </c15:fullRef>
                </c:ext>
              </c:extLst>
              <c:f>('PERFORMANCE ANALYSIS'!$B$6:$B$10,'PERFORMANCE ANALYSIS'!$B$12:$B$17)</c:f>
              <c:strCache>
                <c:ptCount val="10"/>
                <c:pt idx="0">
                  <c:v>TECHNICAL</c:v>
                </c:pt>
                <c:pt idx="1">
                  <c:v>FUNDAMENTAL</c:v>
                </c:pt>
                <c:pt idx="2">
                  <c:v>CURVE</c:v>
                </c:pt>
                <c:pt idx="3">
                  <c:v>WHITES</c:v>
                </c:pt>
                <c:pt idx="4">
                  <c:v>REDS</c:v>
                </c:pt>
                <c:pt idx="5">
                  <c:v>OUTRIGHTS (IR,IB,YT)</c:v>
                </c:pt>
                <c:pt idx="6">
                  <c:v>SPREADS</c:v>
                </c:pt>
                <c:pt idx="7">
                  <c:v>FLIES</c:v>
                </c:pt>
                <c:pt idx="8">
                  <c:v>TED</c:v>
                </c:pt>
                <c:pt idx="9">
                  <c:v>YT-XT</c:v>
                </c:pt>
              </c:strCache>
            </c:strRef>
          </c:cat>
          <c:val>
            <c:numRef>
              <c:extLst>
                <c:ext xmlns:c15="http://schemas.microsoft.com/office/drawing/2012/chart" uri="{02D57815-91ED-43cb-92C2-25804820EDAC}">
                  <c15:fullRef>
                    <c15:sqref>'PERFORMANCE ANALYSIS'!$G$6:$G$17</c15:sqref>
                  </c15:fullRef>
                </c:ext>
              </c:extLst>
              <c:f>('PERFORMANCE ANALYSIS'!$G$6:$G$10,'PERFORMANCE ANALYSIS'!$G$12:$G$17)</c:f>
              <c:numCache>
                <c:formatCode>0%</c:formatCode>
                <c:ptCount val="10"/>
                <c:pt idx="0">
                  <c:v>0.54838709677419351</c:v>
                </c:pt>
                <c:pt idx="1">
                  <c:v>0.5</c:v>
                </c:pt>
                <c:pt idx="2">
                  <c:v>0.375</c:v>
                </c:pt>
                <c:pt idx="3">
                  <c:v>0.60869565217391308</c:v>
                </c:pt>
                <c:pt idx="4">
                  <c:v>0.42857142857142855</c:v>
                </c:pt>
                <c:pt idx="5">
                  <c:v>0.75</c:v>
                </c:pt>
                <c:pt idx="6">
                  <c:v>0.54166666666666663</c:v>
                </c:pt>
                <c:pt idx="7">
                  <c:v>0.6</c:v>
                </c:pt>
                <c:pt idx="8">
                  <c:v>0</c:v>
                </c:pt>
                <c:pt idx="9">
                  <c:v>0</c:v>
                </c:pt>
              </c:numCache>
            </c:numRef>
          </c:val>
          <c:extLst>
            <c:ext xmlns:c16="http://schemas.microsoft.com/office/drawing/2014/chart" uri="{C3380CC4-5D6E-409C-BE32-E72D297353CC}">
              <c16:uniqueId val="{00000000-7296-47F3-B818-E201934EA9A5}"/>
            </c:ext>
          </c:extLst>
        </c:ser>
        <c:ser>
          <c:idx val="1"/>
          <c:order val="1"/>
          <c:tx>
            <c:v>losses</c:v>
          </c:tx>
          <c:spPr>
            <a:solidFill>
              <a:schemeClr val="tx2">
                <a:lumMod val="95000"/>
                <a:lumOff val="5000"/>
              </a:schemeClr>
            </a:solidFill>
            <a:ln>
              <a:noFill/>
            </a:ln>
            <a:effectLst/>
          </c:spPr>
          <c:invertIfNegative val="0"/>
          <c:dLbls>
            <c:spPr>
              <a:solidFill>
                <a:srgbClr val="DF007C"/>
              </a:solid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lumMod val="95000"/>
                      </a:schemeClr>
                    </a:solidFill>
                    <a:latin typeface="Verdana Pro Black" panose="020B0A04030504040204" pitchFamily="34"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0"/>
              <c:pt idx="0">
                <c:v>TECHNICAL</c:v>
              </c:pt>
              <c:pt idx="1">
                <c:v>FUNDAMENTAL</c:v>
              </c:pt>
              <c:pt idx="2">
                <c:v>CURVE</c:v>
              </c:pt>
              <c:pt idx="3">
                <c:v>WHITES</c:v>
              </c:pt>
              <c:pt idx="4">
                <c:v>REDS</c:v>
              </c:pt>
              <c:pt idx="5">
                <c:v>OUTRIGHTS (IR,IB,YT)</c:v>
              </c:pt>
              <c:pt idx="6">
                <c:v>SPREADS</c:v>
              </c:pt>
              <c:pt idx="7">
                <c:v>FLIES</c:v>
              </c:pt>
              <c:pt idx="8">
                <c:v>TED</c:v>
              </c:pt>
              <c:pt idx="9">
                <c:v>YT-XT</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'PERFORMANCE ANALYSIS'!$J$6:$J$17</c15:sqref>
                  </c15:fullRef>
                </c:ext>
              </c:extLst>
              <c:f>('PERFORMANCE ANALYSIS'!$J$6:$J$10,'PERFORMANCE ANALYSIS'!$J$12:$J$17)</c:f>
              <c:numCache>
                <c:formatCode>0%</c:formatCode>
                <c:ptCount val="10"/>
                <c:pt idx="0">
                  <c:v>9.6774193548387094E-2</c:v>
                </c:pt>
                <c:pt idx="1">
                  <c:v>0.16666666666666666</c:v>
                </c:pt>
                <c:pt idx="2">
                  <c:v>0.125</c:v>
                </c:pt>
                <c:pt idx="3">
                  <c:v>0.13043478260869565</c:v>
                </c:pt>
                <c:pt idx="4">
                  <c:v>0</c:v>
                </c:pt>
                <c:pt idx="5">
                  <c:v>0</c:v>
                </c:pt>
                <c:pt idx="6">
                  <c:v>8.3333333333333329E-2</c:v>
                </c:pt>
                <c:pt idx="7">
                  <c:v>0.2</c:v>
                </c:pt>
                <c:pt idx="8">
                  <c:v>0</c:v>
                </c:pt>
                <c:pt idx="9">
                  <c:v>0</c:v>
                </c:pt>
              </c:numCache>
            </c:numRef>
          </c:val>
          <c:extLst>
            <c:ext xmlns:c16="http://schemas.microsoft.com/office/drawing/2014/chart" uri="{C3380CC4-5D6E-409C-BE32-E72D297353CC}">
              <c16:uniqueId val="{00000001-7296-47F3-B818-E201934EA9A5}"/>
            </c:ext>
          </c:extLst>
        </c:ser>
        <c:dLbls>
          <c:showLegendKey val="0"/>
          <c:showVal val="0"/>
          <c:showCatName val="0"/>
          <c:showSerName val="0"/>
          <c:showPercent val="0"/>
          <c:showBubbleSize val="0"/>
        </c:dLbls>
        <c:gapWidth val="500"/>
        <c:overlap val="100"/>
        <c:axId val="154878527"/>
        <c:axId val="154879007"/>
      </c:barChart>
      <c:catAx>
        <c:axId val="154878527"/>
        <c:scaling>
          <c:orientation val="minMax"/>
        </c:scaling>
        <c:delete val="0"/>
        <c:axPos val="b"/>
        <c:numFmt formatCode="General" sourceLinked="1"/>
        <c:majorTickMark val="none"/>
        <c:minorTickMark val="none"/>
        <c:tickLblPos val="nextTo"/>
        <c:spPr>
          <a:noFill/>
          <a:ln w="9525" cap="flat" cmpd="sng" algn="ctr">
            <a:solidFill>
              <a:schemeClr val="tx2">
                <a:lumMod val="85000"/>
                <a:lumOff val="15000"/>
              </a:schemeClr>
            </a:solidFill>
            <a:round/>
          </a:ln>
          <a:effectLst/>
        </c:spPr>
        <c:txPr>
          <a:bodyPr rot="-60000000" spcFirstLastPara="1" vertOverflow="ellipsis" vert="horz" wrap="square" anchor="ctr" anchorCtr="1"/>
          <a:lstStyle/>
          <a:p>
            <a:pPr>
              <a:defRPr sz="900" b="0" i="0" u="none" strike="noStrike" kern="1200" baseline="0">
                <a:solidFill>
                  <a:schemeClr val="bg2">
                    <a:lumMod val="85000"/>
                  </a:schemeClr>
                </a:solidFill>
                <a:latin typeface="+mn-lt"/>
                <a:ea typeface="+mn-ea"/>
                <a:cs typeface="+mn-cs"/>
              </a:defRPr>
            </a:pPr>
            <a:endParaRPr lang="en-US"/>
          </a:p>
        </c:txPr>
        <c:crossAx val="154879007"/>
        <c:crosses val="autoZero"/>
        <c:auto val="1"/>
        <c:lblAlgn val="ctr"/>
        <c:lblOffset val="100"/>
        <c:noMultiLvlLbl val="0"/>
      </c:catAx>
      <c:valAx>
        <c:axId val="154879007"/>
        <c:scaling>
          <c:orientation val="minMax"/>
          <c:max val="1"/>
        </c:scaling>
        <c:delete val="1"/>
        <c:axPos val="l"/>
        <c:numFmt formatCode="0%" sourceLinked="1"/>
        <c:majorTickMark val="none"/>
        <c:minorTickMark val="none"/>
        <c:tickLblPos val="nextTo"/>
        <c:crossAx val="154878527"/>
        <c:crosses val="autoZero"/>
        <c:crossBetween val="between"/>
      </c:valAx>
      <c:spPr>
        <a:noFill/>
        <a:ln>
          <a:noFill/>
        </a:ln>
        <a:effectLst/>
      </c:spPr>
    </c:plotArea>
    <c:plotVisOnly val="1"/>
    <c:dispBlanksAs val="gap"/>
    <c:showDLblsOverMax val="0"/>
  </c:chart>
  <c:spPr>
    <a:solidFill>
      <a:schemeClr val="tx2">
        <a:lumMod val="95000"/>
        <a:lumOff val="5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6"/>
              </a:solidFill>
              <a:ln w="19050">
                <a:solidFill>
                  <a:schemeClr val="lt1"/>
                </a:solidFill>
              </a:ln>
              <a:effectLst/>
            </c:spPr>
            <c:extLst>
              <c:ext xmlns:c16="http://schemas.microsoft.com/office/drawing/2014/chart" uri="{C3380CC4-5D6E-409C-BE32-E72D297353CC}">
                <c16:uniqueId val="{00000001-084E-44E9-98BC-19EA37FE7606}"/>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084E-44E9-98BC-19EA37FE7606}"/>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5-084E-44E9-98BC-19EA37FE7606}"/>
              </c:ext>
            </c:extLst>
          </c:dPt>
          <c:dPt>
            <c:idx val="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07-084E-44E9-98BC-19EA37FE7606}"/>
              </c:ext>
            </c:extLst>
          </c:dPt>
          <c:dPt>
            <c:idx val="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09-084E-44E9-98BC-19EA37FE7606}"/>
              </c:ext>
            </c:extLst>
          </c:dPt>
          <c:dLbls>
            <c:dLbl>
              <c:idx val="0"/>
              <c:layout>
                <c:manualLayout>
                  <c:x val="0.41269841269841268"/>
                  <c:y val="-0.1250000000000000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084E-44E9-98BC-19EA37FE7606}"/>
                </c:ext>
              </c:extLst>
            </c:dLbl>
            <c:dLbl>
              <c:idx val="1"/>
              <c:layout>
                <c:manualLayout>
                  <c:x val="-0.38095238095238093"/>
                  <c:y val="7.0378924179985938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084E-44E9-98BC-19EA37FE7606}"/>
                </c:ext>
              </c:extLst>
            </c:dLbl>
            <c:dLbl>
              <c:idx val="2"/>
              <c:layout>
                <c:manualLayout>
                  <c:x val="-0.29761904761904767"/>
                  <c:y val="-0.14814812114535558"/>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084E-44E9-98BC-19EA37FE7606}"/>
                </c:ext>
              </c:extLst>
            </c:dLbl>
            <c:dLbl>
              <c:idx val="3"/>
              <c:layout>
                <c:manualLayout>
                  <c:x val="-8.1349206349206352E-2"/>
                  <c:y val="-0.13425923478797849"/>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084E-44E9-98BC-19EA37FE7606}"/>
                </c:ext>
              </c:extLst>
            </c:dLbl>
            <c:dLbl>
              <c:idx val="4"/>
              <c:layout>
                <c:manualLayout>
                  <c:x val="0.21031746031746032"/>
                  <c:y val="-0.13425923478797849"/>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084E-44E9-98BC-19EA37FE7606}"/>
                </c:ext>
              </c:extLst>
            </c:dLbl>
            <c:spPr>
              <a:solidFill>
                <a:schemeClr val="tx2">
                  <a:lumMod val="95000"/>
                  <a:lumOff val="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8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'PERFORMANCE ANALYSIS'!$B$12:$B$16</c:f>
              <c:strCache>
                <c:ptCount val="5"/>
                <c:pt idx="0">
                  <c:v>OUTRIGHTS (IR,IB,YT)</c:v>
                </c:pt>
                <c:pt idx="1">
                  <c:v>SPREADS</c:v>
                </c:pt>
                <c:pt idx="2">
                  <c:v>FLIES</c:v>
                </c:pt>
                <c:pt idx="3">
                  <c:v>TED</c:v>
                </c:pt>
                <c:pt idx="4">
                  <c:v>YT-XT</c:v>
                </c:pt>
              </c:strCache>
            </c:strRef>
          </c:cat>
          <c:val>
            <c:numRef>
              <c:f>'PERFORMANCE ANALYSIS'!$F$12:$F$16</c:f>
              <c:numCache>
                <c:formatCode>"$"#,##0</c:formatCode>
                <c:ptCount val="5"/>
                <c:pt idx="0">
                  <c:v>145.89000000008869</c:v>
                </c:pt>
                <c:pt idx="1">
                  <c:v>2656.0000000000009</c:v>
                </c:pt>
                <c:pt idx="2">
                  <c:v>608</c:v>
                </c:pt>
                <c:pt idx="3">
                  <c:v>0</c:v>
                </c:pt>
                <c:pt idx="4">
                  <c:v>0</c:v>
                </c:pt>
              </c:numCache>
            </c:numRef>
          </c:val>
          <c:extLst>
            <c:ext xmlns:c16="http://schemas.microsoft.com/office/drawing/2014/chart" uri="{C3380CC4-5D6E-409C-BE32-E72D297353CC}">
              <c16:uniqueId val="{0000000A-084E-44E9-98BC-19EA37FE7606}"/>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b"/>
      <c:layout>
        <c:manualLayout>
          <c:xMode val="edge"/>
          <c:yMode val="edge"/>
          <c:x val="9.6763998250218725E-2"/>
          <c:y val="0.92760208377039866"/>
          <c:w val="0.80250374953130854"/>
          <c:h val="4.4620143514846985E-2"/>
        </c:manualLayout>
      </c:layout>
      <c:overlay val="0"/>
      <c:spPr>
        <a:noFill/>
        <a:ln>
          <a:noFill/>
        </a:ln>
        <a:effectLst/>
      </c:spPr>
      <c:txPr>
        <a:bodyPr rot="0" spcFirstLastPara="1" vertOverflow="ellipsis" vert="horz" wrap="square" anchor="ctr" anchorCtr="1"/>
        <a:lstStyle/>
        <a:p>
          <a:pPr rtl="0">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A8B-4ABD-B945-1E123E4AB9AD}"/>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AA8B-4ABD-B945-1E123E4AB9AD}"/>
              </c:ext>
            </c:extLst>
          </c:dPt>
          <c:dPt>
            <c:idx val="2"/>
            <c:bubble3D val="0"/>
            <c:spPr>
              <a:solidFill>
                <a:schemeClr val="accent5"/>
              </a:solidFill>
              <a:ln w="19050">
                <a:solidFill>
                  <a:schemeClr val="lt1"/>
                </a:solidFill>
              </a:ln>
              <a:effectLst/>
            </c:spPr>
            <c:extLst>
              <c:ext xmlns:c16="http://schemas.microsoft.com/office/drawing/2014/chart" uri="{C3380CC4-5D6E-409C-BE32-E72D297353CC}">
                <c16:uniqueId val="{00000005-AA8B-4ABD-B945-1E123E4AB9AD}"/>
              </c:ext>
            </c:extLst>
          </c:dPt>
          <c:dPt>
            <c:idx val="3"/>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7-AA8B-4ABD-B945-1E123E4AB9AD}"/>
              </c:ext>
            </c:extLst>
          </c:dPt>
          <c:dPt>
            <c:idx val="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09-AA8B-4ABD-B945-1E123E4AB9AD}"/>
              </c:ext>
            </c:extLst>
          </c:dPt>
          <c:dLbls>
            <c:dLbl>
              <c:idx val="0"/>
              <c:layout>
                <c:manualLayout>
                  <c:x val="0.37827396575428057"/>
                  <c:y val="2.3148143928961597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AA8B-4ABD-B945-1E123E4AB9AD}"/>
                </c:ext>
              </c:extLst>
            </c:dLbl>
            <c:dLbl>
              <c:idx val="1"/>
              <c:layout>
                <c:manualLayout>
                  <c:x val="-0.42857142857142855"/>
                  <c:y val="3.9351844679235075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AA8B-4ABD-B945-1E123E4AB9AD}"/>
                </c:ext>
              </c:extLst>
            </c:dLbl>
            <c:dLbl>
              <c:idx val="2"/>
              <c:layout>
                <c:manualLayout>
                  <c:x val="-0.27579365079365081"/>
                  <c:y val="-0.13425923478797849"/>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AA8B-4ABD-B945-1E123E4AB9AD}"/>
                </c:ext>
              </c:extLst>
            </c:dLbl>
            <c:dLbl>
              <c:idx val="3"/>
              <c:layout>
                <c:manualLayout>
                  <c:x val="5.3571428571428568E-2"/>
                  <c:y val="-0.18981478021748685"/>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AA8B-4ABD-B945-1E123E4AB9AD}"/>
                </c:ext>
              </c:extLst>
            </c:dLbl>
            <c:dLbl>
              <c:idx val="4"/>
              <c:layout>
                <c:manualLayout>
                  <c:x val="0.42261904761904762"/>
                  <c:y val="-0.1296296296296296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AA8B-4ABD-B945-1E123E4AB9AD}"/>
                </c:ext>
              </c:extLst>
            </c:dLbl>
            <c:spPr>
              <a:solidFill>
                <a:schemeClr val="tx2">
                  <a:lumMod val="95000"/>
                  <a:lumOff val="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8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'PERFORMANCE ANALYSIS'!$B$12:$B$16</c:f>
              <c:strCache>
                <c:ptCount val="5"/>
                <c:pt idx="0">
                  <c:v>OUTRIGHTS (IR,IB,YT)</c:v>
                </c:pt>
                <c:pt idx="1">
                  <c:v>SPREADS</c:v>
                </c:pt>
                <c:pt idx="2">
                  <c:v>FLIES</c:v>
                </c:pt>
                <c:pt idx="3">
                  <c:v>TED</c:v>
                </c:pt>
                <c:pt idx="4">
                  <c:v>YT-XT</c:v>
                </c:pt>
              </c:strCache>
            </c:strRef>
          </c:cat>
          <c:val>
            <c:numRef>
              <c:f>'PERFORMANCE ANALYSIS'!$I$12:$I$16</c:f>
              <c:numCache>
                <c:formatCode>"$"#,##0</c:formatCode>
                <c:ptCount val="5"/>
                <c:pt idx="0">
                  <c:v>0</c:v>
                </c:pt>
                <c:pt idx="1">
                  <c:v>879.99999999999989</c:v>
                </c:pt>
                <c:pt idx="2">
                  <c:v>911.99999999999977</c:v>
                </c:pt>
                <c:pt idx="3">
                  <c:v>0</c:v>
                </c:pt>
                <c:pt idx="4">
                  <c:v>0</c:v>
                </c:pt>
              </c:numCache>
            </c:numRef>
          </c:val>
          <c:extLst>
            <c:ext xmlns:c16="http://schemas.microsoft.com/office/drawing/2014/chart" uri="{C3380CC4-5D6E-409C-BE32-E72D297353CC}">
              <c16:uniqueId val="{0000000A-AA8B-4ABD-B945-1E123E4AB9AD}"/>
            </c:ext>
          </c:extLst>
        </c:ser>
        <c:dLbls>
          <c:showLegendKey val="0"/>
          <c:showVal val="0"/>
          <c:showCatName val="0"/>
          <c:showSerName val="0"/>
          <c:showPercent val="0"/>
          <c:showBubbleSize val="0"/>
          <c:showLeaderLines val="1"/>
        </c:dLbls>
        <c:firstSliceAng val="0"/>
        <c:holeSize val="5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900" b="0" i="0" u="none" strike="noStrike" kern="1200" spc="0" baseline="0">
                <a:solidFill>
                  <a:schemeClr val="bg2">
                    <a:lumMod val="65000"/>
                  </a:schemeClr>
                </a:solidFill>
                <a:latin typeface="+mn-lt"/>
                <a:ea typeface="+mn-ea"/>
                <a:cs typeface="+mn-cs"/>
              </a:defRPr>
            </a:pPr>
            <a:r>
              <a:rPr lang="en-US" sz="900">
                <a:solidFill>
                  <a:schemeClr val="bg2">
                    <a:lumMod val="65000"/>
                  </a:schemeClr>
                </a:solidFill>
              </a:rPr>
              <a:t># TRADES OR STRATEGIES</a:t>
            </a:r>
          </a:p>
        </c:rich>
      </c:tx>
      <c:overlay val="0"/>
      <c:spPr>
        <a:noFill/>
        <a:ln>
          <a:noFill/>
        </a:ln>
        <a:effectLst/>
      </c:spPr>
      <c:txPr>
        <a:bodyPr rot="0" spcFirstLastPara="1" vertOverflow="ellipsis" vert="horz" wrap="square" anchor="ctr" anchorCtr="1"/>
        <a:lstStyle/>
        <a:p>
          <a:pPr>
            <a:defRPr sz="900" b="0" i="0" u="none" strike="noStrike" kern="1200" spc="0" baseline="0">
              <a:solidFill>
                <a:schemeClr val="bg2">
                  <a:lumMod val="65000"/>
                </a:schemeClr>
              </a:solidFill>
              <a:latin typeface="+mn-lt"/>
              <a:ea typeface="+mn-ea"/>
              <a:cs typeface="+mn-cs"/>
            </a:defRPr>
          </a:pPr>
          <a:endParaRPr lang="en-US"/>
        </a:p>
      </c:txPr>
    </c:title>
    <c:autoTitleDeleted val="0"/>
    <c:plotArea>
      <c:layout/>
      <c:barChart>
        <c:barDir val="bar"/>
        <c:grouping val="percentStacked"/>
        <c:varyColors val="0"/>
        <c:ser>
          <c:idx val="0"/>
          <c:order val="0"/>
          <c:spPr>
            <a:solidFill>
              <a:schemeClr val="bg2">
                <a:lumMod val="95000"/>
              </a:schemeClr>
            </a:solidFill>
            <a:ln>
              <a:noFill/>
            </a:ln>
            <a:effectLst/>
          </c:spPr>
          <c:invertIfNegative val="0"/>
          <c:val>
            <c:numRef>
              <c:f>'PERFORMANCE ANALYSIS'!$C$9</c:f>
              <c:numCache>
                <c:formatCode>General</c:formatCode>
                <c:ptCount val="1"/>
                <c:pt idx="0">
                  <c:v>23</c:v>
                </c:pt>
              </c:numCache>
            </c:numRef>
          </c:val>
          <c:extLst>
            <c:ext xmlns:c16="http://schemas.microsoft.com/office/drawing/2014/chart" uri="{C3380CC4-5D6E-409C-BE32-E72D297353CC}">
              <c16:uniqueId val="{00000000-5E5F-48D0-ACFB-CED33CCCD652}"/>
            </c:ext>
          </c:extLst>
        </c:ser>
        <c:ser>
          <c:idx val="1"/>
          <c:order val="1"/>
          <c:spPr>
            <a:solidFill>
              <a:srgbClr val="660033"/>
            </a:solidFill>
            <a:ln>
              <a:noFill/>
            </a:ln>
            <a:effectLst/>
          </c:spPr>
          <c:invertIfNegative val="0"/>
          <c:val>
            <c:numRef>
              <c:f>'PERFORMANCE ANALYSIS'!$C$10</c:f>
              <c:numCache>
                <c:formatCode>General</c:formatCode>
                <c:ptCount val="1"/>
                <c:pt idx="0">
                  <c:v>7</c:v>
                </c:pt>
              </c:numCache>
            </c:numRef>
          </c:val>
          <c:extLst>
            <c:ext xmlns:c16="http://schemas.microsoft.com/office/drawing/2014/chart" uri="{C3380CC4-5D6E-409C-BE32-E72D297353CC}">
              <c16:uniqueId val="{00000001-5E5F-48D0-ACFB-CED33CCCD652}"/>
            </c:ext>
          </c:extLst>
        </c:ser>
        <c:dLbls>
          <c:showLegendKey val="0"/>
          <c:showVal val="0"/>
          <c:showCatName val="0"/>
          <c:showSerName val="0"/>
          <c:showPercent val="0"/>
          <c:showBubbleSize val="0"/>
        </c:dLbls>
        <c:gapWidth val="150"/>
        <c:overlap val="100"/>
        <c:axId val="1777694111"/>
        <c:axId val="1777694591"/>
      </c:barChart>
      <c:catAx>
        <c:axId val="1777694111"/>
        <c:scaling>
          <c:orientation val="minMax"/>
        </c:scaling>
        <c:delete val="1"/>
        <c:axPos val="l"/>
        <c:numFmt formatCode="General" sourceLinked="1"/>
        <c:majorTickMark val="none"/>
        <c:minorTickMark val="none"/>
        <c:tickLblPos val="nextTo"/>
        <c:crossAx val="1777694591"/>
        <c:crosses val="autoZero"/>
        <c:auto val="1"/>
        <c:lblAlgn val="ctr"/>
        <c:lblOffset val="100"/>
        <c:noMultiLvlLbl val="0"/>
      </c:catAx>
      <c:valAx>
        <c:axId val="1777694591"/>
        <c:scaling>
          <c:orientation val="minMax"/>
        </c:scaling>
        <c:delete val="1"/>
        <c:axPos val="b"/>
        <c:numFmt formatCode="0%" sourceLinked="1"/>
        <c:majorTickMark val="none"/>
        <c:minorTickMark val="none"/>
        <c:tickLblPos val="nextTo"/>
        <c:crossAx val="1777694111"/>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900" b="0" i="0" u="none" strike="noStrike" kern="1200" spc="0" baseline="0">
                <a:solidFill>
                  <a:schemeClr val="bg2">
                    <a:lumMod val="65000"/>
                  </a:schemeClr>
                </a:solidFill>
                <a:latin typeface="+mn-lt"/>
                <a:ea typeface="+mn-ea"/>
                <a:cs typeface="+mn-cs"/>
              </a:defRPr>
            </a:pPr>
            <a:r>
              <a:rPr lang="en-US" sz="900">
                <a:solidFill>
                  <a:schemeClr val="bg2">
                    <a:lumMod val="65000"/>
                  </a:schemeClr>
                </a:solidFill>
              </a:rPr>
              <a:t>LOTS / ORDER</a:t>
            </a:r>
          </a:p>
        </c:rich>
      </c:tx>
      <c:overlay val="0"/>
      <c:spPr>
        <a:noFill/>
        <a:ln>
          <a:noFill/>
        </a:ln>
        <a:effectLst/>
      </c:spPr>
      <c:txPr>
        <a:bodyPr rot="0" spcFirstLastPara="1" vertOverflow="ellipsis" vert="horz" wrap="square" anchor="ctr" anchorCtr="1"/>
        <a:lstStyle/>
        <a:p>
          <a:pPr>
            <a:defRPr sz="900" b="0" i="0" u="none" strike="noStrike" kern="1200" spc="0" baseline="0">
              <a:solidFill>
                <a:schemeClr val="bg2">
                  <a:lumMod val="65000"/>
                </a:schemeClr>
              </a:solidFill>
              <a:latin typeface="+mn-lt"/>
              <a:ea typeface="+mn-ea"/>
              <a:cs typeface="+mn-cs"/>
            </a:defRPr>
          </a:pPr>
          <a:endParaRPr lang="en-US"/>
        </a:p>
      </c:txPr>
    </c:title>
    <c:autoTitleDeleted val="0"/>
    <c:plotArea>
      <c:layout/>
      <c:barChart>
        <c:barDir val="bar"/>
        <c:grouping val="percentStacked"/>
        <c:varyColors val="0"/>
        <c:ser>
          <c:idx val="0"/>
          <c:order val="0"/>
          <c:spPr>
            <a:solidFill>
              <a:schemeClr val="bg2">
                <a:lumMod val="95000"/>
              </a:schemeClr>
            </a:solidFill>
            <a:ln>
              <a:noFill/>
            </a:ln>
            <a:effectLst/>
          </c:spPr>
          <c:invertIfNegative val="0"/>
          <c:val>
            <c:numRef>
              <c:f>'PERFORMANCE ANALYSIS'!$S$9</c:f>
              <c:numCache>
                <c:formatCode>0.0</c:formatCode>
                <c:ptCount val="1"/>
                <c:pt idx="0">
                  <c:v>9.8260869565217384</c:v>
                </c:pt>
              </c:numCache>
            </c:numRef>
          </c:val>
          <c:extLst>
            <c:ext xmlns:c16="http://schemas.microsoft.com/office/drawing/2014/chart" uri="{C3380CC4-5D6E-409C-BE32-E72D297353CC}">
              <c16:uniqueId val="{00000000-B36D-405B-9C5A-3F0192C62C0E}"/>
            </c:ext>
          </c:extLst>
        </c:ser>
        <c:ser>
          <c:idx val="1"/>
          <c:order val="1"/>
          <c:spPr>
            <a:solidFill>
              <a:srgbClr val="660033"/>
            </a:solidFill>
            <a:ln>
              <a:noFill/>
            </a:ln>
            <a:effectLst/>
          </c:spPr>
          <c:invertIfNegative val="0"/>
          <c:val>
            <c:numRef>
              <c:f>'PERFORMANCE ANALYSIS'!$S$10</c:f>
              <c:numCache>
                <c:formatCode>0.0</c:formatCode>
                <c:ptCount val="1"/>
                <c:pt idx="0">
                  <c:v>21.142857142857142</c:v>
                </c:pt>
              </c:numCache>
            </c:numRef>
          </c:val>
          <c:extLst>
            <c:ext xmlns:c16="http://schemas.microsoft.com/office/drawing/2014/chart" uri="{C3380CC4-5D6E-409C-BE32-E72D297353CC}">
              <c16:uniqueId val="{00000001-B36D-405B-9C5A-3F0192C62C0E}"/>
            </c:ext>
          </c:extLst>
        </c:ser>
        <c:dLbls>
          <c:showLegendKey val="0"/>
          <c:showVal val="0"/>
          <c:showCatName val="0"/>
          <c:showSerName val="0"/>
          <c:showPercent val="0"/>
          <c:showBubbleSize val="0"/>
        </c:dLbls>
        <c:gapWidth val="150"/>
        <c:overlap val="100"/>
        <c:axId val="1777694111"/>
        <c:axId val="1777694591"/>
      </c:barChart>
      <c:catAx>
        <c:axId val="1777694111"/>
        <c:scaling>
          <c:orientation val="minMax"/>
        </c:scaling>
        <c:delete val="1"/>
        <c:axPos val="l"/>
        <c:numFmt formatCode="General" sourceLinked="1"/>
        <c:majorTickMark val="none"/>
        <c:minorTickMark val="none"/>
        <c:tickLblPos val="nextTo"/>
        <c:crossAx val="1777694591"/>
        <c:crosses val="autoZero"/>
        <c:auto val="1"/>
        <c:lblAlgn val="ctr"/>
        <c:lblOffset val="100"/>
        <c:noMultiLvlLbl val="0"/>
      </c:catAx>
      <c:valAx>
        <c:axId val="1777694591"/>
        <c:scaling>
          <c:orientation val="minMax"/>
        </c:scaling>
        <c:delete val="1"/>
        <c:axPos val="b"/>
        <c:numFmt formatCode="0%" sourceLinked="1"/>
        <c:majorTickMark val="none"/>
        <c:minorTickMark val="none"/>
        <c:tickLblPos val="nextTo"/>
        <c:crossAx val="1777694111"/>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Reversed" id="22">
  <a:schemeClr val="accent2"/>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1.png"/><Relationship Id="rId13" Type="http://schemas.openxmlformats.org/officeDocument/2006/relationships/chart" Target="../charts/chart9.xml"/><Relationship Id="rId18" Type="http://schemas.openxmlformats.org/officeDocument/2006/relationships/chart" Target="../charts/chart14.xml"/><Relationship Id="rId3" Type="http://schemas.openxmlformats.org/officeDocument/2006/relationships/chart" Target="../charts/chart3.xml"/><Relationship Id="rId21" Type="http://schemas.openxmlformats.org/officeDocument/2006/relationships/chart" Target="../charts/chart17.xml"/><Relationship Id="rId7" Type="http://schemas.openxmlformats.org/officeDocument/2006/relationships/hyperlink" Target="#'PERFORMANCE ANALYSIS'!A80"/><Relationship Id="rId12" Type="http://schemas.openxmlformats.org/officeDocument/2006/relationships/chart" Target="../charts/chart8.xml"/><Relationship Id="rId17" Type="http://schemas.openxmlformats.org/officeDocument/2006/relationships/chart" Target="../charts/chart13.xml"/><Relationship Id="rId2" Type="http://schemas.openxmlformats.org/officeDocument/2006/relationships/chart" Target="../charts/chart2.xml"/><Relationship Id="rId16" Type="http://schemas.openxmlformats.org/officeDocument/2006/relationships/chart" Target="../charts/chart12.xml"/><Relationship Id="rId20" Type="http://schemas.openxmlformats.org/officeDocument/2006/relationships/chart" Target="../charts/chart16.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7.xml"/><Relationship Id="rId5" Type="http://schemas.openxmlformats.org/officeDocument/2006/relationships/chart" Target="../charts/chart5.xml"/><Relationship Id="rId15" Type="http://schemas.openxmlformats.org/officeDocument/2006/relationships/chart" Target="../charts/chart11.xml"/><Relationship Id="rId10" Type="http://schemas.openxmlformats.org/officeDocument/2006/relationships/image" Target="../media/image2.png"/><Relationship Id="rId19" Type="http://schemas.openxmlformats.org/officeDocument/2006/relationships/chart" Target="../charts/chart15.xml"/><Relationship Id="rId4" Type="http://schemas.openxmlformats.org/officeDocument/2006/relationships/chart" Target="../charts/chart4.xml"/><Relationship Id="rId9" Type="http://schemas.openxmlformats.org/officeDocument/2006/relationships/hyperlink" Target="#'PERFORMANCE ANALYSIS'!A1"/><Relationship Id="rId14" Type="http://schemas.openxmlformats.org/officeDocument/2006/relationships/chart" Target="../charts/chart10.xml"/><Relationship Id="rId22"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0</xdr:col>
      <xdr:colOff>472441</xdr:colOff>
      <xdr:row>51</xdr:row>
      <xdr:rowOff>120287</xdr:rowOff>
    </xdr:from>
    <xdr:to>
      <xdr:col>3</xdr:col>
      <xdr:colOff>7077</xdr:colOff>
      <xdr:row>71</xdr:row>
      <xdr:rowOff>8709</xdr:rowOff>
    </xdr:to>
    <xdr:graphicFrame macro="">
      <xdr:nvGraphicFramePr>
        <xdr:cNvPr id="3" name="Chart 2">
          <a:extLst>
            <a:ext uri="{FF2B5EF4-FFF2-40B4-BE49-F238E27FC236}">
              <a16:creationId xmlns:a16="http://schemas.microsoft.com/office/drawing/2014/main" id="{C567C2E5-43A5-2EE3-6109-11921B2AB6D5}"/>
            </a:ext>
            <a:ext uri="{147F2762-F138-4A5C-976F-8EAC2B608ADB}">
              <a16:predDERef xmlns:a16="http://schemas.microsoft.com/office/drawing/2014/main" pred="{6F61C48B-8F7C-45FB-BD6A-C08F9DC201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309017</xdr:colOff>
      <xdr:row>120</xdr:row>
      <xdr:rowOff>1</xdr:rowOff>
    </xdr:from>
    <xdr:to>
      <xdr:col>21</xdr:col>
      <xdr:colOff>418196</xdr:colOff>
      <xdr:row>148</xdr:row>
      <xdr:rowOff>36002</xdr:rowOff>
    </xdr:to>
    <xdr:graphicFrame macro="">
      <xdr:nvGraphicFramePr>
        <xdr:cNvPr id="13" name="Chart 3">
          <a:extLst>
            <a:ext uri="{FF2B5EF4-FFF2-40B4-BE49-F238E27FC236}">
              <a16:creationId xmlns:a16="http://schemas.microsoft.com/office/drawing/2014/main" id="{5531A774-7F7D-40B1-BC2F-1B3D1FBB55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22</xdr:col>
      <xdr:colOff>454750</xdr:colOff>
      <xdr:row>120</xdr:row>
      <xdr:rowOff>13609</xdr:rowOff>
    </xdr:from>
    <xdr:to>
      <xdr:col>30</xdr:col>
      <xdr:colOff>27214</xdr:colOff>
      <xdr:row>148</xdr:row>
      <xdr:rowOff>137348</xdr:rowOff>
    </xdr:to>
    <xdr:graphicFrame macro="">
      <xdr:nvGraphicFramePr>
        <xdr:cNvPr id="12" name="Chart 10">
          <a:extLst>
            <a:ext uri="{FF2B5EF4-FFF2-40B4-BE49-F238E27FC236}">
              <a16:creationId xmlns:a16="http://schemas.microsoft.com/office/drawing/2014/main" id="{B5FE781E-4CBC-4BAD-8651-0C92B1039236}"/>
            </a:ext>
            <a:ext uri="{147F2762-F138-4A5C-976F-8EAC2B608ADB}">
              <a16:predDERef xmlns:a16="http://schemas.microsoft.com/office/drawing/2014/main" pred="{5531A774-7F7D-40B1-BC2F-1B3D1FBB55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41601</xdr:colOff>
      <xdr:row>24</xdr:row>
      <xdr:rowOff>130700</xdr:rowOff>
    </xdr:from>
    <xdr:to>
      <xdr:col>5</xdr:col>
      <xdr:colOff>783528</xdr:colOff>
      <xdr:row>47</xdr:row>
      <xdr:rowOff>22164</xdr:rowOff>
    </xdr:to>
    <xdr:graphicFrame macro="">
      <xdr:nvGraphicFramePr>
        <xdr:cNvPr id="16" name="Chart 15">
          <a:extLst>
            <a:ext uri="{FF2B5EF4-FFF2-40B4-BE49-F238E27FC236}">
              <a16:creationId xmlns:a16="http://schemas.microsoft.com/office/drawing/2014/main" id="{2FA4AB58-8037-4CFF-8175-47B5D4884C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881742</xdr:colOff>
      <xdr:row>24</xdr:row>
      <xdr:rowOff>133718</xdr:rowOff>
    </xdr:from>
    <xdr:to>
      <xdr:col>11</xdr:col>
      <xdr:colOff>475802</xdr:colOff>
      <xdr:row>47</xdr:row>
      <xdr:rowOff>17562</xdr:rowOff>
    </xdr:to>
    <xdr:graphicFrame macro="">
      <xdr:nvGraphicFramePr>
        <xdr:cNvPr id="17" name="Chart 16">
          <a:extLst>
            <a:ext uri="{FF2B5EF4-FFF2-40B4-BE49-F238E27FC236}">
              <a16:creationId xmlns:a16="http://schemas.microsoft.com/office/drawing/2014/main" id="{503993E9-12CC-4019-9C9E-79952989E0EB}"/>
            </a:ext>
            <a:ext uri="{147F2762-F138-4A5C-976F-8EAC2B608ADB}">
              <a16:predDERef xmlns:a16="http://schemas.microsoft.com/office/drawing/2014/main" pred="{2FA4AB58-8037-4CFF-8175-47B5D4884C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349432</xdr:colOff>
      <xdr:row>65</xdr:row>
      <xdr:rowOff>124367</xdr:rowOff>
    </xdr:from>
    <xdr:to>
      <xdr:col>28</xdr:col>
      <xdr:colOff>556260</xdr:colOff>
      <xdr:row>78</xdr:row>
      <xdr:rowOff>99059</xdr:rowOff>
    </xdr:to>
    <xdr:graphicFrame macro="">
      <xdr:nvGraphicFramePr>
        <xdr:cNvPr id="4" name="Chart 17">
          <a:extLst>
            <a:ext uri="{FF2B5EF4-FFF2-40B4-BE49-F238E27FC236}">
              <a16:creationId xmlns:a16="http://schemas.microsoft.com/office/drawing/2014/main" id="{BFD504C2-9F7C-4E87-8FF6-BA236DADA11B}"/>
            </a:ext>
            <a:ext uri="{147F2762-F138-4A5C-976F-8EAC2B608ADB}">
              <a16:predDERef xmlns:a16="http://schemas.microsoft.com/office/drawing/2014/main" pred="{503993E9-12CC-4019-9C9E-79952989E0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xdr:col>
      <xdr:colOff>894262</xdr:colOff>
      <xdr:row>0</xdr:row>
      <xdr:rowOff>64226</xdr:rowOff>
    </xdr:from>
    <xdr:to>
      <xdr:col>1</xdr:col>
      <xdr:colOff>1122552</xdr:colOff>
      <xdr:row>1</xdr:row>
      <xdr:rowOff>133894</xdr:rowOff>
    </xdr:to>
    <xdr:pic>
      <xdr:nvPicPr>
        <xdr:cNvPr id="5" name="Picture 4">
          <a:hlinkClick xmlns:r="http://schemas.openxmlformats.org/officeDocument/2006/relationships" r:id="rId7"/>
          <a:extLst>
            <a:ext uri="{FF2B5EF4-FFF2-40B4-BE49-F238E27FC236}">
              <a16:creationId xmlns:a16="http://schemas.microsoft.com/office/drawing/2014/main" id="{2F875A94-B750-BA76-6F6F-DF07D17A0412}"/>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2282191" y="64226"/>
          <a:ext cx="228290" cy="225334"/>
        </a:xfrm>
        <a:prstGeom prst="rect">
          <a:avLst/>
        </a:prstGeom>
      </xdr:spPr>
    </xdr:pic>
    <xdr:clientData/>
  </xdr:twoCellAnchor>
  <xdr:twoCellAnchor editAs="oneCell">
    <xdr:from>
      <xdr:col>0</xdr:col>
      <xdr:colOff>213905</xdr:colOff>
      <xdr:row>19</xdr:row>
      <xdr:rowOff>55385</xdr:rowOff>
    </xdr:from>
    <xdr:to>
      <xdr:col>0</xdr:col>
      <xdr:colOff>434570</xdr:colOff>
      <xdr:row>20</xdr:row>
      <xdr:rowOff>130762</xdr:rowOff>
    </xdr:to>
    <xdr:pic>
      <xdr:nvPicPr>
        <xdr:cNvPr id="7" name="Picture 6">
          <a:hlinkClick xmlns:r="http://schemas.openxmlformats.org/officeDocument/2006/relationships" r:id="rId9"/>
          <a:extLst>
            <a:ext uri="{FF2B5EF4-FFF2-40B4-BE49-F238E27FC236}">
              <a16:creationId xmlns:a16="http://schemas.microsoft.com/office/drawing/2014/main" id="{DA75B445-1A7D-B31D-FFFF-9186548ACB3E}"/>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213905" y="3266671"/>
          <a:ext cx="220665" cy="246555"/>
        </a:xfrm>
        <a:prstGeom prst="rect">
          <a:avLst/>
        </a:prstGeom>
      </xdr:spPr>
    </xdr:pic>
    <xdr:clientData/>
  </xdr:twoCellAnchor>
  <xdr:twoCellAnchor>
    <xdr:from>
      <xdr:col>4</xdr:col>
      <xdr:colOff>96216</xdr:colOff>
      <xdr:row>66</xdr:row>
      <xdr:rowOff>27214</xdr:rowOff>
    </xdr:from>
    <xdr:to>
      <xdr:col>7</xdr:col>
      <xdr:colOff>598800</xdr:colOff>
      <xdr:row>78</xdr:row>
      <xdr:rowOff>195513</xdr:rowOff>
    </xdr:to>
    <xdr:graphicFrame macro="">
      <xdr:nvGraphicFramePr>
        <xdr:cNvPr id="24" name="Chart 17">
          <a:extLst>
            <a:ext uri="{FF2B5EF4-FFF2-40B4-BE49-F238E27FC236}">
              <a16:creationId xmlns:a16="http://schemas.microsoft.com/office/drawing/2014/main" id="{2F642EDB-50DA-42C2-8D27-696DEE539AB9}"/>
            </a:ext>
            <a:ext uri="{147F2762-F138-4A5C-976F-8EAC2B608ADB}">
              <a16:predDERef xmlns:a16="http://schemas.microsoft.com/office/drawing/2014/main" pred="{DA75B445-1A7D-B31D-FFFF-9186548ACB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10</xdr:col>
      <xdr:colOff>557892</xdr:colOff>
      <xdr:row>82</xdr:row>
      <xdr:rowOff>136072</xdr:rowOff>
    </xdr:from>
    <xdr:to>
      <xdr:col>29</xdr:col>
      <xdr:colOff>118654</xdr:colOff>
      <xdr:row>118</xdr:row>
      <xdr:rowOff>13608</xdr:rowOff>
    </xdr:to>
    <xdr:graphicFrame macro="">
      <xdr:nvGraphicFramePr>
        <xdr:cNvPr id="2" name="Chart 1">
          <a:extLst>
            <a:ext uri="{FF2B5EF4-FFF2-40B4-BE49-F238E27FC236}">
              <a16:creationId xmlns:a16="http://schemas.microsoft.com/office/drawing/2014/main" id="{8F1F798C-F189-4138-967B-E8059D95D674}"/>
            </a:ext>
            <a:ext uri="{147F2762-F138-4A5C-976F-8EAC2B608ADB}">
              <a16:predDERef xmlns:a16="http://schemas.microsoft.com/office/drawing/2014/main" pred="{2F642EDB-50DA-42C2-8D27-696DEE539A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10</xdr:col>
      <xdr:colOff>-1</xdr:colOff>
      <xdr:row>120</xdr:row>
      <xdr:rowOff>9524</xdr:rowOff>
    </xdr:from>
    <xdr:to>
      <xdr:col>14</xdr:col>
      <xdr:colOff>435749</xdr:colOff>
      <xdr:row>148</xdr:row>
      <xdr:rowOff>45524</xdr:rowOff>
    </xdr:to>
    <xdr:graphicFrame macro="">
      <xdr:nvGraphicFramePr>
        <xdr:cNvPr id="15" name="Chart 14">
          <a:extLst>
            <a:ext uri="{FF2B5EF4-FFF2-40B4-BE49-F238E27FC236}">
              <a16:creationId xmlns:a16="http://schemas.microsoft.com/office/drawing/2014/main" id="{FF02BEAF-2C66-AFBD-D603-D0F1C98B18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0</xdr:col>
      <xdr:colOff>198118</xdr:colOff>
      <xdr:row>24</xdr:row>
      <xdr:rowOff>129746</xdr:rowOff>
    </xdr:from>
    <xdr:to>
      <xdr:col>2</xdr:col>
      <xdr:colOff>892404</xdr:colOff>
      <xdr:row>47</xdr:row>
      <xdr:rowOff>21210</xdr:rowOff>
    </xdr:to>
    <xdr:graphicFrame macro="">
      <xdr:nvGraphicFramePr>
        <xdr:cNvPr id="23" name="Chart 22">
          <a:extLst>
            <a:ext uri="{FF2B5EF4-FFF2-40B4-BE49-F238E27FC236}">
              <a16:creationId xmlns:a16="http://schemas.microsoft.com/office/drawing/2014/main" id="{520B3244-DDB6-49B3-920B-562313A120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4</xdr:col>
      <xdr:colOff>96216</xdr:colOff>
      <xdr:row>53</xdr:row>
      <xdr:rowOff>134165</xdr:rowOff>
    </xdr:from>
    <xdr:to>
      <xdr:col>7</xdr:col>
      <xdr:colOff>598800</xdr:colOff>
      <xdr:row>65</xdr:row>
      <xdr:rowOff>124211</xdr:rowOff>
    </xdr:to>
    <xdr:graphicFrame macro="">
      <xdr:nvGraphicFramePr>
        <xdr:cNvPr id="32" name="Chart 7">
          <a:extLst>
            <a:ext uri="{FF2B5EF4-FFF2-40B4-BE49-F238E27FC236}">
              <a16:creationId xmlns:a16="http://schemas.microsoft.com/office/drawing/2014/main" id="{0EB20AFE-C25D-4043-B11E-75217B8781FD}"/>
            </a:ext>
            <a:ext uri="{147F2762-F138-4A5C-976F-8EAC2B608ADB}">
              <a16:predDERef xmlns:a16="http://schemas.microsoft.com/office/drawing/2014/main" pred="{520B3244-DDB6-49B3-920B-562313A120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oneCellAnchor>
    <xdr:from>
      <xdr:col>1</xdr:col>
      <xdr:colOff>11623</xdr:colOff>
      <xdr:row>50</xdr:row>
      <xdr:rowOff>53616</xdr:rowOff>
    </xdr:from>
    <xdr:ext cx="1803378" cy="483146"/>
    <xdr:sp macro="" textlink="">
      <xdr:nvSpPr>
        <xdr:cNvPr id="9" name="TextBox 8">
          <a:extLst>
            <a:ext uri="{FF2B5EF4-FFF2-40B4-BE49-F238E27FC236}">
              <a16:creationId xmlns:a16="http://schemas.microsoft.com/office/drawing/2014/main" id="{162FAC0C-50FD-1462-72F3-03C185E660E4}"/>
            </a:ext>
          </a:extLst>
        </xdr:cNvPr>
        <xdr:cNvSpPr txBox="1"/>
      </xdr:nvSpPr>
      <xdr:spPr>
        <a:xfrm>
          <a:off x="1399552" y="8911866"/>
          <a:ext cx="1803378" cy="483146"/>
        </a:xfrm>
        <a:prstGeom prst="rect">
          <a:avLst/>
        </a:prstGeom>
        <a:solidFill>
          <a:schemeClr val="tx2">
            <a:lumMod val="95000"/>
            <a:lumOff val="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600" b="1">
              <a:solidFill>
                <a:schemeClr val="bg2">
                  <a:lumMod val="75000"/>
                </a:schemeClr>
              </a:solidFill>
            </a:rPr>
            <a:t>WHITES V REDS</a:t>
          </a:r>
        </a:p>
        <a:p>
          <a:pPr algn="ctr"/>
          <a:r>
            <a:rPr lang="en-US" sz="1000" b="1">
              <a:solidFill>
                <a:schemeClr val="bg2">
                  <a:lumMod val="75000"/>
                </a:schemeClr>
              </a:solidFill>
            </a:rPr>
            <a:t>(in terms of lots)</a:t>
          </a:r>
          <a:endParaRPr lang="en-US" sz="1600" b="1">
            <a:solidFill>
              <a:schemeClr val="bg2">
                <a:lumMod val="75000"/>
              </a:schemeClr>
            </a:solidFill>
          </a:endParaRPr>
        </a:p>
      </xdr:txBody>
    </xdr:sp>
    <xdr:clientData/>
  </xdr:oneCellAnchor>
  <xdr:oneCellAnchor>
    <xdr:from>
      <xdr:col>4</xdr:col>
      <xdr:colOff>705089</xdr:colOff>
      <xdr:row>21</xdr:row>
      <xdr:rowOff>136026</xdr:rowOff>
    </xdr:from>
    <xdr:ext cx="1104387" cy="328295"/>
    <xdr:sp macro="" textlink="">
      <xdr:nvSpPr>
        <xdr:cNvPr id="11" name="TextBox 10">
          <a:extLst>
            <a:ext uri="{FF2B5EF4-FFF2-40B4-BE49-F238E27FC236}">
              <a16:creationId xmlns:a16="http://schemas.microsoft.com/office/drawing/2014/main" id="{B4F8227D-1B42-4A65-9713-3FBCF300E60B}"/>
            </a:ext>
          </a:extLst>
        </xdr:cNvPr>
        <xdr:cNvSpPr txBox="1"/>
      </xdr:nvSpPr>
      <xdr:spPr>
        <a:xfrm>
          <a:off x="5971053" y="4286205"/>
          <a:ext cx="1104387" cy="328295"/>
        </a:xfrm>
        <a:prstGeom prst="rect">
          <a:avLst/>
        </a:prstGeom>
        <a:solidFill>
          <a:schemeClr val="tx2">
            <a:lumMod val="95000"/>
            <a:lumOff val="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600" b="1">
              <a:solidFill>
                <a:schemeClr val="bg2">
                  <a:lumMod val="75000"/>
                </a:schemeClr>
              </a:solidFill>
            </a:rPr>
            <a:t>NET PNL</a:t>
          </a:r>
        </a:p>
      </xdr:txBody>
    </xdr:sp>
    <xdr:clientData/>
  </xdr:oneCellAnchor>
  <xdr:oneCellAnchor>
    <xdr:from>
      <xdr:col>5</xdr:col>
      <xdr:colOff>511525</xdr:colOff>
      <xdr:row>50</xdr:row>
      <xdr:rowOff>131042</xdr:rowOff>
    </xdr:from>
    <xdr:ext cx="3182602" cy="328295"/>
    <xdr:sp macro="" textlink="">
      <xdr:nvSpPr>
        <xdr:cNvPr id="14" name="TextBox 13">
          <a:extLst>
            <a:ext uri="{FF2B5EF4-FFF2-40B4-BE49-F238E27FC236}">
              <a16:creationId xmlns:a16="http://schemas.microsoft.com/office/drawing/2014/main" id="{5395F0E5-DC7A-4FED-9B8B-33214B1AA020}"/>
            </a:ext>
            <a:ext uri="{147F2762-F138-4A5C-976F-8EAC2B608ADB}">
              <a16:predDERef xmlns:a16="http://schemas.microsoft.com/office/drawing/2014/main" pred="{B4F8227D-1B42-4A65-9713-3FBCF300E60B}"/>
            </a:ext>
          </a:extLst>
        </xdr:cNvPr>
        <xdr:cNvSpPr txBox="1"/>
      </xdr:nvSpPr>
      <xdr:spPr>
        <a:xfrm>
          <a:off x="6784418" y="8989292"/>
          <a:ext cx="3182602" cy="328295"/>
        </a:xfrm>
        <a:prstGeom prst="rect">
          <a:avLst/>
        </a:prstGeom>
        <a:solidFill>
          <a:schemeClr val="tx2">
            <a:lumMod val="95000"/>
            <a:lumOff val="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600" b="1">
              <a:solidFill>
                <a:schemeClr val="bg2">
                  <a:lumMod val="75000"/>
                </a:schemeClr>
              </a:solidFill>
            </a:rPr>
            <a:t>CONTRACTS PARTICIPATION </a:t>
          </a:r>
        </a:p>
      </xdr:txBody>
    </xdr:sp>
    <xdr:clientData/>
  </xdr:oneCellAnchor>
  <xdr:twoCellAnchor>
    <xdr:from>
      <xdr:col>3</xdr:col>
      <xdr:colOff>248737</xdr:colOff>
      <xdr:row>53</xdr:row>
      <xdr:rowOff>131174</xdr:rowOff>
    </xdr:from>
    <xdr:to>
      <xdr:col>3</xdr:col>
      <xdr:colOff>248737</xdr:colOff>
      <xdr:row>77</xdr:row>
      <xdr:rowOff>156483</xdr:rowOff>
    </xdr:to>
    <xdr:cxnSp macro="">
      <xdr:nvCxnSpPr>
        <xdr:cNvPr id="19" name="Straight Connector 18">
          <a:extLst>
            <a:ext uri="{FF2B5EF4-FFF2-40B4-BE49-F238E27FC236}">
              <a16:creationId xmlns:a16="http://schemas.microsoft.com/office/drawing/2014/main" id="{F6AA068A-7239-2849-CA0B-BF4CC8FE65CE}"/>
            </a:ext>
          </a:extLst>
        </xdr:cNvPr>
        <xdr:cNvCxnSpPr/>
      </xdr:nvCxnSpPr>
      <xdr:spPr>
        <a:xfrm>
          <a:off x="4480558" y="9969138"/>
          <a:ext cx="0" cy="4542881"/>
        </a:xfrm>
        <a:prstGeom prst="line">
          <a:avLst/>
        </a:prstGeom>
        <a:ln/>
      </xdr:spPr>
      <xdr:style>
        <a:lnRef idx="3">
          <a:schemeClr val="dk1"/>
        </a:lnRef>
        <a:fillRef idx="0">
          <a:schemeClr val="dk1"/>
        </a:fillRef>
        <a:effectRef idx="2">
          <a:schemeClr val="dk1"/>
        </a:effectRef>
        <a:fontRef idx="minor">
          <a:schemeClr val="tx1"/>
        </a:fontRef>
      </xdr:style>
    </xdr:cxnSp>
    <xdr:clientData/>
  </xdr:twoCellAnchor>
  <xdr:twoCellAnchor>
    <xdr:from>
      <xdr:col>16</xdr:col>
      <xdr:colOff>136071</xdr:colOff>
      <xdr:row>67</xdr:row>
      <xdr:rowOff>76200</xdr:rowOff>
    </xdr:from>
    <xdr:to>
      <xdr:col>16</xdr:col>
      <xdr:colOff>136071</xdr:colOff>
      <xdr:row>75</xdr:row>
      <xdr:rowOff>48986</xdr:rowOff>
    </xdr:to>
    <xdr:cxnSp macro="">
      <xdr:nvCxnSpPr>
        <xdr:cNvPr id="10" name="Straight Connector 9">
          <a:extLst>
            <a:ext uri="{FF2B5EF4-FFF2-40B4-BE49-F238E27FC236}">
              <a16:creationId xmlns:a16="http://schemas.microsoft.com/office/drawing/2014/main" id="{E50F0DFD-F2B7-7917-5B7C-8171647F2C4E}"/>
            </a:ext>
          </a:extLst>
        </xdr:cNvPr>
        <xdr:cNvCxnSpPr/>
      </xdr:nvCxnSpPr>
      <xdr:spPr>
        <a:xfrm>
          <a:off x="16804821" y="11478986"/>
          <a:ext cx="0" cy="1374321"/>
        </a:xfrm>
        <a:prstGeom prst="line">
          <a:avLst/>
        </a:prstGeom>
        <a:ln w="25400">
          <a:solidFill>
            <a:schemeClr val="tx2">
              <a:lumMod val="85000"/>
              <a:lumOff val="15000"/>
            </a:schemeClr>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438150</xdr:colOff>
      <xdr:row>67</xdr:row>
      <xdr:rowOff>76200</xdr:rowOff>
    </xdr:from>
    <xdr:to>
      <xdr:col>19</xdr:col>
      <xdr:colOff>438150</xdr:colOff>
      <xdr:row>75</xdr:row>
      <xdr:rowOff>48986</xdr:rowOff>
    </xdr:to>
    <xdr:cxnSp macro="">
      <xdr:nvCxnSpPr>
        <xdr:cNvPr id="28" name="Straight Connector 27">
          <a:extLst>
            <a:ext uri="{FF2B5EF4-FFF2-40B4-BE49-F238E27FC236}">
              <a16:creationId xmlns:a16="http://schemas.microsoft.com/office/drawing/2014/main" id="{7900E52C-789A-4050-86D2-9D65A786B972}"/>
            </a:ext>
          </a:extLst>
        </xdr:cNvPr>
        <xdr:cNvCxnSpPr/>
      </xdr:nvCxnSpPr>
      <xdr:spPr>
        <a:xfrm>
          <a:off x="18943864" y="11478986"/>
          <a:ext cx="0" cy="1374321"/>
        </a:xfrm>
        <a:prstGeom prst="line">
          <a:avLst/>
        </a:prstGeom>
        <a:ln w="25400">
          <a:solidFill>
            <a:schemeClr val="tx2">
              <a:lumMod val="85000"/>
              <a:lumOff val="15000"/>
            </a:schemeClr>
          </a:solidFill>
        </a:ln>
      </xdr:spPr>
      <xdr:style>
        <a:lnRef idx="1">
          <a:schemeClr val="dk1"/>
        </a:lnRef>
        <a:fillRef idx="0">
          <a:schemeClr val="dk1"/>
        </a:fillRef>
        <a:effectRef idx="0">
          <a:schemeClr val="dk1"/>
        </a:effectRef>
        <a:fontRef idx="minor">
          <a:schemeClr val="tx1"/>
        </a:fontRef>
      </xdr:style>
    </xdr:cxnSp>
    <xdr:clientData/>
  </xdr:twoCellAnchor>
  <xdr:oneCellAnchor>
    <xdr:from>
      <xdr:col>17</xdr:col>
      <xdr:colOff>497752</xdr:colOff>
      <xdr:row>23</xdr:row>
      <xdr:rowOff>120798</xdr:rowOff>
    </xdr:from>
    <xdr:ext cx="1128539" cy="341697"/>
    <xdr:sp macro="" textlink="">
      <xdr:nvSpPr>
        <xdr:cNvPr id="30" name="TextBox 29">
          <a:extLst>
            <a:ext uri="{FF2B5EF4-FFF2-40B4-BE49-F238E27FC236}">
              <a16:creationId xmlns:a16="http://schemas.microsoft.com/office/drawing/2014/main" id="{8073C66F-CE3B-7B59-5993-B87E8909813A}"/>
            </a:ext>
          </a:extLst>
        </xdr:cNvPr>
        <xdr:cNvSpPr txBox="1"/>
      </xdr:nvSpPr>
      <xdr:spPr>
        <a:xfrm>
          <a:off x="17778823" y="4570334"/>
          <a:ext cx="1128539" cy="341697"/>
        </a:xfrm>
        <a:prstGeom prst="rect">
          <a:avLst/>
        </a:prstGeom>
        <a:solidFill>
          <a:srgbClr val="00C5C8"/>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600" b="1">
              <a:solidFill>
                <a:schemeClr val="bg2"/>
              </a:solidFill>
              <a:latin typeface="Verdana Pro Black" panose="020B0A04030504040204" pitchFamily="34" charset="0"/>
            </a:rPr>
            <a:t>WINS</a:t>
          </a:r>
        </a:p>
      </xdr:txBody>
    </xdr:sp>
    <xdr:clientData/>
  </xdr:oneCellAnchor>
  <xdr:oneCellAnchor>
    <xdr:from>
      <xdr:col>19</xdr:col>
      <xdr:colOff>385629</xdr:colOff>
      <xdr:row>23</xdr:row>
      <xdr:rowOff>120798</xdr:rowOff>
    </xdr:from>
    <xdr:ext cx="1128539" cy="341697"/>
    <xdr:sp macro="" textlink="">
      <xdr:nvSpPr>
        <xdr:cNvPr id="31" name="TextBox 30">
          <a:extLst>
            <a:ext uri="{FF2B5EF4-FFF2-40B4-BE49-F238E27FC236}">
              <a16:creationId xmlns:a16="http://schemas.microsoft.com/office/drawing/2014/main" id="{F4C59CA7-6F5D-4160-8C38-07EFEE1B9996}"/>
            </a:ext>
          </a:extLst>
        </xdr:cNvPr>
        <xdr:cNvSpPr txBox="1"/>
      </xdr:nvSpPr>
      <xdr:spPr>
        <a:xfrm>
          <a:off x="18891343" y="4570334"/>
          <a:ext cx="1128539" cy="341697"/>
        </a:xfrm>
        <a:prstGeom prst="rect">
          <a:avLst/>
        </a:prstGeom>
        <a:solidFill>
          <a:srgbClr val="DF007C"/>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600" b="1">
              <a:solidFill>
                <a:schemeClr val="bg2"/>
              </a:solidFill>
              <a:latin typeface="Verdana Pro Black" panose="020B0A04030504040204" pitchFamily="34" charset="0"/>
            </a:rPr>
            <a:t>LOSSES</a:t>
          </a:r>
        </a:p>
      </xdr:txBody>
    </xdr:sp>
    <xdr:clientData/>
  </xdr:oneCellAnchor>
  <xdr:oneCellAnchor>
    <xdr:from>
      <xdr:col>17</xdr:col>
      <xdr:colOff>216311</xdr:colOff>
      <xdr:row>27</xdr:row>
      <xdr:rowOff>45273</xdr:rowOff>
    </xdr:from>
    <xdr:ext cx="2828468" cy="246221"/>
    <xdr:sp macro="" textlink="">
      <xdr:nvSpPr>
        <xdr:cNvPr id="6" name="TextBox 5">
          <a:extLst>
            <a:ext uri="{FF2B5EF4-FFF2-40B4-BE49-F238E27FC236}">
              <a16:creationId xmlns:a16="http://schemas.microsoft.com/office/drawing/2014/main" id="{F7269A13-4537-4595-D3D3-0D513168AA22}"/>
            </a:ext>
          </a:extLst>
        </xdr:cNvPr>
        <xdr:cNvSpPr txBox="1"/>
      </xdr:nvSpPr>
      <xdr:spPr>
        <a:xfrm>
          <a:off x="17970911" y="4508416"/>
          <a:ext cx="2828468" cy="2462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IN" sz="1000" b="1">
              <a:latin typeface="Roboto" panose="02000000000000000000" pitchFamily="2" charset="0"/>
              <a:ea typeface="Roboto" panose="02000000000000000000" pitchFamily="2" charset="0"/>
              <a:cs typeface="Roboto" panose="02000000000000000000" pitchFamily="2" charset="0"/>
            </a:rPr>
            <a:t>LOTS/ORDER</a:t>
          </a:r>
          <a:r>
            <a:rPr lang="en-IN" sz="1000" b="1" baseline="0">
              <a:latin typeface="Roboto" panose="02000000000000000000" pitchFamily="2" charset="0"/>
              <a:ea typeface="Roboto" panose="02000000000000000000" pitchFamily="2" charset="0"/>
              <a:cs typeface="Roboto" panose="02000000000000000000" pitchFamily="2" charset="0"/>
            </a:rPr>
            <a:t> </a:t>
          </a:r>
          <a:r>
            <a:rPr lang="en-IN" sz="1000" b="0">
              <a:latin typeface="Roboto" panose="02000000000000000000" pitchFamily="2" charset="0"/>
              <a:ea typeface="Roboto" panose="02000000000000000000" pitchFamily="2" charset="0"/>
              <a:cs typeface="Roboto" panose="02000000000000000000" pitchFamily="2" charset="0"/>
            </a:rPr>
            <a:t>(average</a:t>
          </a:r>
          <a:r>
            <a:rPr lang="en-IN" sz="1000" b="0" baseline="0">
              <a:latin typeface="Roboto" panose="02000000000000000000" pitchFamily="2" charset="0"/>
              <a:ea typeface="Roboto" panose="02000000000000000000" pitchFamily="2" charset="0"/>
              <a:cs typeface="Roboto" panose="02000000000000000000" pitchFamily="2" charset="0"/>
            </a:rPr>
            <a:t> l</a:t>
          </a:r>
          <a:r>
            <a:rPr lang="en-IN" sz="1000" b="0">
              <a:latin typeface="Roboto" panose="02000000000000000000" pitchFamily="2" charset="0"/>
              <a:ea typeface="Roboto" panose="02000000000000000000" pitchFamily="2" charset="0"/>
              <a:cs typeface="Roboto" panose="02000000000000000000" pitchFamily="2" charset="0"/>
            </a:rPr>
            <a:t>ot size for every order)</a:t>
          </a:r>
        </a:p>
      </xdr:txBody>
    </xdr:sp>
    <xdr:clientData/>
  </xdr:oneCellAnchor>
  <xdr:oneCellAnchor>
    <xdr:from>
      <xdr:col>17</xdr:col>
      <xdr:colOff>472857</xdr:colOff>
      <xdr:row>39</xdr:row>
      <xdr:rowOff>75423</xdr:rowOff>
    </xdr:from>
    <xdr:ext cx="2315377" cy="239809"/>
    <xdr:sp macro="" textlink="">
      <xdr:nvSpPr>
        <xdr:cNvPr id="18" name="TextBox 17">
          <a:extLst>
            <a:ext uri="{FF2B5EF4-FFF2-40B4-BE49-F238E27FC236}">
              <a16:creationId xmlns:a16="http://schemas.microsoft.com/office/drawing/2014/main" id="{5B0C9F0F-5DC7-47FE-8FC1-4944D0437E27}"/>
            </a:ext>
          </a:extLst>
        </xdr:cNvPr>
        <xdr:cNvSpPr txBox="1"/>
      </xdr:nvSpPr>
      <xdr:spPr>
        <a:xfrm>
          <a:off x="18227457" y="6628623"/>
          <a:ext cx="2315377" cy="2398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IN" sz="1000" b="1"/>
            <a:t>PNL/LOT</a:t>
          </a:r>
          <a:r>
            <a:rPr lang="en-IN" sz="1000" b="1" baseline="0"/>
            <a:t> </a:t>
          </a:r>
          <a:r>
            <a:rPr lang="en-IN" sz="1000" b="0"/>
            <a:t>(How much amount per lot</a:t>
          </a:r>
          <a:r>
            <a:rPr lang="en-IN" sz="1000" b="0" baseline="0"/>
            <a:t>)</a:t>
          </a:r>
          <a:endParaRPr lang="en-IN" sz="1000" b="0"/>
        </a:p>
      </xdr:txBody>
    </xdr:sp>
    <xdr:clientData/>
  </xdr:oneCellAnchor>
  <xdr:oneCellAnchor>
    <xdr:from>
      <xdr:col>17</xdr:col>
      <xdr:colOff>611933</xdr:colOff>
      <xdr:row>51</xdr:row>
      <xdr:rowOff>156245</xdr:rowOff>
    </xdr:from>
    <xdr:ext cx="2037224" cy="239809"/>
    <xdr:sp macro="" textlink="">
      <xdr:nvSpPr>
        <xdr:cNvPr id="26" name="TextBox 25">
          <a:extLst>
            <a:ext uri="{FF2B5EF4-FFF2-40B4-BE49-F238E27FC236}">
              <a16:creationId xmlns:a16="http://schemas.microsoft.com/office/drawing/2014/main" id="{F368825B-666A-49E7-97FE-7148C6102AF1}"/>
            </a:ext>
          </a:extLst>
        </xdr:cNvPr>
        <xdr:cNvSpPr txBox="1"/>
      </xdr:nvSpPr>
      <xdr:spPr>
        <a:xfrm>
          <a:off x="17893004" y="9191388"/>
          <a:ext cx="2037224" cy="2398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IN" sz="1000" b="1"/>
            <a:t>WIN LOSS %</a:t>
          </a:r>
          <a:r>
            <a:rPr lang="en-IN" sz="1000" b="1" baseline="0"/>
            <a:t> </a:t>
          </a:r>
          <a:r>
            <a:rPr lang="en-IN" sz="1000" b="0"/>
            <a:t>(How many times</a:t>
          </a:r>
          <a:r>
            <a:rPr lang="en-IN" sz="1000" b="0" baseline="0"/>
            <a:t>)</a:t>
          </a:r>
          <a:endParaRPr lang="en-IN" sz="1000" b="0"/>
        </a:p>
      </xdr:txBody>
    </xdr:sp>
    <xdr:clientData/>
  </xdr:oneCellAnchor>
  <xdr:twoCellAnchor>
    <xdr:from>
      <xdr:col>12</xdr:col>
      <xdr:colOff>302759</xdr:colOff>
      <xdr:row>28</xdr:row>
      <xdr:rowOff>125458</xdr:rowOff>
    </xdr:from>
    <xdr:to>
      <xdr:col>28</xdr:col>
      <xdr:colOff>585245</xdr:colOff>
      <xdr:row>39</xdr:row>
      <xdr:rowOff>40821</xdr:rowOff>
    </xdr:to>
    <xdr:graphicFrame macro="">
      <xdr:nvGraphicFramePr>
        <xdr:cNvPr id="8" name="Chart 7">
          <a:extLst>
            <a:ext uri="{FF2B5EF4-FFF2-40B4-BE49-F238E27FC236}">
              <a16:creationId xmlns:a16="http://schemas.microsoft.com/office/drawing/2014/main" id="{BC267B40-C0BD-D498-C193-446196CBC669}"/>
            </a:ext>
            <a:ext uri="{147F2762-F138-4A5C-976F-8EAC2B608ADB}">
              <a16:predDERef xmlns:a16="http://schemas.microsoft.com/office/drawing/2014/main" pred="{F368825B-666A-49E7-97FE-7148C6102A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19</xdr:col>
      <xdr:colOff>441413</xdr:colOff>
      <xdr:row>30</xdr:row>
      <xdr:rowOff>88175</xdr:rowOff>
    </xdr:from>
    <xdr:to>
      <xdr:col>19</xdr:col>
      <xdr:colOff>441413</xdr:colOff>
      <xdr:row>38</xdr:row>
      <xdr:rowOff>101601</xdr:rowOff>
    </xdr:to>
    <xdr:cxnSp macro="">
      <xdr:nvCxnSpPr>
        <xdr:cNvPr id="39" name="Straight Connector 38">
          <a:extLst>
            <a:ext uri="{FF2B5EF4-FFF2-40B4-BE49-F238E27FC236}">
              <a16:creationId xmlns:a16="http://schemas.microsoft.com/office/drawing/2014/main" id="{97B30136-903F-40D3-B5AC-DE40803125E0}"/>
            </a:ext>
          </a:extLst>
        </xdr:cNvPr>
        <xdr:cNvCxnSpPr/>
      </xdr:nvCxnSpPr>
      <xdr:spPr>
        <a:xfrm>
          <a:off x="19436984" y="5073832"/>
          <a:ext cx="0" cy="1406798"/>
        </a:xfrm>
        <a:prstGeom prst="line">
          <a:avLst/>
        </a:prstGeom>
        <a:ln w="38100">
          <a:solidFill>
            <a:schemeClr val="tx2">
              <a:lumMod val="85000"/>
              <a:lumOff val="15000"/>
            </a:schemeClr>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54427</xdr:colOff>
      <xdr:row>30</xdr:row>
      <xdr:rowOff>94843</xdr:rowOff>
    </xdr:from>
    <xdr:to>
      <xdr:col>16</xdr:col>
      <xdr:colOff>54427</xdr:colOff>
      <xdr:row>38</xdr:row>
      <xdr:rowOff>94934</xdr:rowOff>
    </xdr:to>
    <xdr:cxnSp macro="">
      <xdr:nvCxnSpPr>
        <xdr:cNvPr id="40" name="Straight Connector 39">
          <a:extLst>
            <a:ext uri="{FF2B5EF4-FFF2-40B4-BE49-F238E27FC236}">
              <a16:creationId xmlns:a16="http://schemas.microsoft.com/office/drawing/2014/main" id="{45AEAF18-2412-4660-88AE-305D0DD0639D}"/>
            </a:ext>
          </a:extLst>
        </xdr:cNvPr>
        <xdr:cNvCxnSpPr/>
      </xdr:nvCxnSpPr>
      <xdr:spPr>
        <a:xfrm>
          <a:off x="17188541" y="5080500"/>
          <a:ext cx="0" cy="1393463"/>
        </a:xfrm>
        <a:prstGeom prst="line">
          <a:avLst/>
        </a:prstGeom>
        <a:ln w="38100">
          <a:solidFill>
            <a:schemeClr val="tx2">
              <a:lumMod val="85000"/>
              <a:lumOff val="15000"/>
            </a:schemeClr>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302759</xdr:colOff>
      <xdr:row>41</xdr:row>
      <xdr:rowOff>40823</xdr:rowOff>
    </xdr:from>
    <xdr:to>
      <xdr:col>28</xdr:col>
      <xdr:colOff>585245</xdr:colOff>
      <xdr:row>51</xdr:row>
      <xdr:rowOff>130358</xdr:rowOff>
    </xdr:to>
    <xdr:graphicFrame macro="">
      <xdr:nvGraphicFramePr>
        <xdr:cNvPr id="41" name="Chart 40">
          <a:extLst>
            <a:ext uri="{FF2B5EF4-FFF2-40B4-BE49-F238E27FC236}">
              <a16:creationId xmlns:a16="http://schemas.microsoft.com/office/drawing/2014/main" id="{1DB09B6B-1EA7-411D-8569-4C47C5F16F2E}"/>
            </a:ext>
            <a:ext uri="{147F2762-F138-4A5C-976F-8EAC2B608ADB}">
              <a16:predDERef xmlns:a16="http://schemas.microsoft.com/office/drawing/2014/main" pred="{45AEAF18-2412-4660-88AE-305D0DD063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16</xdr:col>
      <xdr:colOff>65313</xdr:colOff>
      <xdr:row>42</xdr:row>
      <xdr:rowOff>147169</xdr:rowOff>
    </xdr:from>
    <xdr:to>
      <xdr:col>16</xdr:col>
      <xdr:colOff>65313</xdr:colOff>
      <xdr:row>50</xdr:row>
      <xdr:rowOff>147260</xdr:rowOff>
    </xdr:to>
    <xdr:cxnSp macro="">
      <xdr:nvCxnSpPr>
        <xdr:cNvPr id="42" name="Straight Connector 41">
          <a:extLst>
            <a:ext uri="{FF2B5EF4-FFF2-40B4-BE49-F238E27FC236}">
              <a16:creationId xmlns:a16="http://schemas.microsoft.com/office/drawing/2014/main" id="{75A91A10-3ED4-4A3E-8DD5-6EC8D9EBF1B0}"/>
            </a:ext>
            <a:ext uri="{147F2762-F138-4A5C-976F-8EAC2B608ADB}">
              <a16:predDERef xmlns:a16="http://schemas.microsoft.com/office/drawing/2014/main" pred="{1DB09B6B-1EA7-411D-8569-4C47C5F16F2E}"/>
            </a:ext>
          </a:extLst>
        </xdr:cNvPr>
        <xdr:cNvCxnSpPr/>
      </xdr:nvCxnSpPr>
      <xdr:spPr>
        <a:xfrm>
          <a:off x="17199427" y="7222883"/>
          <a:ext cx="0" cy="1393463"/>
        </a:xfrm>
        <a:prstGeom prst="line">
          <a:avLst/>
        </a:prstGeom>
        <a:ln w="38100">
          <a:solidFill>
            <a:schemeClr val="tx2">
              <a:lumMod val="85000"/>
              <a:lumOff val="15000"/>
            </a:schemeClr>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446856</xdr:colOff>
      <xdr:row>42</xdr:row>
      <xdr:rowOff>140501</xdr:rowOff>
    </xdr:from>
    <xdr:to>
      <xdr:col>19</xdr:col>
      <xdr:colOff>446856</xdr:colOff>
      <xdr:row>50</xdr:row>
      <xdr:rowOff>153927</xdr:rowOff>
    </xdr:to>
    <xdr:cxnSp macro="">
      <xdr:nvCxnSpPr>
        <xdr:cNvPr id="44" name="Straight Connector 43">
          <a:extLst>
            <a:ext uri="{FF2B5EF4-FFF2-40B4-BE49-F238E27FC236}">
              <a16:creationId xmlns:a16="http://schemas.microsoft.com/office/drawing/2014/main" id="{16EDB6D9-8C95-426E-8448-7E957D2BE04A}"/>
            </a:ext>
            <a:ext uri="{147F2762-F138-4A5C-976F-8EAC2B608ADB}">
              <a16:predDERef xmlns:a16="http://schemas.microsoft.com/office/drawing/2014/main" pred="{75A91A10-3ED4-4A3E-8DD5-6EC8D9EBF1B0}"/>
            </a:ext>
          </a:extLst>
        </xdr:cNvPr>
        <xdr:cNvCxnSpPr/>
      </xdr:nvCxnSpPr>
      <xdr:spPr>
        <a:xfrm>
          <a:off x="19442427" y="7216215"/>
          <a:ext cx="0" cy="1406798"/>
        </a:xfrm>
        <a:prstGeom prst="line">
          <a:avLst/>
        </a:prstGeom>
        <a:ln w="38100">
          <a:solidFill>
            <a:schemeClr val="tx2">
              <a:lumMod val="85000"/>
              <a:lumOff val="15000"/>
            </a:schemeClr>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302759</xdr:colOff>
      <xdr:row>53</xdr:row>
      <xdr:rowOff>65314</xdr:rowOff>
    </xdr:from>
    <xdr:to>
      <xdr:col>28</xdr:col>
      <xdr:colOff>585245</xdr:colOff>
      <xdr:row>62</xdr:row>
      <xdr:rowOff>165734</xdr:rowOff>
    </xdr:to>
    <xdr:graphicFrame macro="">
      <xdr:nvGraphicFramePr>
        <xdr:cNvPr id="49" name="Chart 48">
          <a:extLst>
            <a:ext uri="{FF2B5EF4-FFF2-40B4-BE49-F238E27FC236}">
              <a16:creationId xmlns:a16="http://schemas.microsoft.com/office/drawing/2014/main" id="{8F3E0115-3D6A-42C8-AAEF-9EE20D46195B}"/>
            </a:ext>
            <a:ext uri="{147F2762-F138-4A5C-976F-8EAC2B608ADB}">
              <a16:predDERef xmlns:a16="http://schemas.microsoft.com/office/drawing/2014/main" pred="{16EDB6D9-8C95-426E-8448-7E957D2BE0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16</xdr:col>
      <xdr:colOff>65314</xdr:colOff>
      <xdr:row>54</xdr:row>
      <xdr:rowOff>179827</xdr:rowOff>
    </xdr:from>
    <xdr:to>
      <xdr:col>16</xdr:col>
      <xdr:colOff>65314</xdr:colOff>
      <xdr:row>62</xdr:row>
      <xdr:rowOff>38404</xdr:rowOff>
    </xdr:to>
    <xdr:cxnSp macro="">
      <xdr:nvCxnSpPr>
        <xdr:cNvPr id="50" name="Straight Connector 49">
          <a:extLst>
            <a:ext uri="{FF2B5EF4-FFF2-40B4-BE49-F238E27FC236}">
              <a16:creationId xmlns:a16="http://schemas.microsoft.com/office/drawing/2014/main" id="{F585F5DB-80F8-4E01-BBBF-1728A740038D}"/>
            </a:ext>
          </a:extLst>
        </xdr:cNvPr>
        <xdr:cNvCxnSpPr/>
      </xdr:nvCxnSpPr>
      <xdr:spPr>
        <a:xfrm>
          <a:off x="17199428" y="9389141"/>
          <a:ext cx="0" cy="1393463"/>
        </a:xfrm>
        <a:prstGeom prst="line">
          <a:avLst/>
        </a:prstGeom>
        <a:ln w="38100">
          <a:solidFill>
            <a:schemeClr val="tx2">
              <a:lumMod val="85000"/>
              <a:lumOff val="15000"/>
            </a:schemeClr>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446857</xdr:colOff>
      <xdr:row>54</xdr:row>
      <xdr:rowOff>173159</xdr:rowOff>
    </xdr:from>
    <xdr:to>
      <xdr:col>19</xdr:col>
      <xdr:colOff>446857</xdr:colOff>
      <xdr:row>62</xdr:row>
      <xdr:rowOff>45071</xdr:rowOff>
    </xdr:to>
    <xdr:cxnSp macro="">
      <xdr:nvCxnSpPr>
        <xdr:cNvPr id="51" name="Straight Connector 50">
          <a:extLst>
            <a:ext uri="{FF2B5EF4-FFF2-40B4-BE49-F238E27FC236}">
              <a16:creationId xmlns:a16="http://schemas.microsoft.com/office/drawing/2014/main" id="{20931564-F101-4EA6-9806-E23E10570EF3}"/>
            </a:ext>
          </a:extLst>
        </xdr:cNvPr>
        <xdr:cNvCxnSpPr/>
      </xdr:nvCxnSpPr>
      <xdr:spPr>
        <a:xfrm>
          <a:off x="19442428" y="9382473"/>
          <a:ext cx="0" cy="1406798"/>
        </a:xfrm>
        <a:prstGeom prst="line">
          <a:avLst/>
        </a:prstGeom>
        <a:ln w="38100">
          <a:solidFill>
            <a:schemeClr val="tx2">
              <a:lumMod val="85000"/>
              <a:lumOff val="15000"/>
            </a:schemeClr>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756966</xdr:colOff>
      <xdr:row>64</xdr:row>
      <xdr:rowOff>27214</xdr:rowOff>
    </xdr:from>
    <xdr:to>
      <xdr:col>23</xdr:col>
      <xdr:colOff>253502</xdr:colOff>
      <xdr:row>64</xdr:row>
      <xdr:rowOff>27214</xdr:rowOff>
    </xdr:to>
    <xdr:cxnSp macro="">
      <xdr:nvCxnSpPr>
        <xdr:cNvPr id="20" name="Straight Connector 19">
          <a:extLst>
            <a:ext uri="{FF2B5EF4-FFF2-40B4-BE49-F238E27FC236}">
              <a16:creationId xmlns:a16="http://schemas.microsoft.com/office/drawing/2014/main" id="{5C45636D-FFB2-4C85-A3F9-02DB47C727D4}"/>
            </a:ext>
          </a:extLst>
        </xdr:cNvPr>
        <xdr:cNvCxnSpPr/>
      </xdr:nvCxnSpPr>
      <xdr:spPr>
        <a:xfrm flipH="1">
          <a:off x="16636502" y="11552464"/>
          <a:ext cx="4572000" cy="0"/>
        </a:xfrm>
        <a:prstGeom prst="line">
          <a:avLst/>
        </a:prstGeom>
        <a:ln/>
      </xdr:spPr>
      <xdr:style>
        <a:lnRef idx="3">
          <a:schemeClr val="dk1"/>
        </a:lnRef>
        <a:fillRef idx="0">
          <a:schemeClr val="dk1"/>
        </a:fillRef>
        <a:effectRef idx="2">
          <a:schemeClr val="dk1"/>
        </a:effectRef>
        <a:fontRef idx="minor">
          <a:schemeClr val="tx1"/>
        </a:fontRef>
      </xdr:style>
    </xdr:cxnSp>
    <xdr:clientData/>
  </xdr:twoCellAnchor>
  <xdr:twoCellAnchor>
    <xdr:from>
      <xdr:col>9</xdr:col>
      <xdr:colOff>843641</xdr:colOff>
      <xdr:row>150</xdr:row>
      <xdr:rowOff>0</xdr:rowOff>
    </xdr:from>
    <xdr:to>
      <xdr:col>18</xdr:col>
      <xdr:colOff>87084</xdr:colOff>
      <xdr:row>183</xdr:row>
      <xdr:rowOff>97972</xdr:rowOff>
    </xdr:to>
    <xdr:graphicFrame macro="">
      <xdr:nvGraphicFramePr>
        <xdr:cNvPr id="27" name="Chart 34">
          <a:extLst>
            <a:ext uri="{FF2B5EF4-FFF2-40B4-BE49-F238E27FC236}">
              <a16:creationId xmlns:a16="http://schemas.microsoft.com/office/drawing/2014/main" id="{580078B7-8810-498F-A756-10D7A62D2CEC}"/>
            </a:ext>
            <a:ext uri="{147F2762-F138-4A5C-976F-8EAC2B608ADB}">
              <a16:predDERef xmlns:a16="http://schemas.microsoft.com/office/drawing/2014/main" pred="{5C45636D-FFB2-4C85-A3F9-02DB47C727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18</xdr:col>
      <xdr:colOff>176889</xdr:colOff>
      <xdr:row>150</xdr:row>
      <xdr:rowOff>13604</xdr:rowOff>
    </xdr:from>
    <xdr:to>
      <xdr:col>28</xdr:col>
      <xdr:colOff>454475</xdr:colOff>
      <xdr:row>183</xdr:row>
      <xdr:rowOff>111576</xdr:rowOff>
    </xdr:to>
    <xdr:graphicFrame macro="">
      <xdr:nvGraphicFramePr>
        <xdr:cNvPr id="37" name="Chart 36">
          <a:extLst>
            <a:ext uri="{FF2B5EF4-FFF2-40B4-BE49-F238E27FC236}">
              <a16:creationId xmlns:a16="http://schemas.microsoft.com/office/drawing/2014/main" id="{B746B5EB-4DAF-42D2-9DB5-A313C5BAFC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oneCellAnchor>
    <xdr:from>
      <xdr:col>1</xdr:col>
      <xdr:colOff>321402</xdr:colOff>
      <xdr:row>59</xdr:row>
      <xdr:rowOff>7461</xdr:rowOff>
    </xdr:from>
    <xdr:ext cx="1183821" cy="374141"/>
    <xdr:sp macro="" textlink="$AL$16">
      <xdr:nvSpPr>
        <xdr:cNvPr id="33" name="TextBox 32">
          <a:extLst>
            <a:ext uri="{FF2B5EF4-FFF2-40B4-BE49-F238E27FC236}">
              <a16:creationId xmlns:a16="http://schemas.microsoft.com/office/drawing/2014/main" id="{56AE7376-B709-8587-1CD4-91819DA8357D}"/>
            </a:ext>
          </a:extLst>
        </xdr:cNvPr>
        <xdr:cNvSpPr txBox="1"/>
      </xdr:nvSpPr>
      <xdr:spPr>
        <a:xfrm>
          <a:off x="1709331" y="10593818"/>
          <a:ext cx="1183821"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B0B6D85D-9310-4A09-B2FE-719AF5177AA1}" type="TxLink">
            <a:rPr lang="en-US" sz="1800" b="1" i="0" u="none" strike="noStrike">
              <a:solidFill>
                <a:schemeClr val="bg2">
                  <a:lumMod val="85000"/>
                </a:schemeClr>
              </a:solidFill>
              <a:latin typeface="Calibri"/>
              <a:cs typeface="Calibri"/>
            </a:rPr>
            <a:pPr algn="ctr"/>
            <a:t>2.2</a:t>
          </a:fld>
          <a:endParaRPr lang="en-US" sz="2000" b="1">
            <a:solidFill>
              <a:schemeClr val="bg2">
                <a:lumMod val="85000"/>
              </a:schemeClr>
            </a:solidFill>
          </a:endParaRPr>
        </a:p>
      </xdr:txBody>
    </xdr:sp>
    <xdr:clientData/>
  </xdr:oneCellAnchor>
  <xdr:twoCellAnchor>
    <xdr:from>
      <xdr:col>1</xdr:col>
      <xdr:colOff>498295</xdr:colOff>
      <xdr:row>56</xdr:row>
      <xdr:rowOff>108856</xdr:rowOff>
    </xdr:from>
    <xdr:to>
      <xdr:col>1</xdr:col>
      <xdr:colOff>1328330</xdr:colOff>
      <xdr:row>59</xdr:row>
      <xdr:rowOff>136071</xdr:rowOff>
    </xdr:to>
    <xdr:sp macro="" textlink="">
      <xdr:nvSpPr>
        <xdr:cNvPr id="34" name="TextBox 33">
          <a:extLst>
            <a:ext uri="{FF2B5EF4-FFF2-40B4-BE49-F238E27FC236}">
              <a16:creationId xmlns:a16="http://schemas.microsoft.com/office/drawing/2014/main" id="{33B066B4-C8E4-6245-2CF0-8A0217A749FB}"/>
            </a:ext>
          </a:extLst>
        </xdr:cNvPr>
        <xdr:cNvSpPr txBox="1"/>
      </xdr:nvSpPr>
      <xdr:spPr>
        <a:xfrm>
          <a:off x="1886224" y="10096499"/>
          <a:ext cx="830035" cy="6259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bg2">
                  <a:lumMod val="65000"/>
                </a:schemeClr>
              </a:solidFill>
            </a:rPr>
            <a:t>R:W LOTS / ORDER</a:t>
          </a:r>
        </a:p>
      </xdr:txBody>
    </xdr:sp>
    <xdr:clientData/>
  </xdr:twoCellAnchor>
  <xdr:twoCellAnchor>
    <xdr:from>
      <xdr:col>1</xdr:col>
      <xdr:colOff>382634</xdr:colOff>
      <xdr:row>61</xdr:row>
      <xdr:rowOff>40821</xdr:rowOff>
    </xdr:from>
    <xdr:to>
      <xdr:col>1</xdr:col>
      <xdr:colOff>1443991</xdr:colOff>
      <xdr:row>63</xdr:row>
      <xdr:rowOff>136072</xdr:rowOff>
    </xdr:to>
    <xdr:sp macro="" textlink="">
      <xdr:nvSpPr>
        <xdr:cNvPr id="36" name="TextBox 35">
          <a:extLst>
            <a:ext uri="{FF2B5EF4-FFF2-40B4-BE49-F238E27FC236}">
              <a16:creationId xmlns:a16="http://schemas.microsoft.com/office/drawing/2014/main" id="{663E6980-0CEA-4246-A1F1-FE8CF6307389}"/>
            </a:ext>
          </a:extLst>
        </xdr:cNvPr>
        <xdr:cNvSpPr txBox="1"/>
      </xdr:nvSpPr>
      <xdr:spPr>
        <a:xfrm>
          <a:off x="1770563" y="10994571"/>
          <a:ext cx="1061357" cy="5034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bg2">
                  <a:lumMod val="85000"/>
                </a:schemeClr>
              </a:solidFill>
            </a:rPr>
            <a:t>R:W</a:t>
          </a:r>
        </a:p>
        <a:p>
          <a:pPr algn="ctr"/>
          <a:r>
            <a:rPr lang="en-US" sz="1100" b="1">
              <a:solidFill>
                <a:schemeClr val="bg2">
                  <a:lumMod val="85000"/>
                </a:schemeClr>
              </a:solidFill>
            </a:rPr>
            <a:t># </a:t>
          </a:r>
          <a:r>
            <a:rPr lang="en-US" sz="1100" b="1">
              <a:solidFill>
                <a:schemeClr val="bg2">
                  <a:lumMod val="65000"/>
                </a:schemeClr>
              </a:solidFill>
            </a:rPr>
            <a:t>TRADES</a:t>
          </a:r>
        </a:p>
      </xdr:txBody>
    </xdr:sp>
    <xdr:clientData/>
  </xdr:twoCellAnchor>
  <xdr:oneCellAnchor>
    <xdr:from>
      <xdr:col>1</xdr:col>
      <xdr:colOff>321402</xdr:colOff>
      <xdr:row>63</xdr:row>
      <xdr:rowOff>13608</xdr:rowOff>
    </xdr:from>
    <xdr:ext cx="1183821" cy="374141"/>
    <xdr:sp macro="" textlink="$AL$17">
      <xdr:nvSpPr>
        <xdr:cNvPr id="38" name="TextBox 37">
          <a:extLst>
            <a:ext uri="{FF2B5EF4-FFF2-40B4-BE49-F238E27FC236}">
              <a16:creationId xmlns:a16="http://schemas.microsoft.com/office/drawing/2014/main" id="{3DD22D9F-54FA-4084-A244-0165D7724985}"/>
            </a:ext>
          </a:extLst>
        </xdr:cNvPr>
        <xdr:cNvSpPr txBox="1"/>
      </xdr:nvSpPr>
      <xdr:spPr>
        <a:xfrm>
          <a:off x="1709331" y="11375572"/>
          <a:ext cx="1183821"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5CD6E94F-572F-46DE-BCBB-3D75757DE02F}" type="TxLink">
            <a:rPr lang="en-US" sz="1800" b="1" i="0" u="none" strike="noStrike">
              <a:solidFill>
                <a:schemeClr val="bg2">
                  <a:lumMod val="85000"/>
                </a:schemeClr>
              </a:solidFill>
              <a:latin typeface="Calibri"/>
              <a:cs typeface="Calibri"/>
            </a:rPr>
            <a:pPr algn="ctr"/>
            <a:t>0.30</a:t>
          </a:fld>
          <a:endParaRPr lang="en-US" sz="4400" b="1">
            <a:solidFill>
              <a:schemeClr val="bg2">
                <a:lumMod val="85000"/>
              </a:schemeClr>
            </a:solidFill>
          </a:endParaRPr>
        </a:p>
      </xdr:txBody>
    </xdr:sp>
    <xdr:clientData/>
  </xdr:oneCellAnchor>
  <xdr:twoCellAnchor>
    <xdr:from>
      <xdr:col>0</xdr:col>
      <xdr:colOff>748391</xdr:colOff>
      <xdr:row>68</xdr:row>
      <xdr:rowOff>186417</xdr:rowOff>
    </xdr:from>
    <xdr:to>
      <xdr:col>2</xdr:col>
      <xdr:colOff>693965</xdr:colOff>
      <xdr:row>73</xdr:row>
      <xdr:rowOff>40821</xdr:rowOff>
    </xdr:to>
    <xdr:graphicFrame macro="">
      <xdr:nvGraphicFramePr>
        <xdr:cNvPr id="21" name="Chart 20">
          <a:extLst>
            <a:ext uri="{FF2B5EF4-FFF2-40B4-BE49-F238E27FC236}">
              <a16:creationId xmlns:a16="http://schemas.microsoft.com/office/drawing/2014/main" id="{5A04E2E0-70E2-C038-BE7A-DE17756037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0</xdr:col>
      <xdr:colOff>707571</xdr:colOff>
      <xdr:row>73</xdr:row>
      <xdr:rowOff>81643</xdr:rowOff>
    </xdr:from>
    <xdr:to>
      <xdr:col>2</xdr:col>
      <xdr:colOff>653145</xdr:colOff>
      <xdr:row>77</xdr:row>
      <xdr:rowOff>153761</xdr:rowOff>
    </xdr:to>
    <xdr:graphicFrame macro="">
      <xdr:nvGraphicFramePr>
        <xdr:cNvPr id="25" name="Chart 24">
          <a:extLst>
            <a:ext uri="{FF2B5EF4-FFF2-40B4-BE49-F238E27FC236}">
              <a16:creationId xmlns:a16="http://schemas.microsoft.com/office/drawing/2014/main" id="{73EE5828-8D4B-4981-A4A5-7D572ADB96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oneCellAnchor>
    <xdr:from>
      <xdr:col>8</xdr:col>
      <xdr:colOff>802820</xdr:colOff>
      <xdr:row>59</xdr:row>
      <xdr:rowOff>97213</xdr:rowOff>
    </xdr:from>
    <xdr:ext cx="734786" cy="342786"/>
    <xdr:sp macro="" textlink="$AL$13">
      <xdr:nvSpPr>
        <xdr:cNvPr id="22" name="TextBox 21">
          <a:extLst>
            <a:ext uri="{FF2B5EF4-FFF2-40B4-BE49-F238E27FC236}">
              <a16:creationId xmlns:a16="http://schemas.microsoft.com/office/drawing/2014/main" id="{DC16762E-5A68-9D99-B072-4CC10528D566}"/>
            </a:ext>
          </a:extLst>
        </xdr:cNvPr>
        <xdr:cNvSpPr txBox="1"/>
      </xdr:nvSpPr>
      <xdr:spPr>
        <a:xfrm>
          <a:off x="10409463" y="10683570"/>
          <a:ext cx="734786"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5E7AF51F-D0A9-4745-96EA-4BC8BD4EAA3C}" type="TxLink">
            <a:rPr lang="en-US" sz="1600" b="1" i="0" u="none" strike="noStrike">
              <a:solidFill>
                <a:schemeClr val="bg2"/>
              </a:solidFill>
              <a:latin typeface="Calibri"/>
              <a:cs typeface="Calibri"/>
            </a:rPr>
            <a:pPr algn="ctr"/>
            <a:t>2.2</a:t>
          </a:fld>
          <a:endParaRPr lang="en-US" sz="1400" b="1">
            <a:solidFill>
              <a:schemeClr val="bg2"/>
            </a:solidFill>
          </a:endParaRPr>
        </a:p>
      </xdr:txBody>
    </xdr:sp>
    <xdr:clientData/>
  </xdr:oneCellAnchor>
  <xdr:oneCellAnchor>
    <xdr:from>
      <xdr:col>8</xdr:col>
      <xdr:colOff>556744</xdr:colOff>
      <xdr:row>57</xdr:row>
      <xdr:rowOff>122466</xdr:rowOff>
    </xdr:from>
    <xdr:ext cx="1226939" cy="416781"/>
    <xdr:sp macro="" textlink="">
      <xdr:nvSpPr>
        <xdr:cNvPr id="29" name="TextBox 28">
          <a:extLst>
            <a:ext uri="{FF2B5EF4-FFF2-40B4-BE49-F238E27FC236}">
              <a16:creationId xmlns:a16="http://schemas.microsoft.com/office/drawing/2014/main" id="{D33A8438-CF45-21F9-F88C-B11F5D5AAB73}"/>
            </a:ext>
          </a:extLst>
        </xdr:cNvPr>
        <xdr:cNvSpPr txBox="1"/>
      </xdr:nvSpPr>
      <xdr:spPr>
        <a:xfrm>
          <a:off x="10163387" y="10314216"/>
          <a:ext cx="1226939" cy="4167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100" b="1">
              <a:solidFill>
                <a:schemeClr val="bg2">
                  <a:lumMod val="75000"/>
                </a:schemeClr>
              </a:solidFill>
            </a:rPr>
            <a:t>FLY : SPD </a:t>
          </a:r>
        </a:p>
        <a:p>
          <a:pPr algn="ctr"/>
          <a:r>
            <a:rPr lang="en-US" sz="1100" b="1">
              <a:solidFill>
                <a:schemeClr val="bg2">
                  <a:lumMod val="75000"/>
                </a:schemeClr>
              </a:solidFill>
            </a:rPr>
            <a:t> LOTS</a:t>
          </a:r>
          <a:r>
            <a:rPr lang="en-US" sz="1100" b="1" baseline="0">
              <a:solidFill>
                <a:schemeClr val="bg2">
                  <a:lumMod val="75000"/>
                </a:schemeClr>
              </a:solidFill>
            </a:rPr>
            <a:t> / ORDER</a:t>
          </a:r>
          <a:endParaRPr lang="en-US" sz="1100" b="1">
            <a:solidFill>
              <a:schemeClr val="bg2">
                <a:lumMod val="75000"/>
              </a:schemeClr>
            </a:solidFill>
          </a:endParaRPr>
        </a:p>
      </xdr:txBody>
    </xdr:sp>
    <xdr:clientData/>
  </xdr:oneCellAnchor>
  <xdr:oneCellAnchor>
    <xdr:from>
      <xdr:col>8</xdr:col>
      <xdr:colOff>756542</xdr:colOff>
      <xdr:row>62</xdr:row>
      <xdr:rowOff>174854</xdr:rowOff>
    </xdr:from>
    <xdr:ext cx="827342" cy="254557"/>
    <xdr:sp macro="" textlink="">
      <xdr:nvSpPr>
        <xdr:cNvPr id="35" name="TextBox 34">
          <a:extLst>
            <a:ext uri="{FF2B5EF4-FFF2-40B4-BE49-F238E27FC236}">
              <a16:creationId xmlns:a16="http://schemas.microsoft.com/office/drawing/2014/main" id="{F821B3CB-4486-47DB-3C11-9EA4D56AD3C3}"/>
            </a:ext>
          </a:extLst>
        </xdr:cNvPr>
        <xdr:cNvSpPr txBox="1"/>
      </xdr:nvSpPr>
      <xdr:spPr>
        <a:xfrm>
          <a:off x="10363185" y="11332711"/>
          <a:ext cx="827342"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100" b="1">
              <a:solidFill>
                <a:schemeClr val="bg2">
                  <a:lumMod val="75000"/>
                </a:schemeClr>
              </a:solidFill>
            </a:rPr>
            <a:t>SPD RT%</a:t>
          </a:r>
        </a:p>
      </xdr:txBody>
    </xdr:sp>
    <xdr:clientData/>
  </xdr:oneCellAnchor>
  <xdr:oneCellAnchor>
    <xdr:from>
      <xdr:col>8</xdr:col>
      <xdr:colOff>819669</xdr:colOff>
      <xdr:row>64</xdr:row>
      <xdr:rowOff>984</xdr:rowOff>
    </xdr:from>
    <xdr:ext cx="701089" cy="342786"/>
    <xdr:sp macro="" textlink="$W$13">
      <xdr:nvSpPr>
        <xdr:cNvPr id="43" name="TextBox 42">
          <a:extLst>
            <a:ext uri="{FF2B5EF4-FFF2-40B4-BE49-F238E27FC236}">
              <a16:creationId xmlns:a16="http://schemas.microsoft.com/office/drawing/2014/main" id="{E235524D-4472-EE9A-F603-2FF089C9BC45}"/>
            </a:ext>
          </a:extLst>
        </xdr:cNvPr>
        <xdr:cNvSpPr txBox="1"/>
      </xdr:nvSpPr>
      <xdr:spPr>
        <a:xfrm>
          <a:off x="10426312" y="11526234"/>
          <a:ext cx="701089"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F369A034-9F75-4361-9010-1FD2CD79BDE4}" type="TxLink">
            <a:rPr lang="en-US" sz="1600" b="1" i="0" u="none" strike="noStrike">
              <a:solidFill>
                <a:schemeClr val="bg2"/>
              </a:solidFill>
              <a:latin typeface="Calibri"/>
              <a:cs typeface="Calibri"/>
            </a:rPr>
            <a:pPr/>
            <a:t>51.9%</a:t>
          </a:fld>
          <a:endParaRPr lang="en-US" sz="2000" b="1">
            <a:solidFill>
              <a:schemeClr val="bg2"/>
            </a:solidFill>
          </a:endParaRPr>
        </a:p>
      </xdr:txBody>
    </xdr:sp>
    <xdr:clientData/>
  </xdr:oneCellAnchor>
  <xdr:oneCellAnchor>
    <xdr:from>
      <xdr:col>8</xdr:col>
      <xdr:colOff>772187</xdr:colOff>
      <xdr:row>67</xdr:row>
      <xdr:rowOff>133053</xdr:rowOff>
    </xdr:from>
    <xdr:ext cx="796052" cy="254557"/>
    <xdr:sp macro="" textlink="">
      <xdr:nvSpPr>
        <xdr:cNvPr id="45" name="TextBox 44">
          <a:extLst>
            <a:ext uri="{FF2B5EF4-FFF2-40B4-BE49-F238E27FC236}">
              <a16:creationId xmlns:a16="http://schemas.microsoft.com/office/drawing/2014/main" id="{D5C1286D-4A4F-D072-F7DE-6D06F0BFDD9C}"/>
            </a:ext>
          </a:extLst>
        </xdr:cNvPr>
        <xdr:cNvSpPr txBox="1"/>
      </xdr:nvSpPr>
      <xdr:spPr>
        <a:xfrm>
          <a:off x="10378830" y="12188982"/>
          <a:ext cx="796052"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100" b="1">
              <a:solidFill>
                <a:schemeClr val="bg2">
                  <a:lumMod val="75000"/>
                </a:schemeClr>
              </a:solidFill>
            </a:rPr>
            <a:t>FLY RT%</a:t>
          </a:r>
        </a:p>
      </xdr:txBody>
    </xdr:sp>
    <xdr:clientData/>
  </xdr:oneCellAnchor>
  <xdr:oneCellAnchor>
    <xdr:from>
      <xdr:col>8</xdr:col>
      <xdr:colOff>819669</xdr:colOff>
      <xdr:row>68</xdr:row>
      <xdr:rowOff>122468</xdr:rowOff>
    </xdr:from>
    <xdr:ext cx="701089" cy="342786"/>
    <xdr:sp macro="" textlink="$W$14">
      <xdr:nvSpPr>
        <xdr:cNvPr id="46" name="TextBox 45">
          <a:extLst>
            <a:ext uri="{FF2B5EF4-FFF2-40B4-BE49-F238E27FC236}">
              <a16:creationId xmlns:a16="http://schemas.microsoft.com/office/drawing/2014/main" id="{DD3E00E6-7EF0-9E58-E4F6-8E82927824A8}"/>
            </a:ext>
          </a:extLst>
        </xdr:cNvPr>
        <xdr:cNvSpPr txBox="1"/>
      </xdr:nvSpPr>
      <xdr:spPr>
        <a:xfrm>
          <a:off x="10426312" y="12382504"/>
          <a:ext cx="701089"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fld id="{52DEAC39-67CA-433C-AE04-3C68B8E0D726}" type="TxLink">
            <a:rPr lang="en-US" sz="1600" b="1" i="0" u="none" strike="noStrike">
              <a:solidFill>
                <a:schemeClr val="bg2"/>
              </a:solidFill>
              <a:latin typeface="Calibri"/>
              <a:cs typeface="Calibri"/>
            </a:rPr>
            <a:pPr algn="ctr"/>
            <a:t>47.5%</a:t>
          </a:fld>
          <a:endParaRPr lang="en-US" sz="2000" b="1">
            <a:solidFill>
              <a:schemeClr val="bg2"/>
            </a:solidFill>
          </a:endParaRPr>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44C005-DFE4-4DD4-90DC-84C3177902F0}" name="Table1" displayName="Table1" ref="A2:BG1076" totalsRowShown="0" headerRowDxfId="172" dataDxfId="171" tableBorderDxfId="170" totalsRowBorderDxfId="169">
  <autoFilter ref="A2:BG1076" xr:uid="{00000000-0009-0000-0000-000000000000}"/>
  <tableColumns count="59">
    <tableColumn id="1" xr3:uid="{573BDAA4-1943-4773-8BD8-CAEB6AD06B05}" name="MONTH" dataDxfId="168"/>
    <tableColumn id="56" xr3:uid="{FBF13D99-387C-439D-AE58-628A33BFB3FE}" name="DATE2" dataDxfId="167"/>
    <tableColumn id="2" xr3:uid="{F02CE009-915D-418E-B8F0-9E88CE5B8941}" name="entry time" dataDxfId="166"/>
    <tableColumn id="3" xr3:uid="{0C4D08BF-D248-4F4A-B40B-FA80F0F8F82D}" name="DAY" dataDxfId="165"/>
    <tableColumn id="4" xr3:uid="{8E6CAF46-38D6-4DE1-866D-A8FE21D53C6E}" name="MAJOR EVENT" dataDxfId="164"/>
    <tableColumn id="5" xr3:uid="{1473CA32-71B0-499C-8D4B-4FB70FEE5637}" name="ACTION" dataDxfId="163"/>
    <tableColumn id="6" xr3:uid="{AB84FA13-05BB-4BDE-B4A0-098C471D297F}" name="CONTRACT " dataDxfId="162"/>
    <tableColumn id="7" xr3:uid="{F66F1806-C2FE-445D-9EB2-0BFF31FE58CD}" name="A" dataDxfId="161"/>
    <tableColumn id="8" xr3:uid="{56C56A55-C7BE-4786-AA1C-437BC3DF96C2}" name="E" dataDxfId="160"/>
    <tableColumn id="9" xr3:uid="{3C396FDC-7ED2-49A5-BC09-942B08AC97A0}" name="B" dataDxfId="159"/>
    <tableColumn id="10" xr3:uid="{492E7CBC-B384-4E13-8953-ACAB994C83A7}" name="D/H" dataDxfId="158"/>
    <tableColumn id="11" xr3:uid="{8BAF6A2B-2A43-4CDD-B029-7A9FFDDCC023}" name="REACTIVE | response to price action" dataDxfId="157"/>
    <tableColumn id="12" xr3:uid="{1936CD64-A845-48C6-AFE6-6CF0488293BA}" name="PROACTIVE  | expectations after consideration" dataDxfId="156"/>
    <tableColumn id="13" xr3:uid="{16C22FC5-16B6-4552-8F43-E730CEDA5DCB}" name="SIGNALS  | technical indicators/models" dataDxfId="155"/>
    <tableColumn id="14" xr3:uid="{18D95C9C-1AB4-40F6-83DB-0AFC3D4BD36B}" name="CODE" dataDxfId="154"/>
    <tableColumn id="15" xr3:uid="{3B198F79-DD5D-4C6C-BAB6-1941C0184216}" name="CODE2" dataDxfId="153"/>
    <tableColumn id="16" xr3:uid="{4D6C2A60-E52B-408D-9992-413E4A1D95C4}" name="O,S,F" dataDxfId="152"/>
    <tableColumn id="17" xr3:uid="{2EB94367-68FE-4400-AB26-4F2B0D27316E}" name="E QTY" dataDxfId="151"/>
    <tableColumn id="18" xr3:uid="{BB36A032-0240-4963-B7C0-0D33F83DFDE0}" name="X QTY" dataDxfId="150"/>
    <tableColumn id="19" xr3:uid="{4FDF2F6E-0AD7-42C8-A028-760103C1E169}" name="MAX SHOT" dataDxfId="149"/>
    <tableColumn id="20" xr3:uid="{EF1207B1-498E-4A95-889D-49A59944636B}" name="B/S" dataDxfId="148"/>
    <tableColumn id="21" xr3:uid="{242391C8-E818-4AF7-A9F1-2709D9770DC0}" name="TICK SIZE" dataDxfId="147"/>
    <tableColumn id="22" xr3:uid="{CD159E34-CFB7-4738-8BCD-2D485467997C}" name="MIN TICK VALUE ADJUSTED" dataDxfId="146"/>
    <tableColumn id="23" xr3:uid="{084C1C3B-F364-436C-AAD4-AE8DE0A4E71A}" name="TECHNICAL" dataDxfId="145"/>
    <tableColumn id="24" xr3:uid="{D3C6560D-EB4B-423D-ADB0-638E79682F42}" name="FUNDAMENTAL" dataDxfId="144"/>
    <tableColumn id="25" xr3:uid="{B69D257F-37C6-429D-A174-913AEF66D399}" name="CURVES" dataDxfId="143"/>
    <tableColumn id="26" xr3:uid="{E792761F-1F93-43FF-A877-9B7D0BEA1D7D}" name="ENTRY" dataDxfId="142"/>
    <tableColumn id="27" xr3:uid="{14564756-4D8B-4F4F-9C6C-E73E099E3738}" name="ENTRY LOGIC" dataDxfId="141"/>
    <tableColumn id="28" xr3:uid="{4C03E083-864E-4A5F-84C5-CEDD7CDE7B42}" name="STOPLOSS" dataDxfId="140"/>
    <tableColumn id="29" xr3:uid="{048C1B26-4104-4E09-A3C7-0B8B1A4D5A8B}" name="STOPLOSS LOGIC" dataDxfId="139"/>
    <tableColumn id="30" xr3:uid="{1F393B37-3FF7-4F5B-BAFE-3136798B4F5C}" name="PLANNED EXIT" dataDxfId="138"/>
    <tableColumn id="31" xr3:uid="{F2A21D3F-CA7A-4DB7-9CCC-2E31EE8027DD}" name="PLANNED EXIT LOGIC" dataDxfId="137"/>
    <tableColumn id="32" xr3:uid="{1047EB71-7A3F-45A8-8D80-FABF32A1F8BE}" name="BACKUP PLAN" dataDxfId="136"/>
    <tableColumn id="33" xr3:uid="{AABD4648-B109-4DF0-A4C2-929EBBC9798E}" name="WORST CASE REWARD/RISK" dataDxfId="135"/>
    <tableColumn id="34" xr3:uid="{5AD1318B-E85E-4768-A274-0B42BABB2CF3}" name="WORST CASE LOSS/LOT" dataDxfId="134"/>
    <tableColumn id="35" xr3:uid="{4E910393-90EE-4B3D-966A-A6DA8109DAAE}" name="WORST CASE LOSS" dataDxfId="133"/>
    <tableColumn id="36" xr3:uid="{F9837CA8-0D2B-4AC6-B0D7-54636FFF8595}" name="PLANNED DURATION" dataDxfId="132"/>
    <tableColumn id="37" xr3:uid="{230A1C5C-9856-4021-B8FE-6FABC3F63BF0}" name="DURATION LOGIC" dataDxfId="131"/>
    <tableColumn id="38" xr3:uid="{0E541C66-F84B-4DAB-BD40-077EABCA8360}" name="DURATION " dataDxfId="130"/>
    <tableColumn id="39" xr3:uid="{0659CDF2-A5CA-42AC-A706-FDF2FA6DF30D}" name="(M/H/D/W) | W - &gt; DAYS" dataDxfId="129"/>
    <tableColumn id="40" xr3:uid="{8BCF1703-A104-4C02-AAFC-AC95FD5E0FA9}" name="exit date/time" dataDxfId="128"/>
    <tableColumn id="41" xr3:uid="{7DD3197A-1C41-49DC-BFD1-0D035517CE9B}" name="EXIT" dataDxfId="127"/>
    <tableColumn id="42" xr3:uid="{80793E94-FD90-4730-9729-99594EBA5309}" name="PNL (PRICE)" dataDxfId="126"/>
    <tableColumn id="43" xr3:uid="{DE70FBFC-A980-4ED2-91D4-1ED482A08855}" name="TOTAL PROFIT" dataDxfId="125"/>
    <tableColumn id="44" xr3:uid="{10A825F7-2CBF-46CD-912A-A6D87A9CA12A}" name="PNL ($) SINGLE ORDER" dataDxfId="124"/>
    <tableColumn id="45" xr3:uid="{C5F3B5EF-6186-4AD5-83B8-AEF950779AA2}" name="W/L" dataDxfId="123"/>
    <tableColumn id="46" xr3:uid="{AD039B48-9431-4A11-B748-93132E3E12F3}" name="REMARKS 1" dataDxfId="122"/>
    <tableColumn id="47" xr3:uid="{8444F280-DFD2-4618-9DF6-00C65614A92C}" name="REMARKS 2" dataDxfId="121"/>
    <tableColumn id="48" xr3:uid="{E7682F10-3E37-4263-A289-BC871CFC3CE0}" name="REMARKS 3" dataDxfId="120"/>
    <tableColumn id="49" xr3:uid="{BD1DDC79-9A0C-40B1-A60D-B3CC530E5593}" name="PERSPECTIVE 1" dataDxfId="119"/>
    <tableColumn id="50" xr3:uid="{7A5FB48C-FC48-449E-AD20-CB7E87254914}" name="PERSPECTIVE 2" dataDxfId="118"/>
    <tableColumn id="51" xr3:uid="{872572DD-5E17-4703-9DEF-95232C04B3E4}" name="PERSPECTIVE 3" dataDxfId="117"/>
    <tableColumn id="52" xr3:uid="{83875B8D-60BF-465D-8982-9E25DAE2CA50}" name="REMARKS 4" dataDxfId="116"/>
    <tableColumn id="53" xr3:uid="{EB61C050-CDD2-4555-A3BC-699E3CBAC022}" name="REMARKS 5" dataDxfId="115"/>
    <tableColumn id="54" xr3:uid="{9F1BEB01-1C4A-4317-817D-8F9BEAC25DDC}" name="REMARKS 6" dataDxfId="114"/>
    <tableColumn id="55" xr3:uid="{D188873E-69AB-49B2-B37F-6A879F69B425}" name="ROLLING PnL" dataDxfId="113"/>
    <tableColumn id="57" xr3:uid="{67AD5420-AC9D-43F6-A341-F49500022CB3}" name="ROLLING PnL/LOT" dataDxfId="112">
      <calculatedColumnFormula>SUM($AR3:AR$4)</calculatedColumnFormula>
    </tableColumn>
    <tableColumn id="58" xr3:uid="{E5D7A726-0BAE-454F-9931-8BD018B88E18}" name="rolling sum of orders" dataDxfId="111"/>
    <tableColumn id="59" xr3:uid="{A8943E52-AB72-4020-926E-87FAEF266FF7}" name="Column1" dataDxfId="110"/>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B13FC2D-F099-4B15-A394-984094C2173F}" name="Table2" displayName="Table2" ref="A5:X17" totalsRowCount="1" headerRowDxfId="102" dataDxfId="101" headerRowBorderDxfId="99" tableBorderDxfId="100">
  <autoFilter ref="A5:X16" xr:uid="{8B13FC2D-F099-4B15-A394-984094C2173F}"/>
  <tableColumns count="24">
    <tableColumn id="1" xr3:uid="{67FB27B5-CD7D-4530-A8A1-A12AE44285FE}" name="CATEGORY" dataDxfId="97" totalsRowDxfId="98"/>
    <tableColumn id="2" xr3:uid="{A3B75B1B-9EF5-406F-804B-6DE4B6B574C2}" name="TYPE" dataDxfId="95" totalsRowDxfId="96"/>
    <tableColumn id="3" xr3:uid="{4C6E5ACB-33E0-48D9-ABF3-92FDCAB83C75}" name="# ORDERS" dataDxfId="93" totalsRowDxfId="94">
      <calculatedColumnFormula>COUNTIFS(Table1[MONTH],'PERFORMANCE ANALYSIS'!$A$3,Table1[TECHNICAL],"*")</calculatedColumnFormula>
    </tableColumn>
    <tableColumn id="4" xr3:uid="{BC1C545D-85A5-4832-9DE1-01A18757F0F1}" name="TOTAL LOTS" dataDxfId="91" totalsRowDxfId="92">
      <calculatedColumnFormula>SUMIFS(Table1[E QTY],Table1[MONTH],'PERFORMANCE ANALYSIS'!$A$3,Table1[TECHNICAL],"*")</calculatedColumnFormula>
    </tableColumn>
    <tableColumn id="5" xr3:uid="{1BBBBEB5-1876-408B-BD99-983D1287CABF}" name="AVG GAINS/LOT" dataDxfId="89" totalsRowDxfId="90">
      <calculatedColumnFormula>AVERAGEIFS(Table1[PNL ($) SINGLE ORDER],Table1[MONTH],'PERFORMANCE ANALYSIS'!$A$3,Table1[W/L],"W",Table1[TECHNICAL],"*")</calculatedColumnFormula>
    </tableColumn>
    <tableColumn id="6" xr3:uid="{9931C952-AD09-44ED-86FB-DF84530DD9AA}" name="TOTAL GAINS" dataDxfId="87" totalsRowDxfId="88">
      <calculatedColumnFormula>SUMIFS(Table1[TOTAL PROFIT],Table1[MONTH],'PERFORMANCE ANALYSIS'!$A$3,Table1[W/L],"W",Table1[TECHNICAL],"*")</calculatedColumnFormula>
    </tableColumn>
    <tableColumn id="7" xr3:uid="{2C5E9E55-7830-483D-A106-424323484063}" name="WIN%" dataDxfId="85" totalsRowDxfId="86">
      <calculatedColumnFormula>(COUNTIFS(Table1[W/L],"W",Table1[MONTH],'PERFORMANCE ANALYSIS'!$A$3,Table1[TECHNICAL],"*"))/Table2[[#This Row],['# ORDERS]]</calculatedColumnFormula>
    </tableColumn>
    <tableColumn id="8" xr3:uid="{B27E4ABD-FF32-4B20-A587-D61324F8EEF2}" name="AVG LOSS/ LOT" dataDxfId="83" totalsRowDxfId="84">
      <calculatedColumnFormula>AVERAGEIFS(Table1[PNL ($) SINGLE ORDER],Table1[MONTH],'PERFORMANCE ANALYSIS'!$A$3,Table1[W/L],"L",Table1[TECHNICAL],"*")</calculatedColumnFormula>
    </tableColumn>
    <tableColumn id="9" xr3:uid="{DDD2CADD-495F-4786-8A17-E5C934AD6977}" name="TOTAL LOSS" dataDxfId="81" totalsRowDxfId="82">
      <calculatedColumnFormula>SUMIFS(Table1[TOTAL PROFIT],Table1[MONTH],'PERFORMANCE ANALYSIS'!$A$3,Table1[W/L],"L",Table1[TECHNICAL],"*")</calculatedColumnFormula>
    </tableColumn>
    <tableColumn id="10" xr3:uid="{22558177-A971-477E-B0DC-35CDCD9BD360}" name="LOSS%" dataDxfId="79" totalsRowDxfId="80">
      <calculatedColumnFormula>(COUNTIFS(Table1[W/L],"L",Table1[MONTH],'PERFORMANCE ANALYSIS'!$A$3,Table1[TECHNICAL],"*"))/Table2[[#This Row],['# ORDERS]]</calculatedColumnFormula>
    </tableColumn>
    <tableColumn id="11" xr3:uid="{31475D39-7C28-4CA6-8240-A099EC19C9E7}" name="G/L" dataDxfId="77" totalsRowDxfId="78">
      <calculatedColumnFormula>IFERROR(Table2[[#This Row],[TOTAL GAINS]]/Table2[[#This Row],[TOTAL LOSS]],1)</calculatedColumnFormula>
    </tableColumn>
    <tableColumn id="12" xr3:uid="{9057571D-7CEC-48A5-A6C2-FDAA71F2E6D7}" name="NET P/L" dataDxfId="75" totalsRowDxfId="76">
      <calculatedColumnFormula>Table2[[#This Row],[TOTAL GAINS]]-Table2[[#This Row],[TOTAL LOSS]]</calculatedColumnFormula>
    </tableColumn>
    <tableColumn id="13" xr3:uid="{219D7ED0-CA69-41D1-B18B-23CB9A9BA539}" name="MODE CLIP SIZE" dataDxfId="73" totalsRowDxfId="74">
      <calculatedColumnFormula array="1">MODE(IF(Table1[MONTH]='PERFORMANCE ANALYSIS'!$A$3,IF(Table1[TECHNICAL]&lt;&gt;"",Table1[E QTY])))</calculatedColumnFormula>
    </tableColumn>
    <tableColumn id="15" xr3:uid="{54665246-CCDA-4FD8-9A81-8416D6ECB42F}" name="MAX LOSS" dataDxfId="71" totalsRowDxfId="72">
      <calculatedColumnFormula array="1">MAX(IF(Table1[MONTH]='PERFORMANCE ANALYSIS'!$A$3,IF(Table1[TECHNICAL]&lt;&gt;"",Table1[TOTAL PROFIT])))</calculatedColumnFormula>
    </tableColumn>
    <tableColumn id="16" xr3:uid="{728176E6-D3EF-4682-91A5-432F67A15FB0}" name="G/L per lot" dataDxfId="70">
      <calculatedColumnFormula>IFERROR(Table2[[#This Row],[AVG GAINS/LOT]]/Table2[[#This Row],[AVG LOSS/ LOT]],0)</calculatedColumnFormula>
    </tableColumn>
    <tableColumn id="18" xr3:uid="{5ADB0E3A-A110-4AA4-9889-A05DBA4DB89E}" name="W SCORE" dataDxfId="69">
      <calculatedColumnFormula>IFERROR((Table2[[#This Row],[AVG GAINS/LOT]]*Table2[[#This Row],[WIN%]]),1)</calculatedColumnFormula>
    </tableColumn>
    <tableColumn id="19" xr3:uid="{6D80B728-B27C-4D33-B3D6-1B9D1956D2A8}" name="L SCORE" dataDxfId="68">
      <calculatedColumnFormula>IFERROR((Table2[[#This Row],[AVG LOSS/ LOT]]*Table2[[#This Row],[LOSS%]]),1)</calculatedColumnFormula>
    </tableColumn>
    <tableColumn id="17" xr3:uid="{E9D95E31-F1F6-4681-854E-934AAE1C8A12}" name="SCORE1" dataDxfId="67">
      <calculatedColumnFormula>Table2[[#This Row],[W SCORE]]-Table2[[#This Row],[L SCORE]]</calculatedColumnFormula>
    </tableColumn>
    <tableColumn id="20" xr3:uid="{3976828F-37F1-4184-B7A4-6FE3BF992AF9}" name="LOTS/ORDERS" dataDxfId="66">
      <calculatedColumnFormula>IFERROR(Table2[[#This Row],[TOTAL LOTS]]/Table2[[#This Row],['# ORDERS]],0)</calculatedColumnFormula>
    </tableColumn>
    <tableColumn id="14" xr3:uid="{309A7A5F-1E61-4E00-AC54-EAB5E2687962}" name="efficiency" dataDxfId="65">
      <calculatedColumnFormula>IFERROR(Table2[[#This Row],[NET P/L]]/Table2[[#This Row],[TOTAL LOTS]],0)</calculatedColumnFormula>
    </tableColumn>
    <tableColumn id="21" xr3:uid="{3CB00AE8-BCA9-4A70-B660-2F47869C6FC6}" name="EFFICIENCY2" dataDxfId="64">
      <calculatedColumnFormula>IFERROR(Table2[[#This Row],[NET P/L]]/Table2[[#This Row],['# ORDERS]],0)</calculatedColumnFormula>
    </tableColumn>
    <tableColumn id="22" xr3:uid="{DA3625B6-F354-4D48-9A3F-90756A1011E7}" name="RT" dataDxfId="63"/>
    <tableColumn id="23" xr3:uid="{FA0241C4-8CD7-4B15-A819-E15DDCA29C3F}" name="RT%" dataDxfId="62"/>
    <tableColumn id="24" xr3:uid="{B21C9DB2-EC77-4AD7-B71D-1859F17C23C6}" name="NET PL%" dataDxfId="61">
      <calculatedColumnFormula>Table2[[#This Row],[NET P/L]]/AJ10</calculatedColumnFormula>
    </tableColumn>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1B3E126-A5B5-490E-AD3B-5A000390515C}" name="Table3" displayName="Table3" ref="AN5:AY16" totalsRowShown="0" headerRowDxfId="60" dataDxfId="59" headerRowBorderDxfId="57" tableBorderDxfId="58">
  <autoFilter ref="AN5:AY16" xr:uid="{51B3E126-A5B5-490E-AD3B-5A000390515C}"/>
  <tableColumns count="12">
    <tableColumn id="1" xr3:uid="{784EF45F-9E0E-4E2F-8858-DA09B73B1C41}" name="CATEGORY" dataDxfId="56"/>
    <tableColumn id="2" xr3:uid="{F4B64B7A-2F64-4578-AA9D-946B8D002048}" name="TYPE" dataDxfId="55"/>
    <tableColumn id="3" xr3:uid="{7DC4C47F-0911-414F-B26D-CCF130501BCF}" name="ORDERS" dataDxfId="54"/>
    <tableColumn id="9" xr3:uid="{65ECCC1D-E60F-44C3-BB8F-F371356527AD}" name="TOTAL LOTS" dataDxfId="53"/>
    <tableColumn id="4" xr3:uid="{C5B18EA4-7198-45EB-A461-AB1F2F35CBDC}" name="TOTAL AMOUNT" dataDxfId="52"/>
    <tableColumn id="5" xr3:uid="{AC9729E9-9E0D-4F53-8ECD-8028182A6126}" name="UNIT AMOUNT" dataDxfId="51"/>
    <tableColumn id="11" xr3:uid="{5186CD66-FA29-4BBF-9529-C9D431D95133}" name="AVERAGE LOT" dataDxfId="50">
      <calculatedColumnFormula>IFERROR(Table3[[#This Row],[TOTAL LOTS]]/Table3[[#This Row],[ORDERS]],0)</calculatedColumnFormula>
    </tableColumn>
    <tableColumn id="10" xr3:uid="{BD6DEF14-4F16-4641-837F-6748C6BBCD41}" name="ORDERS2" dataDxfId="49"/>
    <tableColumn id="6" xr3:uid="{52F67797-24DC-49D9-83D0-7A537361FD66}" name="TOTAL LOTS2" dataDxfId="48"/>
    <tableColumn id="7" xr3:uid="{700C45FF-0934-4AE5-A5BC-9F105AC18103}" name="TOTAL AMOUNT3" dataDxfId="47"/>
    <tableColumn id="8" xr3:uid="{D385433D-C4D1-492F-AC45-44F248093355}" name="UNIT AMOUNT4" dataDxfId="46"/>
    <tableColumn id="12" xr3:uid="{735C421B-E629-45DB-BDEF-DE4630B08931}" name="AVERAGE LOT2" dataDxfId="45">
      <calculatedColumnFormula>IFERROR(Table3[[#This Row],[TOTAL LOTS2]]/Table3[[#This Row],[ORDERS2]],0)</calculatedColumnFormula>
    </tableColumn>
  </tableColumns>
  <tableStyleInfo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891AD"/>
      </a:accent1>
      <a:accent2>
        <a:srgbClr val="004561"/>
      </a:accent2>
      <a:accent3>
        <a:srgbClr val="FF6F31"/>
      </a:accent3>
      <a:accent4>
        <a:srgbClr val="1C7685"/>
      </a:accent4>
      <a:accent5>
        <a:srgbClr val="0F45A8"/>
      </a:accent5>
      <a:accent6>
        <a:srgbClr val="4CDC8B"/>
      </a:accent6>
      <a:hlink>
        <a:srgbClr val="0097A7"/>
      </a:hlink>
      <a:folHlink>
        <a:srgbClr val="0097A7"/>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investing.com/economic-calendar/cpi-1011" TargetMode="External"/><Relationship Id="rId21" Type="http://schemas.openxmlformats.org/officeDocument/2006/relationships/hyperlink" Target="https://www.investing.com/economic-calendar/core-cpi-56" TargetMode="External"/><Relationship Id="rId42" Type="http://schemas.openxmlformats.org/officeDocument/2006/relationships/hyperlink" Target="https://www.investing.com/economic-calendar/ism-manufacturing-pmi-173" TargetMode="External"/><Relationship Id="rId47" Type="http://schemas.openxmlformats.org/officeDocument/2006/relationships/hyperlink" Target="https://www.investing.com/economic-calendar/employment-change-94" TargetMode="External"/><Relationship Id="rId63" Type="http://schemas.openxmlformats.org/officeDocument/2006/relationships/hyperlink" Target="https://www.investing.com/economic-calendar/core-pce-price-index-905" TargetMode="External"/><Relationship Id="rId68" Type="http://schemas.openxmlformats.org/officeDocument/2006/relationships/hyperlink" Target="https://www.investing.com/economic-calendar/initial-jobless-claims-294" TargetMode="External"/><Relationship Id="rId2" Type="http://schemas.openxmlformats.org/officeDocument/2006/relationships/hyperlink" Target="https://www.investing.com/economic-calendar/core-cpi-56" TargetMode="External"/><Relationship Id="rId16" Type="http://schemas.openxmlformats.org/officeDocument/2006/relationships/hyperlink" Target="https://www.investing.com/economic-calendar/trimmed-mean-cpi-293" TargetMode="External"/><Relationship Id="rId29" Type="http://schemas.openxmlformats.org/officeDocument/2006/relationships/hyperlink" Target="https://www.investing.com/economic-calendar/nonfarm-payrolls-227" TargetMode="External"/><Relationship Id="rId11" Type="http://schemas.openxmlformats.org/officeDocument/2006/relationships/hyperlink" Target="https://www.investing.com/economic-calendar/unemployment-rate-302" TargetMode="External"/><Relationship Id="rId24" Type="http://schemas.openxmlformats.org/officeDocument/2006/relationships/hyperlink" Target="https://www.investing.com/economic-calendar/retail-sales-256" TargetMode="External"/><Relationship Id="rId32" Type="http://schemas.openxmlformats.org/officeDocument/2006/relationships/hyperlink" Target="https://www.investing.com/economic-calendar/cpi-69" TargetMode="External"/><Relationship Id="rId37" Type="http://schemas.openxmlformats.org/officeDocument/2006/relationships/hyperlink" Target="https://www.investing.com/economic-calendar/employment-change-94" TargetMode="External"/><Relationship Id="rId40" Type="http://schemas.openxmlformats.org/officeDocument/2006/relationships/hyperlink" Target="https://www.investing.com/economic-calendar/gdp-375" TargetMode="External"/><Relationship Id="rId45" Type="http://schemas.openxmlformats.org/officeDocument/2006/relationships/hyperlink" Target="https://www.investing.com/economic-calendar/ism-non-manufacturing-pmi-176" TargetMode="External"/><Relationship Id="rId53" Type="http://schemas.openxmlformats.org/officeDocument/2006/relationships/hyperlink" Target="https://www.investing.com/economic-calendar/cpi-73" TargetMode="External"/><Relationship Id="rId58" Type="http://schemas.openxmlformats.org/officeDocument/2006/relationships/hyperlink" Target="https://www.investing.com/economic-calendar/wage-price-index-336" TargetMode="External"/><Relationship Id="rId66" Type="http://schemas.openxmlformats.org/officeDocument/2006/relationships/hyperlink" Target="https://www.investing.com/economic-calendar/building-approvals-22" TargetMode="External"/><Relationship Id="rId74" Type="http://schemas.openxmlformats.org/officeDocument/2006/relationships/table" Target="../tables/table1.xml"/><Relationship Id="rId5" Type="http://schemas.openxmlformats.org/officeDocument/2006/relationships/hyperlink" Target="https://www.investing.com/economic-calendar/initial-jobless-claims-294" TargetMode="External"/><Relationship Id="rId61" Type="http://schemas.openxmlformats.org/officeDocument/2006/relationships/hyperlink" Target="https://www.investing.com/economic-calendar/retail-sales-262" TargetMode="External"/><Relationship Id="rId19" Type="http://schemas.openxmlformats.org/officeDocument/2006/relationships/hyperlink" Target="https://www.investing.com/economic-calendar/unemployment-rate-300" TargetMode="External"/><Relationship Id="rId14" Type="http://schemas.openxmlformats.org/officeDocument/2006/relationships/hyperlink" Target="https://www.investing.com/economic-calendar/cpi-73" TargetMode="External"/><Relationship Id="rId22" Type="http://schemas.openxmlformats.org/officeDocument/2006/relationships/hyperlink" Target="https://www.investing.com/economic-calendar/cpi-69" TargetMode="External"/><Relationship Id="rId27" Type="http://schemas.openxmlformats.org/officeDocument/2006/relationships/hyperlink" Target="https://www.investing.com/economic-calendar/gdp-124" TargetMode="External"/><Relationship Id="rId30" Type="http://schemas.openxmlformats.org/officeDocument/2006/relationships/hyperlink" Target="https://www.investing.com/economic-calendar/unemployment-rate-300" TargetMode="External"/><Relationship Id="rId35" Type="http://schemas.openxmlformats.org/officeDocument/2006/relationships/hyperlink" Target="https://www.investing.com/economic-calendar/ppi-238" TargetMode="External"/><Relationship Id="rId43" Type="http://schemas.openxmlformats.org/officeDocument/2006/relationships/hyperlink" Target="https://www.investing.com/economic-calendar/jolts-job-openings-1057" TargetMode="External"/><Relationship Id="rId48" Type="http://schemas.openxmlformats.org/officeDocument/2006/relationships/hyperlink" Target="https://www.investing.com/economic-calendar/unemployment-rate-302" TargetMode="External"/><Relationship Id="rId56" Type="http://schemas.openxmlformats.org/officeDocument/2006/relationships/hyperlink" Target="https://www.investing.com/economic-calendar/core-cpi-317" TargetMode="External"/><Relationship Id="rId64" Type="http://schemas.openxmlformats.org/officeDocument/2006/relationships/hyperlink" Target="https://www.investing.com/economic-calendar/pce-price-index-906" TargetMode="External"/><Relationship Id="rId69" Type="http://schemas.openxmlformats.org/officeDocument/2006/relationships/hyperlink" Target="https://www.investing.com/economic-calendar/ism-manufacturing-pmi-173" TargetMode="External"/><Relationship Id="rId8" Type="http://schemas.openxmlformats.org/officeDocument/2006/relationships/hyperlink" Target="https://www.investing.com/economic-calendar/retail-sales-256" TargetMode="External"/><Relationship Id="rId51" Type="http://schemas.openxmlformats.org/officeDocument/2006/relationships/hyperlink" Target="https://www.investing.com/economic-calendar/cb-consumer-confidence-48" TargetMode="External"/><Relationship Id="rId72" Type="http://schemas.openxmlformats.org/officeDocument/2006/relationships/hyperlink" Target="https://www.investing.com/economic-calendar/national-core-cpi-344" TargetMode="External"/><Relationship Id="rId3" Type="http://schemas.openxmlformats.org/officeDocument/2006/relationships/hyperlink" Target="https://www.investing.com/economic-calendar/cpi-69" TargetMode="External"/><Relationship Id="rId12" Type="http://schemas.openxmlformats.org/officeDocument/2006/relationships/hyperlink" Target="https://www.investing.com/economic-calendar/participation-rate-1051" TargetMode="External"/><Relationship Id="rId17" Type="http://schemas.openxmlformats.org/officeDocument/2006/relationships/hyperlink" Target="https://www.investing.com/economic-calendar/retail-sales-262" TargetMode="External"/><Relationship Id="rId25" Type="http://schemas.openxmlformats.org/officeDocument/2006/relationships/hyperlink" Target="https://www.investing.com/economic-calendar/gdp-375" TargetMode="External"/><Relationship Id="rId33" Type="http://schemas.openxmlformats.org/officeDocument/2006/relationships/hyperlink" Target="https://www.investing.com/economic-calendar/cpi-733" TargetMode="External"/><Relationship Id="rId38" Type="http://schemas.openxmlformats.org/officeDocument/2006/relationships/hyperlink" Target="https://edition.cnn.com/markets/fear-and-greed" TargetMode="External"/><Relationship Id="rId46" Type="http://schemas.openxmlformats.org/officeDocument/2006/relationships/hyperlink" Target="https://www.investing.com/economic-calendar/westpac-consumer-sentiment-364" TargetMode="External"/><Relationship Id="rId59" Type="http://schemas.openxmlformats.org/officeDocument/2006/relationships/hyperlink" Target="https://www.investing.com/economic-calendar/cpi-67" TargetMode="External"/><Relationship Id="rId67" Type="http://schemas.openxmlformats.org/officeDocument/2006/relationships/hyperlink" Target="https://www.investing.com/economic-calendar/chinese-gdp-461" TargetMode="External"/><Relationship Id="rId20" Type="http://schemas.openxmlformats.org/officeDocument/2006/relationships/hyperlink" Target="https://www.investing.com/economic-calendar/retail-trade-1283" TargetMode="External"/><Relationship Id="rId41" Type="http://schemas.openxmlformats.org/officeDocument/2006/relationships/hyperlink" Target="https://www.investing.com/economic-calendar/retail-sales-262" TargetMode="External"/><Relationship Id="rId54" Type="http://schemas.openxmlformats.org/officeDocument/2006/relationships/hyperlink" Target="https://www.investing.com/economic-calendar/trimmed-mean-cpi-293" TargetMode="External"/><Relationship Id="rId62" Type="http://schemas.openxmlformats.org/officeDocument/2006/relationships/hyperlink" Target="https://www.investing.com/economic-calendar/core-pce-price-index-61" TargetMode="External"/><Relationship Id="rId70" Type="http://schemas.openxmlformats.org/officeDocument/2006/relationships/hyperlink" Target="https://www.investing.com/economic-calendar/services-pmi-1062" TargetMode="External"/><Relationship Id="rId1" Type="http://schemas.openxmlformats.org/officeDocument/2006/relationships/hyperlink" Target="https://www.investing.com/economic-calendar/nab-business-confidence-217" TargetMode="External"/><Relationship Id="rId6" Type="http://schemas.openxmlformats.org/officeDocument/2006/relationships/hyperlink" Target="https://www.investing.com/economic-calendar/westpac-consumer-sentiment-364" TargetMode="External"/><Relationship Id="rId15" Type="http://schemas.openxmlformats.org/officeDocument/2006/relationships/hyperlink" Target="https://www.investing.com/economic-calendar/cpi-1011" TargetMode="External"/><Relationship Id="rId23" Type="http://schemas.openxmlformats.org/officeDocument/2006/relationships/hyperlink" Target="https://www.investing.com/economic-calendar/core-retail-sales-63" TargetMode="External"/><Relationship Id="rId28" Type="http://schemas.openxmlformats.org/officeDocument/2006/relationships/hyperlink" Target="https://www.investing.com/economic-calendar/adp-nonfarm-employment-change-1" TargetMode="External"/><Relationship Id="rId36" Type="http://schemas.openxmlformats.org/officeDocument/2006/relationships/hyperlink" Target="https://www.investing.com/economic-calendar/retail-sales-256" TargetMode="External"/><Relationship Id="rId49" Type="http://schemas.openxmlformats.org/officeDocument/2006/relationships/hyperlink" Target="https://www.investing.com/economic-calendar/michigan-inflation-expectations-389" TargetMode="External"/><Relationship Id="rId57" Type="http://schemas.openxmlformats.org/officeDocument/2006/relationships/hyperlink" Target="https://www.investing.com/economic-calendar/retail-sales-262" TargetMode="External"/><Relationship Id="rId10" Type="http://schemas.openxmlformats.org/officeDocument/2006/relationships/hyperlink" Target="https://www.investing.com/economic-calendar/employment-change-94" TargetMode="External"/><Relationship Id="rId31" Type="http://schemas.openxmlformats.org/officeDocument/2006/relationships/hyperlink" Target="https://www.investing.com/economic-calendar/core-cpi-56" TargetMode="External"/><Relationship Id="rId44" Type="http://schemas.openxmlformats.org/officeDocument/2006/relationships/hyperlink" Target="https://www.investing.com/economic-calendar/adp-nonfarm-employment-change-1" TargetMode="External"/><Relationship Id="rId52" Type="http://schemas.openxmlformats.org/officeDocument/2006/relationships/hyperlink" Target="https://www.investing.com/economic-calendar/new-home-sales-222" TargetMode="External"/><Relationship Id="rId60" Type="http://schemas.openxmlformats.org/officeDocument/2006/relationships/hyperlink" Target="https://www.investing.com/economic-calendar/retail-sales-262" TargetMode="External"/><Relationship Id="rId65" Type="http://schemas.openxmlformats.org/officeDocument/2006/relationships/hyperlink" Target="https://www.investing.com/economic-calendar/michigan-consumer-sentiment-320" TargetMode="External"/><Relationship Id="rId73" Type="http://schemas.openxmlformats.org/officeDocument/2006/relationships/printerSettings" Target="../printerSettings/printerSettings1.bin"/><Relationship Id="rId4" Type="http://schemas.openxmlformats.org/officeDocument/2006/relationships/hyperlink" Target="https://www.investing.com/economic-calendar/cpi-733" TargetMode="External"/><Relationship Id="rId9" Type="http://schemas.openxmlformats.org/officeDocument/2006/relationships/hyperlink" Target="https://www.investing.com/economic-calendar/ppi-238" TargetMode="External"/><Relationship Id="rId13" Type="http://schemas.openxmlformats.org/officeDocument/2006/relationships/hyperlink" Target="https://www.investing.com/economic-calendar/initial-jobless-claims-294" TargetMode="External"/><Relationship Id="rId18" Type="http://schemas.openxmlformats.org/officeDocument/2006/relationships/hyperlink" Target="https://www.investing.com/economic-calendar/nonfarm-payrolls-227" TargetMode="External"/><Relationship Id="rId39" Type="http://schemas.openxmlformats.org/officeDocument/2006/relationships/hyperlink" Target="https://edition.cnn.com/markets/fear-and-greed" TargetMode="External"/><Relationship Id="rId34" Type="http://schemas.openxmlformats.org/officeDocument/2006/relationships/hyperlink" Target="https://www.investing.com/economic-calendar/core-retail-sales-63" TargetMode="External"/><Relationship Id="rId50" Type="http://schemas.openxmlformats.org/officeDocument/2006/relationships/hyperlink" Target="https://www.investing.com/economic-calendar/retail-sales-258" TargetMode="External"/><Relationship Id="rId55" Type="http://schemas.openxmlformats.org/officeDocument/2006/relationships/hyperlink" Target="https://www.investing.com/economic-calendar/cpi-68" TargetMode="External"/><Relationship Id="rId7" Type="http://schemas.openxmlformats.org/officeDocument/2006/relationships/hyperlink" Target="https://www.investing.com/economic-calendar/core-retail-sales-63" TargetMode="External"/><Relationship Id="rId71" Type="http://schemas.openxmlformats.org/officeDocument/2006/relationships/hyperlink" Target="https://www.investing.com/economic-calendar/ism-manufacturing-pmi-173"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8" Type="http://schemas.openxmlformats.org/officeDocument/2006/relationships/hyperlink" Target="https://library.tradingtechnologies.com/trade/as-spread-configuration-order-execution.html" TargetMode="External"/><Relationship Id="rId13" Type="http://schemas.openxmlformats.org/officeDocument/2006/relationships/hyperlink" Target="https://www.investing.com/economic-calendar/cpi-69" TargetMode="External"/><Relationship Id="rId18" Type="http://schemas.openxmlformats.org/officeDocument/2006/relationships/hyperlink" Target="https://www.investing.com/economic-calendar/initial-jobless-claims-294" TargetMode="External"/><Relationship Id="rId26" Type="http://schemas.openxmlformats.org/officeDocument/2006/relationships/hyperlink" Target="https://www.investing.com/economic-calendar/gdp-375" TargetMode="External"/><Relationship Id="rId3" Type="http://schemas.openxmlformats.org/officeDocument/2006/relationships/hyperlink" Target="https://www.investing.com/economic-calendar/retail-sales-262" TargetMode="External"/><Relationship Id="rId21" Type="http://schemas.openxmlformats.org/officeDocument/2006/relationships/hyperlink" Target="https://www.investing.com/economic-calendar/cpi-68" TargetMode="External"/><Relationship Id="rId7" Type="http://schemas.openxmlformats.org/officeDocument/2006/relationships/hyperlink" Target="https://library.tradingtechnologies.com/trade/as-spread-configuration-order-execution.html" TargetMode="External"/><Relationship Id="rId12" Type="http://schemas.openxmlformats.org/officeDocument/2006/relationships/hyperlink" Target="https://www.investing.com/economic-calendar/cpi-733" TargetMode="External"/><Relationship Id="rId17" Type="http://schemas.openxmlformats.org/officeDocument/2006/relationships/hyperlink" Target="https://www.investing.com/economic-calendar/core-retail-sales-63" TargetMode="External"/><Relationship Id="rId25" Type="http://schemas.openxmlformats.org/officeDocument/2006/relationships/hyperlink" Target="https://www.investing.com/economic-calendar/nab-business-confidence-217" TargetMode="External"/><Relationship Id="rId2" Type="http://schemas.openxmlformats.org/officeDocument/2006/relationships/hyperlink" Target="https://www.investing.com/economic-calendar/unemployment-rate-302" TargetMode="External"/><Relationship Id="rId16" Type="http://schemas.openxmlformats.org/officeDocument/2006/relationships/hyperlink" Target="https://www.investing.com/economic-calendar/unemployment-rate-302" TargetMode="External"/><Relationship Id="rId20" Type="http://schemas.openxmlformats.org/officeDocument/2006/relationships/hyperlink" Target="https://www.investing.com/economic-calendar/cpi-68" TargetMode="External"/><Relationship Id="rId1" Type="http://schemas.openxmlformats.org/officeDocument/2006/relationships/hyperlink" Target="https://www.investing.com/economic-calendar/employment-change-94" TargetMode="External"/><Relationship Id="rId6" Type="http://schemas.openxmlformats.org/officeDocument/2006/relationships/hyperlink" Target="https://www.investing.com/economic-calendar/retail-sales-262" TargetMode="External"/><Relationship Id="rId11" Type="http://schemas.openxmlformats.org/officeDocument/2006/relationships/hyperlink" Target="https://www.investing.com/economic-calendar/interest-rate-decision-171" TargetMode="External"/><Relationship Id="rId24" Type="http://schemas.openxmlformats.org/officeDocument/2006/relationships/hyperlink" Target="https://www.investing.com/economic-calendar/employment-change-95" TargetMode="External"/><Relationship Id="rId5" Type="http://schemas.openxmlformats.org/officeDocument/2006/relationships/hyperlink" Target="https://www.investing.com/economic-calendar/retail-sales-262" TargetMode="External"/><Relationship Id="rId15" Type="http://schemas.openxmlformats.org/officeDocument/2006/relationships/hyperlink" Target="https://www.investing.com/economic-calendar/cpi-67" TargetMode="External"/><Relationship Id="rId23" Type="http://schemas.openxmlformats.org/officeDocument/2006/relationships/hyperlink" Target="https://www.investing.com/economic-calendar/unemployment-rate-300" TargetMode="External"/><Relationship Id="rId10" Type="http://schemas.openxmlformats.org/officeDocument/2006/relationships/hyperlink" Target="https://www.investing.com/economic-calendar/interest-rate-decision-171" TargetMode="External"/><Relationship Id="rId19" Type="http://schemas.openxmlformats.org/officeDocument/2006/relationships/hyperlink" Target="https://www.investing.com/economic-calendar/retail-sales-256" TargetMode="External"/><Relationship Id="rId4" Type="http://schemas.openxmlformats.org/officeDocument/2006/relationships/hyperlink" Target="https://www.investing.com/economic-calendar/retail-sales-262" TargetMode="External"/><Relationship Id="rId9" Type="http://schemas.openxmlformats.org/officeDocument/2006/relationships/hyperlink" Target="https://www.investing.com/economic-calendar/interest-rate-decision-171" TargetMode="External"/><Relationship Id="rId14" Type="http://schemas.openxmlformats.org/officeDocument/2006/relationships/hyperlink" Target="https://www.investing.com/economic-calendar/core-cpi-56" TargetMode="External"/><Relationship Id="rId22" Type="http://schemas.openxmlformats.org/officeDocument/2006/relationships/hyperlink" Target="https://www.investing.com/economic-calendar/nonfarm-payrolls-2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G1101"/>
  <sheetViews>
    <sheetView tabSelected="1" zoomScale="70" zoomScaleNormal="70" workbookViewId="0">
      <pane xSplit="7" ySplit="2" topLeftCell="AK1048" activePane="bottomRight" state="frozen"/>
      <selection pane="bottomRight" activeCell="E1070" sqref="E1070"/>
      <selection pane="bottomLeft" activeCell="A3" sqref="A3"/>
      <selection pane="topRight" activeCell="G1" sqref="G1"/>
    </sheetView>
  </sheetViews>
  <sheetFormatPr defaultColWidth="12.5703125" defaultRowHeight="15.75" customHeight="1"/>
  <cols>
    <col min="1" max="1" width="14.85546875" bestFit="1" customWidth="1"/>
    <col min="2" max="2" width="12.7109375" customWidth="1"/>
    <col min="3" max="3" width="12" customWidth="1"/>
    <col min="4" max="4" width="11.5703125" customWidth="1"/>
    <col min="5" max="5" width="15.85546875" customWidth="1"/>
    <col min="6" max="6" width="9.85546875" customWidth="1"/>
    <col min="7" max="7" width="20.5703125" customWidth="1"/>
    <col min="8" max="8" width="4.42578125" customWidth="1"/>
    <col min="9" max="9" width="4.140625" customWidth="1"/>
    <col min="10" max="10" width="4.42578125" customWidth="1"/>
    <col min="11" max="11" width="6.42578125" customWidth="1"/>
    <col min="12" max="13" width="4.140625" customWidth="1"/>
    <col min="14" max="14" width="4" customWidth="1"/>
    <col min="15" max="15" width="5.85546875" customWidth="1"/>
    <col min="16" max="16" width="6" customWidth="1"/>
    <col min="17" max="17" width="5.28515625" customWidth="1"/>
    <col min="18" max="19" width="8.5703125" customWidth="1"/>
    <col min="20" max="20" width="8.7109375" customWidth="1"/>
    <col min="21" max="21" width="6.28515625" customWidth="1"/>
    <col min="22" max="22" width="11.5703125" customWidth="1"/>
    <col min="23" max="23" width="11" customWidth="1"/>
    <col min="24" max="24" width="26.5703125" customWidth="1"/>
    <col min="25" max="25" width="28.28515625" customWidth="1"/>
    <col min="26" max="26" width="27.5703125" customWidth="1"/>
    <col min="27" max="27" width="9.140625" customWidth="1"/>
    <col min="28" max="28" width="20.42578125" customWidth="1"/>
    <col min="29" max="29" width="12.7109375" customWidth="1"/>
    <col min="30" max="30" width="19.42578125" customWidth="1"/>
    <col min="31" max="31" width="15.85546875" customWidth="1"/>
    <col min="32" max="32" width="21.7109375" customWidth="1"/>
    <col min="33" max="33" width="16.140625" customWidth="1"/>
    <col min="34" max="34" width="27.5703125" customWidth="1"/>
    <col min="35" max="35" width="24.140625" customWidth="1"/>
    <col min="36" max="36" width="20" customWidth="1"/>
    <col min="37" max="37" width="21" customWidth="1"/>
    <col min="38" max="38" width="18.140625" customWidth="1"/>
    <col min="39" max="39" width="12.7109375" customWidth="1"/>
    <col min="40" max="40" width="9" customWidth="1"/>
    <col min="41" max="41" width="16.28515625" customWidth="1"/>
    <col min="42" max="42" width="7" customWidth="1"/>
    <col min="43" max="43" width="12.85546875" customWidth="1"/>
    <col min="44" max="44" width="16" customWidth="1"/>
    <col min="45" max="45" width="22.85546875" customWidth="1"/>
    <col min="46" max="46" width="6.5703125" customWidth="1"/>
    <col min="47" max="47" width="38.5703125" customWidth="1"/>
    <col min="48" max="48" width="35.28515625" customWidth="1"/>
    <col min="49" max="49" width="30" customWidth="1"/>
    <col min="50" max="50" width="22.5703125" customWidth="1"/>
    <col min="51" max="51" width="26.140625" customWidth="1"/>
    <col min="52" max="52" width="21.85546875" customWidth="1"/>
    <col min="53" max="53" width="31.42578125" customWidth="1"/>
    <col min="54" max="54" width="27.42578125" customWidth="1"/>
    <col min="55" max="55" width="41.85546875" customWidth="1"/>
  </cols>
  <sheetData>
    <row r="1" spans="1:59" ht="23.25">
      <c r="A1" s="509" t="s">
        <v>0</v>
      </c>
      <c r="B1" s="510"/>
      <c r="C1" s="510"/>
      <c r="D1" s="510"/>
      <c r="E1" s="510"/>
      <c r="F1" s="510"/>
      <c r="G1" s="316" t="s">
        <v>1</v>
      </c>
      <c r="H1" s="505" t="s">
        <v>2</v>
      </c>
      <c r="I1" s="525"/>
      <c r="J1" s="526"/>
      <c r="K1" s="150" t="s">
        <v>3</v>
      </c>
      <c r="L1" s="507" t="s">
        <v>4</v>
      </c>
      <c r="M1" s="525"/>
      <c r="N1" s="526"/>
      <c r="O1" s="505" t="s">
        <v>5</v>
      </c>
      <c r="P1" s="525"/>
      <c r="Q1" s="525"/>
      <c r="R1" s="525"/>
      <c r="S1" s="525"/>
      <c r="T1" s="525"/>
      <c r="U1" s="525"/>
      <c r="V1" s="525"/>
      <c r="W1" s="526"/>
      <c r="X1" s="505" t="s">
        <v>6</v>
      </c>
      <c r="Y1" s="525"/>
      <c r="Z1" s="526"/>
      <c r="AA1" s="508" t="s">
        <v>7</v>
      </c>
      <c r="AB1" s="525"/>
      <c r="AC1" s="525"/>
      <c r="AD1" s="525"/>
      <c r="AE1" s="525"/>
      <c r="AF1" s="525"/>
      <c r="AG1" s="525"/>
      <c r="AH1" s="525"/>
      <c r="AI1" s="525"/>
      <c r="AJ1" s="525"/>
      <c r="AK1" s="525"/>
      <c r="AL1" s="525"/>
      <c r="AM1" s="525"/>
      <c r="AN1" s="525"/>
      <c r="AO1" s="525"/>
      <c r="AP1" s="526"/>
      <c r="AQ1" s="507" t="s">
        <v>8</v>
      </c>
      <c r="AR1" s="525"/>
      <c r="AS1" s="525"/>
      <c r="AT1" s="526"/>
      <c r="AU1" s="507" t="s">
        <v>9</v>
      </c>
      <c r="AV1" s="525"/>
      <c r="AW1" s="526"/>
      <c r="AX1" s="505" t="s">
        <v>10</v>
      </c>
      <c r="AY1" s="525"/>
      <c r="AZ1" s="526"/>
      <c r="BA1" s="505" t="s">
        <v>11</v>
      </c>
      <c r="BB1" s="525"/>
      <c r="BC1" s="526"/>
      <c r="BD1" s="505" t="s">
        <v>12</v>
      </c>
      <c r="BE1" s="506"/>
      <c r="BF1" s="506"/>
      <c r="BG1" s="506"/>
    </row>
    <row r="2" spans="1:59" ht="12.75">
      <c r="A2" s="151" t="s">
        <v>13</v>
      </c>
      <c r="B2" s="151" t="s">
        <v>14</v>
      </c>
      <c r="C2" s="151" t="s">
        <v>15</v>
      </c>
      <c r="D2" s="84" t="s">
        <v>16</v>
      </c>
      <c r="E2" s="84" t="s">
        <v>17</v>
      </c>
      <c r="F2" s="84" t="s">
        <v>18</v>
      </c>
      <c r="G2" s="85" t="s">
        <v>19</v>
      </c>
      <c r="H2" s="151" t="s">
        <v>20</v>
      </c>
      <c r="I2" s="151" t="s">
        <v>21</v>
      </c>
      <c r="J2" s="151" t="s">
        <v>22</v>
      </c>
      <c r="K2" s="152" t="s">
        <v>3</v>
      </c>
      <c r="L2" s="84" t="s">
        <v>23</v>
      </c>
      <c r="M2" s="84" t="s">
        <v>24</v>
      </c>
      <c r="N2" s="84" t="s">
        <v>25</v>
      </c>
      <c r="O2" s="153" t="s">
        <v>26</v>
      </c>
      <c r="P2" s="153" t="s">
        <v>27</v>
      </c>
      <c r="Q2" s="153" t="s">
        <v>28</v>
      </c>
      <c r="R2" s="153" t="s">
        <v>29</v>
      </c>
      <c r="S2" s="153" t="s">
        <v>30</v>
      </c>
      <c r="T2" s="153" t="s">
        <v>31</v>
      </c>
      <c r="U2" s="153" t="s">
        <v>32</v>
      </c>
      <c r="V2" s="153" t="s">
        <v>33</v>
      </c>
      <c r="W2" s="153" t="s">
        <v>34</v>
      </c>
      <c r="X2" s="84" t="s">
        <v>35</v>
      </c>
      <c r="Y2" s="84" t="s">
        <v>36</v>
      </c>
      <c r="Z2" s="84" t="s">
        <v>37</v>
      </c>
      <c r="AA2" s="154" t="s">
        <v>38</v>
      </c>
      <c r="AB2" s="84" t="s">
        <v>39</v>
      </c>
      <c r="AC2" s="155" t="s">
        <v>40</v>
      </c>
      <c r="AD2" s="84" t="s">
        <v>41</v>
      </c>
      <c r="AE2" s="84" t="s">
        <v>42</v>
      </c>
      <c r="AF2" s="84" t="s">
        <v>43</v>
      </c>
      <c r="AG2" s="155" t="s">
        <v>44</v>
      </c>
      <c r="AH2" s="156" t="s">
        <v>45</v>
      </c>
      <c r="AI2" s="156" t="s">
        <v>46</v>
      </c>
      <c r="AJ2" s="156" t="s">
        <v>47</v>
      </c>
      <c r="AK2" s="84" t="s">
        <v>48</v>
      </c>
      <c r="AL2" s="84" t="s">
        <v>49</v>
      </c>
      <c r="AM2" s="84" t="s">
        <v>50</v>
      </c>
      <c r="AN2" s="84" t="s">
        <v>51</v>
      </c>
      <c r="AO2" s="151" t="s">
        <v>52</v>
      </c>
      <c r="AP2" s="86" t="s">
        <v>53</v>
      </c>
      <c r="AQ2" s="84" t="s">
        <v>54</v>
      </c>
      <c r="AR2" s="84" t="s">
        <v>55</v>
      </c>
      <c r="AS2" s="157" t="s">
        <v>56</v>
      </c>
      <c r="AT2" s="85" t="s">
        <v>57</v>
      </c>
      <c r="AU2" s="84" t="s">
        <v>58</v>
      </c>
      <c r="AV2" s="84" t="s">
        <v>59</v>
      </c>
      <c r="AW2" s="84" t="s">
        <v>60</v>
      </c>
      <c r="AX2" s="84" t="s">
        <v>61</v>
      </c>
      <c r="AY2" s="84" t="s">
        <v>62</v>
      </c>
      <c r="AZ2" s="84" t="s">
        <v>63</v>
      </c>
      <c r="BA2" s="84" t="s">
        <v>64</v>
      </c>
      <c r="BB2" s="84" t="s">
        <v>65</v>
      </c>
      <c r="BC2" s="84" t="s">
        <v>66</v>
      </c>
      <c r="BD2" s="402" t="s">
        <v>67</v>
      </c>
      <c r="BE2" s="403" t="s">
        <v>68</v>
      </c>
      <c r="BF2" s="403" t="s">
        <v>69</v>
      </c>
      <c r="BG2" s="403" t="s">
        <v>70</v>
      </c>
    </row>
    <row r="3" spans="1:59" ht="18" customHeight="1">
      <c r="A3" s="158" t="s">
        <v>71</v>
      </c>
      <c r="B3" s="158"/>
      <c r="C3" s="159"/>
      <c r="D3" s="159"/>
      <c r="E3" s="160"/>
      <c r="F3" s="161"/>
      <c r="G3" s="162"/>
      <c r="H3" s="159"/>
      <c r="I3" s="159"/>
      <c r="J3" s="159"/>
      <c r="K3" s="162"/>
      <c r="L3" s="159"/>
      <c r="M3" s="159"/>
      <c r="N3" s="159"/>
      <c r="O3" s="162"/>
      <c r="P3" s="162"/>
      <c r="Q3" s="162"/>
      <c r="R3" s="162"/>
      <c r="S3" s="162"/>
      <c r="T3" s="162"/>
      <c r="U3" s="162"/>
      <c r="V3" s="162"/>
      <c r="W3" s="162"/>
      <c r="X3" s="159"/>
      <c r="Y3" s="159"/>
      <c r="Z3" s="159"/>
      <c r="AA3" s="163"/>
      <c r="AB3" s="159"/>
      <c r="AC3" s="342"/>
      <c r="AD3" s="159"/>
      <c r="AE3" s="159"/>
      <c r="AF3" s="159"/>
      <c r="AG3" s="159"/>
      <c r="AH3" s="159"/>
      <c r="AI3" s="164"/>
      <c r="AJ3" s="162"/>
      <c r="AK3" s="159"/>
      <c r="AL3" s="159"/>
      <c r="AM3" s="159"/>
      <c r="AN3" s="342"/>
      <c r="AO3" s="159"/>
      <c r="AP3" s="163"/>
      <c r="AQ3" s="159"/>
      <c r="AR3" s="165"/>
      <c r="AS3" s="166"/>
      <c r="AT3" s="167"/>
      <c r="AU3" s="428"/>
      <c r="AV3" s="428"/>
      <c r="AW3" s="428"/>
      <c r="AX3" s="428"/>
      <c r="AY3" s="428"/>
      <c r="AZ3" s="428"/>
      <c r="BA3" s="428"/>
      <c r="BB3" s="428"/>
      <c r="BC3" s="428"/>
      <c r="BD3" s="401"/>
      <c r="BE3" s="406"/>
      <c r="BF3" s="401"/>
      <c r="BG3" s="401"/>
    </row>
    <row r="4" spans="1:59" ht="18" customHeight="1">
      <c r="A4" s="168" t="s">
        <v>72</v>
      </c>
      <c r="B4" s="168">
        <v>44840</v>
      </c>
      <c r="C4" s="169" t="s">
        <v>73</v>
      </c>
      <c r="D4" s="169" t="s">
        <v>74</v>
      </c>
      <c r="E4" s="170"/>
      <c r="F4" s="171"/>
      <c r="G4" s="172" t="s">
        <v>75</v>
      </c>
      <c r="H4" s="169"/>
      <c r="I4" s="169"/>
      <c r="J4" s="169"/>
      <c r="K4" s="172"/>
      <c r="L4" s="169">
        <v>1</v>
      </c>
      <c r="M4" s="169"/>
      <c r="N4" s="169"/>
      <c r="O4" s="172" t="s">
        <v>76</v>
      </c>
      <c r="P4" s="172" t="s">
        <v>77</v>
      </c>
      <c r="Q4" s="172" t="s">
        <v>78</v>
      </c>
      <c r="R4" s="172">
        <v>1</v>
      </c>
      <c r="S4" s="172">
        <v>1</v>
      </c>
      <c r="T4" s="172">
        <v>1</v>
      </c>
      <c r="U4" s="173" t="s">
        <v>78</v>
      </c>
      <c r="V4" s="174">
        <f t="shared" ref="V4:V9" si="0">IF(ISBLANK(O4),,(IF(O4=UPPER("IB"),0.005,0.01)))</f>
        <v>0.01</v>
      </c>
      <c r="W4" s="174">
        <f t="shared" ref="W4:W7" si="1">IF(ISBLANK(O4),,IF(O4=UPPER("IB"),8.63*200,15.5*100))</f>
        <v>1550</v>
      </c>
      <c r="X4" s="175" t="s">
        <v>79</v>
      </c>
      <c r="Y4" s="175"/>
      <c r="Z4" s="175" t="s">
        <v>80</v>
      </c>
      <c r="AA4" s="176">
        <v>0.02</v>
      </c>
      <c r="AB4" s="169" t="s">
        <v>81</v>
      </c>
      <c r="AC4" s="343">
        <v>0.04</v>
      </c>
      <c r="AD4" s="169" t="s">
        <v>82</v>
      </c>
      <c r="AE4" s="169">
        <v>0.01</v>
      </c>
      <c r="AF4" s="169"/>
      <c r="AG4" s="169" t="s">
        <v>83</v>
      </c>
      <c r="AH4" s="169" t="s">
        <v>84</v>
      </c>
      <c r="AI4" s="177">
        <f>-0.02*W4</f>
        <v>-31</v>
      </c>
      <c r="AJ4" s="177">
        <f t="shared" ref="AJ4:AJ8" si="2">AI4*R4</f>
        <v>-31</v>
      </c>
      <c r="AK4" s="169" t="s">
        <v>85</v>
      </c>
      <c r="AL4" s="169"/>
      <c r="AM4" s="169" t="s">
        <v>86</v>
      </c>
      <c r="AN4" s="343" t="s">
        <v>87</v>
      </c>
      <c r="AO4" s="169" t="s">
        <v>88</v>
      </c>
      <c r="AP4" s="178">
        <v>0.01</v>
      </c>
      <c r="AQ4" s="178">
        <f t="shared" ref="AQ4:AQ19" si="3">IF(ISBLANK(AP4),,IF(U4="S",AA4-AP4,AP4-AA4))</f>
        <v>0.01</v>
      </c>
      <c r="AR4" s="177">
        <f>AS4*R4</f>
        <v>15.5</v>
      </c>
      <c r="AS4" s="179">
        <f t="shared" ref="AS4:AS19" si="4">IF(ISBLANK(AP4),,(AQ4*W4))</f>
        <v>15.5</v>
      </c>
      <c r="AT4" s="180" t="s">
        <v>77</v>
      </c>
      <c r="AU4" s="429" t="s">
        <v>89</v>
      </c>
      <c r="AV4" s="429" t="s">
        <v>90</v>
      </c>
      <c r="AW4" s="429" t="s">
        <v>91</v>
      </c>
      <c r="AX4" s="429"/>
      <c r="AY4" s="429"/>
      <c r="AZ4" s="429"/>
      <c r="BA4" s="429"/>
      <c r="BB4" s="429"/>
      <c r="BC4" s="439"/>
      <c r="BD4" s="404">
        <f>SUM($AS$4:AS4)</f>
        <v>15.5</v>
      </c>
      <c r="BE4" s="405">
        <f>SUM($AR$4:AR4)</f>
        <v>15.5</v>
      </c>
      <c r="BF4" s="330">
        <f>AVERAGE($T$4:T4)</f>
        <v>1</v>
      </c>
      <c r="BG4" s="330"/>
    </row>
    <row r="5" spans="1:59" ht="18" customHeight="1">
      <c r="A5" s="182" t="s">
        <v>72</v>
      </c>
      <c r="B5" s="181">
        <v>44841</v>
      </c>
      <c r="C5" s="182" t="s">
        <v>92</v>
      </c>
      <c r="D5" s="182" t="s">
        <v>93</v>
      </c>
      <c r="E5" s="183"/>
      <c r="F5" s="184"/>
      <c r="G5" s="185" t="s">
        <v>75</v>
      </c>
      <c r="H5" s="186"/>
      <c r="I5" s="186"/>
      <c r="J5" s="186"/>
      <c r="K5" s="187"/>
      <c r="L5" s="186">
        <v>1</v>
      </c>
      <c r="M5" s="186"/>
      <c r="N5" s="186"/>
      <c r="O5" s="187" t="s">
        <v>76</v>
      </c>
      <c r="P5" s="187" t="s">
        <v>77</v>
      </c>
      <c r="Q5" s="187" t="s">
        <v>78</v>
      </c>
      <c r="R5" s="187">
        <v>1</v>
      </c>
      <c r="S5" s="187">
        <v>1</v>
      </c>
      <c r="T5" s="187">
        <v>1</v>
      </c>
      <c r="U5" s="187" t="s">
        <v>22</v>
      </c>
      <c r="V5" s="188">
        <f t="shared" si="0"/>
        <v>0.01</v>
      </c>
      <c r="W5" s="188">
        <f t="shared" si="1"/>
        <v>1550</v>
      </c>
      <c r="X5" s="189" t="s">
        <v>94</v>
      </c>
      <c r="Y5" s="189"/>
      <c r="Z5" s="189" t="s">
        <v>80</v>
      </c>
      <c r="AA5" s="190">
        <v>0</v>
      </c>
      <c r="AB5" s="186" t="s">
        <v>81</v>
      </c>
      <c r="AC5" s="344">
        <v>-0.03</v>
      </c>
      <c r="AD5" s="186"/>
      <c r="AE5" s="186">
        <v>0.01</v>
      </c>
      <c r="AF5" s="186"/>
      <c r="AG5" s="186" t="s">
        <v>95</v>
      </c>
      <c r="AH5" s="186" t="s">
        <v>84</v>
      </c>
      <c r="AI5" s="191">
        <f t="shared" ref="AI5:AI6" si="5">-0.03*W5</f>
        <v>-46.5</v>
      </c>
      <c r="AJ5" s="191">
        <f t="shared" si="2"/>
        <v>-46.5</v>
      </c>
      <c r="AK5" s="186" t="s">
        <v>85</v>
      </c>
      <c r="AL5" s="186"/>
      <c r="AM5" s="186" t="s">
        <v>96</v>
      </c>
      <c r="AN5" s="344" t="s">
        <v>97</v>
      </c>
      <c r="AO5" s="192">
        <v>44844.184027777781</v>
      </c>
      <c r="AP5" s="193">
        <v>0</v>
      </c>
      <c r="AQ5" s="193">
        <f t="shared" si="3"/>
        <v>0</v>
      </c>
      <c r="AR5" s="191">
        <f>AS5*R5</f>
        <v>0</v>
      </c>
      <c r="AS5" s="194">
        <f t="shared" si="4"/>
        <v>0</v>
      </c>
      <c r="AT5" s="195" t="s">
        <v>97</v>
      </c>
      <c r="AU5" s="425" t="s">
        <v>98</v>
      </c>
      <c r="AV5" s="425" t="s">
        <v>99</v>
      </c>
      <c r="AW5" s="425" t="s">
        <v>100</v>
      </c>
      <c r="AX5" s="425"/>
      <c r="AY5" s="425"/>
      <c r="AZ5" s="425"/>
      <c r="BA5" s="425" t="s">
        <v>101</v>
      </c>
      <c r="BB5" s="425" t="s">
        <v>102</v>
      </c>
      <c r="BC5" s="440" t="s">
        <v>103</v>
      </c>
      <c r="BD5" s="404">
        <f>SUM($AS$4:AS5)</f>
        <v>15.5</v>
      </c>
      <c r="BE5" s="405">
        <f>SUM($AR$4:AR5)</f>
        <v>15.5</v>
      </c>
      <c r="BF5" s="330"/>
      <c r="BG5" s="330"/>
    </row>
    <row r="6" spans="1:59" ht="18" customHeight="1">
      <c r="A6" s="182" t="s">
        <v>72</v>
      </c>
      <c r="B6" s="181">
        <v>44841</v>
      </c>
      <c r="C6" s="182" t="s">
        <v>104</v>
      </c>
      <c r="D6" s="182" t="s">
        <v>93</v>
      </c>
      <c r="E6" s="183"/>
      <c r="F6" s="184"/>
      <c r="G6" s="185" t="s">
        <v>75</v>
      </c>
      <c r="H6" s="186"/>
      <c r="I6" s="186"/>
      <c r="J6" s="186"/>
      <c r="K6" s="187"/>
      <c r="L6" s="186">
        <v>1</v>
      </c>
      <c r="M6" s="186"/>
      <c r="N6" s="186"/>
      <c r="O6" s="187" t="s">
        <v>76</v>
      </c>
      <c r="P6" s="187" t="s">
        <v>77</v>
      </c>
      <c r="Q6" s="187" t="s">
        <v>78</v>
      </c>
      <c r="R6" s="187">
        <v>1</v>
      </c>
      <c r="S6" s="187">
        <v>1</v>
      </c>
      <c r="T6" s="187">
        <v>1</v>
      </c>
      <c r="U6" s="187" t="s">
        <v>22</v>
      </c>
      <c r="V6" s="188">
        <f t="shared" si="0"/>
        <v>0.01</v>
      </c>
      <c r="W6" s="188">
        <f t="shared" si="1"/>
        <v>1550</v>
      </c>
      <c r="X6" s="189" t="s">
        <v>94</v>
      </c>
      <c r="Y6" s="189"/>
      <c r="Z6" s="189" t="s">
        <v>80</v>
      </c>
      <c r="AA6" s="190">
        <v>0</v>
      </c>
      <c r="AB6" s="186" t="s">
        <v>81</v>
      </c>
      <c r="AC6" s="344">
        <v>-0.03</v>
      </c>
      <c r="AD6" s="186"/>
      <c r="AE6" s="186">
        <v>0.01</v>
      </c>
      <c r="AF6" s="186"/>
      <c r="AG6" s="186" t="s">
        <v>105</v>
      </c>
      <c r="AH6" s="186" t="s">
        <v>84</v>
      </c>
      <c r="AI6" s="191">
        <f t="shared" si="5"/>
        <v>-46.5</v>
      </c>
      <c r="AJ6" s="191">
        <f t="shared" si="2"/>
        <v>-46.5</v>
      </c>
      <c r="AK6" s="186" t="s">
        <v>85</v>
      </c>
      <c r="AL6" s="186"/>
      <c r="AM6" s="186" t="s">
        <v>106</v>
      </c>
      <c r="AN6" s="344" t="s">
        <v>97</v>
      </c>
      <c r="AO6" s="196">
        <v>44844</v>
      </c>
      <c r="AP6" s="193">
        <v>0</v>
      </c>
      <c r="AQ6" s="193">
        <f t="shared" si="3"/>
        <v>0</v>
      </c>
      <c r="AR6" s="191">
        <f>AS6*R6</f>
        <v>0</v>
      </c>
      <c r="AS6" s="194">
        <f t="shared" si="4"/>
        <v>0</v>
      </c>
      <c r="AT6" s="195" t="s">
        <v>97</v>
      </c>
      <c r="AU6" s="425" t="s">
        <v>107</v>
      </c>
      <c r="AV6" s="425" t="s">
        <v>108</v>
      </c>
      <c r="AW6" s="425" t="s">
        <v>109</v>
      </c>
      <c r="AX6" s="425"/>
      <c r="AY6" s="425"/>
      <c r="AZ6" s="425"/>
      <c r="BA6" s="425" t="s">
        <v>110</v>
      </c>
      <c r="BB6" s="425" t="s">
        <v>111</v>
      </c>
      <c r="BC6" s="440" t="s">
        <v>112</v>
      </c>
      <c r="BD6" s="404">
        <f>SUM($AS$4:AS6)</f>
        <v>15.5</v>
      </c>
      <c r="BE6" s="405">
        <f>SUM($AR$4:AR6)</f>
        <v>15.5</v>
      </c>
      <c r="BF6" s="330"/>
      <c r="BG6" s="330"/>
    </row>
    <row r="7" spans="1:59" ht="18" customHeight="1">
      <c r="A7" s="182" t="s">
        <v>72</v>
      </c>
      <c r="B7" s="181">
        <v>44844</v>
      </c>
      <c r="C7" s="182" t="s">
        <v>113</v>
      </c>
      <c r="D7" s="182" t="s">
        <v>114</v>
      </c>
      <c r="E7" s="197"/>
      <c r="F7" s="184"/>
      <c r="G7" s="185" t="s">
        <v>115</v>
      </c>
      <c r="H7" s="186"/>
      <c r="I7" s="186"/>
      <c r="J7" s="186"/>
      <c r="K7" s="187"/>
      <c r="L7" s="186"/>
      <c r="M7" s="186"/>
      <c r="N7" s="186"/>
      <c r="O7" s="187" t="s">
        <v>76</v>
      </c>
      <c r="P7" s="187" t="s">
        <v>77</v>
      </c>
      <c r="Q7" s="187" t="s">
        <v>78</v>
      </c>
      <c r="R7" s="187">
        <v>1</v>
      </c>
      <c r="S7" s="187">
        <v>1</v>
      </c>
      <c r="T7" s="187">
        <v>1</v>
      </c>
      <c r="U7" s="187" t="s">
        <v>78</v>
      </c>
      <c r="V7" s="188">
        <f t="shared" si="0"/>
        <v>0.01</v>
      </c>
      <c r="W7" s="188">
        <f t="shared" si="1"/>
        <v>1550</v>
      </c>
      <c r="X7" s="189"/>
      <c r="Y7" s="189"/>
      <c r="Z7" s="189"/>
      <c r="AA7" s="190">
        <v>0</v>
      </c>
      <c r="AB7" s="186" t="s">
        <v>116</v>
      </c>
      <c r="AC7" s="344"/>
      <c r="AD7" s="186"/>
      <c r="AE7" s="186"/>
      <c r="AF7" s="186"/>
      <c r="AG7" s="186"/>
      <c r="AH7" s="186"/>
      <c r="AI7" s="191"/>
      <c r="AJ7" s="191">
        <f t="shared" si="2"/>
        <v>0</v>
      </c>
      <c r="AK7" s="186"/>
      <c r="AL7" s="186"/>
      <c r="AM7" s="186"/>
      <c r="AN7" s="344"/>
      <c r="AO7" s="196">
        <v>44844</v>
      </c>
      <c r="AP7" s="193">
        <v>0</v>
      </c>
      <c r="AQ7" s="193">
        <f t="shared" si="3"/>
        <v>0</v>
      </c>
      <c r="AR7" s="191">
        <f>AS7*R7</f>
        <v>0</v>
      </c>
      <c r="AS7" s="194">
        <f t="shared" si="4"/>
        <v>0</v>
      </c>
      <c r="AT7" s="195" t="s">
        <v>97</v>
      </c>
      <c r="AU7" s="425" t="s">
        <v>117</v>
      </c>
      <c r="AV7" s="425"/>
      <c r="AW7" s="425"/>
      <c r="AX7" s="425"/>
      <c r="AY7" s="425"/>
      <c r="AZ7" s="425"/>
      <c r="BA7" s="425"/>
      <c r="BB7" s="425"/>
      <c r="BC7" s="440"/>
      <c r="BD7" s="404">
        <f>SUM($AS$4:AS7)</f>
        <v>15.5</v>
      </c>
      <c r="BE7" s="405">
        <f>SUM($AR$4:AR7)</f>
        <v>15.5</v>
      </c>
      <c r="BF7" s="330"/>
      <c r="BG7" s="330"/>
    </row>
    <row r="8" spans="1:59" ht="18" customHeight="1">
      <c r="A8" s="182" t="s">
        <v>72</v>
      </c>
      <c r="B8" s="181">
        <v>44844</v>
      </c>
      <c r="C8" s="198">
        <v>0.83333333333333337</v>
      </c>
      <c r="D8" s="182" t="s">
        <v>114</v>
      </c>
      <c r="E8" s="183"/>
      <c r="F8" s="184"/>
      <c r="G8" s="185" t="s">
        <v>118</v>
      </c>
      <c r="H8" s="186"/>
      <c r="I8" s="186"/>
      <c r="J8" s="186"/>
      <c r="K8" s="187"/>
      <c r="L8" s="186">
        <v>1</v>
      </c>
      <c r="M8" s="186"/>
      <c r="N8" s="186"/>
      <c r="O8" s="187" t="s">
        <v>76</v>
      </c>
      <c r="P8" s="187" t="s">
        <v>119</v>
      </c>
      <c r="Q8" s="187" t="s">
        <v>78</v>
      </c>
      <c r="R8" s="187">
        <v>1</v>
      </c>
      <c r="S8" s="187">
        <v>1</v>
      </c>
      <c r="T8" s="187">
        <v>1</v>
      </c>
      <c r="U8" s="187" t="s">
        <v>78</v>
      </c>
      <c r="V8" s="188">
        <f t="shared" si="0"/>
        <v>0.01</v>
      </c>
      <c r="W8" s="188">
        <f>IF(ISBLANK(O8),,IF(O8=UPPER("IB"),8.63*200,15.4*100))</f>
        <v>1540</v>
      </c>
      <c r="X8" s="189" t="s">
        <v>120</v>
      </c>
      <c r="Y8" s="189"/>
      <c r="Z8" s="189" t="s">
        <v>80</v>
      </c>
      <c r="AA8" s="190">
        <v>-0.02</v>
      </c>
      <c r="AB8" s="186"/>
      <c r="AC8" s="344"/>
      <c r="AD8" s="186"/>
      <c r="AE8" s="186">
        <v>-0.03</v>
      </c>
      <c r="AF8" s="186"/>
      <c r="AG8" s="186" t="s">
        <v>121</v>
      </c>
      <c r="AH8" s="186"/>
      <c r="AI8" s="191">
        <f>-0.03*W8</f>
        <v>-46.199999999999996</v>
      </c>
      <c r="AJ8" s="191">
        <f t="shared" si="2"/>
        <v>-46.199999999999996</v>
      </c>
      <c r="AK8" s="186"/>
      <c r="AL8" s="186"/>
      <c r="AM8" s="186" t="s">
        <v>122</v>
      </c>
      <c r="AN8" s="344" t="s">
        <v>87</v>
      </c>
      <c r="AO8" s="186" t="s">
        <v>123</v>
      </c>
      <c r="AP8" s="193">
        <v>-0.03</v>
      </c>
      <c r="AQ8" s="193">
        <f t="shared" si="3"/>
        <v>9.9999999999999985E-3</v>
      </c>
      <c r="AR8" s="191">
        <f>AS8*R8</f>
        <v>15.399999999999997</v>
      </c>
      <c r="AS8" s="194">
        <f t="shared" si="4"/>
        <v>15.399999999999997</v>
      </c>
      <c r="AT8" s="195" t="s">
        <v>77</v>
      </c>
      <c r="AU8" s="425" t="s">
        <v>124</v>
      </c>
      <c r="AV8" s="425" t="s">
        <v>125</v>
      </c>
      <c r="AW8" s="425" t="s">
        <v>126</v>
      </c>
      <c r="AX8" s="425"/>
      <c r="AY8" s="425"/>
      <c r="AZ8" s="425"/>
      <c r="BA8" s="425" t="s">
        <v>127</v>
      </c>
      <c r="BB8" s="425"/>
      <c r="BC8" s="440"/>
      <c r="BD8" s="404">
        <f>SUM($AS$4:AS8)</f>
        <v>30.9</v>
      </c>
      <c r="BE8" s="405">
        <f>SUM($AR$4:AR8)</f>
        <v>30.9</v>
      </c>
      <c r="BF8" s="330"/>
      <c r="BG8" s="330"/>
    </row>
    <row r="9" spans="1:59" ht="18" customHeight="1">
      <c r="A9" s="182" t="s">
        <v>72</v>
      </c>
      <c r="B9" s="181">
        <v>44845</v>
      </c>
      <c r="C9" s="182"/>
      <c r="D9" s="182" t="s">
        <v>128</v>
      </c>
      <c r="E9" s="183" t="s">
        <v>129</v>
      </c>
      <c r="F9" s="184" t="s">
        <v>130</v>
      </c>
      <c r="G9" s="185"/>
      <c r="H9" s="186"/>
      <c r="I9" s="186"/>
      <c r="J9" s="186">
        <v>1</v>
      </c>
      <c r="K9" s="187"/>
      <c r="L9" s="186"/>
      <c r="M9" s="186"/>
      <c r="N9" s="186"/>
      <c r="O9" s="187"/>
      <c r="P9" s="187"/>
      <c r="Q9" s="187"/>
      <c r="R9" s="187"/>
      <c r="S9" s="187"/>
      <c r="T9" s="187"/>
      <c r="U9" s="187"/>
      <c r="V9" s="187">
        <f t="shared" si="0"/>
        <v>0</v>
      </c>
      <c r="W9" s="187">
        <f>IF(ISBLANK(O9),,IF(O9=UPPER("IB"),8.63*200,16.65*100))</f>
        <v>0</v>
      </c>
      <c r="X9" s="189"/>
      <c r="Y9" s="189"/>
      <c r="Z9" s="189"/>
      <c r="AA9" s="190"/>
      <c r="AB9" s="186"/>
      <c r="AC9" s="344"/>
      <c r="AD9" s="186"/>
      <c r="AE9" s="186"/>
      <c r="AF9" s="186"/>
      <c r="AG9" s="186"/>
      <c r="AH9" s="186"/>
      <c r="AI9" s="191"/>
      <c r="AJ9" s="187"/>
      <c r="AK9" s="186"/>
      <c r="AL9" s="186"/>
      <c r="AM9" s="186"/>
      <c r="AN9" s="344"/>
      <c r="AO9" s="186"/>
      <c r="AP9" s="193"/>
      <c r="AQ9" s="186"/>
      <c r="AR9" s="191"/>
      <c r="AS9" s="194"/>
      <c r="AT9" s="195"/>
      <c r="AU9" s="427"/>
      <c r="AV9" s="427" t="s">
        <v>131</v>
      </c>
      <c r="AW9" s="425" t="s">
        <v>132</v>
      </c>
      <c r="AX9" s="427"/>
      <c r="AY9" s="427"/>
      <c r="AZ9" s="427"/>
      <c r="BA9" s="427" t="s">
        <v>131</v>
      </c>
      <c r="BB9" s="425" t="s">
        <v>132</v>
      </c>
      <c r="BC9" s="440"/>
      <c r="BD9" s="404">
        <f>SUM($AS$4:AS9)</f>
        <v>30.9</v>
      </c>
      <c r="BE9" s="405">
        <f>SUM($AR$4:AR9)</f>
        <v>30.9</v>
      </c>
      <c r="BF9" s="330"/>
      <c r="BG9" s="330"/>
    </row>
    <row r="10" spans="1:59" ht="18" customHeight="1">
      <c r="A10" s="182" t="s">
        <v>72</v>
      </c>
      <c r="B10" s="181">
        <v>44846</v>
      </c>
      <c r="C10" s="182"/>
      <c r="D10" s="182" t="s">
        <v>133</v>
      </c>
      <c r="E10" s="183" t="s">
        <v>134</v>
      </c>
      <c r="F10" s="184" t="s">
        <v>135</v>
      </c>
      <c r="G10" s="185"/>
      <c r="H10" s="186">
        <v>1</v>
      </c>
      <c r="I10" s="186"/>
      <c r="J10" s="186"/>
      <c r="K10" s="187"/>
      <c r="L10" s="186"/>
      <c r="M10" s="186"/>
      <c r="N10" s="186"/>
      <c r="O10" s="187"/>
      <c r="P10" s="187"/>
      <c r="Q10" s="187"/>
      <c r="R10" s="187"/>
      <c r="S10" s="187"/>
      <c r="T10" s="187"/>
      <c r="U10" s="187"/>
      <c r="V10" s="188"/>
      <c r="W10" s="188"/>
      <c r="X10" s="189"/>
      <c r="Y10" s="189"/>
      <c r="Z10" s="189"/>
      <c r="AA10" s="190"/>
      <c r="AB10" s="186"/>
      <c r="AC10" s="344"/>
      <c r="AD10" s="186"/>
      <c r="AE10" s="186"/>
      <c r="AF10" s="186"/>
      <c r="AG10" s="186"/>
      <c r="AH10" s="186"/>
      <c r="AI10" s="191"/>
      <c r="AJ10" s="187"/>
      <c r="AK10" s="186"/>
      <c r="AL10" s="186"/>
      <c r="AM10" s="186"/>
      <c r="AN10" s="344"/>
      <c r="AO10" s="186"/>
      <c r="AP10" s="193"/>
      <c r="AQ10" s="186"/>
      <c r="AR10" s="191"/>
      <c r="AS10" s="194"/>
      <c r="AT10" s="195"/>
      <c r="AU10" s="425"/>
      <c r="AV10" s="425"/>
      <c r="AW10" s="425"/>
      <c r="AX10" s="425"/>
      <c r="AY10" s="425"/>
      <c r="AZ10" s="425"/>
      <c r="BA10" s="425"/>
      <c r="BB10" s="425"/>
      <c r="BC10" s="440"/>
      <c r="BD10" s="404">
        <f>SUM($AS$4:AS10)</f>
        <v>30.9</v>
      </c>
      <c r="BE10" s="405">
        <f>SUM($AR$4:AR10)</f>
        <v>30.9</v>
      </c>
      <c r="BF10" s="330"/>
      <c r="BG10" s="330"/>
    </row>
    <row r="11" spans="1:59" ht="18" customHeight="1">
      <c r="A11" s="182" t="s">
        <v>72</v>
      </c>
      <c r="B11" s="181">
        <v>44847</v>
      </c>
      <c r="C11" s="182" t="s">
        <v>136</v>
      </c>
      <c r="D11" s="182" t="s">
        <v>74</v>
      </c>
      <c r="E11" s="183"/>
      <c r="F11" s="184"/>
      <c r="G11" s="185" t="s">
        <v>118</v>
      </c>
      <c r="H11" s="186"/>
      <c r="I11" s="186"/>
      <c r="J11" s="186"/>
      <c r="K11" s="187"/>
      <c r="L11" s="186">
        <v>1</v>
      </c>
      <c r="M11" s="186"/>
      <c r="N11" s="186"/>
      <c r="O11" s="187" t="s">
        <v>76</v>
      </c>
      <c r="P11" s="187" t="s">
        <v>119</v>
      </c>
      <c r="Q11" s="187" t="s">
        <v>78</v>
      </c>
      <c r="R11" s="187">
        <v>1</v>
      </c>
      <c r="S11" s="187">
        <v>1</v>
      </c>
      <c r="T11" s="187">
        <v>1</v>
      </c>
      <c r="U11" s="187" t="s">
        <v>78</v>
      </c>
      <c r="V11" s="188">
        <f t="shared" ref="V11:V19" si="6">IF(ISBLANK(O11),,(IF(O11=UPPER("IB"),0.005,0.01)))</f>
        <v>0.01</v>
      </c>
      <c r="W11" s="188">
        <f t="shared" ref="W11:W13" si="7">IF(ISBLANK(O11),,IF(O11=UPPER("IB"),8.63*200,15.14*100))</f>
        <v>1514</v>
      </c>
      <c r="X11" s="189" t="s">
        <v>120</v>
      </c>
      <c r="Y11" s="189"/>
      <c r="Z11" s="189" t="s">
        <v>80</v>
      </c>
      <c r="AA11" s="190">
        <v>-0.02</v>
      </c>
      <c r="AB11" s="186" t="s">
        <v>137</v>
      </c>
      <c r="AC11" s="344"/>
      <c r="AD11" s="186"/>
      <c r="AE11" s="186">
        <v>-0.03</v>
      </c>
      <c r="AF11" s="186"/>
      <c r="AG11" s="186" t="s">
        <v>138</v>
      </c>
      <c r="AH11" s="186"/>
      <c r="AI11" s="191">
        <f>-0.03*W11</f>
        <v>-45.42</v>
      </c>
      <c r="AJ11" s="191">
        <f t="shared" ref="AJ11:AJ17" si="8">AI11*R11</f>
        <v>-45.42</v>
      </c>
      <c r="AK11" s="186" t="s">
        <v>139</v>
      </c>
      <c r="AL11" s="186"/>
      <c r="AM11" s="186" t="s">
        <v>140</v>
      </c>
      <c r="AN11" s="344" t="s">
        <v>97</v>
      </c>
      <c r="AO11" s="186" t="s">
        <v>141</v>
      </c>
      <c r="AP11" s="193">
        <v>-0.03</v>
      </c>
      <c r="AQ11" s="193">
        <f t="shared" si="3"/>
        <v>9.9999999999999985E-3</v>
      </c>
      <c r="AR11" s="191">
        <f>AS11*R11</f>
        <v>15.139999999999997</v>
      </c>
      <c r="AS11" s="194">
        <f t="shared" si="4"/>
        <v>15.139999999999997</v>
      </c>
      <c r="AT11" s="195" t="s">
        <v>77</v>
      </c>
      <c r="AU11" s="425" t="s">
        <v>142</v>
      </c>
      <c r="AV11" s="425" t="s">
        <v>143</v>
      </c>
      <c r="AW11" s="425" t="s">
        <v>144</v>
      </c>
      <c r="AX11" s="425"/>
      <c r="AY11" s="425"/>
      <c r="AZ11" s="425"/>
      <c r="BA11" s="425"/>
      <c r="BB11" s="425"/>
      <c r="BC11" s="440" t="s">
        <v>145</v>
      </c>
      <c r="BD11" s="404">
        <f>SUM($AS$4:AS11)</f>
        <v>46.039999999999992</v>
      </c>
      <c r="BE11" s="405">
        <f>SUM($AR$4:AR11)</f>
        <v>46.039999999999992</v>
      </c>
      <c r="BF11" s="330"/>
      <c r="BG11" s="330"/>
    </row>
    <row r="12" spans="1:59" ht="18" customHeight="1">
      <c r="A12" s="182" t="s">
        <v>72</v>
      </c>
      <c r="B12" s="181">
        <v>44847</v>
      </c>
      <c r="C12" s="198">
        <v>0.75</v>
      </c>
      <c r="D12" s="182" t="s">
        <v>74</v>
      </c>
      <c r="E12" s="183" t="s">
        <v>146</v>
      </c>
      <c r="F12" s="184" t="s">
        <v>147</v>
      </c>
      <c r="G12" s="185"/>
      <c r="H12" s="186">
        <v>1</v>
      </c>
      <c r="I12" s="186"/>
      <c r="J12" s="186"/>
      <c r="K12" s="187"/>
      <c r="L12" s="186"/>
      <c r="M12" s="186"/>
      <c r="N12" s="186"/>
      <c r="O12" s="187"/>
      <c r="P12" s="187"/>
      <c r="Q12" s="187"/>
      <c r="R12" s="187"/>
      <c r="S12" s="187"/>
      <c r="T12" s="187"/>
      <c r="U12" s="187"/>
      <c r="V12" s="188">
        <f t="shared" si="6"/>
        <v>0</v>
      </c>
      <c r="W12" s="188">
        <f t="shared" si="7"/>
        <v>0</v>
      </c>
      <c r="X12" s="189"/>
      <c r="Y12" s="189"/>
      <c r="Z12" s="189"/>
      <c r="AA12" s="190"/>
      <c r="AB12" s="186"/>
      <c r="AC12" s="344"/>
      <c r="AD12" s="186"/>
      <c r="AE12" s="186"/>
      <c r="AF12" s="186"/>
      <c r="AG12" s="186"/>
      <c r="AH12" s="186"/>
      <c r="AI12" s="191"/>
      <c r="AJ12" s="191">
        <f t="shared" si="8"/>
        <v>0</v>
      </c>
      <c r="AK12" s="186"/>
      <c r="AL12" s="186"/>
      <c r="AM12" s="186"/>
      <c r="AN12" s="344"/>
      <c r="AO12" s="186"/>
      <c r="AP12" s="193"/>
      <c r="AQ12" s="186"/>
      <c r="AR12" s="191"/>
      <c r="AS12" s="194"/>
      <c r="AT12" s="195"/>
      <c r="AU12" s="425" t="s">
        <v>148</v>
      </c>
      <c r="AV12" s="425" t="s">
        <v>149</v>
      </c>
      <c r="AW12" s="425"/>
      <c r="AX12" s="425"/>
      <c r="AY12" s="425"/>
      <c r="AZ12" s="425"/>
      <c r="BA12" s="425"/>
      <c r="BB12" s="425"/>
      <c r="BC12" s="440" t="s">
        <v>150</v>
      </c>
      <c r="BD12" s="404">
        <f>SUM($AS$4:AS12)</f>
        <v>46.039999999999992</v>
      </c>
      <c r="BE12" s="405">
        <f>SUM($AR$4:AR12)</f>
        <v>46.039999999999992</v>
      </c>
      <c r="BF12" s="330"/>
      <c r="BG12" s="330"/>
    </row>
    <row r="13" spans="1:59" ht="18" customHeight="1">
      <c r="A13" s="182" t="s">
        <v>72</v>
      </c>
      <c r="B13" s="181"/>
      <c r="C13" s="182"/>
      <c r="D13" s="182"/>
      <c r="E13" s="183" t="s">
        <v>151</v>
      </c>
      <c r="F13" s="184" t="s">
        <v>152</v>
      </c>
      <c r="G13" s="185"/>
      <c r="H13" s="186">
        <v>1</v>
      </c>
      <c r="I13" s="186"/>
      <c r="J13" s="186"/>
      <c r="K13" s="187"/>
      <c r="L13" s="186"/>
      <c r="M13" s="186"/>
      <c r="N13" s="186"/>
      <c r="O13" s="187"/>
      <c r="P13" s="187"/>
      <c r="Q13" s="187"/>
      <c r="R13" s="187"/>
      <c r="S13" s="187"/>
      <c r="T13" s="187"/>
      <c r="U13" s="187"/>
      <c r="V13" s="188">
        <f t="shared" si="6"/>
        <v>0</v>
      </c>
      <c r="W13" s="188">
        <f t="shared" si="7"/>
        <v>0</v>
      </c>
      <c r="X13" s="189"/>
      <c r="Y13" s="189"/>
      <c r="Z13" s="189"/>
      <c r="AA13" s="190"/>
      <c r="AB13" s="186"/>
      <c r="AC13" s="344"/>
      <c r="AD13" s="186"/>
      <c r="AE13" s="186"/>
      <c r="AF13" s="186"/>
      <c r="AG13" s="186"/>
      <c r="AH13" s="186"/>
      <c r="AI13" s="191"/>
      <c r="AJ13" s="191">
        <f t="shared" si="8"/>
        <v>0</v>
      </c>
      <c r="AK13" s="186"/>
      <c r="AL13" s="186"/>
      <c r="AM13" s="186"/>
      <c r="AN13" s="344"/>
      <c r="AO13" s="186"/>
      <c r="AP13" s="193"/>
      <c r="AQ13" s="186"/>
      <c r="AR13" s="191"/>
      <c r="AS13" s="194"/>
      <c r="AT13" s="195"/>
      <c r="AU13" s="425"/>
      <c r="AV13" s="425"/>
      <c r="AW13" s="425"/>
      <c r="AX13" s="425"/>
      <c r="AY13" s="425"/>
      <c r="AZ13" s="425"/>
      <c r="BA13" s="425"/>
      <c r="BB13" s="425"/>
      <c r="BC13" s="440"/>
      <c r="BD13" s="404">
        <f>SUM($AS$4:AS13)</f>
        <v>46.039999999999992</v>
      </c>
      <c r="BE13" s="405">
        <f>SUM($AR$4:AR13)</f>
        <v>46.039999999999992</v>
      </c>
      <c r="BF13" s="330"/>
      <c r="BG13" s="330"/>
    </row>
    <row r="14" spans="1:59" ht="18" customHeight="1">
      <c r="A14" s="182" t="s">
        <v>72</v>
      </c>
      <c r="B14" s="181">
        <v>44851</v>
      </c>
      <c r="C14" s="182" t="s">
        <v>153</v>
      </c>
      <c r="D14" s="182" t="s">
        <v>114</v>
      </c>
      <c r="E14" s="183"/>
      <c r="F14" s="184"/>
      <c r="G14" s="185" t="s">
        <v>118</v>
      </c>
      <c r="H14" s="186"/>
      <c r="I14" s="186"/>
      <c r="J14" s="186"/>
      <c r="K14" s="187"/>
      <c r="L14" s="186">
        <v>1</v>
      </c>
      <c r="M14" s="186"/>
      <c r="N14" s="186"/>
      <c r="O14" s="187" t="s">
        <v>76</v>
      </c>
      <c r="P14" s="187" t="s">
        <v>119</v>
      </c>
      <c r="Q14" s="187" t="s">
        <v>78</v>
      </c>
      <c r="R14" s="187">
        <v>1</v>
      </c>
      <c r="S14" s="187">
        <v>1</v>
      </c>
      <c r="T14" s="187">
        <v>1</v>
      </c>
      <c r="U14" s="187" t="s">
        <v>78</v>
      </c>
      <c r="V14" s="188">
        <f t="shared" si="6"/>
        <v>0.01</v>
      </c>
      <c r="W14" s="188">
        <f t="shared" ref="W14:W15" si="9">IF(ISBLANK(O14),,IF(O14=UPPER("IB"),8.63*200,15*100))</f>
        <v>1500</v>
      </c>
      <c r="X14" s="189" t="s">
        <v>120</v>
      </c>
      <c r="Y14" s="189"/>
      <c r="Z14" s="189" t="s">
        <v>80</v>
      </c>
      <c r="AA14" s="190">
        <v>-0.02</v>
      </c>
      <c r="AB14" s="186"/>
      <c r="AC14" s="344"/>
      <c r="AD14" s="186"/>
      <c r="AE14" s="186">
        <v>-0.03</v>
      </c>
      <c r="AF14" s="186"/>
      <c r="AG14" s="186"/>
      <c r="AH14" s="186"/>
      <c r="AI14" s="191">
        <f t="shared" ref="AI14:AI16" si="10">-0.03*W14</f>
        <v>-45</v>
      </c>
      <c r="AJ14" s="191">
        <f t="shared" si="8"/>
        <v>-45</v>
      </c>
      <c r="AK14" s="186" t="s">
        <v>154</v>
      </c>
      <c r="AL14" s="186"/>
      <c r="AM14" s="186" t="s">
        <v>140</v>
      </c>
      <c r="AN14" s="344" t="s">
        <v>87</v>
      </c>
      <c r="AO14" s="186" t="s">
        <v>155</v>
      </c>
      <c r="AP14" s="193">
        <v>-0.03</v>
      </c>
      <c r="AQ14" s="193">
        <f t="shared" si="3"/>
        <v>9.9999999999999985E-3</v>
      </c>
      <c r="AR14" s="191">
        <f>AS14*R14</f>
        <v>14.999999999999998</v>
      </c>
      <c r="AS14" s="194">
        <f t="shared" si="4"/>
        <v>14.999999999999998</v>
      </c>
      <c r="AT14" s="195" t="s">
        <v>77</v>
      </c>
      <c r="AU14" s="425" t="s">
        <v>156</v>
      </c>
      <c r="AV14" s="425" t="s">
        <v>157</v>
      </c>
      <c r="AW14" s="425" t="s">
        <v>158</v>
      </c>
      <c r="AX14" s="425"/>
      <c r="AY14" s="425"/>
      <c r="AZ14" s="425"/>
      <c r="BA14" s="425"/>
      <c r="BB14" s="425"/>
      <c r="BC14" s="440"/>
      <c r="BD14" s="404">
        <f>SUM($AS$4:AS14)</f>
        <v>61.039999999999992</v>
      </c>
      <c r="BE14" s="405">
        <f>SUM($AR$4:AR14)</f>
        <v>61.039999999999992</v>
      </c>
      <c r="BF14" s="330"/>
      <c r="BG14" s="330"/>
    </row>
    <row r="15" spans="1:59" ht="18" customHeight="1">
      <c r="A15" s="182" t="s">
        <v>72</v>
      </c>
      <c r="B15" s="181">
        <v>44852</v>
      </c>
      <c r="C15" s="182" t="s">
        <v>159</v>
      </c>
      <c r="D15" s="182" t="s">
        <v>128</v>
      </c>
      <c r="E15" s="183" t="s">
        <v>160</v>
      </c>
      <c r="F15" s="184" t="s">
        <v>161</v>
      </c>
      <c r="G15" s="185"/>
      <c r="H15" s="186"/>
      <c r="I15" s="186"/>
      <c r="J15" s="186"/>
      <c r="K15" s="187"/>
      <c r="L15" s="186"/>
      <c r="M15" s="186"/>
      <c r="N15" s="186"/>
      <c r="O15" s="187"/>
      <c r="P15" s="187"/>
      <c r="Q15" s="187"/>
      <c r="R15" s="187"/>
      <c r="S15" s="187"/>
      <c r="T15" s="187"/>
      <c r="U15" s="187"/>
      <c r="V15" s="188">
        <f t="shared" si="6"/>
        <v>0</v>
      </c>
      <c r="W15" s="188">
        <f t="shared" si="9"/>
        <v>0</v>
      </c>
      <c r="X15" s="189"/>
      <c r="Y15" s="189"/>
      <c r="Z15" s="189"/>
      <c r="AA15" s="190"/>
      <c r="AB15" s="186"/>
      <c r="AC15" s="344"/>
      <c r="AD15" s="186"/>
      <c r="AE15" s="186"/>
      <c r="AF15" s="186"/>
      <c r="AG15" s="186"/>
      <c r="AH15" s="186"/>
      <c r="AI15" s="191">
        <f t="shared" si="10"/>
        <v>0</v>
      </c>
      <c r="AJ15" s="191">
        <f t="shared" si="8"/>
        <v>0</v>
      </c>
      <c r="AK15" s="186"/>
      <c r="AL15" s="186"/>
      <c r="AM15" s="186"/>
      <c r="AN15" s="344"/>
      <c r="AO15" s="186"/>
      <c r="AP15" s="193"/>
      <c r="AQ15" s="186">
        <f t="shared" si="3"/>
        <v>0</v>
      </c>
      <c r="AR15" s="191"/>
      <c r="AS15" s="194">
        <f t="shared" si="4"/>
        <v>0</v>
      </c>
      <c r="AT15" s="195"/>
      <c r="AU15" s="425"/>
      <c r="AV15" s="425"/>
      <c r="AW15" s="425"/>
      <c r="AX15" s="425"/>
      <c r="AY15" s="425"/>
      <c r="AZ15" s="425"/>
      <c r="BA15" s="425"/>
      <c r="BB15" s="425"/>
      <c r="BC15" s="440"/>
      <c r="BD15" s="404">
        <f>SUM($AS$4:AS15)</f>
        <v>61.039999999999992</v>
      </c>
      <c r="BE15" s="405">
        <f>SUM($AR$4:AR15)</f>
        <v>61.039999999999992</v>
      </c>
      <c r="BF15" s="330"/>
      <c r="BG15" s="330"/>
    </row>
    <row r="16" spans="1:59" ht="18" customHeight="1">
      <c r="A16" s="182" t="s">
        <v>72</v>
      </c>
      <c r="B16" s="181">
        <v>44852</v>
      </c>
      <c r="C16" s="182" t="s">
        <v>162</v>
      </c>
      <c r="D16" s="182" t="s">
        <v>128</v>
      </c>
      <c r="E16" s="183"/>
      <c r="F16" s="184"/>
      <c r="G16" s="185" t="s">
        <v>163</v>
      </c>
      <c r="H16" s="186"/>
      <c r="I16" s="186"/>
      <c r="J16" s="186"/>
      <c r="K16" s="187"/>
      <c r="L16" s="186">
        <v>1</v>
      </c>
      <c r="M16" s="186"/>
      <c r="N16" s="186"/>
      <c r="O16" s="187" t="s">
        <v>76</v>
      </c>
      <c r="P16" s="187" t="s">
        <v>119</v>
      </c>
      <c r="Q16" s="187" t="s">
        <v>78</v>
      </c>
      <c r="R16" s="187">
        <v>1</v>
      </c>
      <c r="S16" s="187">
        <v>1</v>
      </c>
      <c r="T16" s="187">
        <v>1</v>
      </c>
      <c r="U16" s="187" t="s">
        <v>78</v>
      </c>
      <c r="V16" s="188">
        <f t="shared" si="6"/>
        <v>0.01</v>
      </c>
      <c r="W16" s="188">
        <f>IF(ISBLANK(O16),,IF(O16=UPPER("IB"),8.63*200,15.13*100))</f>
        <v>1513</v>
      </c>
      <c r="X16" s="189" t="s">
        <v>120</v>
      </c>
      <c r="Y16" s="189"/>
      <c r="Z16" s="189" t="s">
        <v>80</v>
      </c>
      <c r="AA16" s="190">
        <v>-0.04</v>
      </c>
      <c r="AB16" s="186" t="s">
        <v>164</v>
      </c>
      <c r="AC16" s="344"/>
      <c r="AD16" s="186"/>
      <c r="AE16" s="186">
        <v>-0.05</v>
      </c>
      <c r="AF16" s="186"/>
      <c r="AG16" s="186" t="s">
        <v>165</v>
      </c>
      <c r="AH16" s="186"/>
      <c r="AI16" s="191">
        <f t="shared" si="10"/>
        <v>-45.39</v>
      </c>
      <c r="AJ16" s="191">
        <f t="shared" si="8"/>
        <v>-45.39</v>
      </c>
      <c r="AK16" s="186" t="s">
        <v>166</v>
      </c>
      <c r="AL16" s="186"/>
      <c r="AM16" s="186" t="s">
        <v>167</v>
      </c>
      <c r="AN16" s="344" t="s">
        <v>87</v>
      </c>
      <c r="AO16" s="186" t="s">
        <v>168</v>
      </c>
      <c r="AP16" s="193">
        <v>-0.05</v>
      </c>
      <c r="AQ16" s="193">
        <f t="shared" si="3"/>
        <v>1.0000000000000002E-2</v>
      </c>
      <c r="AR16" s="191">
        <f>AS16*R16</f>
        <v>15.130000000000003</v>
      </c>
      <c r="AS16" s="194">
        <f t="shared" si="4"/>
        <v>15.130000000000003</v>
      </c>
      <c r="AT16" s="195" t="s">
        <v>77</v>
      </c>
      <c r="AU16" s="425" t="s">
        <v>156</v>
      </c>
      <c r="AV16" s="425" t="s">
        <v>169</v>
      </c>
      <c r="AW16" s="425" t="s">
        <v>170</v>
      </c>
      <c r="AX16" s="425"/>
      <c r="AY16" s="425"/>
      <c r="AZ16" s="425"/>
      <c r="BA16" s="425"/>
      <c r="BB16" s="425"/>
      <c r="BC16" s="440"/>
      <c r="BD16" s="404">
        <f>SUM($AS$4:AS16)</f>
        <v>76.169999999999987</v>
      </c>
      <c r="BE16" s="405">
        <f>SUM($AR$4:AR16)</f>
        <v>76.169999999999987</v>
      </c>
      <c r="BF16" s="330"/>
      <c r="BG16" s="330"/>
    </row>
    <row r="17" spans="1:59" ht="18" customHeight="1">
      <c r="A17" s="182" t="s">
        <v>72</v>
      </c>
      <c r="B17" s="181">
        <v>44852</v>
      </c>
      <c r="C17" s="182" t="s">
        <v>171</v>
      </c>
      <c r="D17" s="182" t="s">
        <v>128</v>
      </c>
      <c r="E17" s="183"/>
      <c r="F17" s="184"/>
      <c r="G17" s="185" t="s">
        <v>75</v>
      </c>
      <c r="H17" s="186"/>
      <c r="I17" s="186"/>
      <c r="J17" s="186"/>
      <c r="K17" s="187"/>
      <c r="L17" s="186">
        <v>1</v>
      </c>
      <c r="M17" s="186"/>
      <c r="N17" s="186"/>
      <c r="O17" s="187" t="s">
        <v>76</v>
      </c>
      <c r="P17" s="187" t="s">
        <v>119</v>
      </c>
      <c r="Q17" s="187" t="s">
        <v>78</v>
      </c>
      <c r="R17" s="187">
        <v>1</v>
      </c>
      <c r="S17" s="187">
        <v>1</v>
      </c>
      <c r="T17" s="187">
        <v>1</v>
      </c>
      <c r="U17" s="187" t="s">
        <v>22</v>
      </c>
      <c r="V17" s="188">
        <f t="shared" si="6"/>
        <v>0.01</v>
      </c>
      <c r="W17" s="188">
        <f>IF(ISBLANK(O17),,IF(O17=UPPER("IB"),8.63*200,15.15*100))</f>
        <v>1515</v>
      </c>
      <c r="X17" s="189" t="s">
        <v>120</v>
      </c>
      <c r="Y17" s="189"/>
      <c r="Z17" s="189" t="s">
        <v>80</v>
      </c>
      <c r="AA17" s="190">
        <v>-0.01</v>
      </c>
      <c r="AB17" s="186"/>
      <c r="AC17" s="344"/>
      <c r="AD17" s="186"/>
      <c r="AE17" s="186">
        <v>1</v>
      </c>
      <c r="AF17" s="186"/>
      <c r="AG17" s="186" t="s">
        <v>172</v>
      </c>
      <c r="AH17" s="186"/>
      <c r="AI17" s="191">
        <f>-0.02*W17</f>
        <v>-30.3</v>
      </c>
      <c r="AJ17" s="191">
        <f t="shared" si="8"/>
        <v>-30.3</v>
      </c>
      <c r="AK17" s="186" t="s">
        <v>173</v>
      </c>
      <c r="AL17" s="186"/>
      <c r="AM17" s="186" t="s">
        <v>174</v>
      </c>
      <c r="AN17" s="344" t="s">
        <v>97</v>
      </c>
      <c r="AO17" s="186" t="s">
        <v>175</v>
      </c>
      <c r="AP17" s="193">
        <v>0</v>
      </c>
      <c r="AQ17" s="193">
        <f t="shared" si="3"/>
        <v>0.01</v>
      </c>
      <c r="AR17" s="191">
        <f>AS17*R17</f>
        <v>15.15</v>
      </c>
      <c r="AS17" s="194">
        <f t="shared" si="4"/>
        <v>15.15</v>
      </c>
      <c r="AT17" s="195" t="s">
        <v>77</v>
      </c>
      <c r="AU17" s="425" t="s">
        <v>176</v>
      </c>
      <c r="AV17" s="425" t="s">
        <v>177</v>
      </c>
      <c r="AW17" s="425"/>
      <c r="AX17" s="425"/>
      <c r="AY17" s="425"/>
      <c r="AZ17" s="425"/>
      <c r="BA17" s="441" t="s">
        <v>177</v>
      </c>
      <c r="BB17" s="425"/>
      <c r="BC17" s="440"/>
      <c r="BD17" s="404">
        <f>SUM($AS$4:AS17)</f>
        <v>91.32</v>
      </c>
      <c r="BE17" s="405">
        <f>SUM($AR$4:AR17)</f>
        <v>91.32</v>
      </c>
      <c r="BF17" s="330"/>
      <c r="BG17" s="330"/>
    </row>
    <row r="18" spans="1:59" ht="18" customHeight="1">
      <c r="A18" s="182" t="s">
        <v>72</v>
      </c>
      <c r="B18" s="181">
        <v>44852</v>
      </c>
      <c r="C18" s="182" t="s">
        <v>178</v>
      </c>
      <c r="D18" s="182" t="s">
        <v>128</v>
      </c>
      <c r="E18" s="183"/>
      <c r="F18" s="184"/>
      <c r="G18" s="185" t="s">
        <v>115</v>
      </c>
      <c r="H18" s="186"/>
      <c r="I18" s="186"/>
      <c r="J18" s="186"/>
      <c r="K18" s="187"/>
      <c r="L18" s="186">
        <v>1</v>
      </c>
      <c r="M18" s="186"/>
      <c r="N18" s="186"/>
      <c r="O18" s="187" t="s">
        <v>76</v>
      </c>
      <c r="P18" s="187" t="s">
        <v>77</v>
      </c>
      <c r="Q18" s="187" t="s">
        <v>78</v>
      </c>
      <c r="R18" s="187">
        <v>1</v>
      </c>
      <c r="S18" s="187">
        <v>1</v>
      </c>
      <c r="T18" s="187">
        <v>1</v>
      </c>
      <c r="U18" s="187" t="s">
        <v>22</v>
      </c>
      <c r="V18" s="188">
        <f t="shared" si="6"/>
        <v>0.01</v>
      </c>
      <c r="W18" s="188">
        <f>IF(ISBLANK(O18),,IF(O18=UPPER("IB"),8.63*200,15*100))</f>
        <v>1500</v>
      </c>
      <c r="X18" s="189" t="s">
        <v>120</v>
      </c>
      <c r="Y18" s="189"/>
      <c r="Z18" s="189" t="s">
        <v>80</v>
      </c>
      <c r="AA18" s="190">
        <v>-0.01</v>
      </c>
      <c r="AB18" s="186"/>
      <c r="AC18" s="344"/>
      <c r="AD18" s="186"/>
      <c r="AE18" s="186"/>
      <c r="AF18" s="186"/>
      <c r="AG18" s="186" t="s">
        <v>179</v>
      </c>
      <c r="AH18" s="186"/>
      <c r="AI18" s="191"/>
      <c r="AJ18" s="187"/>
      <c r="AK18" s="186"/>
      <c r="AL18" s="186"/>
      <c r="AM18" s="186" t="s">
        <v>174</v>
      </c>
      <c r="AN18" s="344" t="s">
        <v>97</v>
      </c>
      <c r="AO18" s="186" t="s">
        <v>180</v>
      </c>
      <c r="AP18" s="193">
        <v>-0.01</v>
      </c>
      <c r="AQ18" s="193">
        <f t="shared" si="3"/>
        <v>0</v>
      </c>
      <c r="AR18" s="191">
        <f>AS18*R18</f>
        <v>0</v>
      </c>
      <c r="AS18" s="194">
        <f t="shared" si="4"/>
        <v>0</v>
      </c>
      <c r="AT18" s="195" t="s">
        <v>97</v>
      </c>
      <c r="AU18" s="425" t="s">
        <v>181</v>
      </c>
      <c r="AV18" s="425" t="s">
        <v>182</v>
      </c>
      <c r="AW18" s="425" t="s">
        <v>183</v>
      </c>
      <c r="AX18" s="425"/>
      <c r="AY18" s="425"/>
      <c r="AZ18" s="425"/>
      <c r="BA18" s="425"/>
      <c r="BB18" s="425"/>
      <c r="BC18" s="440"/>
      <c r="BD18" s="404">
        <f>SUM($AS$4:AS18)</f>
        <v>91.32</v>
      </c>
      <c r="BE18" s="405">
        <f>SUM($AR$4:AR18)</f>
        <v>91.32</v>
      </c>
      <c r="BF18" s="330"/>
      <c r="BG18" s="330"/>
    </row>
    <row r="19" spans="1:59" ht="18" customHeight="1">
      <c r="A19" s="182" t="s">
        <v>72</v>
      </c>
      <c r="B19" s="181">
        <v>44853</v>
      </c>
      <c r="C19" s="182" t="s">
        <v>184</v>
      </c>
      <c r="D19" s="182" t="s">
        <v>133</v>
      </c>
      <c r="E19" s="183"/>
      <c r="F19" s="184"/>
      <c r="G19" s="185" t="s">
        <v>163</v>
      </c>
      <c r="H19" s="186"/>
      <c r="I19" s="186"/>
      <c r="J19" s="186"/>
      <c r="K19" s="187"/>
      <c r="L19" s="186">
        <v>1</v>
      </c>
      <c r="M19" s="186"/>
      <c r="N19" s="186"/>
      <c r="O19" s="187" t="s">
        <v>76</v>
      </c>
      <c r="P19" s="187" t="s">
        <v>119</v>
      </c>
      <c r="Q19" s="187" t="s">
        <v>78</v>
      </c>
      <c r="R19" s="187">
        <v>1</v>
      </c>
      <c r="S19" s="187">
        <v>1</v>
      </c>
      <c r="T19" s="187">
        <v>1</v>
      </c>
      <c r="U19" s="187" t="s">
        <v>78</v>
      </c>
      <c r="V19" s="188">
        <f t="shared" si="6"/>
        <v>0.01</v>
      </c>
      <c r="W19" s="188">
        <f t="shared" ref="W19:W25" si="11">IF(ISBLANK(O19),,IF(O19=UPPER("IB"),8.63*200,15.15*100))</f>
        <v>1515</v>
      </c>
      <c r="X19" s="189" t="s">
        <v>120</v>
      </c>
      <c r="Y19" s="189"/>
      <c r="Z19" s="189" t="s">
        <v>80</v>
      </c>
      <c r="AA19" s="190">
        <v>-0.04</v>
      </c>
      <c r="AB19" s="186" t="s">
        <v>164</v>
      </c>
      <c r="AC19" s="344"/>
      <c r="AD19" s="186"/>
      <c r="AE19" s="186">
        <v>-0.05</v>
      </c>
      <c r="AF19" s="186"/>
      <c r="AG19" s="186" t="s">
        <v>165</v>
      </c>
      <c r="AH19" s="186"/>
      <c r="AI19" s="191">
        <f>-0.03*W19</f>
        <v>-45.449999999999996</v>
      </c>
      <c r="AJ19" s="191">
        <f t="shared" ref="AJ19:AJ26" si="12">AI19*R19</f>
        <v>-45.449999999999996</v>
      </c>
      <c r="AK19" s="186" t="s">
        <v>166</v>
      </c>
      <c r="AL19" s="186"/>
      <c r="AM19" s="186" t="s">
        <v>185</v>
      </c>
      <c r="AN19" s="344" t="s">
        <v>87</v>
      </c>
      <c r="AO19" s="199">
        <v>44853.333333333336</v>
      </c>
      <c r="AP19" s="193">
        <v>-0.05</v>
      </c>
      <c r="AQ19" s="193">
        <f t="shared" si="3"/>
        <v>1.0000000000000002E-2</v>
      </c>
      <c r="AR19" s="191">
        <f>AS19*R19</f>
        <v>15.150000000000002</v>
      </c>
      <c r="AS19" s="194">
        <f t="shared" si="4"/>
        <v>15.150000000000002</v>
      </c>
      <c r="AT19" s="195" t="s">
        <v>77</v>
      </c>
      <c r="AU19" s="425" t="s">
        <v>186</v>
      </c>
      <c r="AV19" s="425"/>
      <c r="AW19" s="425" t="s">
        <v>187</v>
      </c>
      <c r="AX19" s="425"/>
      <c r="AY19" s="425"/>
      <c r="AZ19" s="425"/>
      <c r="BA19" s="425"/>
      <c r="BB19" s="425"/>
      <c r="BC19" s="440"/>
      <c r="BD19" s="404">
        <f>SUM($AS$4:AS19)</f>
        <v>106.47</v>
      </c>
      <c r="BE19" s="405">
        <f>SUM($AR$4:AR19)</f>
        <v>106.47</v>
      </c>
      <c r="BF19" s="330"/>
      <c r="BG19" s="330"/>
    </row>
    <row r="20" spans="1:59" ht="18" customHeight="1">
      <c r="A20" s="182" t="s">
        <v>72</v>
      </c>
      <c r="B20" s="181">
        <v>44854</v>
      </c>
      <c r="C20" s="182"/>
      <c r="D20" s="182" t="s">
        <v>74</v>
      </c>
      <c r="E20" s="183" t="s">
        <v>188</v>
      </c>
      <c r="F20" s="184" t="s">
        <v>189</v>
      </c>
      <c r="G20" s="185"/>
      <c r="H20" s="186"/>
      <c r="I20" s="186"/>
      <c r="J20" s="186">
        <v>1</v>
      </c>
      <c r="K20" s="187"/>
      <c r="L20" s="186"/>
      <c r="M20" s="186"/>
      <c r="N20" s="186"/>
      <c r="O20" s="187"/>
      <c r="P20" s="187"/>
      <c r="Q20" s="187"/>
      <c r="R20" s="187"/>
      <c r="S20" s="187"/>
      <c r="T20" s="187"/>
      <c r="U20" s="187"/>
      <c r="V20" s="188"/>
      <c r="W20" s="188">
        <f t="shared" si="11"/>
        <v>0</v>
      </c>
      <c r="X20" s="189"/>
      <c r="Y20" s="189"/>
      <c r="Z20" s="189"/>
      <c r="AA20" s="190"/>
      <c r="AB20" s="186"/>
      <c r="AC20" s="344"/>
      <c r="AD20" s="186"/>
      <c r="AE20" s="186"/>
      <c r="AF20" s="186"/>
      <c r="AG20" s="186"/>
      <c r="AH20" s="186"/>
      <c r="AI20" s="191"/>
      <c r="AJ20" s="191">
        <f t="shared" si="12"/>
        <v>0</v>
      </c>
      <c r="AK20" s="186"/>
      <c r="AL20" s="186"/>
      <c r="AM20" s="186"/>
      <c r="AN20" s="344"/>
      <c r="AO20" s="186"/>
      <c r="AP20" s="193"/>
      <c r="AQ20" s="186"/>
      <c r="AR20" s="191"/>
      <c r="AS20" s="194"/>
      <c r="AT20" s="195"/>
      <c r="AU20" s="425"/>
      <c r="AV20" s="425"/>
      <c r="AW20" s="425"/>
      <c r="AX20" s="425"/>
      <c r="AY20" s="425"/>
      <c r="AZ20" s="425"/>
      <c r="BA20" s="425"/>
      <c r="BB20" s="425"/>
      <c r="BC20" s="440"/>
      <c r="BD20" s="404">
        <f>SUM($AS$4:AS20)</f>
        <v>106.47</v>
      </c>
      <c r="BE20" s="405">
        <f>SUM($AR$4:AR20)</f>
        <v>106.47</v>
      </c>
      <c r="BF20" s="330"/>
      <c r="BG20" s="330"/>
    </row>
    <row r="21" spans="1:59" ht="18" customHeight="1">
      <c r="A21" s="182" t="s">
        <v>72</v>
      </c>
      <c r="B21" s="181"/>
      <c r="C21" s="182"/>
      <c r="D21" s="182"/>
      <c r="E21" s="183" t="s">
        <v>190</v>
      </c>
      <c r="F21" s="184"/>
      <c r="G21" s="185"/>
      <c r="H21" s="186"/>
      <c r="I21" s="186">
        <v>1</v>
      </c>
      <c r="J21" s="186"/>
      <c r="K21" s="187"/>
      <c r="L21" s="186"/>
      <c r="M21" s="186"/>
      <c r="N21" s="186"/>
      <c r="O21" s="187"/>
      <c r="P21" s="187"/>
      <c r="Q21" s="187"/>
      <c r="R21" s="187"/>
      <c r="S21" s="187"/>
      <c r="T21" s="187"/>
      <c r="U21" s="187"/>
      <c r="V21" s="188"/>
      <c r="W21" s="188">
        <f t="shared" si="11"/>
        <v>0</v>
      </c>
      <c r="X21" s="189"/>
      <c r="Y21" s="189"/>
      <c r="Z21" s="189"/>
      <c r="AA21" s="190"/>
      <c r="AB21" s="186"/>
      <c r="AC21" s="344"/>
      <c r="AD21" s="186"/>
      <c r="AE21" s="186"/>
      <c r="AF21" s="186"/>
      <c r="AG21" s="186"/>
      <c r="AH21" s="186"/>
      <c r="AI21" s="191"/>
      <c r="AJ21" s="191">
        <f t="shared" si="12"/>
        <v>0</v>
      </c>
      <c r="AK21" s="186"/>
      <c r="AL21" s="186"/>
      <c r="AM21" s="186"/>
      <c r="AN21" s="344"/>
      <c r="AO21" s="186"/>
      <c r="AP21" s="193"/>
      <c r="AQ21" s="186"/>
      <c r="AR21" s="191"/>
      <c r="AS21" s="194"/>
      <c r="AT21" s="195"/>
      <c r="AU21" s="425"/>
      <c r="AV21" s="425"/>
      <c r="AW21" s="425"/>
      <c r="AX21" s="425"/>
      <c r="AY21" s="425"/>
      <c r="AZ21" s="425"/>
      <c r="BA21" s="425"/>
      <c r="BB21" s="425"/>
      <c r="BC21" s="440"/>
      <c r="BD21" s="404">
        <f>SUM($AS$4:AS21)</f>
        <v>106.47</v>
      </c>
      <c r="BE21" s="405">
        <f>SUM($AR$4:AR21)</f>
        <v>106.47</v>
      </c>
      <c r="BF21" s="330"/>
      <c r="BG21" s="330"/>
    </row>
    <row r="22" spans="1:59" ht="18" customHeight="1">
      <c r="A22" s="182" t="s">
        <v>72</v>
      </c>
      <c r="B22" s="181">
        <v>44854</v>
      </c>
      <c r="C22" s="182" t="s">
        <v>191</v>
      </c>
      <c r="D22" s="182" t="s">
        <v>74</v>
      </c>
      <c r="E22" s="183"/>
      <c r="F22" s="184"/>
      <c r="G22" s="185" t="s">
        <v>192</v>
      </c>
      <c r="H22" s="186"/>
      <c r="I22" s="186"/>
      <c r="J22" s="186"/>
      <c r="K22" s="187"/>
      <c r="L22" s="186">
        <v>1</v>
      </c>
      <c r="M22" s="186">
        <v>1</v>
      </c>
      <c r="N22" s="186"/>
      <c r="O22" s="187" t="s">
        <v>76</v>
      </c>
      <c r="P22" s="187" t="s">
        <v>77</v>
      </c>
      <c r="Q22" s="187" t="s">
        <v>78</v>
      </c>
      <c r="R22" s="187">
        <v>1</v>
      </c>
      <c r="S22" s="187">
        <v>1</v>
      </c>
      <c r="T22" s="187">
        <v>1</v>
      </c>
      <c r="U22" s="187" t="s">
        <v>78</v>
      </c>
      <c r="V22" s="188">
        <f t="shared" ref="V22:V24" si="13">IF(ISBLANK(O22),,(IF(O22=UPPER("IB"),0.005,0.01)))</f>
        <v>0.01</v>
      </c>
      <c r="W22" s="188">
        <f t="shared" si="11"/>
        <v>1515</v>
      </c>
      <c r="X22" s="189" t="s">
        <v>193</v>
      </c>
      <c r="Y22" s="189" t="s">
        <v>194</v>
      </c>
      <c r="Z22" s="189"/>
      <c r="AA22" s="190">
        <v>0.67</v>
      </c>
      <c r="AB22" s="186"/>
      <c r="AC22" s="344">
        <v>72</v>
      </c>
      <c r="AD22" s="186"/>
      <c r="AE22" s="186">
        <v>60</v>
      </c>
      <c r="AF22" s="186" t="s">
        <v>195</v>
      </c>
      <c r="AG22" s="186" t="s">
        <v>196</v>
      </c>
      <c r="AH22" s="186">
        <f t="shared" ref="AH22:AH24" si="14">7/5</f>
        <v>1.4</v>
      </c>
      <c r="AI22" s="191">
        <f t="shared" ref="AI22:AI23" si="15">-0.05*W22</f>
        <v>-75.75</v>
      </c>
      <c r="AJ22" s="191">
        <f t="shared" si="12"/>
        <v>-75.75</v>
      </c>
      <c r="AK22" s="186" t="s">
        <v>197</v>
      </c>
      <c r="AL22" s="186"/>
      <c r="AM22" s="186" t="s">
        <v>198</v>
      </c>
      <c r="AN22" s="344" t="s">
        <v>87</v>
      </c>
      <c r="AO22" s="186"/>
      <c r="AP22" s="193">
        <v>0.67</v>
      </c>
      <c r="AQ22" s="193">
        <f t="shared" ref="AQ22:AQ32" si="16">IF(ISBLANK(AP22),,IF(U22="S",AA22-AP22,AP22-AA22))</f>
        <v>0</v>
      </c>
      <c r="AR22" s="191">
        <f>AS22*R22</f>
        <v>0</v>
      </c>
      <c r="AS22" s="194">
        <f t="shared" ref="AS22:AS32" si="17">IF(ISBLANK(AP22),,(AQ22*W22))</f>
        <v>0</v>
      </c>
      <c r="AT22" s="195" t="s">
        <v>97</v>
      </c>
      <c r="AU22" s="425" t="s">
        <v>199</v>
      </c>
      <c r="AV22" s="425" t="s">
        <v>200</v>
      </c>
      <c r="AW22" s="425" t="s">
        <v>201</v>
      </c>
      <c r="AX22" s="425" t="s">
        <v>202</v>
      </c>
      <c r="AY22" s="425"/>
      <c r="AZ22" s="425"/>
      <c r="BA22" s="425" t="s">
        <v>203</v>
      </c>
      <c r="BB22" s="425"/>
      <c r="BC22" s="440" t="s">
        <v>204</v>
      </c>
      <c r="BD22" s="404">
        <f>SUM($AS$4:AS22)</f>
        <v>106.47</v>
      </c>
      <c r="BE22" s="405">
        <f>SUM($AR$4:AR22)</f>
        <v>106.47</v>
      </c>
      <c r="BF22" s="330"/>
      <c r="BG22" s="330"/>
    </row>
    <row r="23" spans="1:59" ht="18" customHeight="1">
      <c r="A23" s="182" t="s">
        <v>72</v>
      </c>
      <c r="B23" s="181">
        <v>44854</v>
      </c>
      <c r="C23" s="182" t="s">
        <v>191</v>
      </c>
      <c r="D23" s="182" t="s">
        <v>74</v>
      </c>
      <c r="E23" s="183"/>
      <c r="F23" s="184"/>
      <c r="G23" s="185" t="s">
        <v>192</v>
      </c>
      <c r="H23" s="186"/>
      <c r="I23" s="186"/>
      <c r="J23" s="186"/>
      <c r="K23" s="187"/>
      <c r="L23" s="186">
        <v>1</v>
      </c>
      <c r="M23" s="186">
        <v>1</v>
      </c>
      <c r="N23" s="186"/>
      <c r="O23" s="187" t="s">
        <v>76</v>
      </c>
      <c r="P23" s="187" t="s">
        <v>77</v>
      </c>
      <c r="Q23" s="187" t="s">
        <v>78</v>
      </c>
      <c r="R23" s="187">
        <v>1</v>
      </c>
      <c r="S23" s="187">
        <v>1</v>
      </c>
      <c r="T23" s="187">
        <v>1</v>
      </c>
      <c r="U23" s="187" t="s">
        <v>78</v>
      </c>
      <c r="V23" s="188">
        <f t="shared" si="13"/>
        <v>0.01</v>
      </c>
      <c r="W23" s="189">
        <f t="shared" si="11"/>
        <v>1515</v>
      </c>
      <c r="X23" s="189" t="s">
        <v>193</v>
      </c>
      <c r="Y23" s="189" t="s">
        <v>194</v>
      </c>
      <c r="Z23" s="189"/>
      <c r="AA23" s="190">
        <v>0.7</v>
      </c>
      <c r="AB23" s="186"/>
      <c r="AC23" s="344">
        <v>74</v>
      </c>
      <c r="AD23" s="186"/>
      <c r="AE23" s="186" t="s">
        <v>205</v>
      </c>
      <c r="AF23" s="186" t="s">
        <v>206</v>
      </c>
      <c r="AG23" s="186" t="s">
        <v>207</v>
      </c>
      <c r="AH23" s="186">
        <f t="shared" si="14"/>
        <v>1.4</v>
      </c>
      <c r="AI23" s="191">
        <f t="shared" si="15"/>
        <v>-75.75</v>
      </c>
      <c r="AJ23" s="191">
        <f t="shared" si="12"/>
        <v>-75.75</v>
      </c>
      <c r="AK23" s="186" t="s">
        <v>208</v>
      </c>
      <c r="AL23" s="186"/>
      <c r="AM23" s="186" t="s">
        <v>209</v>
      </c>
      <c r="AN23" s="344" t="s">
        <v>97</v>
      </c>
      <c r="AO23" s="186" t="s">
        <v>210</v>
      </c>
      <c r="AP23" s="193">
        <v>0.74</v>
      </c>
      <c r="AQ23" s="193">
        <f t="shared" si="16"/>
        <v>-4.0000000000000036E-2</v>
      </c>
      <c r="AR23" s="191">
        <f>AS23*R23</f>
        <v>-60.600000000000051</v>
      </c>
      <c r="AS23" s="194">
        <f t="shared" si="17"/>
        <v>-60.600000000000051</v>
      </c>
      <c r="AT23" s="195" t="s">
        <v>211</v>
      </c>
      <c r="AU23" s="425" t="s">
        <v>212</v>
      </c>
      <c r="AV23" s="425" t="s">
        <v>213</v>
      </c>
      <c r="AW23" s="425" t="s">
        <v>214</v>
      </c>
      <c r="AX23" s="425" t="s">
        <v>215</v>
      </c>
      <c r="AY23" s="425" t="s">
        <v>216</v>
      </c>
      <c r="AZ23" s="425" t="s">
        <v>217</v>
      </c>
      <c r="BA23" s="425" t="s">
        <v>218</v>
      </c>
      <c r="BB23" s="425"/>
      <c r="BC23" s="440" t="s">
        <v>204</v>
      </c>
      <c r="BD23" s="404">
        <f>SUM($AS$4:AS23)</f>
        <v>45.869999999999948</v>
      </c>
      <c r="BE23" s="405">
        <f>SUM($AR$4:AR23)</f>
        <v>45.869999999999948</v>
      </c>
      <c r="BF23" s="330"/>
      <c r="BG23" s="330"/>
    </row>
    <row r="24" spans="1:59" ht="18" customHeight="1">
      <c r="A24" s="182" t="s">
        <v>72</v>
      </c>
      <c r="B24" s="181">
        <v>44854</v>
      </c>
      <c r="C24" s="182" t="s">
        <v>191</v>
      </c>
      <c r="D24" s="182" t="s">
        <v>74</v>
      </c>
      <c r="E24" s="183"/>
      <c r="F24" s="184"/>
      <c r="G24" s="185" t="s">
        <v>192</v>
      </c>
      <c r="H24" s="186"/>
      <c r="I24" s="186"/>
      <c r="J24" s="186"/>
      <c r="K24" s="187"/>
      <c r="L24" s="186">
        <v>1</v>
      </c>
      <c r="M24" s="186">
        <v>1</v>
      </c>
      <c r="N24" s="186"/>
      <c r="O24" s="187" t="s">
        <v>76</v>
      </c>
      <c r="P24" s="187" t="s">
        <v>77</v>
      </c>
      <c r="Q24" s="187" t="s">
        <v>78</v>
      </c>
      <c r="R24" s="187">
        <v>1</v>
      </c>
      <c r="S24" s="187">
        <v>1</v>
      </c>
      <c r="T24" s="187">
        <v>1</v>
      </c>
      <c r="U24" s="187" t="s">
        <v>78</v>
      </c>
      <c r="V24" s="188">
        <f t="shared" si="13"/>
        <v>0.01</v>
      </c>
      <c r="W24" s="189">
        <f t="shared" si="11"/>
        <v>1515</v>
      </c>
      <c r="X24" s="189" t="s">
        <v>193</v>
      </c>
      <c r="Y24" s="189" t="s">
        <v>194</v>
      </c>
      <c r="Z24" s="189"/>
      <c r="AA24" s="190">
        <v>0.69</v>
      </c>
      <c r="AB24" s="186"/>
      <c r="AC24" s="344">
        <v>73</v>
      </c>
      <c r="AD24" s="186"/>
      <c r="AE24" s="186">
        <v>67</v>
      </c>
      <c r="AF24" s="186" t="s">
        <v>219</v>
      </c>
      <c r="AG24" s="186" t="s">
        <v>207</v>
      </c>
      <c r="AH24" s="186">
        <f t="shared" si="14"/>
        <v>1.4</v>
      </c>
      <c r="AI24" s="191">
        <f t="shared" ref="AI24:AI25" si="18">-0.04*W24</f>
        <v>-60.6</v>
      </c>
      <c r="AJ24" s="191">
        <f t="shared" si="12"/>
        <v>-60.6</v>
      </c>
      <c r="AK24" s="186" t="s">
        <v>208</v>
      </c>
      <c r="AL24" s="186"/>
      <c r="AM24" s="186" t="s">
        <v>220</v>
      </c>
      <c r="AN24" s="344" t="s">
        <v>87</v>
      </c>
      <c r="AO24" s="186" t="s">
        <v>221</v>
      </c>
      <c r="AP24" s="193">
        <v>0.71</v>
      </c>
      <c r="AQ24" s="193">
        <f t="shared" si="16"/>
        <v>-2.0000000000000018E-2</v>
      </c>
      <c r="AR24" s="191">
        <f>AS24*R24</f>
        <v>-30.300000000000026</v>
      </c>
      <c r="AS24" s="194">
        <f t="shared" si="17"/>
        <v>-30.300000000000026</v>
      </c>
      <c r="AT24" s="195" t="s">
        <v>211</v>
      </c>
      <c r="AU24" s="425" t="s">
        <v>222</v>
      </c>
      <c r="AV24" s="425" t="s">
        <v>223</v>
      </c>
      <c r="AW24" s="425" t="s">
        <v>224</v>
      </c>
      <c r="AX24" s="430" t="s">
        <v>225</v>
      </c>
      <c r="AY24" s="442" t="s">
        <v>226</v>
      </c>
      <c r="AZ24" s="443" t="s">
        <v>227</v>
      </c>
      <c r="BA24" s="442" t="s">
        <v>228</v>
      </c>
      <c r="BB24" s="425" t="s">
        <v>229</v>
      </c>
      <c r="BC24" s="440" t="s">
        <v>230</v>
      </c>
      <c r="BD24" s="404">
        <f>SUM($AS$4:AS24)</f>
        <v>15.569999999999922</v>
      </c>
      <c r="BE24" s="405">
        <f>SUM($AR$4:AR24)</f>
        <v>15.569999999999922</v>
      </c>
      <c r="BF24" s="330"/>
      <c r="BG24" s="330"/>
    </row>
    <row r="25" spans="1:59" ht="18" customHeight="1">
      <c r="A25" s="182" t="s">
        <v>72</v>
      </c>
      <c r="B25" s="181"/>
      <c r="C25" s="182"/>
      <c r="D25" s="182"/>
      <c r="E25" s="183"/>
      <c r="F25" s="184"/>
      <c r="G25" s="185"/>
      <c r="H25" s="186"/>
      <c r="I25" s="186"/>
      <c r="J25" s="186"/>
      <c r="K25" s="187"/>
      <c r="L25" s="186"/>
      <c r="M25" s="186"/>
      <c r="N25" s="186"/>
      <c r="O25" s="187"/>
      <c r="P25" s="187"/>
      <c r="Q25" s="187"/>
      <c r="R25" s="187"/>
      <c r="S25" s="187"/>
      <c r="T25" s="187"/>
      <c r="U25" s="187"/>
      <c r="V25" s="188"/>
      <c r="W25" s="188">
        <f t="shared" si="11"/>
        <v>0</v>
      </c>
      <c r="X25" s="189"/>
      <c r="Y25" s="189"/>
      <c r="Z25" s="189"/>
      <c r="AA25" s="190"/>
      <c r="AB25" s="186"/>
      <c r="AC25" s="344"/>
      <c r="AD25" s="186"/>
      <c r="AE25" s="186"/>
      <c r="AF25" s="186"/>
      <c r="AG25" s="186"/>
      <c r="AH25" s="186"/>
      <c r="AI25" s="191">
        <f t="shared" si="18"/>
        <v>0</v>
      </c>
      <c r="AJ25" s="191">
        <f t="shared" si="12"/>
        <v>0</v>
      </c>
      <c r="AK25" s="186"/>
      <c r="AL25" s="186"/>
      <c r="AM25" s="186"/>
      <c r="AN25" s="344"/>
      <c r="AO25" s="186"/>
      <c r="AP25" s="193"/>
      <c r="AQ25" s="186">
        <f t="shared" si="16"/>
        <v>0</v>
      </c>
      <c r="AR25" s="191"/>
      <c r="AS25" s="194">
        <f t="shared" si="17"/>
        <v>0</v>
      </c>
      <c r="AT25" s="195"/>
      <c r="AU25" s="425" t="s">
        <v>231</v>
      </c>
      <c r="AV25" s="425" t="s">
        <v>232</v>
      </c>
      <c r="AW25" s="427" t="s">
        <v>233</v>
      </c>
      <c r="AX25" s="425"/>
      <c r="AY25" s="425"/>
      <c r="AZ25" s="425"/>
      <c r="BA25" s="425"/>
      <c r="BB25" s="425"/>
      <c r="BC25" s="440"/>
      <c r="BD25" s="404">
        <f>SUM($AS$4:AS25)</f>
        <v>15.569999999999922</v>
      </c>
      <c r="BE25" s="405">
        <f>SUM($AR$4:AR25)</f>
        <v>15.569999999999922</v>
      </c>
      <c r="BF25" s="330"/>
      <c r="BG25" s="330"/>
    </row>
    <row r="26" spans="1:59" ht="18" customHeight="1">
      <c r="A26" s="182" t="s">
        <v>72</v>
      </c>
      <c r="B26" s="181">
        <v>44855</v>
      </c>
      <c r="C26" s="182" t="s">
        <v>234</v>
      </c>
      <c r="D26" s="182" t="s">
        <v>93</v>
      </c>
      <c r="E26" s="183" t="s">
        <v>235</v>
      </c>
      <c r="F26" s="184" t="s">
        <v>236</v>
      </c>
      <c r="G26" s="185" t="s">
        <v>237</v>
      </c>
      <c r="H26" s="186"/>
      <c r="I26" s="186"/>
      <c r="J26" s="186"/>
      <c r="K26" s="187"/>
      <c r="L26" s="186">
        <v>1</v>
      </c>
      <c r="M26" s="186">
        <v>1</v>
      </c>
      <c r="N26" s="186"/>
      <c r="O26" s="187" t="s">
        <v>76</v>
      </c>
      <c r="P26" s="187" t="s">
        <v>77</v>
      </c>
      <c r="Q26" s="187" t="s">
        <v>238</v>
      </c>
      <c r="R26" s="187">
        <v>2</v>
      </c>
      <c r="S26" s="187">
        <v>2</v>
      </c>
      <c r="T26" s="187">
        <v>2</v>
      </c>
      <c r="U26" s="187" t="s">
        <v>78</v>
      </c>
      <c r="V26" s="188">
        <f t="shared" ref="V26:V51" si="19">IF(ISBLANK(O26),,(IF(O26=UPPER("IB"),0.005,0.01)))</f>
        <v>0.01</v>
      </c>
      <c r="W26" s="188">
        <f t="shared" ref="W26:W30" si="20">IF(ISBLANK(O26),,IF(O26=UPPER("IB"),8.63*200,15.2*100))</f>
        <v>1520</v>
      </c>
      <c r="X26" s="189" t="s">
        <v>239</v>
      </c>
      <c r="Y26" s="189"/>
      <c r="Z26" s="189" t="s">
        <v>240</v>
      </c>
      <c r="AA26" s="190">
        <v>0.28000000000000003</v>
      </c>
      <c r="AB26" s="186"/>
      <c r="AC26" s="344">
        <v>0.31</v>
      </c>
      <c r="AD26" s="186"/>
      <c r="AE26" s="186" t="s">
        <v>241</v>
      </c>
      <c r="AF26" s="186" t="s">
        <v>242</v>
      </c>
      <c r="AG26" s="186"/>
      <c r="AH26" s="186"/>
      <c r="AI26" s="191">
        <f>-0.03*W26</f>
        <v>-45.6</v>
      </c>
      <c r="AJ26" s="191">
        <f t="shared" si="12"/>
        <v>-91.2</v>
      </c>
      <c r="AK26" s="186" t="s">
        <v>243</v>
      </c>
      <c r="AL26" s="186" t="s">
        <v>244</v>
      </c>
      <c r="AM26" s="186" t="s">
        <v>245</v>
      </c>
      <c r="AN26" s="344" t="s">
        <v>97</v>
      </c>
      <c r="AO26" s="186" t="s">
        <v>246</v>
      </c>
      <c r="AP26" s="193">
        <v>0.26500000000000001</v>
      </c>
      <c r="AQ26" s="193">
        <f t="shared" si="16"/>
        <v>1.5000000000000013E-2</v>
      </c>
      <c r="AR26" s="191">
        <f t="shared" ref="AR26:AR32" si="21">AS26*R26</f>
        <v>45.600000000000037</v>
      </c>
      <c r="AS26" s="194">
        <f t="shared" si="17"/>
        <v>22.800000000000018</v>
      </c>
      <c r="AT26" s="195" t="s">
        <v>77</v>
      </c>
      <c r="AU26" s="425" t="s">
        <v>247</v>
      </c>
      <c r="AV26" s="425" t="s">
        <v>248</v>
      </c>
      <c r="AW26" s="425" t="s">
        <v>249</v>
      </c>
      <c r="AX26" s="425" t="s">
        <v>250</v>
      </c>
      <c r="AY26" s="425" t="s">
        <v>251</v>
      </c>
      <c r="AZ26" s="425"/>
      <c r="BA26" s="425"/>
      <c r="BB26" s="425"/>
      <c r="BC26" s="440"/>
      <c r="BD26" s="404">
        <f>SUM($AS$4:AS26)</f>
        <v>38.369999999999941</v>
      </c>
      <c r="BE26" s="405">
        <f>SUM($AR$4:AR26)</f>
        <v>61.169999999999959</v>
      </c>
      <c r="BF26" s="330"/>
      <c r="BG26" s="330"/>
    </row>
    <row r="27" spans="1:59" ht="18" customHeight="1">
      <c r="A27" s="182" t="s">
        <v>72</v>
      </c>
      <c r="B27" s="181">
        <v>44858</v>
      </c>
      <c r="C27" s="182" t="s">
        <v>252</v>
      </c>
      <c r="D27" s="182" t="s">
        <v>114</v>
      </c>
      <c r="E27" s="183"/>
      <c r="F27" s="184"/>
      <c r="G27" s="185" t="s">
        <v>253</v>
      </c>
      <c r="H27" s="186"/>
      <c r="I27" s="186"/>
      <c r="J27" s="186"/>
      <c r="K27" s="187"/>
      <c r="L27" s="186">
        <v>1</v>
      </c>
      <c r="M27" s="186"/>
      <c r="N27" s="186"/>
      <c r="O27" s="187" t="s">
        <v>76</v>
      </c>
      <c r="P27" s="187" t="s">
        <v>119</v>
      </c>
      <c r="Q27" s="187" t="s">
        <v>78</v>
      </c>
      <c r="R27" s="187">
        <v>1</v>
      </c>
      <c r="S27" s="187">
        <v>1</v>
      </c>
      <c r="T27" s="187">
        <v>1</v>
      </c>
      <c r="U27" s="187" t="s">
        <v>22</v>
      </c>
      <c r="V27" s="188">
        <f t="shared" si="19"/>
        <v>0.01</v>
      </c>
      <c r="W27" s="188">
        <f t="shared" si="20"/>
        <v>1520</v>
      </c>
      <c r="X27" s="189" t="s">
        <v>120</v>
      </c>
      <c r="Y27" s="189"/>
      <c r="Z27" s="189" t="s">
        <v>80</v>
      </c>
      <c r="AA27" s="190">
        <v>-7.0000000000000007E-2</v>
      </c>
      <c r="AB27" s="186"/>
      <c r="AC27" s="344"/>
      <c r="AD27" s="186"/>
      <c r="AE27" s="186"/>
      <c r="AF27" s="186"/>
      <c r="AG27" s="186"/>
      <c r="AH27" s="186"/>
      <c r="AI27" s="191"/>
      <c r="AJ27" s="187"/>
      <c r="AK27" s="186"/>
      <c r="AL27" s="186"/>
      <c r="AM27" s="186"/>
      <c r="AN27" s="344" t="s">
        <v>97</v>
      </c>
      <c r="AO27" s="186" t="s">
        <v>254</v>
      </c>
      <c r="AP27" s="193">
        <v>-7.0000000000000007E-2</v>
      </c>
      <c r="AQ27" s="193">
        <f t="shared" si="16"/>
        <v>0</v>
      </c>
      <c r="AR27" s="191">
        <f t="shared" si="21"/>
        <v>0</v>
      </c>
      <c r="AS27" s="194">
        <f t="shared" si="17"/>
        <v>0</v>
      </c>
      <c r="AT27" s="195" t="s">
        <v>97</v>
      </c>
      <c r="AU27" s="425" t="s">
        <v>255</v>
      </c>
      <c r="AV27" s="425" t="s">
        <v>256</v>
      </c>
      <c r="AW27" s="425" t="s">
        <v>257</v>
      </c>
      <c r="AX27" s="425"/>
      <c r="AY27" s="425"/>
      <c r="AZ27" s="425"/>
      <c r="BA27" s="425"/>
      <c r="BB27" s="425"/>
      <c r="BC27" s="440"/>
      <c r="BD27" s="404">
        <f>SUM($AS$4:AS27)</f>
        <v>38.369999999999941</v>
      </c>
      <c r="BE27" s="405">
        <f>SUM($AR$4:AR27)</f>
        <v>61.169999999999959</v>
      </c>
      <c r="BF27" s="330"/>
      <c r="BG27" s="330"/>
    </row>
    <row r="28" spans="1:59" ht="18" customHeight="1">
      <c r="A28" s="182" t="s">
        <v>72</v>
      </c>
      <c r="B28" s="181">
        <v>44858</v>
      </c>
      <c r="C28" s="182" t="s">
        <v>258</v>
      </c>
      <c r="D28" s="182" t="s">
        <v>114</v>
      </c>
      <c r="E28" s="183"/>
      <c r="F28" s="184"/>
      <c r="G28" s="185" t="s">
        <v>253</v>
      </c>
      <c r="H28" s="186"/>
      <c r="I28" s="186"/>
      <c r="J28" s="186"/>
      <c r="K28" s="187"/>
      <c r="L28" s="186">
        <v>1</v>
      </c>
      <c r="M28" s="186"/>
      <c r="N28" s="186"/>
      <c r="O28" s="187" t="s">
        <v>76</v>
      </c>
      <c r="P28" s="187" t="s">
        <v>119</v>
      </c>
      <c r="Q28" s="187" t="s">
        <v>78</v>
      </c>
      <c r="R28" s="187">
        <v>1</v>
      </c>
      <c r="S28" s="187">
        <v>1</v>
      </c>
      <c r="T28" s="187">
        <v>1</v>
      </c>
      <c r="U28" s="187" t="s">
        <v>22</v>
      </c>
      <c r="V28" s="188">
        <f t="shared" si="19"/>
        <v>0.01</v>
      </c>
      <c r="W28" s="188">
        <f t="shared" si="20"/>
        <v>1520</v>
      </c>
      <c r="X28" s="189" t="s">
        <v>120</v>
      </c>
      <c r="Y28" s="189"/>
      <c r="Z28" s="189" t="s">
        <v>80</v>
      </c>
      <c r="AA28" s="190">
        <v>-7.0000000000000007E-2</v>
      </c>
      <c r="AB28" s="186"/>
      <c r="AC28" s="344"/>
      <c r="AD28" s="186"/>
      <c r="AE28" s="186"/>
      <c r="AF28" s="186"/>
      <c r="AG28" s="186"/>
      <c r="AH28" s="186"/>
      <c r="AI28" s="191"/>
      <c r="AJ28" s="187"/>
      <c r="AK28" s="186"/>
      <c r="AL28" s="186"/>
      <c r="AM28" s="186"/>
      <c r="AN28" s="344" t="s">
        <v>97</v>
      </c>
      <c r="AO28" s="186" t="s">
        <v>259</v>
      </c>
      <c r="AP28" s="193">
        <v>-7.0000000000000007E-2</v>
      </c>
      <c r="AQ28" s="193">
        <f t="shared" si="16"/>
        <v>0</v>
      </c>
      <c r="AR28" s="191">
        <f t="shared" si="21"/>
        <v>0</v>
      </c>
      <c r="AS28" s="194">
        <f t="shared" si="17"/>
        <v>0</v>
      </c>
      <c r="AT28" s="195" t="s">
        <v>97</v>
      </c>
      <c r="AU28" s="425" t="s">
        <v>255</v>
      </c>
      <c r="AV28" s="425" t="s">
        <v>260</v>
      </c>
      <c r="AW28" s="425" t="s">
        <v>257</v>
      </c>
      <c r="AX28" s="425"/>
      <c r="AY28" s="425"/>
      <c r="AZ28" s="425"/>
      <c r="BA28" s="425"/>
      <c r="BB28" s="425"/>
      <c r="BC28" s="440"/>
      <c r="BD28" s="404">
        <f>SUM($AS$4:AS28)</f>
        <v>38.369999999999941</v>
      </c>
      <c r="BE28" s="405">
        <f>SUM($AR$4:AR28)</f>
        <v>61.169999999999959</v>
      </c>
      <c r="BF28" s="330"/>
      <c r="BG28" s="330"/>
    </row>
    <row r="29" spans="1:59" ht="18" customHeight="1">
      <c r="A29" s="182" t="s">
        <v>72</v>
      </c>
      <c r="B29" s="181">
        <v>44858</v>
      </c>
      <c r="C29" s="182" t="s">
        <v>261</v>
      </c>
      <c r="D29" s="182" t="s">
        <v>114</v>
      </c>
      <c r="E29" s="183"/>
      <c r="F29" s="184"/>
      <c r="G29" s="185" t="s">
        <v>262</v>
      </c>
      <c r="H29" s="186"/>
      <c r="I29" s="186"/>
      <c r="J29" s="186"/>
      <c r="K29" s="187"/>
      <c r="L29" s="186">
        <v>1</v>
      </c>
      <c r="M29" s="186"/>
      <c r="N29" s="186"/>
      <c r="O29" s="187" t="s">
        <v>76</v>
      </c>
      <c r="P29" s="187" t="s">
        <v>119</v>
      </c>
      <c r="Q29" s="187" t="s">
        <v>78</v>
      </c>
      <c r="R29" s="187">
        <v>1</v>
      </c>
      <c r="S29" s="187">
        <v>1</v>
      </c>
      <c r="T29" s="187">
        <v>1</v>
      </c>
      <c r="U29" s="187" t="s">
        <v>22</v>
      </c>
      <c r="V29" s="188">
        <f t="shared" si="19"/>
        <v>0.01</v>
      </c>
      <c r="W29" s="188">
        <f t="shared" si="20"/>
        <v>1520</v>
      </c>
      <c r="X29" s="189" t="s">
        <v>263</v>
      </c>
      <c r="Y29" s="189"/>
      <c r="Z29" s="189" t="s">
        <v>80</v>
      </c>
      <c r="AA29" s="190">
        <v>-7.0000000000000007E-2</v>
      </c>
      <c r="AB29" s="186"/>
      <c r="AC29" s="344">
        <v>-0.1</v>
      </c>
      <c r="AD29" s="186"/>
      <c r="AE29" s="186">
        <v>-0.06</v>
      </c>
      <c r="AF29" s="186"/>
      <c r="AG29" s="186"/>
      <c r="AH29" s="186"/>
      <c r="AI29" s="191">
        <f t="shared" ref="AI29:AI35" si="22">-0.03*W29</f>
        <v>-45.6</v>
      </c>
      <c r="AJ29" s="191">
        <f t="shared" ref="AJ29:AJ35" si="23">AI29*R29</f>
        <v>-45.6</v>
      </c>
      <c r="AK29" s="186" t="s">
        <v>154</v>
      </c>
      <c r="AL29" s="186"/>
      <c r="AM29" s="186" t="s">
        <v>220</v>
      </c>
      <c r="AN29" s="344" t="s">
        <v>87</v>
      </c>
      <c r="AO29" s="186" t="s">
        <v>264</v>
      </c>
      <c r="AP29" s="193">
        <v>-0.06</v>
      </c>
      <c r="AQ29" s="193">
        <f t="shared" si="16"/>
        <v>1.0000000000000009E-2</v>
      </c>
      <c r="AR29" s="191">
        <f t="shared" si="21"/>
        <v>15.200000000000014</v>
      </c>
      <c r="AS29" s="194">
        <f t="shared" si="17"/>
        <v>15.200000000000014</v>
      </c>
      <c r="AT29" s="195" t="s">
        <v>77</v>
      </c>
      <c r="AU29" s="425" t="s">
        <v>255</v>
      </c>
      <c r="AV29" s="425" t="s">
        <v>265</v>
      </c>
      <c r="AW29" s="425"/>
      <c r="AX29" s="425"/>
      <c r="AY29" s="425"/>
      <c r="AZ29" s="425"/>
      <c r="BA29" s="425"/>
      <c r="BB29" s="425"/>
      <c r="BC29" s="440"/>
      <c r="BD29" s="404">
        <f>SUM($AS$4:AS29)</f>
        <v>53.569999999999951</v>
      </c>
      <c r="BE29" s="405">
        <f>SUM($AR$4:AR29)</f>
        <v>76.369999999999976</v>
      </c>
      <c r="BF29" s="330"/>
      <c r="BG29" s="330"/>
    </row>
    <row r="30" spans="1:59" ht="18" customHeight="1">
      <c r="A30" s="182" t="s">
        <v>72</v>
      </c>
      <c r="B30" s="181">
        <v>44858</v>
      </c>
      <c r="C30" s="182"/>
      <c r="D30" s="182" t="s">
        <v>266</v>
      </c>
      <c r="E30" s="183"/>
      <c r="F30" s="184"/>
      <c r="G30" s="185" t="s">
        <v>262</v>
      </c>
      <c r="H30" s="186"/>
      <c r="I30" s="186"/>
      <c r="J30" s="186"/>
      <c r="K30" s="187"/>
      <c r="L30" s="186"/>
      <c r="M30" s="186"/>
      <c r="N30" s="186"/>
      <c r="O30" s="187" t="s">
        <v>76</v>
      </c>
      <c r="P30" s="187" t="s">
        <v>119</v>
      </c>
      <c r="Q30" s="187" t="s">
        <v>78</v>
      </c>
      <c r="R30" s="187">
        <v>2</v>
      </c>
      <c r="S30" s="187">
        <v>2</v>
      </c>
      <c r="T30" s="187">
        <v>2</v>
      </c>
      <c r="U30" s="187" t="s">
        <v>22</v>
      </c>
      <c r="V30" s="188">
        <f t="shared" si="19"/>
        <v>0.01</v>
      </c>
      <c r="W30" s="188">
        <f t="shared" si="20"/>
        <v>1520</v>
      </c>
      <c r="X30" s="189" t="s">
        <v>267</v>
      </c>
      <c r="Y30" s="189"/>
      <c r="Z30" s="189" t="s">
        <v>80</v>
      </c>
      <c r="AA30" s="190">
        <v>-7.0000000000000007E-2</v>
      </c>
      <c r="AB30" s="186"/>
      <c r="AC30" s="344"/>
      <c r="AD30" s="186"/>
      <c r="AE30" s="186"/>
      <c r="AF30" s="186"/>
      <c r="AG30" s="186"/>
      <c r="AH30" s="186"/>
      <c r="AI30" s="191">
        <f t="shared" si="22"/>
        <v>-45.6</v>
      </c>
      <c r="AJ30" s="191">
        <f t="shared" si="23"/>
        <v>-91.2</v>
      </c>
      <c r="AK30" s="186"/>
      <c r="AL30" s="186"/>
      <c r="AM30" s="186"/>
      <c r="AN30" s="344"/>
      <c r="AO30" s="186"/>
      <c r="AP30" s="193">
        <v>-7.0000000000000007E-2</v>
      </c>
      <c r="AQ30" s="193">
        <f t="shared" si="16"/>
        <v>0</v>
      </c>
      <c r="AR30" s="191">
        <f t="shared" si="21"/>
        <v>0</v>
      </c>
      <c r="AS30" s="194">
        <f t="shared" si="17"/>
        <v>0</v>
      </c>
      <c r="AT30" s="195" t="s">
        <v>97</v>
      </c>
      <c r="AU30" s="425" t="s">
        <v>268</v>
      </c>
      <c r="AV30" s="425"/>
      <c r="AW30" s="425"/>
      <c r="AX30" s="425"/>
      <c r="AY30" s="425"/>
      <c r="AZ30" s="425"/>
      <c r="BA30" s="425"/>
      <c r="BB30" s="425"/>
      <c r="BC30" s="440"/>
      <c r="BD30" s="404">
        <f>SUM($AS$4:AS30)</f>
        <v>53.569999999999951</v>
      </c>
      <c r="BE30" s="405">
        <f>SUM($AR$4:AR30)</f>
        <v>76.369999999999976</v>
      </c>
      <c r="BF30" s="330"/>
      <c r="BG30" s="330"/>
    </row>
    <row r="31" spans="1:59" ht="18" customHeight="1">
      <c r="A31" s="182" t="s">
        <v>72</v>
      </c>
      <c r="B31" s="181">
        <v>44859</v>
      </c>
      <c r="C31" s="182" t="s">
        <v>269</v>
      </c>
      <c r="D31" s="182" t="s">
        <v>128</v>
      </c>
      <c r="E31" s="183"/>
      <c r="F31" s="184"/>
      <c r="G31" s="185" t="s">
        <v>262</v>
      </c>
      <c r="H31" s="186"/>
      <c r="I31" s="186"/>
      <c r="J31" s="186"/>
      <c r="K31" s="187"/>
      <c r="L31" s="186">
        <v>1</v>
      </c>
      <c r="M31" s="186"/>
      <c r="N31" s="186"/>
      <c r="O31" s="187" t="s">
        <v>76</v>
      </c>
      <c r="P31" s="187" t="s">
        <v>119</v>
      </c>
      <c r="Q31" s="187" t="s">
        <v>78</v>
      </c>
      <c r="R31" s="187">
        <v>1</v>
      </c>
      <c r="S31" s="187">
        <v>1</v>
      </c>
      <c r="T31" s="187">
        <v>1</v>
      </c>
      <c r="U31" s="187" t="s">
        <v>22</v>
      </c>
      <c r="V31" s="188">
        <f t="shared" si="19"/>
        <v>0.01</v>
      </c>
      <c r="W31" s="188">
        <f>IF(ISBLANK(O31),,IF(O31=UPPER("IB"),8.63*200,15.3*100))</f>
        <v>1530</v>
      </c>
      <c r="X31" s="189" t="s">
        <v>120</v>
      </c>
      <c r="Y31" s="189"/>
      <c r="Z31" s="189" t="s">
        <v>80</v>
      </c>
      <c r="AA31" s="190">
        <v>-0.08</v>
      </c>
      <c r="AB31" s="186"/>
      <c r="AC31" s="344"/>
      <c r="AD31" s="186"/>
      <c r="AE31" s="186"/>
      <c r="AF31" s="186"/>
      <c r="AG31" s="186" t="s">
        <v>270</v>
      </c>
      <c r="AH31" s="186"/>
      <c r="AI31" s="191">
        <f t="shared" si="22"/>
        <v>-45.9</v>
      </c>
      <c r="AJ31" s="191">
        <f t="shared" si="23"/>
        <v>-45.9</v>
      </c>
      <c r="AK31" s="186"/>
      <c r="AL31" s="186"/>
      <c r="AM31" s="186" t="s">
        <v>271</v>
      </c>
      <c r="AN31" s="344" t="s">
        <v>87</v>
      </c>
      <c r="AO31" s="186" t="s">
        <v>272</v>
      </c>
      <c r="AP31" s="193">
        <v>-7.0000000000000007E-2</v>
      </c>
      <c r="AQ31" s="193">
        <f t="shared" si="16"/>
        <v>9.999999999999995E-3</v>
      </c>
      <c r="AR31" s="191">
        <f t="shared" si="21"/>
        <v>15.299999999999992</v>
      </c>
      <c r="AS31" s="194">
        <f t="shared" si="17"/>
        <v>15.299999999999992</v>
      </c>
      <c r="AT31" s="195" t="s">
        <v>77</v>
      </c>
      <c r="AU31" s="444"/>
      <c r="AV31" s="425"/>
      <c r="AW31" s="425" t="s">
        <v>273</v>
      </c>
      <c r="AX31" s="425"/>
      <c r="AY31" s="425"/>
      <c r="AZ31" s="425"/>
      <c r="BA31" s="425"/>
      <c r="BB31" s="425"/>
      <c r="BC31" s="440"/>
      <c r="BD31" s="404">
        <f>SUM($AS$4:AS31)</f>
        <v>68.869999999999948</v>
      </c>
      <c r="BE31" s="405">
        <f>SUM($AR$4:AR31)</f>
        <v>91.669999999999973</v>
      </c>
      <c r="BF31" s="330"/>
      <c r="BG31" s="330"/>
    </row>
    <row r="32" spans="1:59" ht="18" customHeight="1">
      <c r="A32" s="182" t="s">
        <v>72</v>
      </c>
      <c r="B32" s="181">
        <v>44859</v>
      </c>
      <c r="C32" s="182" t="s">
        <v>274</v>
      </c>
      <c r="D32" s="182" t="s">
        <v>128</v>
      </c>
      <c r="E32" s="183"/>
      <c r="F32" s="184"/>
      <c r="G32" s="185" t="s">
        <v>253</v>
      </c>
      <c r="H32" s="186"/>
      <c r="I32" s="186"/>
      <c r="J32" s="186"/>
      <c r="K32" s="187"/>
      <c r="L32" s="186">
        <v>1</v>
      </c>
      <c r="M32" s="186"/>
      <c r="N32" s="186"/>
      <c r="O32" s="187" t="s">
        <v>76</v>
      </c>
      <c r="P32" s="187" t="s">
        <v>119</v>
      </c>
      <c r="Q32" s="187" t="s">
        <v>78</v>
      </c>
      <c r="R32" s="187">
        <v>1</v>
      </c>
      <c r="S32" s="187">
        <v>1</v>
      </c>
      <c r="T32" s="187">
        <v>1</v>
      </c>
      <c r="U32" s="187" t="s">
        <v>22</v>
      </c>
      <c r="V32" s="188">
        <f t="shared" si="19"/>
        <v>0.01</v>
      </c>
      <c r="W32" s="188">
        <f t="shared" ref="W32:W39" si="24">IF(ISBLANK(O32),,IF(O32=UPPER("IB"),8.63*200,15.2*100))</f>
        <v>1520</v>
      </c>
      <c r="X32" s="189" t="s">
        <v>120</v>
      </c>
      <c r="Y32" s="189"/>
      <c r="Z32" s="189" t="s">
        <v>80</v>
      </c>
      <c r="AA32" s="190">
        <v>-0.08</v>
      </c>
      <c r="AB32" s="186"/>
      <c r="AC32" s="344"/>
      <c r="AD32" s="186"/>
      <c r="AE32" s="186"/>
      <c r="AF32" s="186"/>
      <c r="AG32" s="186"/>
      <c r="AH32" s="186"/>
      <c r="AI32" s="191">
        <f t="shared" si="22"/>
        <v>-45.6</v>
      </c>
      <c r="AJ32" s="191">
        <f t="shared" si="23"/>
        <v>-45.6</v>
      </c>
      <c r="AK32" s="186"/>
      <c r="AL32" s="186"/>
      <c r="AM32" s="186" t="s">
        <v>275</v>
      </c>
      <c r="AN32" s="344" t="s">
        <v>87</v>
      </c>
      <c r="AO32" s="186" t="s">
        <v>276</v>
      </c>
      <c r="AP32" s="193">
        <v>-7.0000000000000007E-2</v>
      </c>
      <c r="AQ32" s="193">
        <f t="shared" si="16"/>
        <v>9.999999999999995E-3</v>
      </c>
      <c r="AR32" s="191">
        <f t="shared" si="21"/>
        <v>15.199999999999992</v>
      </c>
      <c r="AS32" s="194">
        <f t="shared" si="17"/>
        <v>15.199999999999992</v>
      </c>
      <c r="AT32" s="195" t="s">
        <v>77</v>
      </c>
      <c r="AU32" s="425" t="s">
        <v>257</v>
      </c>
      <c r="AV32" s="425"/>
      <c r="AW32" s="425"/>
      <c r="AX32" s="425"/>
      <c r="AY32" s="425"/>
      <c r="AZ32" s="425"/>
      <c r="BA32" s="425"/>
      <c r="BB32" s="425"/>
      <c r="BC32" s="440"/>
      <c r="BD32" s="404">
        <f>SUM($AS$4:AS32)</f>
        <v>84.069999999999936</v>
      </c>
      <c r="BE32" s="405">
        <f>SUM($AR$4:AR32)</f>
        <v>106.86999999999996</v>
      </c>
      <c r="BF32" s="330"/>
      <c r="BG32" s="330"/>
    </row>
    <row r="33" spans="1:59" ht="18" customHeight="1">
      <c r="A33" s="182" t="s">
        <v>72</v>
      </c>
      <c r="B33" s="181">
        <v>44860</v>
      </c>
      <c r="C33" s="182"/>
      <c r="D33" s="182" t="s">
        <v>133</v>
      </c>
      <c r="E33" s="183" t="s">
        <v>277</v>
      </c>
      <c r="F33" s="184" t="s">
        <v>278</v>
      </c>
      <c r="G33" s="202"/>
      <c r="H33" s="186">
        <v>1</v>
      </c>
      <c r="I33" s="186"/>
      <c r="J33" s="186"/>
      <c r="K33" s="187"/>
      <c r="L33" s="186"/>
      <c r="M33" s="186"/>
      <c r="N33" s="186"/>
      <c r="O33" s="187"/>
      <c r="P33" s="187"/>
      <c r="Q33" s="187"/>
      <c r="R33" s="187"/>
      <c r="S33" s="187"/>
      <c r="T33" s="187"/>
      <c r="U33" s="187"/>
      <c r="V33" s="188">
        <f t="shared" si="19"/>
        <v>0</v>
      </c>
      <c r="W33" s="188">
        <f t="shared" si="24"/>
        <v>0</v>
      </c>
      <c r="X33" s="189"/>
      <c r="Y33" s="189"/>
      <c r="Z33" s="189"/>
      <c r="AA33" s="190"/>
      <c r="AB33" s="186"/>
      <c r="AC33" s="344"/>
      <c r="AD33" s="186"/>
      <c r="AE33" s="186"/>
      <c r="AF33" s="186"/>
      <c r="AG33" s="186"/>
      <c r="AH33" s="186"/>
      <c r="AI33" s="191">
        <f t="shared" si="22"/>
        <v>0</v>
      </c>
      <c r="AJ33" s="191">
        <f t="shared" si="23"/>
        <v>0</v>
      </c>
      <c r="AK33" s="186"/>
      <c r="AL33" s="186"/>
      <c r="AM33" s="186"/>
      <c r="AN33" s="344"/>
      <c r="AO33" s="186"/>
      <c r="AP33" s="193"/>
      <c r="AQ33" s="186"/>
      <c r="AR33" s="191"/>
      <c r="AS33" s="194"/>
      <c r="AT33" s="195"/>
      <c r="AU33" s="425" t="s">
        <v>279</v>
      </c>
      <c r="AV33" s="425" t="s">
        <v>280</v>
      </c>
      <c r="AW33" s="427" t="s">
        <v>281</v>
      </c>
      <c r="AX33" s="427" t="s">
        <v>282</v>
      </c>
      <c r="AY33" s="425" t="s">
        <v>283</v>
      </c>
      <c r="AZ33" s="425"/>
      <c r="BA33" s="425" t="s">
        <v>284</v>
      </c>
      <c r="BB33" s="425"/>
      <c r="BC33" s="440"/>
      <c r="BD33" s="404">
        <f>SUM($AS$4:AS33)</f>
        <v>84.069999999999936</v>
      </c>
      <c r="BE33" s="405">
        <f>SUM($AR$4:AR33)</f>
        <v>106.86999999999996</v>
      </c>
      <c r="BF33" s="330"/>
      <c r="BG33" s="330"/>
    </row>
    <row r="34" spans="1:59" ht="18" customHeight="1">
      <c r="A34" s="182" t="s">
        <v>72</v>
      </c>
      <c r="B34" s="181"/>
      <c r="C34" s="182"/>
      <c r="D34" s="182"/>
      <c r="E34" s="183" t="s">
        <v>285</v>
      </c>
      <c r="F34" s="184"/>
      <c r="G34" s="185"/>
      <c r="H34" s="186">
        <v>1</v>
      </c>
      <c r="I34" s="186"/>
      <c r="J34" s="186"/>
      <c r="K34" s="187"/>
      <c r="L34" s="186"/>
      <c r="M34" s="186"/>
      <c r="N34" s="186"/>
      <c r="O34" s="187"/>
      <c r="P34" s="187"/>
      <c r="Q34" s="187"/>
      <c r="R34" s="187"/>
      <c r="S34" s="187"/>
      <c r="T34" s="187"/>
      <c r="U34" s="187"/>
      <c r="V34" s="188">
        <f t="shared" si="19"/>
        <v>0</v>
      </c>
      <c r="W34" s="188">
        <f t="shared" si="24"/>
        <v>0</v>
      </c>
      <c r="X34" s="189"/>
      <c r="Y34" s="189"/>
      <c r="Z34" s="189"/>
      <c r="AA34" s="190"/>
      <c r="AB34" s="186"/>
      <c r="AC34" s="344"/>
      <c r="AD34" s="186"/>
      <c r="AE34" s="186"/>
      <c r="AF34" s="186"/>
      <c r="AG34" s="186"/>
      <c r="AH34" s="186"/>
      <c r="AI34" s="191">
        <f t="shared" si="22"/>
        <v>0</v>
      </c>
      <c r="AJ34" s="191">
        <f t="shared" si="23"/>
        <v>0</v>
      </c>
      <c r="AK34" s="186"/>
      <c r="AL34" s="186"/>
      <c r="AM34" s="186"/>
      <c r="AN34" s="344"/>
      <c r="AO34" s="186"/>
      <c r="AP34" s="193"/>
      <c r="AQ34" s="186"/>
      <c r="AR34" s="191"/>
      <c r="AS34" s="194"/>
      <c r="AT34" s="195"/>
      <c r="AU34" s="425"/>
      <c r="AV34" s="425"/>
      <c r="AW34" s="425"/>
      <c r="AX34" s="425" t="s">
        <v>286</v>
      </c>
      <c r="AY34" s="425" t="s">
        <v>287</v>
      </c>
      <c r="AZ34" s="425"/>
      <c r="BA34" s="425"/>
      <c r="BB34" s="425"/>
      <c r="BC34" s="440"/>
      <c r="BD34" s="404">
        <f>SUM($AS$4:AS34)</f>
        <v>84.069999999999936</v>
      </c>
      <c r="BE34" s="405">
        <f>SUM($AR$4:AR34)</f>
        <v>106.86999999999996</v>
      </c>
      <c r="BF34" s="330"/>
      <c r="BG34" s="330"/>
    </row>
    <row r="35" spans="1:59" ht="18" customHeight="1">
      <c r="A35" s="182" t="s">
        <v>72</v>
      </c>
      <c r="B35" s="181">
        <v>44860</v>
      </c>
      <c r="C35" s="182"/>
      <c r="D35" s="182" t="s">
        <v>133</v>
      </c>
      <c r="E35" s="183"/>
      <c r="F35" s="184"/>
      <c r="G35" s="185" t="s">
        <v>237</v>
      </c>
      <c r="H35" s="186"/>
      <c r="I35" s="186"/>
      <c r="J35" s="186"/>
      <c r="K35" s="187"/>
      <c r="L35" s="186"/>
      <c r="M35" s="186"/>
      <c r="N35" s="186"/>
      <c r="O35" s="187" t="s">
        <v>76</v>
      </c>
      <c r="P35" s="187" t="s">
        <v>77</v>
      </c>
      <c r="Q35" s="187" t="s">
        <v>238</v>
      </c>
      <c r="R35" s="187"/>
      <c r="S35" s="187"/>
      <c r="T35" s="187"/>
      <c r="U35" s="187" t="s">
        <v>22</v>
      </c>
      <c r="V35" s="188">
        <f t="shared" si="19"/>
        <v>0.01</v>
      </c>
      <c r="W35" s="188">
        <f t="shared" si="24"/>
        <v>1520</v>
      </c>
      <c r="X35" s="189"/>
      <c r="Y35" s="189"/>
      <c r="Z35" s="189"/>
      <c r="AA35" s="190">
        <v>0.25</v>
      </c>
      <c r="AB35" s="186"/>
      <c r="AC35" s="344"/>
      <c r="AD35" s="186"/>
      <c r="AE35" s="186"/>
      <c r="AF35" s="186"/>
      <c r="AG35" s="186"/>
      <c r="AH35" s="186"/>
      <c r="AI35" s="191">
        <f t="shared" si="22"/>
        <v>-45.6</v>
      </c>
      <c r="AJ35" s="191">
        <f t="shared" si="23"/>
        <v>0</v>
      </c>
      <c r="AK35" s="186"/>
      <c r="AL35" s="186"/>
      <c r="AM35" s="186"/>
      <c r="AN35" s="344" t="s">
        <v>87</v>
      </c>
      <c r="AO35" s="186"/>
      <c r="AP35" s="193">
        <v>0.25</v>
      </c>
      <c r="AQ35" s="193">
        <f t="shared" ref="AQ35:AQ51" si="25">IF(ISBLANK(AP35),,IF(U35="S",AA35-AP35,AP35-AA35))</f>
        <v>0</v>
      </c>
      <c r="AR35" s="191">
        <f>AS35*R35</f>
        <v>0</v>
      </c>
      <c r="AS35" s="194">
        <f t="shared" ref="AS35:AS51" si="26">IF(ISBLANK(AP35),,(AQ35*W35))</f>
        <v>0</v>
      </c>
      <c r="AT35" s="195" t="s">
        <v>97</v>
      </c>
      <c r="AU35" s="425" t="s">
        <v>288</v>
      </c>
      <c r="AV35" s="425"/>
      <c r="AW35" s="425"/>
      <c r="AX35" s="425"/>
      <c r="AY35" s="425"/>
      <c r="AZ35" s="425"/>
      <c r="BA35" s="425"/>
      <c r="BB35" s="425"/>
      <c r="BC35" s="440"/>
      <c r="BD35" s="404">
        <f>SUM($AS$4:AS35)</f>
        <v>84.069999999999936</v>
      </c>
      <c r="BE35" s="405">
        <f>SUM($AR$4:AR35)</f>
        <v>106.86999999999996</v>
      </c>
      <c r="BF35" s="330"/>
      <c r="BG35" s="330"/>
    </row>
    <row r="36" spans="1:59" ht="18" customHeight="1">
      <c r="A36" s="182" t="s">
        <v>72</v>
      </c>
      <c r="B36" s="181">
        <v>44861</v>
      </c>
      <c r="C36" s="182" t="s">
        <v>289</v>
      </c>
      <c r="D36" s="182" t="s">
        <v>74</v>
      </c>
      <c r="E36" s="183" t="s">
        <v>290</v>
      </c>
      <c r="F36" s="184" t="s">
        <v>291</v>
      </c>
      <c r="G36" s="185"/>
      <c r="H36" s="186"/>
      <c r="I36" s="186"/>
      <c r="J36" s="186"/>
      <c r="K36" s="187"/>
      <c r="L36" s="186"/>
      <c r="M36" s="186"/>
      <c r="N36" s="186"/>
      <c r="O36" s="187"/>
      <c r="P36" s="187"/>
      <c r="Q36" s="187"/>
      <c r="R36" s="187"/>
      <c r="S36" s="187"/>
      <c r="T36" s="187"/>
      <c r="U36" s="187"/>
      <c r="V36" s="188">
        <f t="shared" si="19"/>
        <v>0</v>
      </c>
      <c r="W36" s="188">
        <f t="shared" si="24"/>
        <v>0</v>
      </c>
      <c r="X36" s="189"/>
      <c r="Y36" s="189"/>
      <c r="Z36" s="189"/>
      <c r="AA36" s="190"/>
      <c r="AB36" s="186"/>
      <c r="AC36" s="344"/>
      <c r="AD36" s="186"/>
      <c r="AE36" s="186"/>
      <c r="AF36" s="186"/>
      <c r="AG36" s="186"/>
      <c r="AH36" s="186"/>
      <c r="AI36" s="191"/>
      <c r="AJ36" s="187"/>
      <c r="AK36" s="186"/>
      <c r="AL36" s="186"/>
      <c r="AM36" s="186"/>
      <c r="AN36" s="344"/>
      <c r="AO36" s="186"/>
      <c r="AP36" s="193"/>
      <c r="AQ36" s="186"/>
      <c r="AR36" s="191"/>
      <c r="AS36" s="194"/>
      <c r="AT36" s="195"/>
      <c r="AU36" s="425"/>
      <c r="AV36" s="425"/>
      <c r="AW36" s="425"/>
      <c r="AX36" s="427" t="s">
        <v>292</v>
      </c>
      <c r="AY36" s="425"/>
      <c r="AZ36" s="425"/>
      <c r="BA36" s="425"/>
      <c r="BB36" s="425"/>
      <c r="BC36" s="440"/>
      <c r="BD36" s="404">
        <f>SUM($AS$4:AS36)</f>
        <v>84.069999999999936</v>
      </c>
      <c r="BE36" s="405">
        <f>SUM($AR$4:AR36)</f>
        <v>106.86999999999996</v>
      </c>
      <c r="BF36" s="330"/>
      <c r="BG36" s="330"/>
    </row>
    <row r="37" spans="1:59" ht="18" customHeight="1">
      <c r="A37" s="182" t="s">
        <v>72</v>
      </c>
      <c r="B37" s="181">
        <v>44861</v>
      </c>
      <c r="C37" s="182" t="s">
        <v>293</v>
      </c>
      <c r="D37" s="182" t="s">
        <v>74</v>
      </c>
      <c r="E37" s="183" t="s">
        <v>294</v>
      </c>
      <c r="F37" s="184"/>
      <c r="G37" s="185"/>
      <c r="H37" s="186"/>
      <c r="I37" s="186">
        <v>1</v>
      </c>
      <c r="J37" s="186"/>
      <c r="K37" s="187"/>
      <c r="L37" s="186"/>
      <c r="M37" s="186"/>
      <c r="N37" s="186"/>
      <c r="O37" s="187"/>
      <c r="P37" s="187"/>
      <c r="Q37" s="187"/>
      <c r="R37" s="187"/>
      <c r="S37" s="187"/>
      <c r="T37" s="187"/>
      <c r="U37" s="187"/>
      <c r="V37" s="188">
        <f t="shared" si="19"/>
        <v>0</v>
      </c>
      <c r="W37" s="188">
        <f t="shared" si="24"/>
        <v>0</v>
      </c>
      <c r="X37" s="189"/>
      <c r="Y37" s="189"/>
      <c r="Z37" s="189"/>
      <c r="AA37" s="190"/>
      <c r="AB37" s="186"/>
      <c r="AC37" s="344"/>
      <c r="AD37" s="186"/>
      <c r="AE37" s="186"/>
      <c r="AF37" s="186"/>
      <c r="AG37" s="186"/>
      <c r="AH37" s="186"/>
      <c r="AI37" s="191"/>
      <c r="AJ37" s="187"/>
      <c r="AK37" s="186"/>
      <c r="AL37" s="186"/>
      <c r="AM37" s="186"/>
      <c r="AN37" s="344"/>
      <c r="AO37" s="186"/>
      <c r="AP37" s="193"/>
      <c r="AQ37" s="186"/>
      <c r="AR37" s="191"/>
      <c r="AS37" s="194"/>
      <c r="AT37" s="195"/>
      <c r="AU37" s="425"/>
      <c r="AV37" s="425"/>
      <c r="AW37" s="425"/>
      <c r="AX37" s="425"/>
      <c r="AY37" s="425"/>
      <c r="AZ37" s="425"/>
      <c r="BA37" s="425"/>
      <c r="BB37" s="425"/>
      <c r="BC37" s="440"/>
      <c r="BD37" s="404">
        <f>SUM($AS$4:AS37)</f>
        <v>84.069999999999936</v>
      </c>
      <c r="BE37" s="405">
        <f>SUM($AR$4:AR37)</f>
        <v>106.86999999999996</v>
      </c>
      <c r="BF37" s="330"/>
      <c r="BG37" s="330"/>
    </row>
    <row r="38" spans="1:59" ht="18" customHeight="1">
      <c r="A38" s="182" t="s">
        <v>72</v>
      </c>
      <c r="B38" s="181">
        <v>44861</v>
      </c>
      <c r="C38" s="198">
        <v>0.75</v>
      </c>
      <c r="D38" s="182" t="s">
        <v>74</v>
      </c>
      <c r="E38" s="183" t="s">
        <v>295</v>
      </c>
      <c r="F38" s="184" t="s">
        <v>296</v>
      </c>
      <c r="G38" s="185"/>
      <c r="H38" s="186">
        <v>1</v>
      </c>
      <c r="I38" s="186"/>
      <c r="J38" s="186"/>
      <c r="K38" s="187" t="s">
        <v>97</v>
      </c>
      <c r="L38" s="186"/>
      <c r="M38" s="186"/>
      <c r="N38" s="186"/>
      <c r="O38" s="187"/>
      <c r="P38" s="187"/>
      <c r="Q38" s="187"/>
      <c r="R38" s="187"/>
      <c r="S38" s="187"/>
      <c r="T38" s="187"/>
      <c r="U38" s="187"/>
      <c r="V38" s="188">
        <f t="shared" si="19"/>
        <v>0</v>
      </c>
      <c r="W38" s="188">
        <f t="shared" si="24"/>
        <v>0</v>
      </c>
      <c r="X38" s="189"/>
      <c r="Y38" s="189"/>
      <c r="Z38" s="189"/>
      <c r="AA38" s="190"/>
      <c r="AB38" s="186"/>
      <c r="AC38" s="344"/>
      <c r="AD38" s="186"/>
      <c r="AE38" s="186"/>
      <c r="AF38" s="186"/>
      <c r="AG38" s="186"/>
      <c r="AH38" s="186"/>
      <c r="AI38" s="191"/>
      <c r="AJ38" s="187"/>
      <c r="AK38" s="186"/>
      <c r="AL38" s="186"/>
      <c r="AM38" s="186"/>
      <c r="AN38" s="344"/>
      <c r="AO38" s="186"/>
      <c r="AP38" s="193"/>
      <c r="AQ38" s="186"/>
      <c r="AR38" s="191"/>
      <c r="AS38" s="194"/>
      <c r="AT38" s="195"/>
      <c r="AU38" s="425"/>
      <c r="AV38" s="425"/>
      <c r="AW38" s="425"/>
      <c r="AX38" s="425"/>
      <c r="AY38" s="425"/>
      <c r="AZ38" s="425"/>
      <c r="BA38" s="425"/>
      <c r="BB38" s="425"/>
      <c r="BC38" s="440"/>
      <c r="BD38" s="404">
        <f>SUM($AS$4:AS38)</f>
        <v>84.069999999999936</v>
      </c>
      <c r="BE38" s="405">
        <f>SUM($AR$4:AR38)</f>
        <v>106.86999999999996</v>
      </c>
      <c r="BF38" s="330"/>
      <c r="BG38" s="330"/>
    </row>
    <row r="39" spans="1:59" ht="18" customHeight="1">
      <c r="A39" s="181" t="s">
        <v>72</v>
      </c>
      <c r="B39" s="181">
        <v>44862</v>
      </c>
      <c r="C39" s="198">
        <v>0.25</v>
      </c>
      <c r="D39" s="182" t="s">
        <v>93</v>
      </c>
      <c r="E39" s="183" t="s">
        <v>297</v>
      </c>
      <c r="F39" s="184"/>
      <c r="G39" s="185"/>
      <c r="H39" s="186"/>
      <c r="I39" s="186"/>
      <c r="J39" s="186"/>
      <c r="K39" s="187"/>
      <c r="L39" s="186"/>
      <c r="M39" s="186"/>
      <c r="N39" s="186"/>
      <c r="O39" s="187"/>
      <c r="P39" s="187"/>
      <c r="Q39" s="187"/>
      <c r="R39" s="187"/>
      <c r="S39" s="187"/>
      <c r="T39" s="187"/>
      <c r="U39" s="187"/>
      <c r="V39" s="188">
        <f t="shared" si="19"/>
        <v>0</v>
      </c>
      <c r="W39" s="188">
        <f t="shared" si="24"/>
        <v>0</v>
      </c>
      <c r="X39" s="189"/>
      <c r="Y39" s="189"/>
      <c r="Z39" s="189"/>
      <c r="AA39" s="190"/>
      <c r="AB39" s="186"/>
      <c r="AC39" s="344"/>
      <c r="AD39" s="186"/>
      <c r="AE39" s="186"/>
      <c r="AF39" s="186"/>
      <c r="AG39" s="186"/>
      <c r="AH39" s="186"/>
      <c r="AI39" s="191"/>
      <c r="AJ39" s="187"/>
      <c r="AK39" s="186"/>
      <c r="AL39" s="186"/>
      <c r="AM39" s="186"/>
      <c r="AN39" s="344"/>
      <c r="AO39" s="186"/>
      <c r="AP39" s="193"/>
      <c r="AQ39" s="186"/>
      <c r="AR39" s="191"/>
      <c r="AS39" s="194"/>
      <c r="AT39" s="195"/>
      <c r="AU39" s="425"/>
      <c r="AV39" s="425"/>
      <c r="AW39" s="425"/>
      <c r="AX39" s="425"/>
      <c r="AY39" s="425"/>
      <c r="AZ39" s="425"/>
      <c r="BA39" s="425"/>
      <c r="BB39" s="425"/>
      <c r="BC39" s="440"/>
      <c r="BD39" s="404">
        <f>SUM($AS$4:AS39)</f>
        <v>84.069999999999936</v>
      </c>
      <c r="BE39" s="405">
        <f>SUM($AR$4:AR39)</f>
        <v>106.86999999999996</v>
      </c>
      <c r="BF39" s="330"/>
      <c r="BG39" s="330"/>
    </row>
    <row r="40" spans="1:59" ht="18" customHeight="1">
      <c r="A40" s="181" t="s">
        <v>72</v>
      </c>
      <c r="B40" s="181">
        <v>44862</v>
      </c>
      <c r="C40" s="182" t="s">
        <v>298</v>
      </c>
      <c r="D40" s="182" t="s">
        <v>93</v>
      </c>
      <c r="E40" s="183"/>
      <c r="F40" s="184"/>
      <c r="G40" s="203" t="s">
        <v>163</v>
      </c>
      <c r="H40" s="186"/>
      <c r="I40" s="186"/>
      <c r="J40" s="186"/>
      <c r="K40" s="187"/>
      <c r="L40" s="186">
        <v>1</v>
      </c>
      <c r="M40" s="186"/>
      <c r="N40" s="186">
        <v>1</v>
      </c>
      <c r="O40" s="187" t="s">
        <v>76</v>
      </c>
      <c r="P40" s="187" t="s">
        <v>119</v>
      </c>
      <c r="Q40" s="187" t="s">
        <v>78</v>
      </c>
      <c r="R40" s="187">
        <v>1</v>
      </c>
      <c r="S40" s="187">
        <v>1</v>
      </c>
      <c r="T40" s="187">
        <v>1</v>
      </c>
      <c r="U40" s="187" t="s">
        <v>22</v>
      </c>
      <c r="V40" s="188">
        <f t="shared" si="19"/>
        <v>0.01</v>
      </c>
      <c r="W40" s="188">
        <f>IF(ISBLANK(O40),,IF(O40=UPPER("IB"),8.63*200,15.3*100))</f>
        <v>1530</v>
      </c>
      <c r="X40" s="189" t="s">
        <v>299</v>
      </c>
      <c r="Y40" s="189"/>
      <c r="Z40" s="189"/>
      <c r="AA40" s="190">
        <v>-0.09</v>
      </c>
      <c r="AB40" s="186"/>
      <c r="AC40" s="344"/>
      <c r="AD40" s="186"/>
      <c r="AE40" s="189">
        <v>-7.0000000000000007E-2</v>
      </c>
      <c r="AF40" s="186" t="s">
        <v>300</v>
      </c>
      <c r="AG40" s="186" t="s">
        <v>301</v>
      </c>
      <c r="AH40" s="186"/>
      <c r="AI40" s="191">
        <f t="shared" ref="AI40:AI45" si="27">-0.03*W40</f>
        <v>-45.9</v>
      </c>
      <c r="AJ40" s="191">
        <f t="shared" ref="AJ40:AJ42" si="28">AI40*R40</f>
        <v>-45.9</v>
      </c>
      <c r="AK40" s="186"/>
      <c r="AL40" s="186"/>
      <c r="AM40" s="186" t="s">
        <v>302</v>
      </c>
      <c r="AN40" s="344" t="s">
        <v>97</v>
      </c>
      <c r="AO40" s="186" t="s">
        <v>303</v>
      </c>
      <c r="AP40" s="193">
        <v>-7.0000000000000007E-2</v>
      </c>
      <c r="AQ40" s="193">
        <f t="shared" si="25"/>
        <v>1.999999999999999E-2</v>
      </c>
      <c r="AR40" s="191">
        <f>AS40*R40</f>
        <v>30.599999999999984</v>
      </c>
      <c r="AS40" s="194">
        <f t="shared" si="26"/>
        <v>30.599999999999984</v>
      </c>
      <c r="AT40" s="195" t="s">
        <v>77</v>
      </c>
      <c r="AU40" s="425" t="s">
        <v>304</v>
      </c>
      <c r="AV40" s="425" t="s">
        <v>305</v>
      </c>
      <c r="AW40" s="425" t="s">
        <v>306</v>
      </c>
      <c r="AX40" s="425" t="s">
        <v>307</v>
      </c>
      <c r="AY40" s="425"/>
      <c r="AZ40" s="425"/>
      <c r="BA40" s="425" t="s">
        <v>308</v>
      </c>
      <c r="BB40" s="425"/>
      <c r="BC40" s="440"/>
      <c r="BD40" s="404">
        <f>SUM($AS$4:AS40)</f>
        <v>114.66999999999992</v>
      </c>
      <c r="BE40" s="405">
        <f>SUM($AR$4:AR40)</f>
        <v>137.46999999999994</v>
      </c>
      <c r="BF40" s="330"/>
      <c r="BG40" s="330"/>
    </row>
    <row r="41" spans="1:59" ht="18" customHeight="1">
      <c r="A41" s="181" t="s">
        <v>72</v>
      </c>
      <c r="B41" s="181">
        <v>44862</v>
      </c>
      <c r="C41" s="182" t="s">
        <v>309</v>
      </c>
      <c r="D41" s="182" t="s">
        <v>93</v>
      </c>
      <c r="E41" s="183"/>
      <c r="F41" s="184"/>
      <c r="G41" s="185" t="s">
        <v>253</v>
      </c>
      <c r="H41" s="186"/>
      <c r="I41" s="186"/>
      <c r="J41" s="186"/>
      <c r="K41" s="187"/>
      <c r="L41" s="186">
        <v>1</v>
      </c>
      <c r="M41" s="186"/>
      <c r="N41" s="186"/>
      <c r="O41" s="187" t="s">
        <v>76</v>
      </c>
      <c r="P41" s="187" t="s">
        <v>119</v>
      </c>
      <c r="Q41" s="187" t="s">
        <v>78</v>
      </c>
      <c r="R41" s="187">
        <v>1</v>
      </c>
      <c r="S41" s="187">
        <v>1</v>
      </c>
      <c r="T41" s="187">
        <v>1</v>
      </c>
      <c r="U41" s="187" t="s">
        <v>22</v>
      </c>
      <c r="V41" s="188">
        <f t="shared" si="19"/>
        <v>0.01</v>
      </c>
      <c r="W41" s="188">
        <f>IF(ISBLANK(O41),,IF(O41=UPPER("IB"),8.63*200,15.4*100))</f>
        <v>1540</v>
      </c>
      <c r="X41" s="189" t="s">
        <v>120</v>
      </c>
      <c r="Y41" s="189"/>
      <c r="Z41" s="189" t="s">
        <v>80</v>
      </c>
      <c r="AA41" s="190">
        <v>-0.09</v>
      </c>
      <c r="AB41" s="186"/>
      <c r="AC41" s="344"/>
      <c r="AD41" s="186"/>
      <c r="AE41" s="186">
        <v>-0.08</v>
      </c>
      <c r="AF41" s="186"/>
      <c r="AG41" s="186" t="s">
        <v>310</v>
      </c>
      <c r="AH41" s="186"/>
      <c r="AI41" s="191">
        <f t="shared" si="27"/>
        <v>-46.199999999999996</v>
      </c>
      <c r="AJ41" s="191">
        <f t="shared" si="28"/>
        <v>-46.199999999999996</v>
      </c>
      <c r="AK41" s="186"/>
      <c r="AL41" s="186"/>
      <c r="AM41" s="186" t="s">
        <v>311</v>
      </c>
      <c r="AN41" s="344" t="s">
        <v>87</v>
      </c>
      <c r="AO41" s="186" t="s">
        <v>312</v>
      </c>
      <c r="AP41" s="193">
        <v>-0.08</v>
      </c>
      <c r="AQ41" s="193">
        <f t="shared" si="25"/>
        <v>9.999999999999995E-3</v>
      </c>
      <c r="AR41" s="191">
        <f>AS41*R41</f>
        <v>15.399999999999991</v>
      </c>
      <c r="AS41" s="194">
        <f t="shared" si="26"/>
        <v>15.399999999999991</v>
      </c>
      <c r="AT41" s="195" t="s">
        <v>77</v>
      </c>
      <c r="AU41" s="425" t="s">
        <v>313</v>
      </c>
      <c r="AV41" s="425"/>
      <c r="AW41" s="425" t="s">
        <v>314</v>
      </c>
      <c r="AX41" s="425"/>
      <c r="AY41" s="425"/>
      <c r="AZ41" s="425"/>
      <c r="BA41" s="425"/>
      <c r="BB41" s="425"/>
      <c r="BC41" s="440"/>
      <c r="BD41" s="404">
        <f>SUM($AS$4:AS41)</f>
        <v>130.06999999999991</v>
      </c>
      <c r="BE41" s="405">
        <f>SUM($AR$4:AR41)</f>
        <v>152.86999999999995</v>
      </c>
      <c r="BF41" s="330"/>
      <c r="BG41" s="330"/>
    </row>
    <row r="42" spans="1:59" ht="18" customHeight="1">
      <c r="A42" s="181" t="s">
        <v>72</v>
      </c>
      <c r="B42" s="181">
        <v>44862</v>
      </c>
      <c r="C42" s="182" t="s">
        <v>315</v>
      </c>
      <c r="D42" s="182" t="s">
        <v>93</v>
      </c>
      <c r="E42" s="183"/>
      <c r="F42" s="184"/>
      <c r="G42" s="203" t="s">
        <v>262</v>
      </c>
      <c r="H42" s="186"/>
      <c r="I42" s="186"/>
      <c r="J42" s="186"/>
      <c r="K42" s="187"/>
      <c r="L42" s="186">
        <v>1</v>
      </c>
      <c r="M42" s="186"/>
      <c r="N42" s="186"/>
      <c r="O42" s="187" t="s">
        <v>76</v>
      </c>
      <c r="P42" s="187" t="s">
        <v>119</v>
      </c>
      <c r="Q42" s="187" t="s">
        <v>78</v>
      </c>
      <c r="R42" s="187">
        <v>1</v>
      </c>
      <c r="S42" s="187">
        <v>1</v>
      </c>
      <c r="T42" s="187">
        <v>1</v>
      </c>
      <c r="U42" s="187" t="s">
        <v>22</v>
      </c>
      <c r="V42" s="188">
        <f t="shared" si="19"/>
        <v>0.01</v>
      </c>
      <c r="W42" s="188">
        <f t="shared" ref="W42:W51" si="29">IF(ISBLANK(O42),,IF(O42=UPPER("IB"),8.63*200,15.3*100))</f>
        <v>1530</v>
      </c>
      <c r="X42" s="189" t="s">
        <v>120</v>
      </c>
      <c r="Y42" s="189"/>
      <c r="Z42" s="189" t="s">
        <v>80</v>
      </c>
      <c r="AA42" s="190">
        <v>-0.08</v>
      </c>
      <c r="AB42" s="186"/>
      <c r="AC42" s="344"/>
      <c r="AD42" s="186"/>
      <c r="AE42" s="189">
        <v>-7.0000000000000007E-2</v>
      </c>
      <c r="AF42" s="186"/>
      <c r="AG42" s="186" t="s">
        <v>310</v>
      </c>
      <c r="AH42" s="186"/>
      <c r="AI42" s="191">
        <f t="shared" si="27"/>
        <v>-45.9</v>
      </c>
      <c r="AJ42" s="191">
        <f t="shared" si="28"/>
        <v>-45.9</v>
      </c>
      <c r="AK42" s="186"/>
      <c r="AL42" s="186"/>
      <c r="AM42" s="186" t="s">
        <v>316</v>
      </c>
      <c r="AN42" s="344" t="s">
        <v>97</v>
      </c>
      <c r="AO42" s="186" t="s">
        <v>317</v>
      </c>
      <c r="AP42" s="193">
        <v>-7.0000000000000007E-2</v>
      </c>
      <c r="AQ42" s="193">
        <f t="shared" si="25"/>
        <v>9.999999999999995E-3</v>
      </c>
      <c r="AR42" s="191">
        <f>AS42*R42</f>
        <v>15.299999999999992</v>
      </c>
      <c r="AS42" s="194">
        <f t="shared" si="26"/>
        <v>15.299999999999992</v>
      </c>
      <c r="AT42" s="195" t="s">
        <v>77</v>
      </c>
      <c r="AU42" s="425" t="s">
        <v>308</v>
      </c>
      <c r="AV42" s="425" t="s">
        <v>318</v>
      </c>
      <c r="AW42" s="425"/>
      <c r="AX42" s="425" t="s">
        <v>319</v>
      </c>
      <c r="AY42" s="425"/>
      <c r="AZ42" s="425"/>
      <c r="BA42" s="425" t="s">
        <v>308</v>
      </c>
      <c r="BB42" s="425" t="s">
        <v>320</v>
      </c>
      <c r="BC42" s="440"/>
      <c r="BD42" s="404">
        <f>SUM($AS$4:AS42)</f>
        <v>145.36999999999989</v>
      </c>
      <c r="BE42" s="405">
        <f>SUM($AR$4:AR42)</f>
        <v>168.16999999999993</v>
      </c>
      <c r="BF42" s="330"/>
      <c r="BG42" s="330"/>
    </row>
    <row r="43" spans="1:59" ht="18" customHeight="1">
      <c r="A43" s="181" t="s">
        <v>72</v>
      </c>
      <c r="B43" s="181">
        <v>44865</v>
      </c>
      <c r="C43" s="198">
        <v>0.25</v>
      </c>
      <c r="D43" s="182" t="s">
        <v>114</v>
      </c>
      <c r="E43" s="183" t="s">
        <v>321</v>
      </c>
      <c r="F43" s="184" t="s">
        <v>322</v>
      </c>
      <c r="G43" s="185"/>
      <c r="H43" s="186"/>
      <c r="I43" s="186">
        <v>1</v>
      </c>
      <c r="J43" s="186"/>
      <c r="K43" s="187"/>
      <c r="L43" s="186"/>
      <c r="M43" s="186"/>
      <c r="N43" s="186"/>
      <c r="O43" s="187"/>
      <c r="P43" s="187"/>
      <c r="Q43" s="187"/>
      <c r="R43" s="187"/>
      <c r="S43" s="187"/>
      <c r="T43" s="187"/>
      <c r="U43" s="187"/>
      <c r="V43" s="188">
        <f t="shared" si="19"/>
        <v>0</v>
      </c>
      <c r="W43" s="188">
        <f t="shared" si="29"/>
        <v>0</v>
      </c>
      <c r="X43" s="189"/>
      <c r="Y43" s="189"/>
      <c r="Z43" s="189"/>
      <c r="AA43" s="190"/>
      <c r="AB43" s="186"/>
      <c r="AC43" s="344"/>
      <c r="AD43" s="186"/>
      <c r="AE43" s="186"/>
      <c r="AF43" s="186"/>
      <c r="AG43" s="186"/>
      <c r="AH43" s="186"/>
      <c r="AI43" s="191">
        <f t="shared" si="27"/>
        <v>0</v>
      </c>
      <c r="AJ43" s="187"/>
      <c r="AK43" s="186"/>
      <c r="AL43" s="186"/>
      <c r="AM43" s="186"/>
      <c r="AN43" s="344"/>
      <c r="AO43" s="186"/>
      <c r="AP43" s="193"/>
      <c r="AQ43" s="186"/>
      <c r="AR43" s="191"/>
      <c r="AS43" s="194"/>
      <c r="AT43" s="195"/>
      <c r="AU43" s="442"/>
      <c r="AV43" s="425"/>
      <c r="AW43" s="425"/>
      <c r="AX43" s="425"/>
      <c r="AY43" s="425"/>
      <c r="AZ43" s="425"/>
      <c r="BA43" s="425"/>
      <c r="BB43" s="425"/>
      <c r="BC43" s="440"/>
      <c r="BD43" s="404">
        <f>SUM($AS$4:AS43)</f>
        <v>145.36999999999989</v>
      </c>
      <c r="BE43" s="405">
        <f>SUM($AR$4:AR43)</f>
        <v>168.16999999999993</v>
      </c>
      <c r="BF43" s="330"/>
      <c r="BG43" s="330"/>
    </row>
    <row r="44" spans="1:59" ht="18" customHeight="1">
      <c r="A44" s="181" t="s">
        <v>72</v>
      </c>
      <c r="B44" s="181">
        <v>44865</v>
      </c>
      <c r="C44" s="182" t="s">
        <v>323</v>
      </c>
      <c r="D44" s="182" t="s">
        <v>114</v>
      </c>
      <c r="E44" s="183" t="s">
        <v>324</v>
      </c>
      <c r="F44" s="184" t="s">
        <v>325</v>
      </c>
      <c r="G44" s="185"/>
      <c r="H44" s="186">
        <v>1</v>
      </c>
      <c r="I44" s="186"/>
      <c r="J44" s="186"/>
      <c r="K44" s="187"/>
      <c r="L44" s="186"/>
      <c r="M44" s="186"/>
      <c r="N44" s="186"/>
      <c r="O44" s="187"/>
      <c r="P44" s="187"/>
      <c r="Q44" s="187"/>
      <c r="R44" s="187"/>
      <c r="S44" s="187"/>
      <c r="T44" s="187"/>
      <c r="U44" s="187"/>
      <c r="V44" s="188">
        <f t="shared" si="19"/>
        <v>0</v>
      </c>
      <c r="W44" s="188">
        <f t="shared" si="29"/>
        <v>0</v>
      </c>
      <c r="X44" s="189"/>
      <c r="Y44" s="189"/>
      <c r="Z44" s="189"/>
      <c r="AA44" s="190"/>
      <c r="AB44" s="186"/>
      <c r="AC44" s="344"/>
      <c r="AD44" s="186"/>
      <c r="AE44" s="186"/>
      <c r="AF44" s="186"/>
      <c r="AG44" s="186"/>
      <c r="AH44" s="186"/>
      <c r="AI44" s="191">
        <f t="shared" si="27"/>
        <v>0</v>
      </c>
      <c r="AJ44" s="187"/>
      <c r="AK44" s="186"/>
      <c r="AL44" s="186"/>
      <c r="AM44" s="186"/>
      <c r="AN44" s="344"/>
      <c r="AO44" s="186"/>
      <c r="AP44" s="193"/>
      <c r="AQ44" s="186"/>
      <c r="AR44" s="191"/>
      <c r="AS44" s="194"/>
      <c r="AT44" s="195"/>
      <c r="AU44" s="442"/>
      <c r="AV44" s="425"/>
      <c r="AW44" s="425"/>
      <c r="AX44" s="425"/>
      <c r="AY44" s="425"/>
      <c r="AZ44" s="425"/>
      <c r="BA44" s="425"/>
      <c r="BB44" s="425"/>
      <c r="BC44" s="440"/>
      <c r="BD44" s="404">
        <f>SUM($AS$4:AS44)</f>
        <v>145.36999999999989</v>
      </c>
      <c r="BE44" s="405">
        <f>SUM($AR$4:AR44)</f>
        <v>168.16999999999993</v>
      </c>
      <c r="BF44" s="330"/>
      <c r="BG44" s="330"/>
    </row>
    <row r="45" spans="1:59" ht="18" customHeight="1">
      <c r="A45" s="181" t="s">
        <v>72</v>
      </c>
      <c r="B45" s="204"/>
      <c r="C45" s="205"/>
      <c r="D45" s="205"/>
      <c r="E45" s="206"/>
      <c r="F45" s="207"/>
      <c r="G45" s="208"/>
      <c r="H45" s="209"/>
      <c r="I45" s="209"/>
      <c r="J45" s="209"/>
      <c r="K45" s="210"/>
      <c r="L45" s="209"/>
      <c r="M45" s="209"/>
      <c r="N45" s="209"/>
      <c r="O45" s="210"/>
      <c r="P45" s="210"/>
      <c r="Q45" s="210"/>
      <c r="R45" s="210"/>
      <c r="S45" s="210"/>
      <c r="T45" s="210"/>
      <c r="U45" s="210"/>
      <c r="V45" s="211">
        <f t="shared" si="19"/>
        <v>0</v>
      </c>
      <c r="W45" s="211">
        <f t="shared" si="29"/>
        <v>0</v>
      </c>
      <c r="X45" s="212"/>
      <c r="Y45" s="212"/>
      <c r="Z45" s="212"/>
      <c r="AA45" s="213"/>
      <c r="AB45" s="209"/>
      <c r="AC45" s="345"/>
      <c r="AD45" s="209"/>
      <c r="AE45" s="209"/>
      <c r="AF45" s="209"/>
      <c r="AG45" s="209"/>
      <c r="AH45" s="209"/>
      <c r="AI45" s="214">
        <f t="shared" si="27"/>
        <v>0</v>
      </c>
      <c r="AJ45" s="210"/>
      <c r="AK45" s="209"/>
      <c r="AL45" s="209"/>
      <c r="AM45" s="209"/>
      <c r="AN45" s="345"/>
      <c r="AO45" s="209"/>
      <c r="AP45" s="215"/>
      <c r="AQ45" s="209"/>
      <c r="AR45" s="214"/>
      <c r="AS45" s="216"/>
      <c r="AT45" s="217"/>
      <c r="AU45" s="433" t="s">
        <v>326</v>
      </c>
      <c r="AV45" s="433" t="s">
        <v>327</v>
      </c>
      <c r="AW45" s="431"/>
      <c r="AX45" s="431"/>
      <c r="AY45" s="431"/>
      <c r="AZ45" s="431"/>
      <c r="BA45" s="431"/>
      <c r="BB45" s="431"/>
      <c r="BC45" s="445"/>
      <c r="BD45" s="404">
        <f>SUM($AS$4:AS45)</f>
        <v>145.36999999999989</v>
      </c>
      <c r="BE45" s="405">
        <f>SUM($AR$4:AR45)</f>
        <v>168.16999999999993</v>
      </c>
      <c r="BF45" s="330"/>
      <c r="BG45" s="330"/>
    </row>
    <row r="46" spans="1:59" ht="18" customHeight="1">
      <c r="A46" s="158" t="s">
        <v>328</v>
      </c>
      <c r="B46" s="158"/>
      <c r="C46" s="218"/>
      <c r="D46" s="218"/>
      <c r="E46" s="219"/>
      <c r="F46" s="220"/>
      <c r="G46" s="218"/>
      <c r="H46" s="218"/>
      <c r="I46" s="218"/>
      <c r="J46" s="218"/>
      <c r="K46" s="221"/>
      <c r="L46" s="218"/>
      <c r="M46" s="218"/>
      <c r="N46" s="218"/>
      <c r="O46" s="221"/>
      <c r="P46" s="221"/>
      <c r="Q46" s="221"/>
      <c r="R46" s="221"/>
      <c r="S46" s="221"/>
      <c r="T46" s="221"/>
      <c r="U46" s="221"/>
      <c r="V46" s="222">
        <f t="shared" si="19"/>
        <v>0</v>
      </c>
      <c r="W46" s="222">
        <f t="shared" si="29"/>
        <v>0</v>
      </c>
      <c r="X46" s="222"/>
      <c r="Y46" s="222"/>
      <c r="Z46" s="222"/>
      <c r="AA46" s="223"/>
      <c r="AB46" s="218"/>
      <c r="AC46" s="346"/>
      <c r="AD46" s="218"/>
      <c r="AE46" s="218"/>
      <c r="AF46" s="218"/>
      <c r="AG46" s="218"/>
      <c r="AH46" s="218"/>
      <c r="AI46" s="224"/>
      <c r="AJ46" s="224"/>
      <c r="AK46" s="218"/>
      <c r="AL46" s="218"/>
      <c r="AM46" s="218"/>
      <c r="AN46" s="346"/>
      <c r="AO46" s="218"/>
      <c r="AP46" s="225"/>
      <c r="AQ46" s="225">
        <f t="shared" si="25"/>
        <v>0</v>
      </c>
      <c r="AR46" s="225"/>
      <c r="AS46" s="225">
        <f t="shared" si="26"/>
        <v>0</v>
      </c>
      <c r="AT46" s="226"/>
      <c r="AU46" s="432"/>
      <c r="AV46" s="432"/>
      <c r="AW46" s="432"/>
      <c r="AX46" s="432"/>
      <c r="AY46" s="432"/>
      <c r="AZ46" s="432"/>
      <c r="BA46" s="432"/>
      <c r="BB46" s="432"/>
      <c r="BC46" s="432"/>
      <c r="BD46" s="404">
        <f>SUM($AS$4:AS46)</f>
        <v>145.36999999999989</v>
      </c>
      <c r="BE46" s="405">
        <f>SUM($AR$4:AR46)</f>
        <v>168.16999999999993</v>
      </c>
      <c r="BF46" s="330"/>
      <c r="BG46" s="330"/>
    </row>
    <row r="47" spans="1:59" ht="18" customHeight="1">
      <c r="A47" s="227" t="s">
        <v>329</v>
      </c>
      <c r="B47" s="227">
        <v>44866</v>
      </c>
      <c r="C47" s="228">
        <v>0.375</v>
      </c>
      <c r="D47" s="229" t="s">
        <v>128</v>
      </c>
      <c r="E47" s="230" t="s">
        <v>330</v>
      </c>
      <c r="F47" s="231" t="s">
        <v>331</v>
      </c>
      <c r="G47" s="232"/>
      <c r="H47" s="169"/>
      <c r="I47" s="169">
        <v>1</v>
      </c>
      <c r="J47" s="169"/>
      <c r="K47" s="172"/>
      <c r="L47" s="169"/>
      <c r="M47" s="169"/>
      <c r="N47" s="169"/>
      <c r="O47" s="172"/>
      <c r="P47" s="172"/>
      <c r="Q47" s="172"/>
      <c r="R47" s="172"/>
      <c r="S47" s="172"/>
      <c r="T47" s="172"/>
      <c r="U47" s="172"/>
      <c r="V47" s="174">
        <f t="shared" si="19"/>
        <v>0</v>
      </c>
      <c r="W47" s="174">
        <f t="shared" si="29"/>
        <v>0</v>
      </c>
      <c r="X47" s="175"/>
      <c r="Y47" s="175"/>
      <c r="Z47" s="175"/>
      <c r="AA47" s="176"/>
      <c r="AB47" s="169"/>
      <c r="AC47" s="343"/>
      <c r="AD47" s="169"/>
      <c r="AE47" s="169"/>
      <c r="AF47" s="169"/>
      <c r="AG47" s="169"/>
      <c r="AH47" s="169"/>
      <c r="AI47" s="177">
        <f t="shared" ref="AI47:AI48" si="30">-0.03*W47</f>
        <v>0</v>
      </c>
      <c r="AJ47" s="172"/>
      <c r="AK47" s="169"/>
      <c r="AL47" s="169"/>
      <c r="AM47" s="169"/>
      <c r="AN47" s="343"/>
      <c r="AO47" s="169"/>
      <c r="AP47" s="178"/>
      <c r="AQ47" s="169">
        <f t="shared" si="25"/>
        <v>0</v>
      </c>
      <c r="AR47" s="177"/>
      <c r="AS47" s="179">
        <f t="shared" si="26"/>
        <v>0</v>
      </c>
      <c r="AT47" s="180"/>
      <c r="AU47" s="429"/>
      <c r="AV47" s="429"/>
      <c r="AW47" s="429"/>
      <c r="AX47" s="429"/>
      <c r="AY47" s="429"/>
      <c r="AZ47" s="429"/>
      <c r="BA47" s="429"/>
      <c r="BB47" s="429"/>
      <c r="BC47" s="439"/>
      <c r="BD47" s="404">
        <f>SUM($AS$4:AS47)</f>
        <v>145.36999999999989</v>
      </c>
      <c r="BE47" s="405">
        <f>SUM($AR$4:AR47)</f>
        <v>168.16999999999993</v>
      </c>
      <c r="BF47" s="330"/>
      <c r="BG47" s="330"/>
    </row>
    <row r="48" spans="1:59" ht="18" customHeight="1">
      <c r="A48" s="227" t="s">
        <v>329</v>
      </c>
      <c r="B48" s="181">
        <v>44866</v>
      </c>
      <c r="C48" s="182" t="s">
        <v>332</v>
      </c>
      <c r="D48" s="182" t="s">
        <v>128</v>
      </c>
      <c r="E48" s="233"/>
      <c r="F48" s="184"/>
      <c r="G48" s="185" t="s">
        <v>115</v>
      </c>
      <c r="H48" s="186"/>
      <c r="I48" s="186"/>
      <c r="J48" s="186"/>
      <c r="K48" s="187"/>
      <c r="L48" s="186">
        <v>1</v>
      </c>
      <c r="M48" s="186"/>
      <c r="N48" s="186"/>
      <c r="O48" s="187" t="s">
        <v>76</v>
      </c>
      <c r="P48" s="187" t="s">
        <v>77</v>
      </c>
      <c r="Q48" s="187" t="s">
        <v>78</v>
      </c>
      <c r="R48" s="187">
        <v>2</v>
      </c>
      <c r="S48" s="187">
        <v>2</v>
      </c>
      <c r="T48" s="187">
        <v>2</v>
      </c>
      <c r="U48" s="187" t="s">
        <v>22</v>
      </c>
      <c r="V48" s="188">
        <f t="shared" si="19"/>
        <v>0.01</v>
      </c>
      <c r="W48" s="188">
        <f t="shared" si="29"/>
        <v>1530</v>
      </c>
      <c r="X48" s="189" t="s">
        <v>120</v>
      </c>
      <c r="Y48" s="189"/>
      <c r="Z48" s="189" t="s">
        <v>80</v>
      </c>
      <c r="AA48" s="190">
        <v>0.01</v>
      </c>
      <c r="AB48" s="186"/>
      <c r="AC48" s="344"/>
      <c r="AD48" s="186"/>
      <c r="AE48" s="186">
        <v>0.02</v>
      </c>
      <c r="AF48" s="186"/>
      <c r="AG48" s="186" t="s">
        <v>333</v>
      </c>
      <c r="AH48" s="186"/>
      <c r="AI48" s="191">
        <f t="shared" si="30"/>
        <v>-45.9</v>
      </c>
      <c r="AJ48" s="191">
        <f t="shared" ref="AJ48:AJ51" si="31">AI48*R48</f>
        <v>-91.8</v>
      </c>
      <c r="AK48" s="186"/>
      <c r="AL48" s="186"/>
      <c r="AM48" s="186" t="s">
        <v>334</v>
      </c>
      <c r="AN48" s="344" t="s">
        <v>87</v>
      </c>
      <c r="AO48" s="186" t="s">
        <v>335</v>
      </c>
      <c r="AP48" s="193">
        <v>0.02</v>
      </c>
      <c r="AQ48" s="193">
        <f t="shared" si="25"/>
        <v>0.01</v>
      </c>
      <c r="AR48" s="191">
        <f>AS48*R48</f>
        <v>30.6</v>
      </c>
      <c r="AS48" s="194">
        <f t="shared" si="26"/>
        <v>15.3</v>
      </c>
      <c r="AT48" s="195" t="s">
        <v>77</v>
      </c>
      <c r="AU48" s="425" t="s">
        <v>336</v>
      </c>
      <c r="AV48" s="425"/>
      <c r="AW48" s="425"/>
      <c r="AX48" s="425"/>
      <c r="AY48" s="425"/>
      <c r="AZ48" s="425"/>
      <c r="BA48" s="425"/>
      <c r="BB48" s="425"/>
      <c r="BC48" s="440"/>
      <c r="BD48" s="404">
        <f>SUM($AS$4:AS48)</f>
        <v>160.6699999999999</v>
      </c>
      <c r="BE48" s="405">
        <f>SUM($AR$4:AR48)</f>
        <v>198.76999999999992</v>
      </c>
      <c r="BF48" s="330"/>
      <c r="BG48" s="330"/>
    </row>
    <row r="49" spans="1:59" ht="18" customHeight="1">
      <c r="A49" s="227" t="s">
        <v>329</v>
      </c>
      <c r="B49" s="181">
        <v>44866</v>
      </c>
      <c r="C49" s="182" t="s">
        <v>337</v>
      </c>
      <c r="D49" s="182" t="s">
        <v>128</v>
      </c>
      <c r="E49" s="233"/>
      <c r="F49" s="184"/>
      <c r="G49" s="185" t="s">
        <v>338</v>
      </c>
      <c r="H49" s="186"/>
      <c r="I49" s="186"/>
      <c r="J49" s="186"/>
      <c r="K49" s="187"/>
      <c r="L49" s="186">
        <v>1</v>
      </c>
      <c r="M49" s="186"/>
      <c r="N49" s="186"/>
      <c r="O49" s="187" t="s">
        <v>76</v>
      </c>
      <c r="P49" s="187" t="s">
        <v>77</v>
      </c>
      <c r="Q49" s="187" t="s">
        <v>78</v>
      </c>
      <c r="R49" s="187">
        <v>2</v>
      </c>
      <c r="S49" s="187">
        <v>2</v>
      </c>
      <c r="T49" s="187">
        <v>2</v>
      </c>
      <c r="U49" s="187" t="s">
        <v>22</v>
      </c>
      <c r="V49" s="188">
        <f t="shared" si="19"/>
        <v>0.01</v>
      </c>
      <c r="W49" s="188">
        <f t="shared" si="29"/>
        <v>1530</v>
      </c>
      <c r="X49" s="189" t="s">
        <v>120</v>
      </c>
      <c r="Y49" s="189"/>
      <c r="Z49" s="189" t="s">
        <v>80</v>
      </c>
      <c r="AA49" s="190">
        <v>0.01</v>
      </c>
      <c r="AB49" s="186"/>
      <c r="AC49" s="344"/>
      <c r="AD49" s="186"/>
      <c r="AE49" s="186">
        <v>0.02</v>
      </c>
      <c r="AF49" s="186"/>
      <c r="AG49" s="186" t="s">
        <v>333</v>
      </c>
      <c r="AH49" s="186"/>
      <c r="AI49" s="191">
        <f>-0.02*W49</f>
        <v>-30.6</v>
      </c>
      <c r="AJ49" s="191">
        <f t="shared" si="31"/>
        <v>-61.2</v>
      </c>
      <c r="AK49" s="186"/>
      <c r="AL49" s="186"/>
      <c r="AM49" s="186" t="s">
        <v>334</v>
      </c>
      <c r="AN49" s="344" t="s">
        <v>87</v>
      </c>
      <c r="AO49" s="186" t="s">
        <v>335</v>
      </c>
      <c r="AP49" s="193">
        <v>0.02</v>
      </c>
      <c r="AQ49" s="193">
        <f t="shared" si="25"/>
        <v>0.01</v>
      </c>
      <c r="AR49" s="191">
        <f>AS49*R49</f>
        <v>30.6</v>
      </c>
      <c r="AS49" s="194">
        <f t="shared" si="26"/>
        <v>15.3</v>
      </c>
      <c r="AT49" s="195" t="s">
        <v>77</v>
      </c>
      <c r="AU49" s="425" t="s">
        <v>339</v>
      </c>
      <c r="AV49" s="425" t="s">
        <v>340</v>
      </c>
      <c r="AW49" s="425" t="s">
        <v>341</v>
      </c>
      <c r="AX49" s="425"/>
      <c r="AY49" s="425"/>
      <c r="AZ49" s="425"/>
      <c r="BA49" s="441" t="s">
        <v>177</v>
      </c>
      <c r="BB49" s="425"/>
      <c r="BC49" s="440"/>
      <c r="BD49" s="404">
        <f>SUM($AS$4:AS49)</f>
        <v>175.96999999999991</v>
      </c>
      <c r="BE49" s="405">
        <f>SUM($AR$4:AR49)</f>
        <v>229.36999999999992</v>
      </c>
      <c r="BF49" s="330"/>
      <c r="BG49" s="330"/>
    </row>
    <row r="50" spans="1:59" ht="18" customHeight="1">
      <c r="A50" s="227" t="s">
        <v>329</v>
      </c>
      <c r="B50" s="181">
        <v>44866</v>
      </c>
      <c r="C50" s="182" t="s">
        <v>342</v>
      </c>
      <c r="D50" s="182" t="s">
        <v>128</v>
      </c>
      <c r="E50" s="233"/>
      <c r="F50" s="184"/>
      <c r="G50" s="185" t="s">
        <v>115</v>
      </c>
      <c r="H50" s="186"/>
      <c r="I50" s="186"/>
      <c r="J50" s="186"/>
      <c r="K50" s="187"/>
      <c r="L50" s="186">
        <v>1</v>
      </c>
      <c r="M50" s="186"/>
      <c r="N50" s="186">
        <v>1</v>
      </c>
      <c r="O50" s="187" t="s">
        <v>76</v>
      </c>
      <c r="P50" s="187" t="s">
        <v>77</v>
      </c>
      <c r="Q50" s="187" t="s">
        <v>78</v>
      </c>
      <c r="R50" s="187">
        <v>2</v>
      </c>
      <c r="S50" s="187">
        <v>2</v>
      </c>
      <c r="T50" s="187">
        <v>2</v>
      </c>
      <c r="U50" s="187" t="s">
        <v>22</v>
      </c>
      <c r="V50" s="188">
        <f t="shared" si="19"/>
        <v>0.01</v>
      </c>
      <c r="W50" s="188">
        <f t="shared" si="29"/>
        <v>1530</v>
      </c>
      <c r="X50" s="189" t="s">
        <v>343</v>
      </c>
      <c r="Y50" s="189"/>
      <c r="Z50" s="189"/>
      <c r="AA50" s="190">
        <v>0</v>
      </c>
      <c r="AB50" s="186"/>
      <c r="AC50" s="344"/>
      <c r="AD50" s="186"/>
      <c r="AE50" s="186">
        <v>0.02</v>
      </c>
      <c r="AF50" s="186"/>
      <c r="AG50" s="186">
        <v>-0.01</v>
      </c>
      <c r="AH50" s="186"/>
      <c r="AI50" s="191">
        <f t="shared" ref="AI50:AI51" si="32">-0.01*W50</f>
        <v>-15.3</v>
      </c>
      <c r="AJ50" s="191">
        <f t="shared" si="31"/>
        <v>-30.6</v>
      </c>
      <c r="AK50" s="186"/>
      <c r="AL50" s="186"/>
      <c r="AM50" s="186" t="s">
        <v>334</v>
      </c>
      <c r="AN50" s="344" t="s">
        <v>87</v>
      </c>
      <c r="AO50" s="234">
        <v>44867.208333333336</v>
      </c>
      <c r="AP50" s="193">
        <v>0.02</v>
      </c>
      <c r="AQ50" s="193">
        <f t="shared" si="25"/>
        <v>0.02</v>
      </c>
      <c r="AR50" s="191">
        <f>AS50*R50</f>
        <v>61.2</v>
      </c>
      <c r="AS50" s="194">
        <f t="shared" si="26"/>
        <v>30.6</v>
      </c>
      <c r="AT50" s="195" t="s">
        <v>77</v>
      </c>
      <c r="AU50" s="425" t="s">
        <v>344</v>
      </c>
      <c r="AV50" s="425" t="s">
        <v>345</v>
      </c>
      <c r="AW50" s="425"/>
      <c r="AX50" s="425"/>
      <c r="AY50" s="425"/>
      <c r="AZ50" s="425"/>
      <c r="BA50" s="425"/>
      <c r="BB50" s="425"/>
      <c r="BC50" s="440"/>
      <c r="BD50" s="404">
        <f>SUM($AS$4:AS50)</f>
        <v>206.56999999999991</v>
      </c>
      <c r="BE50" s="405">
        <f>SUM($AR$4:AR50)</f>
        <v>290.56999999999994</v>
      </c>
      <c r="BF50" s="330"/>
      <c r="BG50" s="330"/>
    </row>
    <row r="51" spans="1:59" ht="18" customHeight="1">
      <c r="A51" s="227" t="s">
        <v>329</v>
      </c>
      <c r="B51" s="181">
        <v>44866</v>
      </c>
      <c r="C51" s="182" t="s">
        <v>346</v>
      </c>
      <c r="D51" s="182" t="s">
        <v>128</v>
      </c>
      <c r="E51" s="233"/>
      <c r="F51" s="184"/>
      <c r="G51" s="185" t="s">
        <v>347</v>
      </c>
      <c r="H51" s="186"/>
      <c r="I51" s="186"/>
      <c r="J51" s="186"/>
      <c r="K51" s="187"/>
      <c r="L51" s="186">
        <v>1</v>
      </c>
      <c r="M51" s="186"/>
      <c r="N51" s="186"/>
      <c r="O51" s="187" t="s">
        <v>76</v>
      </c>
      <c r="P51" s="187" t="s">
        <v>119</v>
      </c>
      <c r="Q51" s="187" t="s">
        <v>78</v>
      </c>
      <c r="R51" s="187">
        <v>2</v>
      </c>
      <c r="S51" s="187">
        <v>2</v>
      </c>
      <c r="T51" s="187">
        <v>2</v>
      </c>
      <c r="U51" s="187" t="s">
        <v>22</v>
      </c>
      <c r="V51" s="188">
        <f t="shared" si="19"/>
        <v>0.01</v>
      </c>
      <c r="W51" s="188">
        <f t="shared" si="29"/>
        <v>1530</v>
      </c>
      <c r="X51" s="189" t="s">
        <v>348</v>
      </c>
      <c r="Y51" s="189"/>
      <c r="Z51" s="189" t="s">
        <v>80</v>
      </c>
      <c r="AA51" s="190">
        <v>-0.03</v>
      </c>
      <c r="AB51" s="186"/>
      <c r="AC51" s="344"/>
      <c r="AD51" s="186"/>
      <c r="AE51" s="186">
        <v>-0.02</v>
      </c>
      <c r="AF51" s="186"/>
      <c r="AG51" s="186" t="s">
        <v>349</v>
      </c>
      <c r="AH51" s="186"/>
      <c r="AI51" s="191">
        <f t="shared" si="32"/>
        <v>-15.3</v>
      </c>
      <c r="AJ51" s="191">
        <f t="shared" si="31"/>
        <v>-30.6</v>
      </c>
      <c r="AK51" s="186"/>
      <c r="AL51" s="186"/>
      <c r="AM51" s="186"/>
      <c r="AN51" s="344" t="s">
        <v>87</v>
      </c>
      <c r="AO51" s="186"/>
      <c r="AP51" s="193">
        <f>-0.03</f>
        <v>-0.03</v>
      </c>
      <c r="AQ51" s="193">
        <f t="shared" si="25"/>
        <v>0</v>
      </c>
      <c r="AR51" s="191">
        <f>AS51*R51</f>
        <v>0</v>
      </c>
      <c r="AS51" s="194">
        <f t="shared" si="26"/>
        <v>0</v>
      </c>
      <c r="AT51" s="195" t="s">
        <v>97</v>
      </c>
      <c r="AU51" s="425" t="s">
        <v>350</v>
      </c>
      <c r="AV51" s="425" t="s">
        <v>351</v>
      </c>
      <c r="AW51" s="425" t="s">
        <v>352</v>
      </c>
      <c r="AX51" s="425"/>
      <c r="AY51" s="425"/>
      <c r="AZ51" s="425"/>
      <c r="BA51" s="425"/>
      <c r="BB51" s="425"/>
      <c r="BC51" s="440"/>
      <c r="BD51" s="404">
        <f>SUM($AS$4:AS51)</f>
        <v>206.56999999999991</v>
      </c>
      <c r="BE51" s="405">
        <f>SUM($AR$4:AR51)</f>
        <v>290.56999999999994</v>
      </c>
      <c r="BF51" s="330"/>
      <c r="BG51" s="330"/>
    </row>
    <row r="52" spans="1:59" ht="18" customHeight="1">
      <c r="A52" s="227" t="s">
        <v>329</v>
      </c>
      <c r="B52" s="181">
        <v>44867</v>
      </c>
      <c r="C52" s="182"/>
      <c r="D52" s="182" t="s">
        <v>133</v>
      </c>
      <c r="E52" s="233" t="s">
        <v>353</v>
      </c>
      <c r="F52" s="184"/>
      <c r="G52" s="185"/>
      <c r="H52" s="186"/>
      <c r="I52" s="186">
        <v>1</v>
      </c>
      <c r="J52" s="186"/>
      <c r="K52" s="187" t="s">
        <v>87</v>
      </c>
      <c r="L52" s="186"/>
      <c r="M52" s="186"/>
      <c r="N52" s="186"/>
      <c r="O52" s="187"/>
      <c r="P52" s="187"/>
      <c r="Q52" s="187"/>
      <c r="R52" s="187"/>
      <c r="S52" s="187"/>
      <c r="T52" s="187"/>
      <c r="U52" s="187"/>
      <c r="V52" s="188"/>
      <c r="W52" s="188"/>
      <c r="X52" s="189"/>
      <c r="Y52" s="189"/>
      <c r="Z52" s="189"/>
      <c r="AA52" s="190"/>
      <c r="AB52" s="186"/>
      <c r="AC52" s="344"/>
      <c r="AD52" s="186"/>
      <c r="AE52" s="186"/>
      <c r="AF52" s="186"/>
      <c r="AG52" s="186"/>
      <c r="AH52" s="186"/>
      <c r="AI52" s="191"/>
      <c r="AJ52" s="187"/>
      <c r="AK52" s="186"/>
      <c r="AL52" s="186"/>
      <c r="AM52" s="186"/>
      <c r="AN52" s="344"/>
      <c r="AO52" s="186"/>
      <c r="AP52" s="193"/>
      <c r="AQ52" s="186"/>
      <c r="AR52" s="191"/>
      <c r="AS52" s="194"/>
      <c r="AT52" s="195"/>
      <c r="AU52" s="425"/>
      <c r="AV52" s="425"/>
      <c r="AW52" s="425"/>
      <c r="AX52" s="425"/>
      <c r="AY52" s="425"/>
      <c r="AZ52" s="425"/>
      <c r="BA52" s="425"/>
      <c r="BB52" s="425"/>
      <c r="BC52" s="440"/>
      <c r="BD52" s="404">
        <f>SUM($AS$4:AS52)</f>
        <v>206.56999999999991</v>
      </c>
      <c r="BE52" s="405">
        <f>SUM($AR$4:AR52)</f>
        <v>290.56999999999994</v>
      </c>
      <c r="BF52" s="330"/>
      <c r="BG52" s="330"/>
    </row>
    <row r="53" spans="1:59" ht="18" customHeight="1">
      <c r="A53" s="227" t="s">
        <v>329</v>
      </c>
      <c r="B53" s="181">
        <v>44868</v>
      </c>
      <c r="C53" s="182" t="s">
        <v>354</v>
      </c>
      <c r="D53" s="182" t="s">
        <v>74</v>
      </c>
      <c r="E53" s="233"/>
      <c r="F53" s="184"/>
      <c r="G53" s="185" t="s">
        <v>355</v>
      </c>
      <c r="H53" s="186"/>
      <c r="I53" s="186"/>
      <c r="J53" s="186"/>
      <c r="K53" s="187"/>
      <c r="L53" s="186">
        <v>1</v>
      </c>
      <c r="M53" s="186"/>
      <c r="N53" s="186"/>
      <c r="O53" s="187" t="s">
        <v>76</v>
      </c>
      <c r="P53" s="187" t="s">
        <v>77</v>
      </c>
      <c r="Q53" s="187" t="s">
        <v>78</v>
      </c>
      <c r="R53" s="187">
        <v>2</v>
      </c>
      <c r="S53" s="187">
        <v>2</v>
      </c>
      <c r="T53" s="187">
        <v>2</v>
      </c>
      <c r="U53" s="187" t="s">
        <v>78</v>
      </c>
      <c r="V53" s="188">
        <f t="shared" ref="V53:V64" si="33">IF(ISBLANK(O53),,(IF(O53=UPPER("IB"),0.005,0.01)))</f>
        <v>0.01</v>
      </c>
      <c r="W53" s="188">
        <f>IF(ISBLANK(O53),,IF(O53=UPPER("IB"),8.63*200,15.2*100))</f>
        <v>1520</v>
      </c>
      <c r="X53" s="189" t="s">
        <v>120</v>
      </c>
      <c r="Y53" s="189"/>
      <c r="Z53" s="189" t="s">
        <v>80</v>
      </c>
      <c r="AA53" s="190">
        <v>0.03</v>
      </c>
      <c r="AB53" s="186"/>
      <c r="AC53" s="344"/>
      <c r="AD53" s="186"/>
      <c r="AE53" s="186">
        <v>0.02</v>
      </c>
      <c r="AF53" s="186"/>
      <c r="AG53" s="186" t="s">
        <v>356</v>
      </c>
      <c r="AH53" s="186"/>
      <c r="AI53" s="191">
        <f t="shared" ref="AI53:AI57" si="34">-0.03*W53</f>
        <v>-45.6</v>
      </c>
      <c r="AJ53" s="191">
        <f t="shared" ref="AJ53:AJ64" si="35">AI53*R53</f>
        <v>-91.2</v>
      </c>
      <c r="AK53" s="186"/>
      <c r="AL53" s="186"/>
      <c r="AM53" s="186" t="s">
        <v>357</v>
      </c>
      <c r="AN53" s="344" t="s">
        <v>87</v>
      </c>
      <c r="AO53" s="186" t="s">
        <v>358</v>
      </c>
      <c r="AP53" s="193">
        <v>0.02</v>
      </c>
      <c r="AQ53" s="193">
        <f t="shared" ref="AQ53:AQ84" si="36">IF(ISBLANK(AP53),,IF(U53="S",AA53-AP53,AP53-AA53))</f>
        <v>9.9999999999999985E-3</v>
      </c>
      <c r="AR53" s="191">
        <f t="shared" ref="AR53:AR77" si="37">AS53*R53</f>
        <v>30.399999999999995</v>
      </c>
      <c r="AS53" s="194">
        <f t="shared" ref="AS53:AS84" si="38">IF(ISBLANK(AP53),,(AQ53*W53))</f>
        <v>15.199999999999998</v>
      </c>
      <c r="AT53" s="195" t="s">
        <v>77</v>
      </c>
      <c r="AU53" s="425"/>
      <c r="AV53" s="425"/>
      <c r="AW53" s="425"/>
      <c r="AX53" s="425"/>
      <c r="AY53" s="425"/>
      <c r="AZ53" s="425"/>
      <c r="BA53" s="425" t="s">
        <v>359</v>
      </c>
      <c r="BB53" s="425"/>
      <c r="BC53" s="440"/>
      <c r="BD53" s="404">
        <f>SUM($AS$4:AS53)</f>
        <v>221.7699999999999</v>
      </c>
      <c r="BE53" s="405">
        <f>SUM($AR$4:AR53)</f>
        <v>320.96999999999991</v>
      </c>
      <c r="BF53" s="330"/>
      <c r="BG53" s="330"/>
    </row>
    <row r="54" spans="1:59" ht="18" customHeight="1">
      <c r="A54" s="227" t="s">
        <v>329</v>
      </c>
      <c r="B54" s="181">
        <v>44868</v>
      </c>
      <c r="C54" s="182" t="s">
        <v>360</v>
      </c>
      <c r="D54" s="182" t="s">
        <v>74</v>
      </c>
      <c r="E54" s="233"/>
      <c r="F54" s="184"/>
      <c r="G54" s="185" t="s">
        <v>355</v>
      </c>
      <c r="H54" s="186"/>
      <c r="I54" s="186"/>
      <c r="J54" s="186"/>
      <c r="K54" s="187"/>
      <c r="L54" s="186">
        <v>1</v>
      </c>
      <c r="M54" s="186"/>
      <c r="N54" s="186"/>
      <c r="O54" s="187" t="s">
        <v>76</v>
      </c>
      <c r="P54" s="187" t="s">
        <v>77</v>
      </c>
      <c r="Q54" s="187" t="s">
        <v>78</v>
      </c>
      <c r="R54" s="187">
        <v>2</v>
      </c>
      <c r="S54" s="187">
        <v>2</v>
      </c>
      <c r="T54" s="187">
        <v>2</v>
      </c>
      <c r="U54" s="187" t="s">
        <v>22</v>
      </c>
      <c r="V54" s="188">
        <f t="shared" si="33"/>
        <v>0.01</v>
      </c>
      <c r="W54" s="188">
        <f t="shared" ref="W54:W55" si="39">IF(ISBLANK(O54),,IF(O54=UPPER("IB"),8.63*200,15.15*100))</f>
        <v>1515</v>
      </c>
      <c r="X54" s="189" t="s">
        <v>120</v>
      </c>
      <c r="Y54" s="189"/>
      <c r="Z54" s="189" t="s">
        <v>80</v>
      </c>
      <c r="AA54" s="190">
        <v>0.01</v>
      </c>
      <c r="AB54" s="186"/>
      <c r="AC54" s="344"/>
      <c r="AD54" s="186"/>
      <c r="AE54" s="186">
        <v>0.02</v>
      </c>
      <c r="AF54" s="186"/>
      <c r="AG54" s="186" t="s">
        <v>361</v>
      </c>
      <c r="AH54" s="186"/>
      <c r="AI54" s="191">
        <f t="shared" si="34"/>
        <v>-45.449999999999996</v>
      </c>
      <c r="AJ54" s="191">
        <f t="shared" si="35"/>
        <v>-90.899999999999991</v>
      </c>
      <c r="AK54" s="186"/>
      <c r="AL54" s="186"/>
      <c r="AM54" s="186" t="s">
        <v>362</v>
      </c>
      <c r="AN54" s="344" t="s">
        <v>87</v>
      </c>
      <c r="AO54" s="186" t="s">
        <v>363</v>
      </c>
      <c r="AP54" s="193">
        <v>0.02</v>
      </c>
      <c r="AQ54" s="193">
        <f t="shared" si="36"/>
        <v>0.01</v>
      </c>
      <c r="AR54" s="191">
        <f t="shared" si="37"/>
        <v>30.3</v>
      </c>
      <c r="AS54" s="194">
        <f t="shared" si="38"/>
        <v>15.15</v>
      </c>
      <c r="AT54" s="195" t="s">
        <v>77</v>
      </c>
      <c r="AU54" s="425"/>
      <c r="AV54" s="425"/>
      <c r="AW54" s="425"/>
      <c r="AX54" s="425"/>
      <c r="AY54" s="425"/>
      <c r="AZ54" s="425"/>
      <c r="BA54" s="425"/>
      <c r="BB54" s="425"/>
      <c r="BC54" s="440"/>
      <c r="BD54" s="404">
        <f>SUM($AS$4:AS54)</f>
        <v>236.9199999999999</v>
      </c>
      <c r="BE54" s="405">
        <f>SUM($AR$4:AR54)</f>
        <v>351.26999999999992</v>
      </c>
      <c r="BF54" s="330"/>
      <c r="BG54" s="330"/>
    </row>
    <row r="55" spans="1:59" ht="18" customHeight="1">
      <c r="A55" s="227" t="s">
        <v>329</v>
      </c>
      <c r="B55" s="181">
        <v>44869</v>
      </c>
      <c r="C55" s="182" t="s">
        <v>364</v>
      </c>
      <c r="D55" s="182" t="s">
        <v>93</v>
      </c>
      <c r="E55" s="233"/>
      <c r="F55" s="184"/>
      <c r="G55" s="185" t="s">
        <v>262</v>
      </c>
      <c r="H55" s="186"/>
      <c r="I55" s="186"/>
      <c r="J55" s="186"/>
      <c r="K55" s="187"/>
      <c r="L55" s="186">
        <v>1</v>
      </c>
      <c r="M55" s="186"/>
      <c r="N55" s="186"/>
      <c r="O55" s="187" t="s">
        <v>76</v>
      </c>
      <c r="P55" s="187" t="s">
        <v>119</v>
      </c>
      <c r="Q55" s="187" t="s">
        <v>78</v>
      </c>
      <c r="R55" s="187">
        <v>1</v>
      </c>
      <c r="S55" s="187">
        <v>1</v>
      </c>
      <c r="T55" s="187">
        <v>1</v>
      </c>
      <c r="U55" s="187" t="s">
        <v>78</v>
      </c>
      <c r="V55" s="188">
        <f t="shared" si="33"/>
        <v>0.01</v>
      </c>
      <c r="W55" s="188">
        <f t="shared" si="39"/>
        <v>1515</v>
      </c>
      <c r="X55" s="189" t="s">
        <v>365</v>
      </c>
      <c r="Y55" s="189"/>
      <c r="Z55" s="189" t="s">
        <v>80</v>
      </c>
      <c r="AA55" s="190">
        <v>-0.05</v>
      </c>
      <c r="AB55" s="186"/>
      <c r="AC55" s="344"/>
      <c r="AD55" s="186"/>
      <c r="AE55" s="186">
        <v>-0.06</v>
      </c>
      <c r="AF55" s="186"/>
      <c r="AG55" s="186" t="s">
        <v>366</v>
      </c>
      <c r="AH55" s="186"/>
      <c r="AI55" s="191">
        <f t="shared" si="34"/>
        <v>-45.449999999999996</v>
      </c>
      <c r="AJ55" s="191">
        <f t="shared" si="35"/>
        <v>-45.449999999999996</v>
      </c>
      <c r="AK55" s="186"/>
      <c r="AL55" s="186"/>
      <c r="AM55" s="201"/>
      <c r="AN55" s="344" t="s">
        <v>87</v>
      </c>
      <c r="AO55" s="186" t="s">
        <v>367</v>
      </c>
      <c r="AP55" s="193">
        <v>-0.05</v>
      </c>
      <c r="AQ55" s="193">
        <f t="shared" si="36"/>
        <v>0</v>
      </c>
      <c r="AR55" s="191">
        <f t="shared" si="37"/>
        <v>0</v>
      </c>
      <c r="AS55" s="194">
        <f t="shared" si="38"/>
        <v>0</v>
      </c>
      <c r="AT55" s="195" t="s">
        <v>97</v>
      </c>
      <c r="AU55" s="425" t="s">
        <v>368</v>
      </c>
      <c r="AV55" s="425" t="s">
        <v>369</v>
      </c>
      <c r="AW55" s="425"/>
      <c r="AX55" s="425"/>
      <c r="AY55" s="425"/>
      <c r="AZ55" s="425"/>
      <c r="BA55" s="425"/>
      <c r="BB55" s="425"/>
      <c r="BC55" s="440"/>
      <c r="BD55" s="404">
        <f>SUM($AS$4:AS55)</f>
        <v>236.9199999999999</v>
      </c>
      <c r="BE55" s="405">
        <f>SUM($AR$4:AR55)</f>
        <v>351.26999999999992</v>
      </c>
      <c r="BF55" s="330"/>
      <c r="BG55" s="330"/>
    </row>
    <row r="56" spans="1:59" ht="18" customHeight="1">
      <c r="A56" s="227" t="s">
        <v>329</v>
      </c>
      <c r="B56" s="181">
        <v>44872</v>
      </c>
      <c r="C56" s="182" t="s">
        <v>370</v>
      </c>
      <c r="D56" s="182" t="s">
        <v>114</v>
      </c>
      <c r="E56" s="233"/>
      <c r="F56" s="184"/>
      <c r="G56" s="185" t="s">
        <v>163</v>
      </c>
      <c r="H56" s="186"/>
      <c r="I56" s="186"/>
      <c r="J56" s="186"/>
      <c r="K56" s="187"/>
      <c r="L56" s="186">
        <v>1</v>
      </c>
      <c r="M56" s="186"/>
      <c r="N56" s="186"/>
      <c r="O56" s="187" t="s">
        <v>76</v>
      </c>
      <c r="P56" s="187" t="s">
        <v>119</v>
      </c>
      <c r="Q56" s="187" t="s">
        <v>78</v>
      </c>
      <c r="R56" s="187">
        <v>1</v>
      </c>
      <c r="S56" s="187">
        <v>1</v>
      </c>
      <c r="T56" s="187">
        <v>1</v>
      </c>
      <c r="U56" s="187" t="s">
        <v>78</v>
      </c>
      <c r="V56" s="188">
        <f t="shared" si="33"/>
        <v>0.01</v>
      </c>
      <c r="W56" s="188">
        <f t="shared" ref="W56:W57" si="40">IF(ISBLANK(O56),,IF(O56=UPPER("IB"),8.63*200,15.5*100))</f>
        <v>1550</v>
      </c>
      <c r="X56" s="189" t="s">
        <v>120</v>
      </c>
      <c r="Y56" s="189"/>
      <c r="Z56" s="189" t="s">
        <v>80</v>
      </c>
      <c r="AA56" s="190">
        <v>-0.04</v>
      </c>
      <c r="AB56" s="186"/>
      <c r="AC56" s="344"/>
      <c r="AD56" s="186"/>
      <c r="AE56" s="186">
        <v>-0.05</v>
      </c>
      <c r="AF56" s="186"/>
      <c r="AG56" s="186"/>
      <c r="AH56" s="186"/>
      <c r="AI56" s="191">
        <f t="shared" si="34"/>
        <v>-46.5</v>
      </c>
      <c r="AJ56" s="191">
        <f t="shared" si="35"/>
        <v>-46.5</v>
      </c>
      <c r="AK56" s="186"/>
      <c r="AL56" s="186"/>
      <c r="AM56" s="186"/>
      <c r="AN56" s="344" t="s">
        <v>87</v>
      </c>
      <c r="AO56" s="235">
        <v>0.91666666666666663</v>
      </c>
      <c r="AP56" s="193">
        <v>-0.05</v>
      </c>
      <c r="AQ56" s="193">
        <f t="shared" si="36"/>
        <v>1.0000000000000002E-2</v>
      </c>
      <c r="AR56" s="191">
        <f t="shared" si="37"/>
        <v>15.500000000000004</v>
      </c>
      <c r="AS56" s="194">
        <f t="shared" si="38"/>
        <v>15.500000000000004</v>
      </c>
      <c r="AT56" s="195" t="s">
        <v>77</v>
      </c>
      <c r="AU56" s="425" t="s">
        <v>371</v>
      </c>
      <c r="AV56" s="425"/>
      <c r="AW56" s="425"/>
      <c r="AX56" s="425"/>
      <c r="AY56" s="425"/>
      <c r="AZ56" s="425"/>
      <c r="BA56" s="425"/>
      <c r="BB56" s="425"/>
      <c r="BC56" s="440"/>
      <c r="BD56" s="404">
        <f>SUM($AS$4:AS56)</f>
        <v>252.4199999999999</v>
      </c>
      <c r="BE56" s="405">
        <f>SUM($AR$4:AR56)</f>
        <v>366.76999999999992</v>
      </c>
      <c r="BF56" s="330"/>
      <c r="BG56" s="330"/>
    </row>
    <row r="57" spans="1:59" ht="18" customHeight="1">
      <c r="A57" s="227" t="s">
        <v>329</v>
      </c>
      <c r="B57" s="181">
        <v>44872</v>
      </c>
      <c r="C57" s="182" t="s">
        <v>372</v>
      </c>
      <c r="D57" s="182"/>
      <c r="E57" s="233"/>
      <c r="F57" s="184"/>
      <c r="G57" s="185" t="s">
        <v>373</v>
      </c>
      <c r="H57" s="186"/>
      <c r="I57" s="186"/>
      <c r="J57" s="186"/>
      <c r="K57" s="187"/>
      <c r="L57" s="186">
        <v>1</v>
      </c>
      <c r="M57" s="186"/>
      <c r="N57" s="186"/>
      <c r="O57" s="187" t="s">
        <v>76</v>
      </c>
      <c r="P57" s="187" t="s">
        <v>77</v>
      </c>
      <c r="Q57" s="187" t="s">
        <v>78</v>
      </c>
      <c r="R57" s="187">
        <v>1</v>
      </c>
      <c r="S57" s="187">
        <v>1</v>
      </c>
      <c r="T57" s="187">
        <v>1</v>
      </c>
      <c r="U57" s="187" t="s">
        <v>22</v>
      </c>
      <c r="V57" s="188">
        <f t="shared" si="33"/>
        <v>0.01</v>
      </c>
      <c r="W57" s="188">
        <f t="shared" si="40"/>
        <v>1550</v>
      </c>
      <c r="X57" s="189"/>
      <c r="Y57" s="189"/>
      <c r="Z57" s="189" t="s">
        <v>374</v>
      </c>
      <c r="AA57" s="190">
        <v>95.71</v>
      </c>
      <c r="AB57" s="186"/>
      <c r="AC57" s="344"/>
      <c r="AD57" s="186"/>
      <c r="AE57" s="186"/>
      <c r="AF57" s="186"/>
      <c r="AG57" s="186"/>
      <c r="AH57" s="186"/>
      <c r="AI57" s="191">
        <f t="shared" si="34"/>
        <v>-46.5</v>
      </c>
      <c r="AJ57" s="191">
        <f t="shared" si="35"/>
        <v>-46.5</v>
      </c>
      <c r="AK57" s="186"/>
      <c r="AL57" s="186"/>
      <c r="AM57" s="186" t="s">
        <v>375</v>
      </c>
      <c r="AN57" s="344" t="s">
        <v>376</v>
      </c>
      <c r="AO57" s="186"/>
      <c r="AP57" s="193">
        <v>95.68</v>
      </c>
      <c r="AQ57" s="193">
        <f t="shared" si="36"/>
        <v>-2.9999999999986926E-2</v>
      </c>
      <c r="AR57" s="191">
        <f t="shared" si="37"/>
        <v>-46.499999999979735</v>
      </c>
      <c r="AS57" s="194">
        <f t="shared" si="38"/>
        <v>-46.499999999979735</v>
      </c>
      <c r="AT57" s="195" t="s">
        <v>211</v>
      </c>
      <c r="AU57" s="425" t="s">
        <v>377</v>
      </c>
      <c r="AV57" s="425" t="s">
        <v>378</v>
      </c>
      <c r="AW57" s="425" t="s">
        <v>379</v>
      </c>
      <c r="AX57" s="425"/>
      <c r="AY57" s="425"/>
      <c r="AZ57" s="425"/>
      <c r="BA57" s="425" t="s">
        <v>380</v>
      </c>
      <c r="BB57" s="425" t="s">
        <v>381</v>
      </c>
      <c r="BC57" s="440"/>
      <c r="BD57" s="404">
        <f>SUM($AS$4:AS57)</f>
        <v>205.92000000002017</v>
      </c>
      <c r="BE57" s="405">
        <f>SUM($AR$4:AR57)</f>
        <v>320.27000000002022</v>
      </c>
      <c r="BF57" s="330"/>
      <c r="BG57" s="330"/>
    </row>
    <row r="58" spans="1:59" ht="18" customHeight="1">
      <c r="A58" s="227" t="s">
        <v>329</v>
      </c>
      <c r="B58" s="181">
        <v>44873</v>
      </c>
      <c r="C58" s="182" t="s">
        <v>382</v>
      </c>
      <c r="D58" s="182" t="s">
        <v>128</v>
      </c>
      <c r="E58" s="233"/>
      <c r="F58" s="184"/>
      <c r="G58" s="185" t="s">
        <v>262</v>
      </c>
      <c r="H58" s="186"/>
      <c r="I58" s="186"/>
      <c r="J58" s="186"/>
      <c r="K58" s="187"/>
      <c r="L58" s="186"/>
      <c r="M58" s="186"/>
      <c r="N58" s="186"/>
      <c r="O58" s="187" t="s">
        <v>76</v>
      </c>
      <c r="P58" s="187" t="s">
        <v>119</v>
      </c>
      <c r="Q58" s="187" t="s">
        <v>78</v>
      </c>
      <c r="R58" s="187">
        <v>2</v>
      </c>
      <c r="S58" s="187">
        <v>2</v>
      </c>
      <c r="T58" s="187">
        <v>2</v>
      </c>
      <c r="U58" s="187" t="s">
        <v>22</v>
      </c>
      <c r="V58" s="188">
        <f t="shared" si="33"/>
        <v>0.01</v>
      </c>
      <c r="W58" s="188">
        <f>IF(ISBLANK(O58),,IF(O58=UPPER("IB"),8.63*200,15.6*100))</f>
        <v>1560</v>
      </c>
      <c r="X58" s="189" t="s">
        <v>348</v>
      </c>
      <c r="Y58" s="189"/>
      <c r="Z58" s="189" t="s">
        <v>80</v>
      </c>
      <c r="AA58" s="190">
        <v>-0.06</v>
      </c>
      <c r="AB58" s="186"/>
      <c r="AC58" s="344"/>
      <c r="AD58" s="186"/>
      <c r="AE58" s="186">
        <v>-0.05</v>
      </c>
      <c r="AF58" s="186"/>
      <c r="AG58" s="186" t="s">
        <v>349</v>
      </c>
      <c r="AH58" s="186"/>
      <c r="AI58" s="191">
        <f t="shared" ref="AI58:AI60" si="41">-0.02*W58</f>
        <v>-31.2</v>
      </c>
      <c r="AJ58" s="191">
        <f t="shared" si="35"/>
        <v>-62.4</v>
      </c>
      <c r="AK58" s="186"/>
      <c r="AL58" s="186"/>
      <c r="AM58" s="186"/>
      <c r="AN58" s="344" t="s">
        <v>97</v>
      </c>
      <c r="AO58" s="186" t="s">
        <v>383</v>
      </c>
      <c r="AP58" s="193">
        <v>-0.06</v>
      </c>
      <c r="AQ58" s="193">
        <f t="shared" si="36"/>
        <v>0</v>
      </c>
      <c r="AR58" s="191">
        <f t="shared" si="37"/>
        <v>0</v>
      </c>
      <c r="AS58" s="194">
        <f t="shared" si="38"/>
        <v>0</v>
      </c>
      <c r="AT58" s="195" t="s">
        <v>97</v>
      </c>
      <c r="AU58" s="425" t="s">
        <v>384</v>
      </c>
      <c r="AV58" s="425"/>
      <c r="AW58" s="425"/>
      <c r="AX58" s="425"/>
      <c r="AY58" s="425"/>
      <c r="AZ58" s="425"/>
      <c r="BA58" s="425"/>
      <c r="BB58" s="425"/>
      <c r="BC58" s="440"/>
      <c r="BD58" s="404">
        <f>SUM($AS$4:AS58)</f>
        <v>205.92000000002017</v>
      </c>
      <c r="BE58" s="405">
        <f>SUM($AR$4:AR58)</f>
        <v>320.27000000002022</v>
      </c>
      <c r="BF58" s="330"/>
      <c r="BG58" s="330"/>
    </row>
    <row r="59" spans="1:59" ht="18" customHeight="1">
      <c r="A59" s="227" t="s">
        <v>329</v>
      </c>
      <c r="B59" s="181">
        <v>44873</v>
      </c>
      <c r="C59" s="182" t="s">
        <v>385</v>
      </c>
      <c r="D59" s="182" t="s">
        <v>128</v>
      </c>
      <c r="E59" s="233"/>
      <c r="F59" s="184"/>
      <c r="G59" s="185" t="s">
        <v>347</v>
      </c>
      <c r="H59" s="186"/>
      <c r="I59" s="186"/>
      <c r="J59" s="186"/>
      <c r="K59" s="187"/>
      <c r="L59" s="186"/>
      <c r="M59" s="186"/>
      <c r="N59" s="186"/>
      <c r="O59" s="187" t="s">
        <v>76</v>
      </c>
      <c r="P59" s="187" t="s">
        <v>119</v>
      </c>
      <c r="Q59" s="187" t="s">
        <v>78</v>
      </c>
      <c r="R59" s="187">
        <v>2</v>
      </c>
      <c r="S59" s="187">
        <v>2</v>
      </c>
      <c r="T59" s="187">
        <v>2</v>
      </c>
      <c r="U59" s="187" t="s">
        <v>78</v>
      </c>
      <c r="V59" s="188">
        <f t="shared" si="33"/>
        <v>0.01</v>
      </c>
      <c r="W59" s="188">
        <f>IF(ISBLANK(O59),,IF(O59=UPPER("IB"),8.63*200,15.15*100))</f>
        <v>1515</v>
      </c>
      <c r="X59" s="189" t="s">
        <v>386</v>
      </c>
      <c r="Y59" s="189"/>
      <c r="Z59" s="189"/>
      <c r="AA59" s="190">
        <v>-0.03</v>
      </c>
      <c r="AB59" s="186"/>
      <c r="AC59" s="344"/>
      <c r="AD59" s="186"/>
      <c r="AE59" s="186" t="s">
        <v>387</v>
      </c>
      <c r="AF59" s="186"/>
      <c r="AG59" s="186" t="s">
        <v>388</v>
      </c>
      <c r="AH59" s="186"/>
      <c r="AI59" s="191">
        <f t="shared" si="41"/>
        <v>-30.3</v>
      </c>
      <c r="AJ59" s="191">
        <f t="shared" si="35"/>
        <v>-60.6</v>
      </c>
      <c r="AK59" s="186"/>
      <c r="AL59" s="186"/>
      <c r="AM59" s="186"/>
      <c r="AN59" s="344" t="s">
        <v>97</v>
      </c>
      <c r="AO59" s="186"/>
      <c r="AP59" s="193">
        <v>-0.03</v>
      </c>
      <c r="AQ59" s="193">
        <f t="shared" si="36"/>
        <v>0</v>
      </c>
      <c r="AR59" s="191">
        <f t="shared" si="37"/>
        <v>0</v>
      </c>
      <c r="AS59" s="194">
        <f t="shared" si="38"/>
        <v>0</v>
      </c>
      <c r="AT59" s="195" t="s">
        <v>97</v>
      </c>
      <c r="AU59" s="425" t="s">
        <v>389</v>
      </c>
      <c r="AV59" s="425" t="s">
        <v>390</v>
      </c>
      <c r="AW59" s="425"/>
      <c r="AX59" s="425" t="s">
        <v>391</v>
      </c>
      <c r="AY59" s="425"/>
      <c r="AZ59" s="425"/>
      <c r="BA59" s="425"/>
      <c r="BB59" s="425"/>
      <c r="BC59" s="440"/>
      <c r="BD59" s="404">
        <f>SUM($AS$4:AS59)</f>
        <v>205.92000000002017</v>
      </c>
      <c r="BE59" s="405">
        <f>SUM($AR$4:AR59)</f>
        <v>320.27000000002022</v>
      </c>
      <c r="BF59" s="330"/>
      <c r="BG59" s="330"/>
    </row>
    <row r="60" spans="1:59" ht="18" customHeight="1">
      <c r="A60" s="227" t="s">
        <v>329</v>
      </c>
      <c r="B60" s="181">
        <v>44873</v>
      </c>
      <c r="C60" s="182" t="s">
        <v>392</v>
      </c>
      <c r="D60" s="182" t="s">
        <v>128</v>
      </c>
      <c r="E60" s="233"/>
      <c r="F60" s="184"/>
      <c r="G60" s="185" t="s">
        <v>262</v>
      </c>
      <c r="H60" s="186"/>
      <c r="I60" s="186"/>
      <c r="J60" s="186"/>
      <c r="K60" s="187"/>
      <c r="L60" s="186">
        <v>1</v>
      </c>
      <c r="M60" s="186"/>
      <c r="N60" s="186">
        <v>1</v>
      </c>
      <c r="O60" s="187" t="s">
        <v>76</v>
      </c>
      <c r="P60" s="187" t="s">
        <v>119</v>
      </c>
      <c r="Q60" s="187" t="s">
        <v>78</v>
      </c>
      <c r="R60" s="187">
        <v>1</v>
      </c>
      <c r="S60" s="187">
        <v>1</v>
      </c>
      <c r="T60" s="187">
        <v>1</v>
      </c>
      <c r="U60" s="187" t="s">
        <v>22</v>
      </c>
      <c r="V60" s="188">
        <f t="shared" si="33"/>
        <v>0.01</v>
      </c>
      <c r="W60" s="188">
        <f>IF(ISBLANK(O60),,IF(O60=UPPER("IB"),8.63*200,15.6*100))</f>
        <v>1560</v>
      </c>
      <c r="X60" s="189" t="s">
        <v>393</v>
      </c>
      <c r="Y60" s="189"/>
      <c r="Z60" s="189"/>
      <c r="AA60" s="190">
        <v>-7.0000000000000007E-2</v>
      </c>
      <c r="AB60" s="186"/>
      <c r="AC60" s="344"/>
      <c r="AD60" s="186"/>
      <c r="AE60" s="186">
        <v>5</v>
      </c>
      <c r="AF60" s="186"/>
      <c r="AG60" s="186" t="s">
        <v>349</v>
      </c>
      <c r="AH60" s="186"/>
      <c r="AI60" s="191">
        <f t="shared" si="41"/>
        <v>-31.2</v>
      </c>
      <c r="AJ60" s="191">
        <f t="shared" si="35"/>
        <v>-31.2</v>
      </c>
      <c r="AK60" s="186"/>
      <c r="AL60" s="186"/>
      <c r="AM60" s="186" t="s">
        <v>394</v>
      </c>
      <c r="AN60" s="344" t="s">
        <v>87</v>
      </c>
      <c r="AO60" s="186" t="s">
        <v>383</v>
      </c>
      <c r="AP60" s="193">
        <v>-0.06</v>
      </c>
      <c r="AQ60" s="193">
        <f t="shared" si="36"/>
        <v>1.0000000000000009E-2</v>
      </c>
      <c r="AR60" s="191">
        <f t="shared" si="37"/>
        <v>15.600000000000014</v>
      </c>
      <c r="AS60" s="194">
        <f t="shared" si="38"/>
        <v>15.600000000000014</v>
      </c>
      <c r="AT60" s="195" t="s">
        <v>77</v>
      </c>
      <c r="AU60" s="425" t="s">
        <v>389</v>
      </c>
      <c r="AV60" s="425" t="s">
        <v>395</v>
      </c>
      <c r="AW60" s="425"/>
      <c r="AX60" s="425"/>
      <c r="AY60" s="425"/>
      <c r="AZ60" s="425"/>
      <c r="BA60" s="425" t="s">
        <v>396</v>
      </c>
      <c r="BB60" s="425"/>
      <c r="BC60" s="440"/>
      <c r="BD60" s="404">
        <f>SUM($AS$4:AS60)</f>
        <v>221.52000000002019</v>
      </c>
      <c r="BE60" s="405">
        <f>SUM($AR$4:AR60)</f>
        <v>335.87000000002024</v>
      </c>
      <c r="BF60" s="330"/>
      <c r="BG60" s="330"/>
    </row>
    <row r="61" spans="1:59" ht="18" customHeight="1">
      <c r="A61" s="227" t="s">
        <v>329</v>
      </c>
      <c r="B61" s="181">
        <v>44873</v>
      </c>
      <c r="C61" s="182" t="s">
        <v>397</v>
      </c>
      <c r="D61" s="182" t="s">
        <v>128</v>
      </c>
      <c r="E61" s="233"/>
      <c r="F61" s="184"/>
      <c r="G61" s="203" t="s">
        <v>355</v>
      </c>
      <c r="H61" s="186"/>
      <c r="I61" s="186"/>
      <c r="J61" s="186"/>
      <c r="K61" s="187"/>
      <c r="L61" s="186">
        <v>1</v>
      </c>
      <c r="M61" s="186"/>
      <c r="N61" s="186">
        <v>1</v>
      </c>
      <c r="O61" s="187" t="s">
        <v>76</v>
      </c>
      <c r="P61" s="187" t="s">
        <v>77</v>
      </c>
      <c r="Q61" s="187" t="s">
        <v>78</v>
      </c>
      <c r="R61" s="187">
        <v>2</v>
      </c>
      <c r="S61" s="187">
        <v>2</v>
      </c>
      <c r="T61" s="187">
        <v>2</v>
      </c>
      <c r="U61" s="187" t="s">
        <v>78</v>
      </c>
      <c r="V61" s="188">
        <f t="shared" si="33"/>
        <v>0.01</v>
      </c>
      <c r="W61" s="188">
        <f>IF(ISBLANK(O61),,IF(O61=UPPER("IB"),8.63*200,15.5*100))</f>
        <v>1550</v>
      </c>
      <c r="X61" s="189" t="s">
        <v>398</v>
      </c>
      <c r="Y61" s="189"/>
      <c r="Z61" s="189"/>
      <c r="AA61" s="190">
        <v>0.02</v>
      </c>
      <c r="AB61" s="186"/>
      <c r="AC61" s="344"/>
      <c r="AD61" s="186"/>
      <c r="AE61" s="186" t="s">
        <v>399</v>
      </c>
      <c r="AF61" s="186"/>
      <c r="AG61" s="186" t="s">
        <v>400</v>
      </c>
      <c r="AH61" s="186"/>
      <c r="AI61" s="191">
        <f t="shared" ref="AI61:AI62" si="42">-0.03*W61</f>
        <v>-46.5</v>
      </c>
      <c r="AJ61" s="191">
        <f t="shared" si="35"/>
        <v>-93</v>
      </c>
      <c r="AK61" s="186"/>
      <c r="AL61" s="186"/>
      <c r="AM61" s="186" t="s">
        <v>401</v>
      </c>
      <c r="AN61" s="344" t="s">
        <v>87</v>
      </c>
      <c r="AO61" s="186" t="s">
        <v>402</v>
      </c>
      <c r="AP61" s="193">
        <v>0.01</v>
      </c>
      <c r="AQ61" s="193">
        <f t="shared" si="36"/>
        <v>0.01</v>
      </c>
      <c r="AR61" s="191">
        <f t="shared" si="37"/>
        <v>31</v>
      </c>
      <c r="AS61" s="194">
        <f t="shared" si="38"/>
        <v>15.5</v>
      </c>
      <c r="AT61" s="195" t="s">
        <v>77</v>
      </c>
      <c r="AU61" s="425" t="s">
        <v>389</v>
      </c>
      <c r="AV61" s="425" t="s">
        <v>390</v>
      </c>
      <c r="AW61" s="425"/>
      <c r="AX61" s="425" t="s">
        <v>403</v>
      </c>
      <c r="AY61" s="425" t="s">
        <v>391</v>
      </c>
      <c r="AZ61" s="425"/>
      <c r="BA61" s="425" t="s">
        <v>396</v>
      </c>
      <c r="BB61" s="425"/>
      <c r="BC61" s="440"/>
      <c r="BD61" s="404">
        <f>SUM($AS$4:AS61)</f>
        <v>237.02000000002019</v>
      </c>
      <c r="BE61" s="405">
        <f>SUM($AR$4:AR61)</f>
        <v>366.87000000002024</v>
      </c>
      <c r="BF61" s="330"/>
      <c r="BG61" s="330"/>
    </row>
    <row r="62" spans="1:59" ht="18" customHeight="1">
      <c r="A62" s="227" t="s">
        <v>329</v>
      </c>
      <c r="B62" s="236">
        <v>44874</v>
      </c>
      <c r="C62" s="182" t="s">
        <v>404</v>
      </c>
      <c r="D62" s="182" t="s">
        <v>133</v>
      </c>
      <c r="E62" s="233"/>
      <c r="F62" s="184"/>
      <c r="G62" s="203" t="s">
        <v>405</v>
      </c>
      <c r="H62" s="186"/>
      <c r="I62" s="186"/>
      <c r="J62" s="186"/>
      <c r="K62" s="187"/>
      <c r="L62" s="186"/>
      <c r="M62" s="186">
        <v>1</v>
      </c>
      <c r="N62" s="186"/>
      <c r="O62" s="187" t="s">
        <v>76</v>
      </c>
      <c r="P62" s="187" t="s">
        <v>77</v>
      </c>
      <c r="Q62" s="237" t="s">
        <v>238</v>
      </c>
      <c r="R62" s="187">
        <v>1</v>
      </c>
      <c r="S62" s="187">
        <v>1</v>
      </c>
      <c r="T62" s="187">
        <v>1</v>
      </c>
      <c r="U62" s="187" t="s">
        <v>22</v>
      </c>
      <c r="V62" s="188">
        <f t="shared" si="33"/>
        <v>0.01</v>
      </c>
      <c r="W62" s="188">
        <f>IF(ISBLANK(O62),,IF(O62=UPPER("IB"),8.63*200,16.2*100))</f>
        <v>1620</v>
      </c>
      <c r="X62" s="189"/>
      <c r="Y62" s="189"/>
      <c r="Z62" s="189" t="s">
        <v>406</v>
      </c>
      <c r="AA62" s="190">
        <v>0.03</v>
      </c>
      <c r="AB62" s="186" t="s">
        <v>407</v>
      </c>
      <c r="AC62" s="344"/>
      <c r="AD62" s="186"/>
      <c r="AE62" s="186">
        <v>0.05</v>
      </c>
      <c r="AF62" s="186" t="s">
        <v>408</v>
      </c>
      <c r="AG62" s="186"/>
      <c r="AH62" s="186"/>
      <c r="AI62" s="191">
        <f t="shared" si="42"/>
        <v>-48.6</v>
      </c>
      <c r="AJ62" s="191">
        <f t="shared" si="35"/>
        <v>-48.6</v>
      </c>
      <c r="AK62" s="186" t="s">
        <v>409</v>
      </c>
      <c r="AL62" s="186"/>
      <c r="AM62" s="186" t="s">
        <v>410</v>
      </c>
      <c r="AN62" s="344" t="s">
        <v>77</v>
      </c>
      <c r="AO62" s="234">
        <v>44881.208333333336</v>
      </c>
      <c r="AP62" s="193">
        <v>0.04</v>
      </c>
      <c r="AQ62" s="193">
        <f t="shared" si="36"/>
        <v>1.0000000000000002E-2</v>
      </c>
      <c r="AR62" s="191">
        <f t="shared" si="37"/>
        <v>16.200000000000003</v>
      </c>
      <c r="AS62" s="194">
        <f t="shared" si="38"/>
        <v>16.200000000000003</v>
      </c>
      <c r="AT62" s="195" t="s">
        <v>77</v>
      </c>
      <c r="AU62" s="425" t="s">
        <v>411</v>
      </c>
      <c r="AV62" s="425" t="s">
        <v>412</v>
      </c>
      <c r="AW62" s="444" t="s">
        <v>413</v>
      </c>
      <c r="AX62" s="425"/>
      <c r="AY62" s="425"/>
      <c r="AZ62" s="425"/>
      <c r="BA62" s="425" t="s">
        <v>414</v>
      </c>
      <c r="BB62" s="425" t="s">
        <v>415</v>
      </c>
      <c r="BC62" s="440"/>
      <c r="BD62" s="404">
        <f>SUM($AS$4:AS62)</f>
        <v>253.22000000002021</v>
      </c>
      <c r="BE62" s="405">
        <f>SUM($AR$4:AR62)</f>
        <v>383.07000000002023</v>
      </c>
      <c r="BF62" s="330"/>
      <c r="BG62" s="330"/>
    </row>
    <row r="63" spans="1:59" ht="18" customHeight="1">
      <c r="A63" s="227" t="s">
        <v>329</v>
      </c>
      <c r="B63" s="181">
        <v>44875</v>
      </c>
      <c r="C63" s="182" t="s">
        <v>416</v>
      </c>
      <c r="D63" s="182" t="s">
        <v>74</v>
      </c>
      <c r="E63" s="233"/>
      <c r="F63" s="184"/>
      <c r="G63" s="185" t="s">
        <v>417</v>
      </c>
      <c r="H63" s="186"/>
      <c r="I63" s="186"/>
      <c r="J63" s="186"/>
      <c r="K63" s="187"/>
      <c r="L63" s="186"/>
      <c r="M63" s="186"/>
      <c r="N63" s="186">
        <v>1</v>
      </c>
      <c r="O63" s="187" t="s">
        <v>76</v>
      </c>
      <c r="P63" s="187" t="s">
        <v>77</v>
      </c>
      <c r="Q63" s="187" t="s">
        <v>78</v>
      </c>
      <c r="R63" s="187">
        <v>1</v>
      </c>
      <c r="S63" s="187">
        <v>1</v>
      </c>
      <c r="T63" s="187">
        <v>1</v>
      </c>
      <c r="U63" s="187" t="s">
        <v>22</v>
      </c>
      <c r="V63" s="188">
        <f t="shared" si="33"/>
        <v>0.01</v>
      </c>
      <c r="W63" s="188">
        <f>IF(ISBLANK(O63),,IF(O63=UPPER("IB"),8.63*200,15.8*100))</f>
        <v>1580</v>
      </c>
      <c r="X63" s="189" t="s">
        <v>418</v>
      </c>
      <c r="Y63" s="189"/>
      <c r="Z63" s="189"/>
      <c r="AA63" s="190">
        <v>0.26</v>
      </c>
      <c r="AB63" s="186" t="s">
        <v>419</v>
      </c>
      <c r="AC63" s="344">
        <v>0.23</v>
      </c>
      <c r="AD63" s="186" t="s">
        <v>420</v>
      </c>
      <c r="AE63" s="186" t="s">
        <v>421</v>
      </c>
      <c r="AF63" s="186" t="s">
        <v>422</v>
      </c>
      <c r="AG63" s="186"/>
      <c r="AH63" s="186">
        <v>1</v>
      </c>
      <c r="AI63" s="191">
        <f>-0.04*W63</f>
        <v>-63.2</v>
      </c>
      <c r="AJ63" s="191">
        <f t="shared" si="35"/>
        <v>-63.2</v>
      </c>
      <c r="AK63" s="186" t="s">
        <v>423</v>
      </c>
      <c r="AL63" s="186"/>
      <c r="AM63" s="186"/>
      <c r="AN63" s="344" t="s">
        <v>87</v>
      </c>
      <c r="AO63" s="186" t="s">
        <v>424</v>
      </c>
      <c r="AP63" s="193">
        <v>0.22</v>
      </c>
      <c r="AQ63" s="193">
        <f t="shared" si="36"/>
        <v>-4.0000000000000008E-2</v>
      </c>
      <c r="AR63" s="191">
        <f t="shared" si="37"/>
        <v>-63.20000000000001</v>
      </c>
      <c r="AS63" s="194">
        <f t="shared" si="38"/>
        <v>-63.20000000000001</v>
      </c>
      <c r="AT63" s="195" t="s">
        <v>211</v>
      </c>
      <c r="AU63" s="425" t="s">
        <v>425</v>
      </c>
      <c r="AV63" s="425" t="s">
        <v>426</v>
      </c>
      <c r="AW63" s="425"/>
      <c r="AX63" s="425"/>
      <c r="AY63" s="425"/>
      <c r="AZ63" s="425"/>
      <c r="BA63" s="425" t="s">
        <v>427</v>
      </c>
      <c r="BB63" s="425"/>
      <c r="BC63" s="440"/>
      <c r="BD63" s="404">
        <f>SUM($AS$4:AS63)</f>
        <v>190.02000000002019</v>
      </c>
      <c r="BE63" s="405">
        <f>SUM($AR$4:AR63)</f>
        <v>319.87000000002024</v>
      </c>
      <c r="BF63" s="330"/>
      <c r="BG63" s="330"/>
    </row>
    <row r="64" spans="1:59" ht="18" customHeight="1">
      <c r="A64" s="227" t="s">
        <v>329</v>
      </c>
      <c r="B64" s="238">
        <v>44875</v>
      </c>
      <c r="C64" s="239" t="s">
        <v>428</v>
      </c>
      <c r="D64" s="182" t="s">
        <v>74</v>
      </c>
      <c r="E64" s="233"/>
      <c r="F64" s="184"/>
      <c r="G64" s="203" t="s">
        <v>405</v>
      </c>
      <c r="H64" s="186"/>
      <c r="I64" s="186"/>
      <c r="J64" s="186"/>
      <c r="K64" s="187"/>
      <c r="L64" s="186"/>
      <c r="M64" s="186">
        <v>1</v>
      </c>
      <c r="N64" s="186"/>
      <c r="O64" s="187" t="s">
        <v>76</v>
      </c>
      <c r="P64" s="187" t="s">
        <v>77</v>
      </c>
      <c r="Q64" s="187" t="s">
        <v>238</v>
      </c>
      <c r="R64" s="187">
        <v>1</v>
      </c>
      <c r="S64" s="187">
        <v>1</v>
      </c>
      <c r="T64" s="187">
        <v>1</v>
      </c>
      <c r="U64" s="187" t="s">
        <v>22</v>
      </c>
      <c r="V64" s="188">
        <f t="shared" si="33"/>
        <v>0.01</v>
      </c>
      <c r="W64" s="188">
        <f>IF(ISBLANK(O64),,IF(O64=UPPER("IB"),8.63*200,16.1*100))</f>
        <v>1610.0000000000002</v>
      </c>
      <c r="X64" s="189"/>
      <c r="Y64" s="189"/>
      <c r="Z64" s="189" t="s">
        <v>429</v>
      </c>
      <c r="AA64" s="190">
        <v>0.03</v>
      </c>
      <c r="AB64" s="186"/>
      <c r="AC64" s="344"/>
      <c r="AD64" s="186"/>
      <c r="AE64" s="186">
        <v>5</v>
      </c>
      <c r="AF64" s="186" t="s">
        <v>408</v>
      </c>
      <c r="AG64" s="186"/>
      <c r="AH64" s="186"/>
      <c r="AI64" s="191">
        <f>-0.03*W64</f>
        <v>-48.300000000000004</v>
      </c>
      <c r="AJ64" s="191">
        <f t="shared" si="35"/>
        <v>-48.300000000000004</v>
      </c>
      <c r="AK64" s="186" t="s">
        <v>430</v>
      </c>
      <c r="AL64" s="186"/>
      <c r="AM64" s="186" t="s">
        <v>431</v>
      </c>
      <c r="AN64" s="344" t="s">
        <v>77</v>
      </c>
      <c r="AO64" s="186" t="s">
        <v>432</v>
      </c>
      <c r="AP64" s="193">
        <v>7.0000000000000007E-2</v>
      </c>
      <c r="AQ64" s="193">
        <f t="shared" si="36"/>
        <v>4.0000000000000008E-2</v>
      </c>
      <c r="AR64" s="191">
        <f t="shared" si="37"/>
        <v>64.40000000000002</v>
      </c>
      <c r="AS64" s="194">
        <f t="shared" si="38"/>
        <v>64.40000000000002</v>
      </c>
      <c r="AT64" s="195" t="s">
        <v>77</v>
      </c>
      <c r="AU64" s="425" t="s">
        <v>412</v>
      </c>
      <c r="AV64" s="425" t="s">
        <v>433</v>
      </c>
      <c r="AW64" s="425"/>
      <c r="AX64" s="425" t="s">
        <v>434</v>
      </c>
      <c r="AY64" s="425"/>
      <c r="AZ64" s="425"/>
      <c r="BA64" s="427" t="s">
        <v>435</v>
      </c>
      <c r="BB64" s="425"/>
      <c r="BC64" s="440"/>
      <c r="BD64" s="404">
        <f>SUM($AS$4:AS64)</f>
        <v>254.4200000000202</v>
      </c>
      <c r="BE64" s="405">
        <f>SUM($AR$4:AR64)</f>
        <v>384.27000000002027</v>
      </c>
      <c r="BF64" s="330"/>
      <c r="BG64" s="330"/>
    </row>
    <row r="65" spans="1:59" ht="18" customHeight="1">
      <c r="A65" s="227" t="s">
        <v>329</v>
      </c>
      <c r="B65" s="238">
        <v>44875</v>
      </c>
      <c r="C65" s="198">
        <v>0.79166666666666663</v>
      </c>
      <c r="D65" s="182" t="s">
        <v>74</v>
      </c>
      <c r="E65" s="233" t="s">
        <v>436</v>
      </c>
      <c r="F65" s="240" t="s">
        <v>437</v>
      </c>
      <c r="G65" s="185"/>
      <c r="H65" s="186"/>
      <c r="I65" s="186"/>
      <c r="J65" s="186">
        <v>1</v>
      </c>
      <c r="K65" s="187" t="s">
        <v>97</v>
      </c>
      <c r="L65" s="186"/>
      <c r="M65" s="186"/>
      <c r="N65" s="186"/>
      <c r="O65" s="187"/>
      <c r="P65" s="187"/>
      <c r="Q65" s="187"/>
      <c r="R65" s="187"/>
      <c r="S65" s="187"/>
      <c r="T65" s="187"/>
      <c r="U65" s="187"/>
      <c r="V65" s="188"/>
      <c r="W65" s="188"/>
      <c r="X65" s="189"/>
      <c r="Y65" s="189"/>
      <c r="Z65" s="189"/>
      <c r="AA65" s="190"/>
      <c r="AB65" s="186"/>
      <c r="AC65" s="344"/>
      <c r="AD65" s="186"/>
      <c r="AE65" s="186"/>
      <c r="AF65" s="186"/>
      <c r="AG65" s="186"/>
      <c r="AH65" s="186"/>
      <c r="AI65" s="191"/>
      <c r="AJ65" s="187"/>
      <c r="AK65" s="186"/>
      <c r="AL65" s="186"/>
      <c r="AM65" s="186"/>
      <c r="AN65" s="344"/>
      <c r="AO65" s="186"/>
      <c r="AP65" s="193"/>
      <c r="AQ65" s="186"/>
      <c r="AR65" s="191"/>
      <c r="AS65" s="194"/>
      <c r="AT65" s="195"/>
      <c r="AU65" s="425"/>
      <c r="AV65" s="425"/>
      <c r="AW65" s="425"/>
      <c r="AX65" s="425"/>
      <c r="AY65" s="425"/>
      <c r="AZ65" s="425"/>
      <c r="BA65" s="425"/>
      <c r="BB65" s="425"/>
      <c r="BC65" s="440"/>
      <c r="BD65" s="404">
        <f>SUM($AS$4:AS65)</f>
        <v>254.4200000000202</v>
      </c>
      <c r="BE65" s="405">
        <f>SUM($AR$4:AR65)</f>
        <v>384.27000000002027</v>
      </c>
      <c r="BF65" s="330"/>
      <c r="BG65" s="330"/>
    </row>
    <row r="66" spans="1:59" ht="18" customHeight="1">
      <c r="A66" s="227" t="s">
        <v>329</v>
      </c>
      <c r="B66" s="241"/>
      <c r="C66" s="198"/>
      <c r="D66" s="182"/>
      <c r="E66" s="233" t="s">
        <v>438</v>
      </c>
      <c r="F66" s="184"/>
      <c r="G66" s="185"/>
      <c r="H66" s="186"/>
      <c r="I66" s="186"/>
      <c r="J66" s="186">
        <v>1</v>
      </c>
      <c r="K66" s="187" t="s">
        <v>97</v>
      </c>
      <c r="L66" s="186"/>
      <c r="M66" s="186"/>
      <c r="N66" s="186"/>
      <c r="O66" s="187"/>
      <c r="P66" s="187"/>
      <c r="Q66" s="187"/>
      <c r="R66" s="187"/>
      <c r="S66" s="187"/>
      <c r="T66" s="187"/>
      <c r="U66" s="187"/>
      <c r="V66" s="188"/>
      <c r="W66" s="188"/>
      <c r="X66" s="189"/>
      <c r="Y66" s="189"/>
      <c r="Z66" s="189"/>
      <c r="AA66" s="190"/>
      <c r="AB66" s="186"/>
      <c r="AC66" s="344"/>
      <c r="AD66" s="186"/>
      <c r="AE66" s="186"/>
      <c r="AF66" s="186"/>
      <c r="AG66" s="186"/>
      <c r="AH66" s="186"/>
      <c r="AI66" s="191"/>
      <c r="AJ66" s="187"/>
      <c r="AK66" s="186"/>
      <c r="AL66" s="186"/>
      <c r="AM66" s="186"/>
      <c r="AN66" s="344"/>
      <c r="AO66" s="186"/>
      <c r="AP66" s="193"/>
      <c r="AQ66" s="186"/>
      <c r="AR66" s="191"/>
      <c r="AS66" s="194"/>
      <c r="AT66" s="195"/>
      <c r="AU66" s="425"/>
      <c r="AV66" s="425"/>
      <c r="AW66" s="425"/>
      <c r="AX66" s="425"/>
      <c r="AY66" s="425"/>
      <c r="AZ66" s="425"/>
      <c r="BA66" s="425"/>
      <c r="BB66" s="425"/>
      <c r="BC66" s="440"/>
      <c r="BD66" s="404">
        <f>SUM($AS$4:AS66)</f>
        <v>254.4200000000202</v>
      </c>
      <c r="BE66" s="405">
        <f>SUM($AR$4:AR66)</f>
        <v>384.27000000002027</v>
      </c>
      <c r="BF66" s="330"/>
      <c r="BG66" s="330"/>
    </row>
    <row r="67" spans="1:59" ht="18" customHeight="1">
      <c r="A67" s="227" t="s">
        <v>329</v>
      </c>
      <c r="B67" s="238"/>
      <c r="C67" s="198"/>
      <c r="D67" s="182"/>
      <c r="E67" s="233" t="s">
        <v>439</v>
      </c>
      <c r="F67" s="184"/>
      <c r="G67" s="185"/>
      <c r="H67" s="186"/>
      <c r="I67" s="186"/>
      <c r="J67" s="186">
        <v>1</v>
      </c>
      <c r="K67" s="187" t="s">
        <v>97</v>
      </c>
      <c r="L67" s="186"/>
      <c r="M67" s="186"/>
      <c r="N67" s="186"/>
      <c r="O67" s="187"/>
      <c r="P67" s="187"/>
      <c r="Q67" s="187"/>
      <c r="R67" s="187"/>
      <c r="S67" s="187"/>
      <c r="T67" s="187"/>
      <c r="U67" s="187"/>
      <c r="V67" s="188"/>
      <c r="W67" s="188"/>
      <c r="X67" s="189"/>
      <c r="Y67" s="189"/>
      <c r="Z67" s="189"/>
      <c r="AA67" s="190"/>
      <c r="AB67" s="186"/>
      <c r="AC67" s="344"/>
      <c r="AD67" s="186"/>
      <c r="AE67" s="186"/>
      <c r="AF67" s="186"/>
      <c r="AG67" s="186"/>
      <c r="AH67" s="186"/>
      <c r="AI67" s="191"/>
      <c r="AJ67" s="187"/>
      <c r="AK67" s="186"/>
      <c r="AL67" s="186"/>
      <c r="AM67" s="186"/>
      <c r="AN67" s="344"/>
      <c r="AO67" s="186"/>
      <c r="AP67" s="193"/>
      <c r="AQ67" s="186"/>
      <c r="AR67" s="191"/>
      <c r="AS67" s="194"/>
      <c r="AT67" s="195"/>
      <c r="AU67" s="425"/>
      <c r="AV67" s="425"/>
      <c r="AW67" s="425"/>
      <c r="AX67" s="425"/>
      <c r="AY67" s="425"/>
      <c r="AZ67" s="425"/>
      <c r="BA67" s="425"/>
      <c r="BB67" s="425"/>
      <c r="BC67" s="440"/>
      <c r="BD67" s="404">
        <f>SUM($AS$4:AS67)</f>
        <v>254.4200000000202</v>
      </c>
      <c r="BE67" s="405">
        <f>SUM($AR$4:AR67)</f>
        <v>384.27000000002027</v>
      </c>
      <c r="BF67" s="330"/>
      <c r="BG67" s="330"/>
    </row>
    <row r="68" spans="1:59" ht="18" customHeight="1">
      <c r="A68" s="227" t="s">
        <v>329</v>
      </c>
      <c r="B68" s="238">
        <v>44875</v>
      </c>
      <c r="C68" s="182"/>
      <c r="D68" s="182" t="s">
        <v>74</v>
      </c>
      <c r="E68" s="233"/>
      <c r="F68" s="184"/>
      <c r="G68" s="242" t="s">
        <v>440</v>
      </c>
      <c r="H68" s="186"/>
      <c r="I68" s="186"/>
      <c r="J68" s="186"/>
      <c r="K68" s="187"/>
      <c r="L68" s="186">
        <v>1</v>
      </c>
      <c r="M68" s="186">
        <v>1</v>
      </c>
      <c r="N68" s="186"/>
      <c r="O68" s="187" t="s">
        <v>76</v>
      </c>
      <c r="P68" s="187" t="s">
        <v>77</v>
      </c>
      <c r="Q68" s="187" t="s">
        <v>78</v>
      </c>
      <c r="R68" s="187">
        <v>1</v>
      </c>
      <c r="S68" s="187">
        <v>1</v>
      </c>
      <c r="T68" s="187">
        <v>1</v>
      </c>
      <c r="U68" s="187" t="s">
        <v>22</v>
      </c>
      <c r="V68" s="188">
        <f t="shared" ref="V68:V146" si="43">IF(ISBLANK(O68),,(IF(O68=UPPER("IB"),0.005,0.01)))</f>
        <v>0.01</v>
      </c>
      <c r="W68" s="188">
        <f t="shared" ref="W68:W71" si="44">IF(ISBLANK(O68),,IF(O68=UPPER("IB"),8.63*200,15.8*100))</f>
        <v>1580</v>
      </c>
      <c r="X68" s="189"/>
      <c r="Y68" s="189"/>
      <c r="Z68" s="189" t="s">
        <v>441</v>
      </c>
      <c r="AA68" s="190">
        <v>0.03</v>
      </c>
      <c r="AB68" s="186" t="s">
        <v>442</v>
      </c>
      <c r="AC68" s="344"/>
      <c r="AD68" s="186"/>
      <c r="AE68" s="186" t="s">
        <v>443</v>
      </c>
      <c r="AF68" s="186"/>
      <c r="AG68" s="186"/>
      <c r="AH68" s="186"/>
      <c r="AI68" s="191">
        <f t="shared" ref="AI68:AI70" si="45">-0.03*W68</f>
        <v>-47.4</v>
      </c>
      <c r="AJ68" s="191">
        <f t="shared" ref="AJ68:AJ77" si="46">AI68*R68</f>
        <v>-47.4</v>
      </c>
      <c r="AK68" s="186"/>
      <c r="AL68" s="186"/>
      <c r="AM68" s="186" t="s">
        <v>444</v>
      </c>
      <c r="AN68" s="344" t="s">
        <v>77</v>
      </c>
      <c r="AO68" s="186" t="s">
        <v>445</v>
      </c>
      <c r="AP68" s="193">
        <v>0.06</v>
      </c>
      <c r="AQ68" s="193">
        <f t="shared" si="36"/>
        <v>0.03</v>
      </c>
      <c r="AR68" s="191">
        <f t="shared" si="37"/>
        <v>47.4</v>
      </c>
      <c r="AS68" s="194">
        <f t="shared" si="38"/>
        <v>47.4</v>
      </c>
      <c r="AT68" s="195" t="s">
        <v>77</v>
      </c>
      <c r="AU68" s="425" t="s">
        <v>446</v>
      </c>
      <c r="AV68" s="425" t="s">
        <v>447</v>
      </c>
      <c r="AW68" s="425"/>
      <c r="AX68" s="425"/>
      <c r="AY68" s="425"/>
      <c r="AZ68" s="425"/>
      <c r="BA68" s="425"/>
      <c r="BB68" s="425"/>
      <c r="BC68" s="440"/>
      <c r="BD68" s="404">
        <f>SUM($AS$4:AS68)</f>
        <v>301.82000000002017</v>
      </c>
      <c r="BE68" s="405">
        <f>SUM($AR$4:AR68)</f>
        <v>431.67000000002025</v>
      </c>
      <c r="BF68" s="330"/>
      <c r="BG68" s="330"/>
    </row>
    <row r="69" spans="1:59" ht="18" customHeight="1">
      <c r="A69" s="227" t="s">
        <v>329</v>
      </c>
      <c r="B69" s="181">
        <v>44876</v>
      </c>
      <c r="C69" s="182" t="s">
        <v>448</v>
      </c>
      <c r="D69" s="182" t="s">
        <v>93</v>
      </c>
      <c r="E69" s="233"/>
      <c r="F69" s="184"/>
      <c r="G69" s="185" t="s">
        <v>417</v>
      </c>
      <c r="H69" s="186"/>
      <c r="I69" s="186"/>
      <c r="J69" s="186"/>
      <c r="K69" s="187"/>
      <c r="L69" s="186"/>
      <c r="M69" s="186"/>
      <c r="N69" s="186">
        <v>1</v>
      </c>
      <c r="O69" s="187" t="s">
        <v>76</v>
      </c>
      <c r="P69" s="187" t="s">
        <v>77</v>
      </c>
      <c r="Q69" s="187" t="s">
        <v>78</v>
      </c>
      <c r="R69" s="187">
        <v>1</v>
      </c>
      <c r="S69" s="187">
        <v>1</v>
      </c>
      <c r="T69" s="187">
        <v>1</v>
      </c>
      <c r="U69" s="187" t="s">
        <v>78</v>
      </c>
      <c r="V69" s="188">
        <f t="shared" si="43"/>
        <v>0.01</v>
      </c>
      <c r="W69" s="188">
        <f t="shared" si="44"/>
        <v>1580</v>
      </c>
      <c r="X69" s="189" t="s">
        <v>449</v>
      </c>
      <c r="Y69" s="189"/>
      <c r="Z69" s="189"/>
      <c r="AA69" s="190">
        <v>0.2</v>
      </c>
      <c r="AB69" s="186"/>
      <c r="AC69" s="344"/>
      <c r="AD69" s="186"/>
      <c r="AE69" s="186"/>
      <c r="AF69" s="186"/>
      <c r="AG69" s="186"/>
      <c r="AH69" s="186"/>
      <c r="AI69" s="191">
        <f t="shared" si="45"/>
        <v>-47.4</v>
      </c>
      <c r="AJ69" s="191">
        <f t="shared" si="46"/>
        <v>-47.4</v>
      </c>
      <c r="AK69" s="186"/>
      <c r="AL69" s="186"/>
      <c r="AM69" s="186"/>
      <c r="AN69" s="344" t="s">
        <v>87</v>
      </c>
      <c r="AO69" s="235">
        <v>0.16666666666666666</v>
      </c>
      <c r="AP69" s="193">
        <v>0.22</v>
      </c>
      <c r="AQ69" s="193">
        <f t="shared" si="36"/>
        <v>-1.999999999999999E-2</v>
      </c>
      <c r="AR69" s="191">
        <f t="shared" si="37"/>
        <v>-31.599999999999984</v>
      </c>
      <c r="AS69" s="194">
        <f t="shared" si="38"/>
        <v>-31.599999999999984</v>
      </c>
      <c r="AT69" s="195" t="s">
        <v>211</v>
      </c>
      <c r="AU69" s="425" t="s">
        <v>450</v>
      </c>
      <c r="AV69" s="425" t="s">
        <v>451</v>
      </c>
      <c r="AW69" s="425" t="s">
        <v>452</v>
      </c>
      <c r="AX69" s="425" t="s">
        <v>453</v>
      </c>
      <c r="AY69" s="425" t="s">
        <v>454</v>
      </c>
      <c r="AZ69" s="425" t="s">
        <v>455</v>
      </c>
      <c r="BA69" s="425" t="s">
        <v>456</v>
      </c>
      <c r="BB69" s="425"/>
      <c r="BC69" s="440"/>
      <c r="BD69" s="404">
        <f>SUM($AS$4:AS69)</f>
        <v>270.22000000002021</v>
      </c>
      <c r="BE69" s="405">
        <f>SUM($AR$4:AR69)</f>
        <v>400.07000000002029</v>
      </c>
      <c r="BF69" s="330"/>
      <c r="BG69" s="330"/>
    </row>
    <row r="70" spans="1:59" ht="18" customHeight="1">
      <c r="A70" s="227" t="s">
        <v>329</v>
      </c>
      <c r="B70" s="181">
        <v>44876</v>
      </c>
      <c r="C70" s="182" t="s">
        <v>457</v>
      </c>
      <c r="D70" s="182" t="s">
        <v>93</v>
      </c>
      <c r="E70" s="233"/>
      <c r="F70" s="184"/>
      <c r="G70" s="243" t="s">
        <v>440</v>
      </c>
      <c r="H70" s="186"/>
      <c r="I70" s="186"/>
      <c r="J70" s="186"/>
      <c r="K70" s="187"/>
      <c r="L70" s="186"/>
      <c r="M70" s="186">
        <v>2</v>
      </c>
      <c r="N70" s="186"/>
      <c r="O70" s="187" t="s">
        <v>76</v>
      </c>
      <c r="P70" s="187" t="s">
        <v>77</v>
      </c>
      <c r="Q70" s="187" t="s">
        <v>238</v>
      </c>
      <c r="R70" s="187">
        <v>1</v>
      </c>
      <c r="S70" s="187">
        <v>1</v>
      </c>
      <c r="T70" s="187">
        <v>1</v>
      </c>
      <c r="U70" s="187" t="s">
        <v>22</v>
      </c>
      <c r="V70" s="188">
        <f t="shared" si="43"/>
        <v>0.01</v>
      </c>
      <c r="W70" s="188">
        <f t="shared" si="44"/>
        <v>1580</v>
      </c>
      <c r="X70" s="189" t="s">
        <v>458</v>
      </c>
      <c r="Y70" s="189"/>
      <c r="Z70" s="189" t="s">
        <v>406</v>
      </c>
      <c r="AA70" s="190">
        <v>0.02</v>
      </c>
      <c r="AB70" s="188"/>
      <c r="AC70" s="344"/>
      <c r="AD70" s="186"/>
      <c r="AE70" s="186" t="s">
        <v>443</v>
      </c>
      <c r="AF70" s="186"/>
      <c r="AG70" s="186"/>
      <c r="AH70" s="186"/>
      <c r="AI70" s="191">
        <f t="shared" si="45"/>
        <v>-47.4</v>
      </c>
      <c r="AJ70" s="191">
        <f t="shared" si="46"/>
        <v>-47.4</v>
      </c>
      <c r="AK70" s="186"/>
      <c r="AL70" s="186"/>
      <c r="AM70" s="186" t="s">
        <v>444</v>
      </c>
      <c r="AN70" s="344" t="s">
        <v>77</v>
      </c>
      <c r="AO70" s="186" t="s">
        <v>459</v>
      </c>
      <c r="AP70" s="193">
        <v>0.06</v>
      </c>
      <c r="AQ70" s="193">
        <f t="shared" si="36"/>
        <v>3.9999999999999994E-2</v>
      </c>
      <c r="AR70" s="191">
        <f t="shared" si="37"/>
        <v>63.199999999999989</v>
      </c>
      <c r="AS70" s="194">
        <f t="shared" si="38"/>
        <v>63.199999999999989</v>
      </c>
      <c r="AT70" s="195" t="s">
        <v>77</v>
      </c>
      <c r="AU70" s="425" t="s">
        <v>460</v>
      </c>
      <c r="AV70" s="425" t="s">
        <v>446</v>
      </c>
      <c r="AW70" s="425"/>
      <c r="AX70" s="425" t="s">
        <v>461</v>
      </c>
      <c r="AY70" s="427" t="s">
        <v>462</v>
      </c>
      <c r="AZ70" s="425" t="s">
        <v>463</v>
      </c>
      <c r="BA70" s="425"/>
      <c r="BB70" s="425"/>
      <c r="BC70" s="440"/>
      <c r="BD70" s="404">
        <f>SUM($AS$4:AS70)</f>
        <v>333.4200000000202</v>
      </c>
      <c r="BE70" s="405">
        <f>SUM($AR$4:AR70)</f>
        <v>463.27000000002027</v>
      </c>
      <c r="BF70" s="330"/>
      <c r="BG70" s="330"/>
    </row>
    <row r="71" spans="1:59" ht="18" customHeight="1">
      <c r="A71" s="227" t="s">
        <v>329</v>
      </c>
      <c r="B71" s="181">
        <v>44876</v>
      </c>
      <c r="C71" s="182" t="s">
        <v>464</v>
      </c>
      <c r="D71" s="182" t="s">
        <v>93</v>
      </c>
      <c r="E71" s="233"/>
      <c r="F71" s="184"/>
      <c r="G71" s="185" t="s">
        <v>262</v>
      </c>
      <c r="H71" s="186"/>
      <c r="I71" s="186"/>
      <c r="J71" s="186"/>
      <c r="K71" s="187"/>
      <c r="L71" s="186">
        <v>1</v>
      </c>
      <c r="M71" s="186">
        <v>1</v>
      </c>
      <c r="N71" s="186"/>
      <c r="O71" s="187" t="s">
        <v>76</v>
      </c>
      <c r="P71" s="187" t="s">
        <v>119</v>
      </c>
      <c r="Q71" s="187" t="s">
        <v>78</v>
      </c>
      <c r="R71" s="187">
        <v>2</v>
      </c>
      <c r="S71" s="187">
        <v>2</v>
      </c>
      <c r="T71" s="187">
        <v>2</v>
      </c>
      <c r="U71" s="187" t="s">
        <v>78</v>
      </c>
      <c r="V71" s="188">
        <f t="shared" si="43"/>
        <v>0.01</v>
      </c>
      <c r="W71" s="188">
        <f t="shared" si="44"/>
        <v>1580</v>
      </c>
      <c r="X71" s="189" t="s">
        <v>465</v>
      </c>
      <c r="Y71" s="189"/>
      <c r="Z71" s="189" t="s">
        <v>80</v>
      </c>
      <c r="AA71" s="190">
        <v>-0.04</v>
      </c>
      <c r="AB71" s="186"/>
      <c r="AC71" s="344">
        <v>0</v>
      </c>
      <c r="AD71" s="186"/>
      <c r="AE71" s="186">
        <v>-0.04</v>
      </c>
      <c r="AF71" s="186" t="s">
        <v>466</v>
      </c>
      <c r="AG71" s="186"/>
      <c r="AH71" s="186"/>
      <c r="AI71" s="191">
        <f>-0.02*W71</f>
        <v>-31.6</v>
      </c>
      <c r="AJ71" s="191">
        <f t="shared" si="46"/>
        <v>-63.2</v>
      </c>
      <c r="AK71" s="186"/>
      <c r="AL71" s="186"/>
      <c r="AM71" s="186" t="s">
        <v>467</v>
      </c>
      <c r="AN71" s="344" t="s">
        <v>97</v>
      </c>
      <c r="AO71" s="186" t="s">
        <v>468</v>
      </c>
      <c r="AP71" s="193">
        <v>-0.04</v>
      </c>
      <c r="AQ71" s="193">
        <f t="shared" si="36"/>
        <v>0</v>
      </c>
      <c r="AR71" s="191">
        <f t="shared" si="37"/>
        <v>0</v>
      </c>
      <c r="AS71" s="194">
        <f t="shared" si="38"/>
        <v>0</v>
      </c>
      <c r="AT71" s="195" t="s">
        <v>97</v>
      </c>
      <c r="AU71" s="425"/>
      <c r="AV71" s="425"/>
      <c r="AW71" s="425"/>
      <c r="AX71" s="425"/>
      <c r="AY71" s="425"/>
      <c r="AZ71" s="425"/>
      <c r="BA71" s="425"/>
      <c r="BB71" s="425"/>
      <c r="BC71" s="440"/>
      <c r="BD71" s="404">
        <f>SUM($AS$4:AS71)</f>
        <v>333.4200000000202</v>
      </c>
      <c r="BE71" s="405">
        <f>SUM($AR$4:AR71)</f>
        <v>463.27000000002027</v>
      </c>
      <c r="BF71" s="330"/>
      <c r="BG71" s="330"/>
    </row>
    <row r="72" spans="1:59" ht="18" customHeight="1">
      <c r="A72" s="227" t="s">
        <v>329</v>
      </c>
      <c r="B72" s="181">
        <v>44876</v>
      </c>
      <c r="C72" s="182" t="s">
        <v>469</v>
      </c>
      <c r="D72" s="182" t="s">
        <v>93</v>
      </c>
      <c r="E72" s="233"/>
      <c r="F72" s="184"/>
      <c r="G72" s="187" t="s">
        <v>253</v>
      </c>
      <c r="H72" s="186"/>
      <c r="I72" s="186"/>
      <c r="J72" s="186"/>
      <c r="K72" s="187"/>
      <c r="L72" s="186">
        <v>1</v>
      </c>
      <c r="M72" s="186">
        <v>1</v>
      </c>
      <c r="N72" s="186"/>
      <c r="O72" s="187" t="s">
        <v>76</v>
      </c>
      <c r="P72" s="187" t="s">
        <v>119</v>
      </c>
      <c r="Q72" s="187" t="s">
        <v>78</v>
      </c>
      <c r="R72" s="187">
        <v>2</v>
      </c>
      <c r="S72" s="187">
        <v>2</v>
      </c>
      <c r="T72" s="187">
        <v>2</v>
      </c>
      <c r="U72" s="187" t="s">
        <v>78</v>
      </c>
      <c r="V72" s="188">
        <f t="shared" si="43"/>
        <v>0.01</v>
      </c>
      <c r="W72" s="188">
        <f t="shared" ref="W72:W74" si="47">IF(ISBLANK(O72),,IF(O72=UPPER("IB"),8.63*200,16.2*100))</f>
        <v>1620</v>
      </c>
      <c r="X72" s="189"/>
      <c r="Y72" s="189"/>
      <c r="Z72" s="189" t="s">
        <v>470</v>
      </c>
      <c r="AA72" s="190">
        <v>-0.04</v>
      </c>
      <c r="AB72" s="186"/>
      <c r="AC72" s="344">
        <v>-0.01</v>
      </c>
      <c r="AD72" s="186"/>
      <c r="AE72" s="186"/>
      <c r="AF72" s="186"/>
      <c r="AG72" s="186"/>
      <c r="AH72" s="186"/>
      <c r="AI72" s="191">
        <f t="shared" ref="AI72:AI75" si="48">-0.03*W72</f>
        <v>-48.6</v>
      </c>
      <c r="AJ72" s="191">
        <f t="shared" si="46"/>
        <v>-97.2</v>
      </c>
      <c r="AK72" s="186"/>
      <c r="AL72" s="186"/>
      <c r="AM72" s="186" t="s">
        <v>471</v>
      </c>
      <c r="AN72" s="344" t="s">
        <v>97</v>
      </c>
      <c r="AO72" s="199">
        <v>44880.666666666664</v>
      </c>
      <c r="AP72" s="193">
        <v>-0.05</v>
      </c>
      <c r="AQ72" s="193">
        <f t="shared" si="36"/>
        <v>1.0000000000000002E-2</v>
      </c>
      <c r="AR72" s="191">
        <f t="shared" si="37"/>
        <v>32.400000000000006</v>
      </c>
      <c r="AS72" s="194">
        <f t="shared" si="38"/>
        <v>16.200000000000003</v>
      </c>
      <c r="AT72" s="195" t="s">
        <v>77</v>
      </c>
      <c r="AU72" s="425"/>
      <c r="AV72" s="425"/>
      <c r="AW72" s="425"/>
      <c r="AX72" s="425"/>
      <c r="AY72" s="425"/>
      <c r="AZ72" s="425"/>
      <c r="BA72" s="425"/>
      <c r="BB72" s="425"/>
      <c r="BC72" s="440"/>
      <c r="BD72" s="404">
        <f>SUM($AS$4:AS72)</f>
        <v>349.62000000002018</v>
      </c>
      <c r="BE72" s="405">
        <f>SUM($AR$4:AR72)</f>
        <v>495.67000000002031</v>
      </c>
      <c r="BF72" s="330"/>
      <c r="BG72" s="330"/>
    </row>
    <row r="73" spans="1:59" ht="18" customHeight="1">
      <c r="A73" s="227" t="s">
        <v>329</v>
      </c>
      <c r="B73" s="181">
        <v>44876</v>
      </c>
      <c r="C73" s="182" t="s">
        <v>472</v>
      </c>
      <c r="D73" s="182" t="s">
        <v>93</v>
      </c>
      <c r="E73" s="233"/>
      <c r="F73" s="184"/>
      <c r="G73" s="244" t="s">
        <v>262</v>
      </c>
      <c r="H73" s="186"/>
      <c r="I73" s="186"/>
      <c r="J73" s="186"/>
      <c r="K73" s="187"/>
      <c r="L73" s="186">
        <v>1</v>
      </c>
      <c r="M73" s="186"/>
      <c r="N73" s="186"/>
      <c r="O73" s="187" t="s">
        <v>76</v>
      </c>
      <c r="P73" s="187" t="s">
        <v>119</v>
      </c>
      <c r="Q73" s="187" t="s">
        <v>78</v>
      </c>
      <c r="R73" s="187">
        <v>2</v>
      </c>
      <c r="S73" s="187">
        <v>2</v>
      </c>
      <c r="T73" s="187">
        <v>2</v>
      </c>
      <c r="U73" s="187" t="s">
        <v>78</v>
      </c>
      <c r="V73" s="188">
        <f t="shared" si="43"/>
        <v>0.01</v>
      </c>
      <c r="W73" s="188">
        <f t="shared" si="47"/>
        <v>1620</v>
      </c>
      <c r="X73" s="189"/>
      <c r="Y73" s="189"/>
      <c r="Z73" s="189" t="s">
        <v>470</v>
      </c>
      <c r="AA73" s="190">
        <v>-0.03</v>
      </c>
      <c r="AB73" s="186"/>
      <c r="AC73" s="344">
        <v>0</v>
      </c>
      <c r="AD73" s="186"/>
      <c r="AE73" s="186"/>
      <c r="AF73" s="186"/>
      <c r="AG73" s="186"/>
      <c r="AH73" s="186"/>
      <c r="AI73" s="191">
        <f t="shared" si="48"/>
        <v>-48.6</v>
      </c>
      <c r="AJ73" s="191">
        <f t="shared" si="46"/>
        <v>-97.2</v>
      </c>
      <c r="AK73" s="186"/>
      <c r="AL73" s="186"/>
      <c r="AM73" s="186" t="s">
        <v>471</v>
      </c>
      <c r="AN73" s="344" t="s">
        <v>97</v>
      </c>
      <c r="AO73" s="186" t="s">
        <v>473</v>
      </c>
      <c r="AP73" s="193">
        <v>-0.05</v>
      </c>
      <c r="AQ73" s="193">
        <f t="shared" si="36"/>
        <v>2.0000000000000004E-2</v>
      </c>
      <c r="AR73" s="191">
        <f t="shared" si="37"/>
        <v>64.800000000000011</v>
      </c>
      <c r="AS73" s="194">
        <f t="shared" si="38"/>
        <v>32.400000000000006</v>
      </c>
      <c r="AT73" s="195" t="s">
        <v>77</v>
      </c>
      <c r="AU73" s="425" t="s">
        <v>474</v>
      </c>
      <c r="AV73" s="425"/>
      <c r="AW73" s="425"/>
      <c r="AX73" s="425"/>
      <c r="AY73" s="425"/>
      <c r="AZ73" s="425"/>
      <c r="BA73" s="425"/>
      <c r="BB73" s="425"/>
      <c r="BC73" s="440"/>
      <c r="BD73" s="404">
        <f>SUM($AS$4:AS73)</f>
        <v>382.02000000002022</v>
      </c>
      <c r="BE73" s="405">
        <f>SUM($AR$4:AR73)</f>
        <v>560.47000000002026</v>
      </c>
      <c r="BF73" s="330"/>
      <c r="BG73" s="330"/>
    </row>
    <row r="74" spans="1:59" ht="18" customHeight="1">
      <c r="A74" s="227" t="s">
        <v>329</v>
      </c>
      <c r="B74" s="181">
        <v>44876</v>
      </c>
      <c r="C74" s="182" t="s">
        <v>475</v>
      </c>
      <c r="D74" s="182" t="s">
        <v>93</v>
      </c>
      <c r="E74" s="233"/>
      <c r="F74" s="184"/>
      <c r="G74" s="203" t="s">
        <v>253</v>
      </c>
      <c r="H74" s="186"/>
      <c r="I74" s="186"/>
      <c r="J74" s="186"/>
      <c r="K74" s="187"/>
      <c r="L74" s="186">
        <v>1</v>
      </c>
      <c r="M74" s="186"/>
      <c r="N74" s="186"/>
      <c r="O74" s="187" t="s">
        <v>76</v>
      </c>
      <c r="P74" s="187" t="s">
        <v>119</v>
      </c>
      <c r="Q74" s="187" t="s">
        <v>78</v>
      </c>
      <c r="R74" s="187">
        <v>2</v>
      </c>
      <c r="S74" s="187">
        <v>2</v>
      </c>
      <c r="T74" s="187">
        <v>2</v>
      </c>
      <c r="U74" s="187" t="s">
        <v>78</v>
      </c>
      <c r="V74" s="188">
        <f t="shared" si="43"/>
        <v>0.01</v>
      </c>
      <c r="W74" s="188">
        <f t="shared" si="47"/>
        <v>1620</v>
      </c>
      <c r="X74" s="189"/>
      <c r="Y74" s="189"/>
      <c r="Z74" s="189" t="s">
        <v>476</v>
      </c>
      <c r="AA74" s="190">
        <v>-0.03</v>
      </c>
      <c r="AB74" s="186"/>
      <c r="AC74" s="344"/>
      <c r="AD74" s="186"/>
      <c r="AE74" s="186"/>
      <c r="AF74" s="186"/>
      <c r="AG74" s="186"/>
      <c r="AH74" s="186"/>
      <c r="AI74" s="191">
        <f t="shared" si="48"/>
        <v>-48.6</v>
      </c>
      <c r="AJ74" s="191">
        <f t="shared" si="46"/>
        <v>-97.2</v>
      </c>
      <c r="AK74" s="186"/>
      <c r="AL74" s="186"/>
      <c r="AM74" s="186" t="s">
        <v>471</v>
      </c>
      <c r="AN74" s="344" t="s">
        <v>97</v>
      </c>
      <c r="AO74" s="186" t="s">
        <v>477</v>
      </c>
      <c r="AP74" s="193">
        <v>-0.06</v>
      </c>
      <c r="AQ74" s="193">
        <f t="shared" si="36"/>
        <v>0.03</v>
      </c>
      <c r="AR74" s="191">
        <f t="shared" si="37"/>
        <v>97.2</v>
      </c>
      <c r="AS74" s="194">
        <f t="shared" si="38"/>
        <v>48.6</v>
      </c>
      <c r="AT74" s="195" t="s">
        <v>77</v>
      </c>
      <c r="AU74" s="425" t="s">
        <v>478</v>
      </c>
      <c r="AV74" s="425" t="s">
        <v>479</v>
      </c>
      <c r="AW74" s="425"/>
      <c r="AX74" s="425" t="s">
        <v>480</v>
      </c>
      <c r="AY74" s="425" t="s">
        <v>481</v>
      </c>
      <c r="AZ74" s="425"/>
      <c r="BA74" s="425"/>
      <c r="BB74" s="425"/>
      <c r="BC74" s="440"/>
      <c r="BD74" s="404">
        <f>SUM($AS$4:AS74)</f>
        <v>430.62000000002024</v>
      </c>
      <c r="BE74" s="405">
        <f>SUM($AR$4:AR74)</f>
        <v>657.67000000002031</v>
      </c>
      <c r="BF74" s="330"/>
      <c r="BG74" s="330"/>
    </row>
    <row r="75" spans="1:59" ht="18" customHeight="1">
      <c r="A75" s="227" t="s">
        <v>329</v>
      </c>
      <c r="B75" s="181">
        <v>44876</v>
      </c>
      <c r="C75" s="182" t="s">
        <v>482</v>
      </c>
      <c r="D75" s="182" t="s">
        <v>93</v>
      </c>
      <c r="E75" s="233"/>
      <c r="F75" s="184"/>
      <c r="G75" s="185" t="s">
        <v>347</v>
      </c>
      <c r="H75" s="186"/>
      <c r="I75" s="186"/>
      <c r="J75" s="186"/>
      <c r="K75" s="187"/>
      <c r="L75" s="186">
        <v>1</v>
      </c>
      <c r="M75" s="186"/>
      <c r="N75" s="186"/>
      <c r="O75" s="187" t="s">
        <v>76</v>
      </c>
      <c r="P75" s="187" t="s">
        <v>119</v>
      </c>
      <c r="Q75" s="187" t="s">
        <v>78</v>
      </c>
      <c r="R75" s="187">
        <v>2</v>
      </c>
      <c r="S75" s="187">
        <v>2</v>
      </c>
      <c r="T75" s="187">
        <v>2</v>
      </c>
      <c r="U75" s="187" t="s">
        <v>78</v>
      </c>
      <c r="V75" s="188">
        <f t="shared" si="43"/>
        <v>0.01</v>
      </c>
      <c r="W75" s="188">
        <f>IF(ISBLANK(O75),,IF(O75=UPPER("IB"),8.63*200,15.8*100))</f>
        <v>1580</v>
      </c>
      <c r="X75" s="189"/>
      <c r="Y75" s="189"/>
      <c r="Z75" s="189" t="s">
        <v>483</v>
      </c>
      <c r="AA75" s="190">
        <v>-0.03</v>
      </c>
      <c r="AB75" s="186"/>
      <c r="AC75" s="344"/>
      <c r="AD75" s="186"/>
      <c r="AE75" s="186">
        <v>-0.03</v>
      </c>
      <c r="AF75" s="186" t="s">
        <v>484</v>
      </c>
      <c r="AG75" s="186"/>
      <c r="AH75" s="186"/>
      <c r="AI75" s="191">
        <f t="shared" si="48"/>
        <v>-47.4</v>
      </c>
      <c r="AJ75" s="191">
        <f t="shared" si="46"/>
        <v>-94.8</v>
      </c>
      <c r="AK75" s="186"/>
      <c r="AL75" s="186"/>
      <c r="AM75" s="186" t="s">
        <v>471</v>
      </c>
      <c r="AN75" s="344" t="s">
        <v>97</v>
      </c>
      <c r="AO75" s="186" t="s">
        <v>485</v>
      </c>
      <c r="AP75" s="193">
        <v>-0.03</v>
      </c>
      <c r="AQ75" s="193">
        <f t="shared" si="36"/>
        <v>0</v>
      </c>
      <c r="AR75" s="191">
        <f t="shared" si="37"/>
        <v>0</v>
      </c>
      <c r="AS75" s="194">
        <f t="shared" si="38"/>
        <v>0</v>
      </c>
      <c r="AT75" s="195" t="s">
        <v>97</v>
      </c>
      <c r="AU75" s="425" t="s">
        <v>486</v>
      </c>
      <c r="AV75" s="425"/>
      <c r="AW75" s="425"/>
      <c r="AX75" s="425"/>
      <c r="AY75" s="425"/>
      <c r="AZ75" s="425"/>
      <c r="BA75" s="425"/>
      <c r="BB75" s="425"/>
      <c r="BC75" s="440"/>
      <c r="BD75" s="404">
        <f>SUM($AS$4:AS75)</f>
        <v>430.62000000002024</v>
      </c>
      <c r="BE75" s="405">
        <f>SUM($AR$4:AR75)</f>
        <v>657.67000000002031</v>
      </c>
      <c r="BF75" s="330"/>
      <c r="BG75" s="330"/>
    </row>
    <row r="76" spans="1:59" ht="18" customHeight="1">
      <c r="A76" s="227" t="s">
        <v>329</v>
      </c>
      <c r="B76" s="181">
        <v>44876</v>
      </c>
      <c r="C76" s="182" t="s">
        <v>487</v>
      </c>
      <c r="D76" s="182" t="s">
        <v>93</v>
      </c>
      <c r="E76" s="233"/>
      <c r="F76" s="184"/>
      <c r="G76" s="203" t="s">
        <v>488</v>
      </c>
      <c r="H76" s="186"/>
      <c r="I76" s="186"/>
      <c r="J76" s="186"/>
      <c r="K76" s="187"/>
      <c r="L76" s="186">
        <v>1</v>
      </c>
      <c r="M76" s="186">
        <v>1</v>
      </c>
      <c r="N76" s="186"/>
      <c r="O76" s="187" t="s">
        <v>76</v>
      </c>
      <c r="P76" s="187" t="s">
        <v>77</v>
      </c>
      <c r="Q76" s="187" t="s">
        <v>238</v>
      </c>
      <c r="R76" s="187">
        <v>1</v>
      </c>
      <c r="S76" s="187">
        <v>1</v>
      </c>
      <c r="T76" s="187">
        <v>1</v>
      </c>
      <c r="U76" s="187" t="s">
        <v>22</v>
      </c>
      <c r="V76" s="188">
        <f t="shared" si="43"/>
        <v>0.01</v>
      </c>
      <c r="W76" s="188">
        <f>IF(ISBLANK(O76),,IF(O76=UPPER("IB"),8.63*200,16.2*100))</f>
        <v>1620</v>
      </c>
      <c r="X76" s="189" t="s">
        <v>489</v>
      </c>
      <c r="Y76" s="189"/>
      <c r="Z76" s="189" t="s">
        <v>490</v>
      </c>
      <c r="AA76" s="190">
        <v>0.15</v>
      </c>
      <c r="AB76" s="186" t="s">
        <v>491</v>
      </c>
      <c r="AC76" s="344">
        <v>12</v>
      </c>
      <c r="AD76" s="186"/>
      <c r="AE76" s="186" t="s">
        <v>492</v>
      </c>
      <c r="AF76" s="186" t="s">
        <v>493</v>
      </c>
      <c r="AG76" s="186"/>
      <c r="AH76" s="186"/>
      <c r="AI76" s="191">
        <f t="shared" ref="AI76:AI77" si="49">-0.04*W76</f>
        <v>-64.8</v>
      </c>
      <c r="AJ76" s="191">
        <f t="shared" si="46"/>
        <v>-64.8</v>
      </c>
      <c r="AK76" s="186" t="s">
        <v>494</v>
      </c>
      <c r="AL76" s="186" t="s">
        <v>495</v>
      </c>
      <c r="AM76" s="186"/>
      <c r="AN76" s="344" t="s">
        <v>97</v>
      </c>
      <c r="AO76" s="186" t="s">
        <v>496</v>
      </c>
      <c r="AP76" s="193">
        <v>0.13</v>
      </c>
      <c r="AQ76" s="193">
        <f t="shared" si="36"/>
        <v>-1.999999999999999E-2</v>
      </c>
      <c r="AR76" s="191">
        <f t="shared" si="37"/>
        <v>-32.399999999999984</v>
      </c>
      <c r="AS76" s="194">
        <f t="shared" si="38"/>
        <v>-32.399999999999984</v>
      </c>
      <c r="AT76" s="195" t="s">
        <v>211</v>
      </c>
      <c r="AU76" s="425" t="s">
        <v>497</v>
      </c>
      <c r="AV76" s="425" t="s">
        <v>498</v>
      </c>
      <c r="AW76" s="425" t="s">
        <v>499</v>
      </c>
      <c r="AX76" s="425"/>
      <c r="AY76" s="425"/>
      <c r="AZ76" s="425"/>
      <c r="BA76" s="425"/>
      <c r="BB76" s="425"/>
      <c r="BC76" s="440"/>
      <c r="BD76" s="404">
        <f>SUM($AS$4:AS76)</f>
        <v>398.22000000002026</v>
      </c>
      <c r="BE76" s="405">
        <f>SUM($AR$4:AR76)</f>
        <v>625.27000000002033</v>
      </c>
      <c r="BF76" s="330"/>
      <c r="BG76" s="330"/>
    </row>
    <row r="77" spans="1:59" ht="18" customHeight="1">
      <c r="A77" s="227" t="s">
        <v>329</v>
      </c>
      <c r="B77" s="181">
        <v>40861</v>
      </c>
      <c r="C77" s="182" t="s">
        <v>500</v>
      </c>
      <c r="D77" s="182" t="s">
        <v>93</v>
      </c>
      <c r="E77" s="233"/>
      <c r="F77" s="184"/>
      <c r="G77" s="185" t="s">
        <v>501</v>
      </c>
      <c r="H77" s="186"/>
      <c r="I77" s="186"/>
      <c r="J77" s="186"/>
      <c r="K77" s="187"/>
      <c r="L77" s="186"/>
      <c r="M77" s="186">
        <v>1</v>
      </c>
      <c r="N77" s="186"/>
      <c r="O77" s="187" t="s">
        <v>76</v>
      </c>
      <c r="P77" s="187" t="s">
        <v>77</v>
      </c>
      <c r="Q77" s="187" t="s">
        <v>238</v>
      </c>
      <c r="R77" s="187">
        <v>1</v>
      </c>
      <c r="S77" s="187">
        <v>1</v>
      </c>
      <c r="T77" s="187">
        <v>1</v>
      </c>
      <c r="U77" s="187" t="s">
        <v>22</v>
      </c>
      <c r="V77" s="188">
        <f t="shared" si="43"/>
        <v>0.01</v>
      </c>
      <c r="W77" s="188">
        <f t="shared" ref="W77:W86" si="50">IF(ISBLANK(O77),,IF(O77=UPPER("IB"),8.63*200,15.8*100))</f>
        <v>1580</v>
      </c>
      <c r="X77" s="189" t="s">
        <v>502</v>
      </c>
      <c r="Y77" s="189"/>
      <c r="Z77" s="189" t="s">
        <v>503</v>
      </c>
      <c r="AA77" s="190">
        <v>0.02</v>
      </c>
      <c r="AB77" s="186"/>
      <c r="AC77" s="344">
        <v>-2</v>
      </c>
      <c r="AD77" s="186"/>
      <c r="AE77" s="186" t="s">
        <v>504</v>
      </c>
      <c r="AF77" s="186" t="s">
        <v>505</v>
      </c>
      <c r="AG77" s="186"/>
      <c r="AH77" s="186"/>
      <c r="AI77" s="191">
        <f t="shared" si="49"/>
        <v>-63.2</v>
      </c>
      <c r="AJ77" s="191">
        <f t="shared" si="46"/>
        <v>-63.2</v>
      </c>
      <c r="AK77" s="186" t="s">
        <v>243</v>
      </c>
      <c r="AL77" s="186"/>
      <c r="AM77" s="245">
        <v>44895</v>
      </c>
      <c r="AN77" s="344" t="s">
        <v>77</v>
      </c>
      <c r="AO77" s="186" t="s">
        <v>506</v>
      </c>
      <c r="AP77" s="193">
        <v>0.02</v>
      </c>
      <c r="AQ77" s="193">
        <f t="shared" si="36"/>
        <v>0</v>
      </c>
      <c r="AR77" s="191">
        <f t="shared" si="37"/>
        <v>0</v>
      </c>
      <c r="AS77" s="194">
        <f t="shared" si="38"/>
        <v>0</v>
      </c>
      <c r="AT77" s="195" t="s">
        <v>97</v>
      </c>
      <c r="AU77" s="425" t="s">
        <v>507</v>
      </c>
      <c r="AV77" s="425" t="s">
        <v>508</v>
      </c>
      <c r="AW77" s="425" t="s">
        <v>509</v>
      </c>
      <c r="AX77" s="425" t="s">
        <v>510</v>
      </c>
      <c r="AY77" s="425"/>
      <c r="AZ77" s="425"/>
      <c r="BA77" s="425"/>
      <c r="BB77" s="425"/>
      <c r="BC77" s="440"/>
      <c r="BD77" s="404">
        <f>SUM($AS$4:AS77)</f>
        <v>398.22000000002026</v>
      </c>
      <c r="BE77" s="405">
        <f>SUM($AR$4:AR77)</f>
        <v>625.27000000002033</v>
      </c>
      <c r="BF77" s="330"/>
      <c r="BG77" s="330"/>
    </row>
    <row r="78" spans="1:59" ht="18" customHeight="1">
      <c r="A78" s="227" t="s">
        <v>329</v>
      </c>
      <c r="B78" s="181">
        <v>44876</v>
      </c>
      <c r="C78" s="182" t="s">
        <v>487</v>
      </c>
      <c r="D78" s="182" t="s">
        <v>93</v>
      </c>
      <c r="E78" s="233"/>
      <c r="F78" s="184"/>
      <c r="G78" s="185" t="s">
        <v>488</v>
      </c>
      <c r="H78" s="186"/>
      <c r="I78" s="186"/>
      <c r="J78" s="186"/>
      <c r="K78" s="187"/>
      <c r="L78" s="186"/>
      <c r="M78" s="186"/>
      <c r="N78" s="186"/>
      <c r="O78" s="187"/>
      <c r="P78" s="187"/>
      <c r="Q78" s="187"/>
      <c r="R78" s="187"/>
      <c r="S78" s="187"/>
      <c r="T78" s="187"/>
      <c r="U78" s="187"/>
      <c r="V78" s="188">
        <f t="shared" si="43"/>
        <v>0</v>
      </c>
      <c r="W78" s="188">
        <f t="shared" si="50"/>
        <v>0</v>
      </c>
      <c r="X78" s="189"/>
      <c r="Y78" s="189"/>
      <c r="Z78" s="189"/>
      <c r="AA78" s="190">
        <v>0.14000000000000001</v>
      </c>
      <c r="AB78" s="186"/>
      <c r="AC78" s="344"/>
      <c r="AD78" s="186"/>
      <c r="AE78" s="186"/>
      <c r="AF78" s="186"/>
      <c r="AG78" s="186"/>
      <c r="AH78" s="186"/>
      <c r="AI78" s="191"/>
      <c r="AJ78" s="187"/>
      <c r="AK78" s="186"/>
      <c r="AL78" s="186"/>
      <c r="AM78" s="186" t="s">
        <v>511</v>
      </c>
      <c r="AN78" s="344"/>
      <c r="AO78" s="186"/>
      <c r="AP78" s="193"/>
      <c r="AQ78" s="186">
        <f t="shared" si="36"/>
        <v>0</v>
      </c>
      <c r="AR78" s="191"/>
      <c r="AS78" s="194">
        <f t="shared" si="38"/>
        <v>0</v>
      </c>
      <c r="AT78" s="195"/>
      <c r="AU78" s="425" t="s">
        <v>512</v>
      </c>
      <c r="AV78" s="425" t="s">
        <v>498</v>
      </c>
      <c r="AW78" s="425"/>
      <c r="AX78" s="425"/>
      <c r="AY78" s="425"/>
      <c r="AZ78" s="425"/>
      <c r="BA78" s="425"/>
      <c r="BB78" s="425"/>
      <c r="BC78" s="440"/>
      <c r="BD78" s="404">
        <f>SUM($AS$4:AS78)</f>
        <v>398.22000000002026</v>
      </c>
      <c r="BE78" s="405">
        <f>SUM($AR$4:AR78)</f>
        <v>625.27000000002033</v>
      </c>
      <c r="BF78" s="330"/>
      <c r="BG78" s="330"/>
    </row>
    <row r="79" spans="1:59" ht="18" customHeight="1">
      <c r="A79" s="227" t="s">
        <v>329</v>
      </c>
      <c r="B79" s="181">
        <v>44879</v>
      </c>
      <c r="C79" s="182" t="s">
        <v>500</v>
      </c>
      <c r="D79" s="182" t="s">
        <v>114</v>
      </c>
      <c r="E79" s="233"/>
      <c r="F79" s="184"/>
      <c r="G79" s="185" t="s">
        <v>513</v>
      </c>
      <c r="H79" s="186"/>
      <c r="I79" s="186"/>
      <c r="J79" s="186"/>
      <c r="K79" s="187"/>
      <c r="L79" s="186"/>
      <c r="M79" s="186"/>
      <c r="N79" s="186"/>
      <c r="O79" s="187"/>
      <c r="P79" s="187"/>
      <c r="Q79" s="187"/>
      <c r="R79" s="187"/>
      <c r="S79" s="187"/>
      <c r="T79" s="187"/>
      <c r="U79" s="187"/>
      <c r="V79" s="188">
        <f t="shared" si="43"/>
        <v>0</v>
      </c>
      <c r="W79" s="188">
        <f t="shared" si="50"/>
        <v>0</v>
      </c>
      <c r="X79" s="189"/>
      <c r="Y79" s="189"/>
      <c r="Z79" s="189"/>
      <c r="AA79" s="190">
        <v>0.12</v>
      </c>
      <c r="AB79" s="186"/>
      <c r="AC79" s="344"/>
      <c r="AD79" s="186"/>
      <c r="AE79" s="186"/>
      <c r="AF79" s="186"/>
      <c r="AG79" s="186"/>
      <c r="AH79" s="186"/>
      <c r="AI79" s="191"/>
      <c r="AJ79" s="187"/>
      <c r="AK79" s="186"/>
      <c r="AL79" s="186"/>
      <c r="AM79" s="186"/>
      <c r="AN79" s="344"/>
      <c r="AO79" s="186"/>
      <c r="AP79" s="193"/>
      <c r="AQ79" s="186">
        <f t="shared" si="36"/>
        <v>0</v>
      </c>
      <c r="AR79" s="191"/>
      <c r="AS79" s="194">
        <f t="shared" si="38"/>
        <v>0</v>
      </c>
      <c r="AT79" s="195"/>
      <c r="AU79" s="425"/>
      <c r="AV79" s="425"/>
      <c r="AW79" s="425"/>
      <c r="AX79" s="425"/>
      <c r="AY79" s="425"/>
      <c r="AZ79" s="425"/>
      <c r="BA79" s="425"/>
      <c r="BB79" s="425"/>
      <c r="BC79" s="440"/>
      <c r="BD79" s="404">
        <f>SUM($AS$4:AS79)</f>
        <v>398.22000000002026</v>
      </c>
      <c r="BE79" s="405">
        <f>SUM($AR$4:AR79)</f>
        <v>625.27000000002033</v>
      </c>
      <c r="BF79" s="330"/>
      <c r="BG79" s="330"/>
    </row>
    <row r="80" spans="1:59" ht="18" customHeight="1">
      <c r="A80" s="227" t="s">
        <v>329</v>
      </c>
      <c r="B80" s="181">
        <v>44879</v>
      </c>
      <c r="C80" s="182" t="s">
        <v>500</v>
      </c>
      <c r="D80" s="182" t="s">
        <v>114</v>
      </c>
      <c r="E80" s="233"/>
      <c r="F80" s="184"/>
      <c r="G80" s="246" t="s">
        <v>514</v>
      </c>
      <c r="H80" s="186"/>
      <c r="I80" s="186"/>
      <c r="J80" s="186"/>
      <c r="K80" s="187"/>
      <c r="L80" s="186"/>
      <c r="M80" s="186">
        <v>2</v>
      </c>
      <c r="N80" s="186"/>
      <c r="O80" s="187" t="s">
        <v>76</v>
      </c>
      <c r="P80" s="187" t="s">
        <v>77</v>
      </c>
      <c r="Q80" s="187" t="s">
        <v>238</v>
      </c>
      <c r="R80" s="187">
        <v>1</v>
      </c>
      <c r="S80" s="187">
        <v>1</v>
      </c>
      <c r="T80" s="187">
        <v>1</v>
      </c>
      <c r="U80" s="187" t="s">
        <v>22</v>
      </c>
      <c r="V80" s="188">
        <f t="shared" si="43"/>
        <v>0.01</v>
      </c>
      <c r="W80" s="188">
        <f t="shared" si="50"/>
        <v>1580</v>
      </c>
      <c r="X80" s="189" t="s">
        <v>502</v>
      </c>
      <c r="Y80" s="189"/>
      <c r="Z80" s="189" t="s">
        <v>503</v>
      </c>
      <c r="AA80" s="190">
        <v>0.02</v>
      </c>
      <c r="AB80" s="186"/>
      <c r="AC80" s="344" t="s">
        <v>515</v>
      </c>
      <c r="AD80" s="186"/>
      <c r="AE80" s="186" t="s">
        <v>516</v>
      </c>
      <c r="AF80" s="186" t="s">
        <v>517</v>
      </c>
      <c r="AG80" s="186"/>
      <c r="AH80" s="186"/>
      <c r="AI80" s="191">
        <f>-0.03*W80</f>
        <v>-47.4</v>
      </c>
      <c r="AJ80" s="191">
        <f>AI80*R80</f>
        <v>-47.4</v>
      </c>
      <c r="AK80" s="186" t="s">
        <v>518</v>
      </c>
      <c r="AL80" s="186" t="s">
        <v>495</v>
      </c>
      <c r="AM80" s="186" t="s">
        <v>519</v>
      </c>
      <c r="AN80" s="344" t="s">
        <v>77</v>
      </c>
      <c r="AO80" s="186" t="s">
        <v>520</v>
      </c>
      <c r="AP80" s="193">
        <v>0.05</v>
      </c>
      <c r="AQ80" s="193">
        <f t="shared" si="36"/>
        <v>3.0000000000000002E-2</v>
      </c>
      <c r="AR80" s="191">
        <f>AS80*R80</f>
        <v>47.400000000000006</v>
      </c>
      <c r="AS80" s="194">
        <f t="shared" si="38"/>
        <v>47.400000000000006</v>
      </c>
      <c r="AT80" s="195" t="s">
        <v>77</v>
      </c>
      <c r="AU80" s="425" t="s">
        <v>521</v>
      </c>
      <c r="AV80" s="425" t="s">
        <v>522</v>
      </c>
      <c r="AW80" s="425" t="s">
        <v>523</v>
      </c>
      <c r="AX80" s="425" t="s">
        <v>524</v>
      </c>
      <c r="AY80" s="425" t="s">
        <v>525</v>
      </c>
      <c r="AZ80" s="425" t="s">
        <v>526</v>
      </c>
      <c r="BA80" s="425" t="s">
        <v>527</v>
      </c>
      <c r="BB80" s="425" t="s">
        <v>528</v>
      </c>
      <c r="BC80" s="440" t="s">
        <v>529</v>
      </c>
      <c r="BD80" s="404">
        <f>SUM($AS$4:AS80)</f>
        <v>445.62000000002024</v>
      </c>
      <c r="BE80" s="405">
        <f>SUM($AR$4:AR80)</f>
        <v>672.67000000002031</v>
      </c>
      <c r="BF80" s="330"/>
      <c r="BG80" s="330"/>
    </row>
    <row r="81" spans="1:59" ht="18" customHeight="1">
      <c r="A81" s="227" t="s">
        <v>329</v>
      </c>
      <c r="B81" s="181">
        <v>44880</v>
      </c>
      <c r="C81" s="198">
        <v>0.79166666666666663</v>
      </c>
      <c r="D81" s="182" t="s">
        <v>128</v>
      </c>
      <c r="E81" s="233" t="s">
        <v>530</v>
      </c>
      <c r="F81" s="184" t="s">
        <v>531</v>
      </c>
      <c r="G81" s="185"/>
      <c r="H81" s="186"/>
      <c r="I81" s="186"/>
      <c r="J81" s="186">
        <v>1</v>
      </c>
      <c r="K81" s="187" t="s">
        <v>97</v>
      </c>
      <c r="L81" s="186"/>
      <c r="M81" s="186"/>
      <c r="N81" s="186"/>
      <c r="O81" s="187"/>
      <c r="P81" s="187"/>
      <c r="Q81" s="187"/>
      <c r="R81" s="187"/>
      <c r="S81" s="187"/>
      <c r="T81" s="187"/>
      <c r="U81" s="187"/>
      <c r="V81" s="188">
        <f t="shared" si="43"/>
        <v>0</v>
      </c>
      <c r="W81" s="188">
        <f t="shared" si="50"/>
        <v>0</v>
      </c>
      <c r="X81" s="189"/>
      <c r="Y81" s="189"/>
      <c r="Z81" s="189"/>
      <c r="AA81" s="190"/>
      <c r="AB81" s="186"/>
      <c r="AC81" s="344"/>
      <c r="AD81" s="186"/>
      <c r="AE81" s="186"/>
      <c r="AF81" s="186"/>
      <c r="AG81" s="186"/>
      <c r="AH81" s="186"/>
      <c r="AI81" s="191"/>
      <c r="AJ81" s="187"/>
      <c r="AK81" s="186"/>
      <c r="AL81" s="186"/>
      <c r="AM81" s="186"/>
      <c r="AN81" s="344"/>
      <c r="AO81" s="186"/>
      <c r="AP81" s="193"/>
      <c r="AQ81" s="186"/>
      <c r="AR81" s="191"/>
      <c r="AS81" s="194"/>
      <c r="AT81" s="195"/>
      <c r="AU81" s="425"/>
      <c r="AV81" s="425"/>
      <c r="AW81" s="425"/>
      <c r="AX81" s="425"/>
      <c r="AY81" s="425"/>
      <c r="AZ81" s="425"/>
      <c r="BA81" s="425"/>
      <c r="BB81" s="425"/>
      <c r="BC81" s="440"/>
      <c r="BD81" s="404">
        <f>SUM($AS$4:AS81)</f>
        <v>445.62000000002024</v>
      </c>
      <c r="BE81" s="405">
        <f>SUM($AR$4:AR81)</f>
        <v>672.67000000002031</v>
      </c>
      <c r="BF81" s="330"/>
      <c r="BG81" s="330"/>
    </row>
    <row r="82" spans="1:59" ht="18" customHeight="1">
      <c r="A82" s="227" t="s">
        <v>329</v>
      </c>
      <c r="B82" s="181">
        <v>44881</v>
      </c>
      <c r="C82" s="198">
        <v>0.25</v>
      </c>
      <c r="D82" s="182" t="s">
        <v>133</v>
      </c>
      <c r="E82" s="233" t="s">
        <v>532</v>
      </c>
      <c r="F82" s="184" t="s">
        <v>533</v>
      </c>
      <c r="G82" s="185"/>
      <c r="H82" s="186">
        <v>1</v>
      </c>
      <c r="I82" s="186"/>
      <c r="J82" s="186"/>
      <c r="K82" s="187" t="s">
        <v>87</v>
      </c>
      <c r="L82" s="186"/>
      <c r="M82" s="186"/>
      <c r="N82" s="186"/>
      <c r="O82" s="187"/>
      <c r="P82" s="187"/>
      <c r="Q82" s="187"/>
      <c r="R82" s="187"/>
      <c r="S82" s="187"/>
      <c r="T82" s="187"/>
      <c r="U82" s="187"/>
      <c r="V82" s="188">
        <f t="shared" si="43"/>
        <v>0</v>
      </c>
      <c r="W82" s="188">
        <f t="shared" si="50"/>
        <v>0</v>
      </c>
      <c r="X82" s="189"/>
      <c r="Y82" s="189"/>
      <c r="Z82" s="189"/>
      <c r="AA82" s="190"/>
      <c r="AB82" s="186"/>
      <c r="AC82" s="344"/>
      <c r="AD82" s="186"/>
      <c r="AE82" s="186"/>
      <c r="AF82" s="186"/>
      <c r="AG82" s="186"/>
      <c r="AH82" s="186"/>
      <c r="AI82" s="191"/>
      <c r="AJ82" s="187"/>
      <c r="AK82" s="186"/>
      <c r="AL82" s="186"/>
      <c r="AM82" s="186"/>
      <c r="AN82" s="344"/>
      <c r="AO82" s="186"/>
      <c r="AP82" s="193"/>
      <c r="AQ82" s="186"/>
      <c r="AR82" s="191"/>
      <c r="AS82" s="194"/>
      <c r="AT82" s="195"/>
      <c r="AU82" s="425"/>
      <c r="AV82" s="425"/>
      <c r="AW82" s="425"/>
      <c r="AX82" s="425"/>
      <c r="AY82" s="425"/>
      <c r="AZ82" s="425"/>
      <c r="BA82" s="425"/>
      <c r="BB82" s="425"/>
      <c r="BC82" s="440"/>
      <c r="BD82" s="404">
        <f>SUM($AS$4:AS82)</f>
        <v>445.62000000002024</v>
      </c>
      <c r="BE82" s="405">
        <f>SUM($AR$4:AR82)</f>
        <v>672.67000000002031</v>
      </c>
      <c r="BF82" s="330"/>
      <c r="BG82" s="330"/>
    </row>
    <row r="83" spans="1:59" ht="18" customHeight="1">
      <c r="A83" s="227" t="s">
        <v>329</v>
      </c>
      <c r="B83" s="181">
        <v>44881</v>
      </c>
      <c r="C83" s="182" t="s">
        <v>534</v>
      </c>
      <c r="D83" s="182" t="s">
        <v>133</v>
      </c>
      <c r="E83" s="233"/>
      <c r="F83" s="184"/>
      <c r="G83" s="185" t="s">
        <v>535</v>
      </c>
      <c r="H83" s="186"/>
      <c r="I83" s="186"/>
      <c r="J83" s="186"/>
      <c r="K83" s="187"/>
      <c r="L83" s="186">
        <v>1</v>
      </c>
      <c r="M83" s="186"/>
      <c r="N83" s="186"/>
      <c r="O83" s="187" t="s">
        <v>76</v>
      </c>
      <c r="P83" s="187" t="s">
        <v>119</v>
      </c>
      <c r="Q83" s="187" t="s">
        <v>78</v>
      </c>
      <c r="R83" s="187">
        <v>1</v>
      </c>
      <c r="S83" s="187">
        <v>1</v>
      </c>
      <c r="T83" s="187">
        <v>1</v>
      </c>
      <c r="U83" s="187" t="s">
        <v>22</v>
      </c>
      <c r="V83" s="188">
        <f t="shared" si="43"/>
        <v>0.01</v>
      </c>
      <c r="W83" s="188">
        <f t="shared" si="50"/>
        <v>1580</v>
      </c>
      <c r="X83" s="189" t="s">
        <v>536</v>
      </c>
      <c r="Y83" s="189"/>
      <c r="Z83" s="189" t="s">
        <v>537</v>
      </c>
      <c r="AA83" s="190">
        <v>-0.06</v>
      </c>
      <c r="AB83" s="186"/>
      <c r="AC83" s="344">
        <v>-0.09</v>
      </c>
      <c r="AD83" s="186"/>
      <c r="AE83" s="186">
        <v>-0.05</v>
      </c>
      <c r="AF83" s="186"/>
      <c r="AG83" s="186"/>
      <c r="AH83" s="186"/>
      <c r="AI83" s="191">
        <f t="shared" ref="AI83:AI84" si="51">-0.03*W83</f>
        <v>-47.4</v>
      </c>
      <c r="AJ83" s="191">
        <f t="shared" ref="AJ83:AJ84" si="52">AI83*R83</f>
        <v>-47.4</v>
      </c>
      <c r="AK83" s="186"/>
      <c r="AL83" s="186"/>
      <c r="AM83" s="186"/>
      <c r="AN83" s="344" t="s">
        <v>97</v>
      </c>
      <c r="AO83" s="186" t="s">
        <v>538</v>
      </c>
      <c r="AP83" s="193">
        <v>-0.06</v>
      </c>
      <c r="AQ83" s="193">
        <f t="shared" si="36"/>
        <v>0</v>
      </c>
      <c r="AR83" s="191">
        <f>AS83*R83</f>
        <v>0</v>
      </c>
      <c r="AS83" s="194">
        <f t="shared" si="38"/>
        <v>0</v>
      </c>
      <c r="AT83" s="195" t="s">
        <v>97</v>
      </c>
      <c r="AU83" s="425"/>
      <c r="AV83" s="425"/>
      <c r="AW83" s="425"/>
      <c r="AX83" s="425"/>
      <c r="AY83" s="425"/>
      <c r="AZ83" s="425"/>
      <c r="BA83" s="425"/>
      <c r="BB83" s="425"/>
      <c r="BC83" s="440"/>
      <c r="BD83" s="404">
        <f>SUM($AS$4:AS83)</f>
        <v>445.62000000002024</v>
      </c>
      <c r="BE83" s="405">
        <f>SUM($AR$4:AR83)</f>
        <v>672.67000000002031</v>
      </c>
      <c r="BF83" s="330"/>
      <c r="BG83" s="330"/>
    </row>
    <row r="84" spans="1:59" ht="18" customHeight="1">
      <c r="A84" s="227" t="s">
        <v>329</v>
      </c>
      <c r="B84" s="181">
        <v>44881</v>
      </c>
      <c r="C84" s="182" t="s">
        <v>539</v>
      </c>
      <c r="D84" s="182" t="s">
        <v>133</v>
      </c>
      <c r="E84" s="233"/>
      <c r="F84" s="184"/>
      <c r="G84" s="185" t="s">
        <v>237</v>
      </c>
      <c r="H84" s="186"/>
      <c r="I84" s="186"/>
      <c r="J84" s="186"/>
      <c r="K84" s="187"/>
      <c r="L84" s="186"/>
      <c r="M84" s="186"/>
      <c r="N84" s="186"/>
      <c r="O84" s="187" t="s">
        <v>76</v>
      </c>
      <c r="P84" s="187"/>
      <c r="Q84" s="187"/>
      <c r="R84" s="187">
        <v>1</v>
      </c>
      <c r="S84" s="187">
        <v>1</v>
      </c>
      <c r="T84" s="187">
        <v>1</v>
      </c>
      <c r="U84" s="187" t="s">
        <v>78</v>
      </c>
      <c r="V84" s="188">
        <f t="shared" si="43"/>
        <v>0.01</v>
      </c>
      <c r="W84" s="188">
        <f t="shared" si="50"/>
        <v>1580</v>
      </c>
      <c r="X84" s="189"/>
      <c r="Y84" s="189"/>
      <c r="Z84" s="189"/>
      <c r="AA84" s="190">
        <v>0.13</v>
      </c>
      <c r="AB84" s="186"/>
      <c r="AC84" s="344"/>
      <c r="AD84" s="186"/>
      <c r="AE84" s="186"/>
      <c r="AF84" s="186"/>
      <c r="AG84" s="186"/>
      <c r="AH84" s="186"/>
      <c r="AI84" s="191">
        <f t="shared" si="51"/>
        <v>-47.4</v>
      </c>
      <c r="AJ84" s="191">
        <f t="shared" si="52"/>
        <v>-47.4</v>
      </c>
      <c r="AK84" s="186"/>
      <c r="AL84" s="186"/>
      <c r="AM84" s="186"/>
      <c r="AN84" s="344" t="s">
        <v>87</v>
      </c>
      <c r="AO84" s="186" t="s">
        <v>540</v>
      </c>
      <c r="AP84" s="193">
        <v>0.13</v>
      </c>
      <c r="AQ84" s="193">
        <f t="shared" si="36"/>
        <v>0</v>
      </c>
      <c r="AR84" s="191">
        <f>AS84*R84</f>
        <v>0</v>
      </c>
      <c r="AS84" s="194">
        <f t="shared" si="38"/>
        <v>0</v>
      </c>
      <c r="AT84" s="195" t="s">
        <v>97</v>
      </c>
      <c r="AU84" s="425" t="s">
        <v>541</v>
      </c>
      <c r="AV84" s="425" t="s">
        <v>542</v>
      </c>
      <c r="AW84" s="425" t="s">
        <v>543</v>
      </c>
      <c r="AX84" s="425"/>
      <c r="AY84" s="425"/>
      <c r="AZ84" s="425"/>
      <c r="BA84" s="425" t="s">
        <v>544</v>
      </c>
      <c r="BB84" s="425"/>
      <c r="BC84" s="440"/>
      <c r="BD84" s="404">
        <f>SUM($AS$4:AS84)</f>
        <v>445.62000000002024</v>
      </c>
      <c r="BE84" s="405">
        <f>SUM($AR$4:AR84)</f>
        <v>672.67000000002031</v>
      </c>
      <c r="BF84" s="330"/>
      <c r="BG84" s="330"/>
    </row>
    <row r="85" spans="1:59" ht="18" customHeight="1">
      <c r="A85" s="227" t="s">
        <v>329</v>
      </c>
      <c r="B85" s="181">
        <v>44881</v>
      </c>
      <c r="C85" s="198">
        <v>0.79166666666666663</v>
      </c>
      <c r="D85" s="182" t="s">
        <v>133</v>
      </c>
      <c r="E85" s="233" t="s">
        <v>545</v>
      </c>
      <c r="F85" s="184" t="s">
        <v>546</v>
      </c>
      <c r="G85" s="185"/>
      <c r="H85" s="186">
        <v>1</v>
      </c>
      <c r="I85" s="186"/>
      <c r="J85" s="186"/>
      <c r="K85" s="187" t="s">
        <v>87</v>
      </c>
      <c r="L85" s="186"/>
      <c r="M85" s="186"/>
      <c r="N85" s="186"/>
      <c r="O85" s="187"/>
      <c r="P85" s="187"/>
      <c r="Q85" s="187"/>
      <c r="R85" s="187"/>
      <c r="S85" s="187"/>
      <c r="T85" s="187"/>
      <c r="U85" s="187"/>
      <c r="V85" s="188">
        <f t="shared" si="43"/>
        <v>0</v>
      </c>
      <c r="W85" s="188">
        <f t="shared" si="50"/>
        <v>0</v>
      </c>
      <c r="X85" s="189"/>
      <c r="Y85" s="189"/>
      <c r="Z85" s="189"/>
      <c r="AA85" s="190"/>
      <c r="AB85" s="186"/>
      <c r="AC85" s="344"/>
      <c r="AD85" s="186"/>
      <c r="AE85" s="186"/>
      <c r="AF85" s="186"/>
      <c r="AG85" s="186"/>
      <c r="AH85" s="186"/>
      <c r="AI85" s="191"/>
      <c r="AJ85" s="187"/>
      <c r="AK85" s="186"/>
      <c r="AL85" s="186"/>
      <c r="AM85" s="186"/>
      <c r="AN85" s="344"/>
      <c r="AO85" s="186"/>
      <c r="AP85" s="193"/>
      <c r="AQ85" s="186"/>
      <c r="AR85" s="191"/>
      <c r="AS85" s="194"/>
      <c r="AT85" s="195"/>
      <c r="AU85" s="425"/>
      <c r="AV85" s="425"/>
      <c r="AW85" s="425"/>
      <c r="AX85" s="425"/>
      <c r="AY85" s="425"/>
      <c r="AZ85" s="425"/>
      <c r="BA85" s="425"/>
      <c r="BB85" s="425"/>
      <c r="BC85" s="440"/>
      <c r="BD85" s="404">
        <f>SUM($AS$4:AS85)</f>
        <v>445.62000000002024</v>
      </c>
      <c r="BE85" s="405">
        <f>SUM($AR$4:AR85)</f>
        <v>672.67000000002031</v>
      </c>
      <c r="BF85" s="330"/>
      <c r="BG85" s="330"/>
    </row>
    <row r="86" spans="1:59" ht="18" customHeight="1">
      <c r="A86" s="227" t="s">
        <v>329</v>
      </c>
      <c r="B86" s="181">
        <v>44882</v>
      </c>
      <c r="C86" s="198">
        <v>0.25</v>
      </c>
      <c r="D86" s="182" t="s">
        <v>74</v>
      </c>
      <c r="E86" s="233" t="s">
        <v>547</v>
      </c>
      <c r="F86" s="184"/>
      <c r="G86" s="185"/>
      <c r="H86" s="186">
        <v>1</v>
      </c>
      <c r="I86" s="186"/>
      <c r="J86" s="186"/>
      <c r="K86" s="187" t="s">
        <v>87</v>
      </c>
      <c r="L86" s="186"/>
      <c r="M86" s="186"/>
      <c r="N86" s="186"/>
      <c r="O86" s="187"/>
      <c r="P86" s="187"/>
      <c r="Q86" s="187"/>
      <c r="R86" s="187"/>
      <c r="S86" s="187"/>
      <c r="T86" s="187"/>
      <c r="U86" s="187"/>
      <c r="V86" s="188">
        <f t="shared" si="43"/>
        <v>0</v>
      </c>
      <c r="W86" s="188">
        <f t="shared" si="50"/>
        <v>0</v>
      </c>
      <c r="X86" s="189"/>
      <c r="Y86" s="189"/>
      <c r="Z86" s="189"/>
      <c r="AA86" s="190"/>
      <c r="AB86" s="186"/>
      <c r="AC86" s="344"/>
      <c r="AD86" s="186"/>
      <c r="AE86" s="186"/>
      <c r="AF86" s="186"/>
      <c r="AG86" s="186"/>
      <c r="AH86" s="186"/>
      <c r="AI86" s="191"/>
      <c r="AJ86" s="187"/>
      <c r="AK86" s="186"/>
      <c r="AL86" s="186"/>
      <c r="AM86" s="186"/>
      <c r="AN86" s="344"/>
      <c r="AO86" s="186"/>
      <c r="AP86" s="193"/>
      <c r="AQ86" s="186"/>
      <c r="AR86" s="191"/>
      <c r="AS86" s="194"/>
      <c r="AT86" s="195"/>
      <c r="AU86" s="425"/>
      <c r="AV86" s="425"/>
      <c r="AW86" s="425"/>
      <c r="AX86" s="425"/>
      <c r="AY86" s="425"/>
      <c r="AZ86" s="425"/>
      <c r="BA86" s="425"/>
      <c r="BB86" s="425"/>
      <c r="BC86" s="440"/>
      <c r="BD86" s="404">
        <f>SUM($AS$4:AS86)</f>
        <v>445.62000000002024</v>
      </c>
      <c r="BE86" s="405">
        <f>SUM($AR$4:AR86)</f>
        <v>672.67000000002031</v>
      </c>
      <c r="BF86" s="330"/>
      <c r="BG86" s="330"/>
    </row>
    <row r="87" spans="1:59" ht="18" customHeight="1">
      <c r="A87" s="227" t="s">
        <v>329</v>
      </c>
      <c r="B87" s="181">
        <v>44882</v>
      </c>
      <c r="C87" s="182" t="s">
        <v>548</v>
      </c>
      <c r="D87" s="182" t="s">
        <v>74</v>
      </c>
      <c r="E87" s="233"/>
      <c r="F87" s="184"/>
      <c r="G87" s="185" t="s">
        <v>535</v>
      </c>
      <c r="H87" s="186"/>
      <c r="I87" s="186"/>
      <c r="J87" s="186"/>
      <c r="K87" s="187"/>
      <c r="L87" s="186">
        <v>1</v>
      </c>
      <c r="M87" s="186"/>
      <c r="N87" s="186"/>
      <c r="O87" s="187" t="s">
        <v>76</v>
      </c>
      <c r="P87" s="187" t="s">
        <v>119</v>
      </c>
      <c r="Q87" s="187" t="s">
        <v>78</v>
      </c>
      <c r="R87" s="187">
        <v>1</v>
      </c>
      <c r="S87" s="187">
        <v>1</v>
      </c>
      <c r="T87" s="187">
        <v>1</v>
      </c>
      <c r="U87" s="187" t="s">
        <v>22</v>
      </c>
      <c r="V87" s="188">
        <f t="shared" si="43"/>
        <v>0.01</v>
      </c>
      <c r="W87" s="188">
        <f>IF(ISBLANK(O87),,IF(O87=UPPER("IB"),8.63*200,16*100))</f>
        <v>1600</v>
      </c>
      <c r="X87" s="189" t="s">
        <v>549</v>
      </c>
      <c r="Y87" s="189"/>
      <c r="Z87" s="189" t="s">
        <v>80</v>
      </c>
      <c r="AA87" s="190">
        <v>-7.0000000000000007E-2</v>
      </c>
      <c r="AB87" s="186"/>
      <c r="AC87" s="344">
        <v>-0.11</v>
      </c>
      <c r="AD87" s="186"/>
      <c r="AE87" s="186">
        <v>-7.0000000000000007E-2</v>
      </c>
      <c r="AF87" s="186"/>
      <c r="AG87" s="186"/>
      <c r="AH87" s="186"/>
      <c r="AI87" s="191">
        <f>-0.03*W87</f>
        <v>-48</v>
      </c>
      <c r="AJ87" s="191">
        <f>AI87*R87</f>
        <v>-48</v>
      </c>
      <c r="AK87" s="186"/>
      <c r="AL87" s="186"/>
      <c r="AM87" s="186"/>
      <c r="AN87" s="344" t="s">
        <v>87</v>
      </c>
      <c r="AO87" s="186" t="s">
        <v>550</v>
      </c>
      <c r="AP87" s="193">
        <v>-0.06</v>
      </c>
      <c r="AQ87" s="193">
        <f t="shared" ref="AQ87:AQ116" si="53">IF(ISBLANK(AP87),,IF(U87="S",AA87-AP87,AP87-AA87))</f>
        <v>1.0000000000000009E-2</v>
      </c>
      <c r="AR87" s="191">
        <f>AS87*R87</f>
        <v>16.000000000000014</v>
      </c>
      <c r="AS87" s="194">
        <f t="shared" ref="AS87:AS116" si="54">IF(ISBLANK(AP87),,(AQ87*W87))</f>
        <v>16.000000000000014</v>
      </c>
      <c r="AT87" s="195" t="s">
        <v>77</v>
      </c>
      <c r="AU87" s="425"/>
      <c r="AV87" s="425"/>
      <c r="AW87" s="425"/>
      <c r="AX87" s="425"/>
      <c r="AY87" s="425"/>
      <c r="AZ87" s="425"/>
      <c r="BA87" s="425"/>
      <c r="BB87" s="425"/>
      <c r="BC87" s="440"/>
      <c r="BD87" s="404">
        <f>SUM($AS$4:AS87)</f>
        <v>461.62000000002024</v>
      </c>
      <c r="BE87" s="405">
        <f>SUM($AR$4:AR87)</f>
        <v>688.67000000002031</v>
      </c>
      <c r="BF87" s="330"/>
      <c r="BG87" s="330"/>
    </row>
    <row r="88" spans="1:59" ht="18" customHeight="1">
      <c r="A88" s="227" t="s">
        <v>329</v>
      </c>
      <c r="B88" s="181">
        <v>44882</v>
      </c>
      <c r="C88" s="182" t="s">
        <v>551</v>
      </c>
      <c r="D88" s="182" t="s">
        <v>74</v>
      </c>
      <c r="E88" s="233"/>
      <c r="F88" s="184"/>
      <c r="G88" s="203" t="s">
        <v>262</v>
      </c>
      <c r="H88" s="186"/>
      <c r="I88" s="186"/>
      <c r="J88" s="186"/>
      <c r="K88" s="187"/>
      <c r="L88" s="186">
        <v>1</v>
      </c>
      <c r="M88" s="186"/>
      <c r="N88" s="186"/>
      <c r="O88" s="187" t="s">
        <v>76</v>
      </c>
      <c r="P88" s="187" t="s">
        <v>119</v>
      </c>
      <c r="Q88" s="187" t="s">
        <v>78</v>
      </c>
      <c r="R88" s="187">
        <v>3</v>
      </c>
      <c r="S88" s="187">
        <v>3</v>
      </c>
      <c r="T88" s="187">
        <v>3</v>
      </c>
      <c r="U88" s="187" t="s">
        <v>22</v>
      </c>
      <c r="V88" s="188">
        <f t="shared" si="43"/>
        <v>0.01</v>
      </c>
      <c r="W88" s="188">
        <f>IF(ISBLANK(O88),,IF(O88=UPPER("IB"),8.63*200,15.8*100))</f>
        <v>1580</v>
      </c>
      <c r="X88" s="189" t="s">
        <v>552</v>
      </c>
      <c r="Y88" s="189"/>
      <c r="Z88" s="189"/>
      <c r="AA88" s="190">
        <v>-0.09</v>
      </c>
      <c r="AB88" s="186"/>
      <c r="AC88" s="344"/>
      <c r="AD88" s="186"/>
      <c r="AE88" s="186"/>
      <c r="AF88" s="186"/>
      <c r="AG88" s="186"/>
      <c r="AH88" s="186"/>
      <c r="AI88" s="191"/>
      <c r="AJ88" s="187"/>
      <c r="AK88" s="186" t="s">
        <v>553</v>
      </c>
      <c r="AL88" s="186" t="s">
        <v>554</v>
      </c>
      <c r="AM88" s="186" t="s">
        <v>555</v>
      </c>
      <c r="AN88" s="344" t="s">
        <v>97</v>
      </c>
      <c r="AO88" s="186" t="s">
        <v>556</v>
      </c>
      <c r="AP88" s="193">
        <v>-7.0000000000000007E-2</v>
      </c>
      <c r="AQ88" s="193">
        <f t="shared" si="53"/>
        <v>1.999999999999999E-2</v>
      </c>
      <c r="AR88" s="191">
        <f>AS88*R88</f>
        <v>94.799999999999955</v>
      </c>
      <c r="AS88" s="194">
        <f t="shared" si="54"/>
        <v>31.599999999999984</v>
      </c>
      <c r="AT88" s="195" t="s">
        <v>77</v>
      </c>
      <c r="AU88" s="425"/>
      <c r="AV88" s="425"/>
      <c r="AW88" s="425"/>
      <c r="AX88" s="425"/>
      <c r="AY88" s="425"/>
      <c r="AZ88" s="425"/>
      <c r="BA88" s="425"/>
      <c r="BB88" s="425"/>
      <c r="BC88" s="440"/>
      <c r="BD88" s="404">
        <f>SUM($AS$4:AS88)</f>
        <v>493.22000000002021</v>
      </c>
      <c r="BE88" s="405">
        <f>SUM($AR$4:AR88)</f>
        <v>783.47000000002026</v>
      </c>
      <c r="BF88" s="330"/>
      <c r="BG88" s="330"/>
    </row>
    <row r="89" spans="1:59" ht="18" customHeight="1">
      <c r="A89" s="227" t="s">
        <v>329</v>
      </c>
      <c r="B89" s="181">
        <v>44883</v>
      </c>
      <c r="C89" s="182" t="s">
        <v>557</v>
      </c>
      <c r="D89" s="182" t="s">
        <v>93</v>
      </c>
      <c r="E89" s="233"/>
      <c r="F89" s="184"/>
      <c r="G89" s="247" t="s">
        <v>558</v>
      </c>
      <c r="H89" s="186"/>
      <c r="I89" s="186"/>
      <c r="J89" s="186"/>
      <c r="K89" s="187"/>
      <c r="L89" s="186"/>
      <c r="M89" s="186">
        <v>1</v>
      </c>
      <c r="N89" s="186"/>
      <c r="O89" s="187" t="s">
        <v>76</v>
      </c>
      <c r="P89" s="187" t="s">
        <v>77</v>
      </c>
      <c r="Q89" s="187" t="s">
        <v>78</v>
      </c>
      <c r="R89" s="187">
        <v>2</v>
      </c>
      <c r="S89" s="187">
        <v>2</v>
      </c>
      <c r="T89" s="187">
        <v>2</v>
      </c>
      <c r="U89" s="187" t="s">
        <v>78</v>
      </c>
      <c r="V89" s="188">
        <f t="shared" si="43"/>
        <v>0.01</v>
      </c>
      <c r="W89" s="188">
        <f t="shared" ref="W89:W92" si="55">IF(ISBLANK(O89),,IF(O89=UPPER("IB"),8.63*200,16*100))</f>
        <v>1600</v>
      </c>
      <c r="X89" s="189" t="s">
        <v>267</v>
      </c>
      <c r="Y89" s="189"/>
      <c r="Z89" s="189" t="s">
        <v>559</v>
      </c>
      <c r="AA89" s="190">
        <v>0.13</v>
      </c>
      <c r="AB89" s="186"/>
      <c r="AC89" s="344"/>
      <c r="AD89" s="186"/>
      <c r="AE89" s="186"/>
      <c r="AF89" s="186"/>
      <c r="AG89" s="186" t="s">
        <v>560</v>
      </c>
      <c r="AH89" s="186"/>
      <c r="AI89" s="191"/>
      <c r="AJ89" s="187"/>
      <c r="AK89" s="186"/>
      <c r="AL89" s="186"/>
      <c r="AM89" s="186" t="s">
        <v>140</v>
      </c>
      <c r="AN89" s="344" t="s">
        <v>87</v>
      </c>
      <c r="AO89" s="186" t="s">
        <v>561</v>
      </c>
      <c r="AP89" s="193">
        <v>0.12</v>
      </c>
      <c r="AQ89" s="193">
        <f t="shared" si="53"/>
        <v>1.0000000000000009E-2</v>
      </c>
      <c r="AR89" s="191">
        <f>AS89*R89</f>
        <v>32.000000000000028</v>
      </c>
      <c r="AS89" s="194">
        <f t="shared" si="54"/>
        <v>16.000000000000014</v>
      </c>
      <c r="AT89" s="195" t="s">
        <v>77</v>
      </c>
      <c r="AU89" s="425" t="s">
        <v>562</v>
      </c>
      <c r="AV89" s="425"/>
      <c r="AW89" s="425"/>
      <c r="AX89" s="425" t="s">
        <v>563</v>
      </c>
      <c r="AY89" s="425"/>
      <c r="AZ89" s="425"/>
      <c r="BA89" s="425"/>
      <c r="BB89" s="425"/>
      <c r="BC89" s="440"/>
      <c r="BD89" s="404">
        <f>SUM($AS$4:AS89)</f>
        <v>509.22000000002021</v>
      </c>
      <c r="BE89" s="405">
        <f>SUM($AR$4:AR89)</f>
        <v>815.47000000002026</v>
      </c>
      <c r="BF89" s="330"/>
      <c r="BG89" s="330"/>
    </row>
    <row r="90" spans="1:59" ht="18" customHeight="1">
      <c r="A90" s="227" t="s">
        <v>329</v>
      </c>
      <c r="B90" s="181">
        <v>44887</v>
      </c>
      <c r="C90" s="182"/>
      <c r="D90" s="182" t="s">
        <v>128</v>
      </c>
      <c r="E90" s="233"/>
      <c r="F90" s="184"/>
      <c r="G90" s="185"/>
      <c r="H90" s="186"/>
      <c r="I90" s="186"/>
      <c r="J90" s="186"/>
      <c r="K90" s="187"/>
      <c r="L90" s="186"/>
      <c r="M90" s="186"/>
      <c r="N90" s="186"/>
      <c r="O90" s="187"/>
      <c r="P90" s="187"/>
      <c r="Q90" s="187"/>
      <c r="R90" s="187"/>
      <c r="S90" s="187"/>
      <c r="T90" s="187"/>
      <c r="U90" s="187"/>
      <c r="V90" s="188">
        <f t="shared" si="43"/>
        <v>0</v>
      </c>
      <c r="W90" s="188">
        <f t="shared" si="55"/>
        <v>0</v>
      </c>
      <c r="X90" s="189"/>
      <c r="Y90" s="189"/>
      <c r="Z90" s="189"/>
      <c r="AA90" s="190"/>
      <c r="AB90" s="186"/>
      <c r="AC90" s="344"/>
      <c r="AD90" s="186"/>
      <c r="AE90" s="186"/>
      <c r="AF90" s="186"/>
      <c r="AG90" s="186"/>
      <c r="AH90" s="186"/>
      <c r="AI90" s="191"/>
      <c r="AJ90" s="187"/>
      <c r="AK90" s="186"/>
      <c r="AL90" s="186"/>
      <c r="AM90" s="186"/>
      <c r="AN90" s="344"/>
      <c r="AO90" s="186"/>
      <c r="AP90" s="193"/>
      <c r="AQ90" s="186">
        <f t="shared" si="53"/>
        <v>0</v>
      </c>
      <c r="AR90" s="191"/>
      <c r="AS90" s="194"/>
      <c r="AT90" s="195"/>
      <c r="AU90" s="425" t="s">
        <v>564</v>
      </c>
      <c r="AV90" s="425" t="s">
        <v>565</v>
      </c>
      <c r="AW90" s="425" t="s">
        <v>566</v>
      </c>
      <c r="AX90" s="425"/>
      <c r="AY90" s="425"/>
      <c r="AZ90" s="425"/>
      <c r="BA90" s="425"/>
      <c r="BB90" s="425"/>
      <c r="BC90" s="440"/>
      <c r="BD90" s="404">
        <f>SUM($AS$4:AS90)</f>
        <v>509.22000000002021</v>
      </c>
      <c r="BE90" s="405">
        <f>SUM($AR$4:AR90)</f>
        <v>815.47000000002026</v>
      </c>
      <c r="BF90" s="330"/>
      <c r="BG90" s="330"/>
    </row>
    <row r="91" spans="1:59" ht="18" customHeight="1">
      <c r="A91" s="227" t="s">
        <v>329</v>
      </c>
      <c r="B91" s="248">
        <v>44888</v>
      </c>
      <c r="C91" s="249" t="s">
        <v>482</v>
      </c>
      <c r="D91" s="249" t="s">
        <v>133</v>
      </c>
      <c r="E91" s="250" t="s">
        <v>567</v>
      </c>
      <c r="F91" s="184" t="s">
        <v>568</v>
      </c>
      <c r="G91" s="185"/>
      <c r="H91" s="186"/>
      <c r="I91" s="186">
        <v>1</v>
      </c>
      <c r="J91" s="186"/>
      <c r="K91" s="187" t="s">
        <v>87</v>
      </c>
      <c r="L91" s="186"/>
      <c r="M91" s="186"/>
      <c r="N91" s="186"/>
      <c r="O91" s="187"/>
      <c r="P91" s="187"/>
      <c r="Q91" s="187"/>
      <c r="R91" s="187"/>
      <c r="S91" s="187"/>
      <c r="T91" s="187"/>
      <c r="U91" s="187"/>
      <c r="V91" s="188">
        <f t="shared" si="43"/>
        <v>0</v>
      </c>
      <c r="W91" s="188">
        <f t="shared" si="55"/>
        <v>0</v>
      </c>
      <c r="X91" s="189"/>
      <c r="Y91" s="189"/>
      <c r="Z91" s="189"/>
      <c r="AA91" s="190"/>
      <c r="AB91" s="186"/>
      <c r="AC91" s="344"/>
      <c r="AD91" s="186"/>
      <c r="AE91" s="186"/>
      <c r="AF91" s="186"/>
      <c r="AG91" s="186"/>
      <c r="AH91" s="186"/>
      <c r="AI91" s="191"/>
      <c r="AJ91" s="187"/>
      <c r="AK91" s="186"/>
      <c r="AL91" s="186"/>
      <c r="AM91" s="186"/>
      <c r="AN91" s="344"/>
      <c r="AO91" s="186"/>
      <c r="AP91" s="193"/>
      <c r="AQ91" s="186">
        <f t="shared" si="53"/>
        <v>0</v>
      </c>
      <c r="AR91" s="191"/>
      <c r="AS91" s="194"/>
      <c r="AT91" s="195"/>
      <c r="AU91" s="425"/>
      <c r="AV91" s="425"/>
      <c r="AW91" s="425"/>
      <c r="AX91" s="425"/>
      <c r="AY91" s="425"/>
      <c r="AZ91" s="425"/>
      <c r="BA91" s="425"/>
      <c r="BB91" s="425"/>
      <c r="BC91" s="440"/>
      <c r="BD91" s="404">
        <f>SUM($AS$4:AS91)</f>
        <v>509.22000000002021</v>
      </c>
      <c r="BE91" s="405">
        <f>SUM($AR$4:AR91)</f>
        <v>815.47000000002026</v>
      </c>
      <c r="BF91" s="330"/>
      <c r="BG91" s="330"/>
    </row>
    <row r="92" spans="1:59" ht="18" customHeight="1">
      <c r="A92" s="227" t="s">
        <v>329</v>
      </c>
      <c r="B92" s="248">
        <v>44888</v>
      </c>
      <c r="C92" s="249" t="s">
        <v>569</v>
      </c>
      <c r="D92" s="249" t="s">
        <v>133</v>
      </c>
      <c r="E92" s="250"/>
      <c r="F92" s="184"/>
      <c r="G92" s="185" t="s">
        <v>262</v>
      </c>
      <c r="H92" s="186"/>
      <c r="I92" s="186"/>
      <c r="J92" s="186"/>
      <c r="K92" s="187"/>
      <c r="L92" s="186">
        <v>1</v>
      </c>
      <c r="M92" s="186"/>
      <c r="N92" s="186"/>
      <c r="O92" s="187" t="s">
        <v>76</v>
      </c>
      <c r="P92" s="187" t="s">
        <v>119</v>
      </c>
      <c r="Q92" s="187" t="s">
        <v>78</v>
      </c>
      <c r="R92" s="187">
        <v>2</v>
      </c>
      <c r="S92" s="187">
        <v>2</v>
      </c>
      <c r="T92" s="187">
        <v>2</v>
      </c>
      <c r="U92" s="187" t="s">
        <v>22</v>
      </c>
      <c r="V92" s="188">
        <f t="shared" si="43"/>
        <v>0.01</v>
      </c>
      <c r="W92" s="188">
        <f t="shared" si="55"/>
        <v>1600</v>
      </c>
      <c r="X92" s="189" t="s">
        <v>570</v>
      </c>
      <c r="Y92" s="189"/>
      <c r="Z92" s="189" t="s">
        <v>80</v>
      </c>
      <c r="AA92" s="190">
        <v>-0.08</v>
      </c>
      <c r="AB92" s="186"/>
      <c r="AC92" s="344">
        <v>-0.11</v>
      </c>
      <c r="AD92" s="186"/>
      <c r="AE92" s="186">
        <v>-7.0000000000000007E-2</v>
      </c>
      <c r="AF92" s="186"/>
      <c r="AG92" s="186"/>
      <c r="AH92" s="186"/>
      <c r="AI92" s="191">
        <f>-0.02*W92</f>
        <v>-32</v>
      </c>
      <c r="AJ92" s="191">
        <f t="shared" ref="AJ92:AJ98" si="56">AI92*R92</f>
        <v>-64</v>
      </c>
      <c r="AK92" s="186" t="s">
        <v>93</v>
      </c>
      <c r="AL92" s="186"/>
      <c r="AM92" s="186" t="s">
        <v>571</v>
      </c>
      <c r="AN92" s="344" t="s">
        <v>97</v>
      </c>
      <c r="AO92" s="199">
        <v>44890.791666666664</v>
      </c>
      <c r="AP92" s="193">
        <v>-0.08</v>
      </c>
      <c r="AQ92" s="193">
        <f t="shared" si="53"/>
        <v>0</v>
      </c>
      <c r="AR92" s="191">
        <f t="shared" ref="AR92:AR98" si="57">AS92*R92</f>
        <v>0</v>
      </c>
      <c r="AS92" s="194">
        <f t="shared" si="54"/>
        <v>0</v>
      </c>
      <c r="AT92" s="195" t="s">
        <v>97</v>
      </c>
      <c r="AU92" s="425" t="s">
        <v>572</v>
      </c>
      <c r="AV92" s="425"/>
      <c r="AW92" s="425"/>
      <c r="AX92" s="425"/>
      <c r="AY92" s="425"/>
      <c r="AZ92" s="425"/>
      <c r="BA92" s="425"/>
      <c r="BB92" s="425"/>
      <c r="BC92" s="440"/>
      <c r="BD92" s="404">
        <f>SUM($AS$4:AS92)</f>
        <v>509.22000000002021</v>
      </c>
      <c r="BE92" s="405">
        <f>SUM($AR$4:AR92)</f>
        <v>815.47000000002026</v>
      </c>
      <c r="BF92" s="330"/>
      <c r="BG92" s="330"/>
    </row>
    <row r="93" spans="1:59" ht="18" customHeight="1">
      <c r="A93" s="227" t="s">
        <v>329</v>
      </c>
      <c r="B93" s="248">
        <v>44888</v>
      </c>
      <c r="C93" s="251" t="s">
        <v>573</v>
      </c>
      <c r="D93" s="249" t="s">
        <v>133</v>
      </c>
      <c r="E93" s="250"/>
      <c r="F93" s="184"/>
      <c r="G93" s="203" t="s">
        <v>347</v>
      </c>
      <c r="H93" s="186"/>
      <c r="I93" s="186"/>
      <c r="J93" s="186"/>
      <c r="K93" s="187"/>
      <c r="L93" s="186">
        <v>1</v>
      </c>
      <c r="M93" s="186"/>
      <c r="N93" s="186"/>
      <c r="O93" s="187" t="s">
        <v>76</v>
      </c>
      <c r="P93" s="187" t="s">
        <v>77</v>
      </c>
      <c r="Q93" s="187" t="s">
        <v>78</v>
      </c>
      <c r="R93" s="187">
        <v>2</v>
      </c>
      <c r="S93" s="187">
        <v>2</v>
      </c>
      <c r="T93" s="187">
        <v>2</v>
      </c>
      <c r="U93" s="187" t="s">
        <v>22</v>
      </c>
      <c r="V93" s="188">
        <f t="shared" si="43"/>
        <v>0.01</v>
      </c>
      <c r="W93" s="188">
        <f>IF(ISBLANK(O93),,IF(O93=UPPER("IB"),8.63*200,16.2*100))</f>
        <v>1620</v>
      </c>
      <c r="X93" s="189" t="s">
        <v>574</v>
      </c>
      <c r="Y93" s="189"/>
      <c r="Z93" s="189" t="s">
        <v>80</v>
      </c>
      <c r="AA93" s="190">
        <v>-7.0000000000000007E-2</v>
      </c>
      <c r="AB93" s="186"/>
      <c r="AC93" s="344">
        <v>-0.1</v>
      </c>
      <c r="AD93" s="186"/>
      <c r="AE93" s="186">
        <v>-0.05</v>
      </c>
      <c r="AF93" s="186" t="s">
        <v>575</v>
      </c>
      <c r="AG93" s="186"/>
      <c r="AH93" s="186"/>
      <c r="AI93" s="191">
        <f t="shared" ref="AI93:AI95" si="58">-0.03*W93</f>
        <v>-48.6</v>
      </c>
      <c r="AJ93" s="191">
        <f t="shared" si="56"/>
        <v>-97.2</v>
      </c>
      <c r="AK93" s="186" t="s">
        <v>93</v>
      </c>
      <c r="AL93" s="186"/>
      <c r="AM93" s="186" t="s">
        <v>576</v>
      </c>
      <c r="AN93" s="344" t="s">
        <v>97</v>
      </c>
      <c r="AO93" s="186" t="s">
        <v>577</v>
      </c>
      <c r="AP93" s="193">
        <v>-0.06</v>
      </c>
      <c r="AQ93" s="193">
        <f t="shared" si="53"/>
        <v>1.0000000000000009E-2</v>
      </c>
      <c r="AR93" s="191">
        <f t="shared" si="57"/>
        <v>32.400000000000027</v>
      </c>
      <c r="AS93" s="194">
        <f t="shared" si="54"/>
        <v>16.200000000000014</v>
      </c>
      <c r="AT93" s="195" t="s">
        <v>77</v>
      </c>
      <c r="AU93" s="425" t="s">
        <v>578</v>
      </c>
      <c r="AV93" s="425"/>
      <c r="AW93" s="425"/>
      <c r="AX93" s="425"/>
      <c r="AY93" s="425"/>
      <c r="AZ93" s="425"/>
      <c r="BA93" s="425"/>
      <c r="BB93" s="425"/>
      <c r="BC93" s="440"/>
      <c r="BD93" s="404">
        <f>SUM($AS$4:AS93)</f>
        <v>525.4200000000202</v>
      </c>
      <c r="BE93" s="405">
        <f>SUM($AR$4:AR93)</f>
        <v>847.87000000002024</v>
      </c>
      <c r="BF93" s="330"/>
      <c r="BG93" s="330"/>
    </row>
    <row r="94" spans="1:59" ht="18" customHeight="1">
      <c r="A94" s="227" t="s">
        <v>329</v>
      </c>
      <c r="B94" s="181">
        <v>44888</v>
      </c>
      <c r="C94" s="182" t="s">
        <v>579</v>
      </c>
      <c r="D94" s="182" t="s">
        <v>133</v>
      </c>
      <c r="E94" s="233"/>
      <c r="F94" s="184"/>
      <c r="G94" s="185" t="s">
        <v>253</v>
      </c>
      <c r="H94" s="186"/>
      <c r="I94" s="186"/>
      <c r="J94" s="186"/>
      <c r="K94" s="187"/>
      <c r="L94" s="186">
        <v>1</v>
      </c>
      <c r="M94" s="186"/>
      <c r="N94" s="186"/>
      <c r="O94" s="187" t="s">
        <v>76</v>
      </c>
      <c r="P94" s="187" t="s">
        <v>119</v>
      </c>
      <c r="Q94" s="187" t="s">
        <v>78</v>
      </c>
      <c r="R94" s="187">
        <v>2</v>
      </c>
      <c r="S94" s="187">
        <v>2</v>
      </c>
      <c r="T94" s="187">
        <v>2</v>
      </c>
      <c r="U94" s="187" t="s">
        <v>22</v>
      </c>
      <c r="V94" s="188">
        <f t="shared" si="43"/>
        <v>0.01</v>
      </c>
      <c r="W94" s="188">
        <f>IF(ISBLANK(O94),,IF(O94=UPPER("IB"),8.63*200,16*100))</f>
        <v>1600</v>
      </c>
      <c r="X94" s="189" t="s">
        <v>552</v>
      </c>
      <c r="Y94" s="189"/>
      <c r="Z94" s="189"/>
      <c r="AA94" s="190">
        <v>-0.09</v>
      </c>
      <c r="AB94" s="186"/>
      <c r="AC94" s="344">
        <v>-0.12</v>
      </c>
      <c r="AD94" s="186"/>
      <c r="AE94" s="186">
        <v>-7.0000000000000007E-2</v>
      </c>
      <c r="AF94" s="186" t="s">
        <v>575</v>
      </c>
      <c r="AG94" s="186"/>
      <c r="AH94" s="186"/>
      <c r="AI94" s="191">
        <f t="shared" si="58"/>
        <v>-48</v>
      </c>
      <c r="AJ94" s="191">
        <f t="shared" si="56"/>
        <v>-96</v>
      </c>
      <c r="AK94" s="252">
        <v>44897</v>
      </c>
      <c r="AL94" s="186" t="s">
        <v>580</v>
      </c>
      <c r="AM94" s="186" t="s">
        <v>581</v>
      </c>
      <c r="AN94" s="344" t="s">
        <v>97</v>
      </c>
      <c r="AO94" s="186" t="s">
        <v>582</v>
      </c>
      <c r="AP94" s="193">
        <v>-0.09</v>
      </c>
      <c r="AQ94" s="193">
        <f t="shared" si="53"/>
        <v>0</v>
      </c>
      <c r="AR94" s="191">
        <f t="shared" si="57"/>
        <v>0</v>
      </c>
      <c r="AS94" s="194">
        <f t="shared" si="54"/>
        <v>0</v>
      </c>
      <c r="AT94" s="195" t="s">
        <v>97</v>
      </c>
      <c r="AU94" s="425"/>
      <c r="AV94" s="425"/>
      <c r="AW94" s="425"/>
      <c r="AX94" s="425"/>
      <c r="AY94" s="425"/>
      <c r="AZ94" s="425"/>
      <c r="BA94" s="425"/>
      <c r="BB94" s="425"/>
      <c r="BC94" s="440"/>
      <c r="BD94" s="404">
        <f>SUM($AS$4:AS94)</f>
        <v>525.4200000000202</v>
      </c>
      <c r="BE94" s="405">
        <f>SUM($AR$4:AR94)</f>
        <v>847.87000000002024</v>
      </c>
      <c r="BF94" s="330"/>
      <c r="BG94" s="330"/>
    </row>
    <row r="95" spans="1:59" ht="18" customHeight="1">
      <c r="A95" s="227" t="s">
        <v>329</v>
      </c>
      <c r="B95" s="181">
        <v>44888</v>
      </c>
      <c r="C95" s="251" t="s">
        <v>583</v>
      </c>
      <c r="D95" s="182" t="s">
        <v>133</v>
      </c>
      <c r="E95" s="233"/>
      <c r="F95" s="184"/>
      <c r="G95" s="203" t="s">
        <v>535</v>
      </c>
      <c r="H95" s="186"/>
      <c r="I95" s="186"/>
      <c r="J95" s="186"/>
      <c r="K95" s="187"/>
      <c r="L95" s="186">
        <v>1</v>
      </c>
      <c r="M95" s="186"/>
      <c r="N95" s="186"/>
      <c r="O95" s="187" t="s">
        <v>76</v>
      </c>
      <c r="P95" s="187" t="s">
        <v>119</v>
      </c>
      <c r="Q95" s="187" t="s">
        <v>78</v>
      </c>
      <c r="R95" s="187">
        <v>1</v>
      </c>
      <c r="S95" s="187">
        <v>1</v>
      </c>
      <c r="T95" s="187">
        <v>1</v>
      </c>
      <c r="U95" s="187" t="s">
        <v>22</v>
      </c>
      <c r="V95" s="188">
        <f t="shared" si="43"/>
        <v>0.01</v>
      </c>
      <c r="W95" s="188">
        <f>IF(ISBLANK(O95),,IF(O95=UPPER("IB"),8.63*200,16.2*100))</f>
        <v>1620</v>
      </c>
      <c r="X95" s="189" t="s">
        <v>570</v>
      </c>
      <c r="Y95" s="189"/>
      <c r="Z95" s="189" t="s">
        <v>80</v>
      </c>
      <c r="AA95" s="190">
        <v>-7.0000000000000007E-2</v>
      </c>
      <c r="AB95" s="186"/>
      <c r="AC95" s="344">
        <v>-0.1</v>
      </c>
      <c r="AD95" s="186"/>
      <c r="AE95" s="186">
        <v>-0.06</v>
      </c>
      <c r="AF95" s="186"/>
      <c r="AG95" s="186"/>
      <c r="AH95" s="186"/>
      <c r="AI95" s="191">
        <f t="shared" si="58"/>
        <v>-48.6</v>
      </c>
      <c r="AJ95" s="191">
        <f t="shared" si="56"/>
        <v>-48.6</v>
      </c>
      <c r="AK95" s="186" t="s">
        <v>93</v>
      </c>
      <c r="AL95" s="186"/>
      <c r="AM95" s="186" t="s">
        <v>584</v>
      </c>
      <c r="AN95" s="344" t="s">
        <v>87</v>
      </c>
      <c r="AO95" s="186" t="s">
        <v>585</v>
      </c>
      <c r="AP95" s="193">
        <v>-0.06</v>
      </c>
      <c r="AQ95" s="193">
        <f t="shared" si="53"/>
        <v>1.0000000000000009E-2</v>
      </c>
      <c r="AR95" s="191">
        <f t="shared" si="57"/>
        <v>16.200000000000014</v>
      </c>
      <c r="AS95" s="194">
        <f t="shared" si="54"/>
        <v>16.200000000000014</v>
      </c>
      <c r="AT95" s="195" t="s">
        <v>77</v>
      </c>
      <c r="AU95" s="425" t="s">
        <v>586</v>
      </c>
      <c r="AV95" s="425"/>
      <c r="AW95" s="425"/>
      <c r="AX95" s="425"/>
      <c r="AY95" s="425"/>
      <c r="AZ95" s="425"/>
      <c r="BA95" s="425"/>
      <c r="BB95" s="425"/>
      <c r="BC95" s="440"/>
      <c r="BD95" s="404">
        <f>SUM($AS$4:AS95)</f>
        <v>541.62000000002024</v>
      </c>
      <c r="BE95" s="405">
        <f>SUM($AR$4:AR95)</f>
        <v>864.07000000002029</v>
      </c>
      <c r="BF95" s="330"/>
      <c r="BG95" s="330"/>
    </row>
    <row r="96" spans="1:59" ht="18" customHeight="1">
      <c r="A96" s="227" t="s">
        <v>329</v>
      </c>
      <c r="B96" s="181">
        <v>44888</v>
      </c>
      <c r="C96" s="251" t="s">
        <v>587</v>
      </c>
      <c r="D96" s="182" t="s">
        <v>133</v>
      </c>
      <c r="E96" s="233"/>
      <c r="F96" s="184"/>
      <c r="G96" s="203" t="s">
        <v>262</v>
      </c>
      <c r="H96" s="186"/>
      <c r="I96" s="186"/>
      <c r="J96" s="186"/>
      <c r="K96" s="187"/>
      <c r="L96" s="186">
        <v>1</v>
      </c>
      <c r="M96" s="186"/>
      <c r="N96" s="186"/>
      <c r="O96" s="187" t="s">
        <v>76</v>
      </c>
      <c r="P96" s="187" t="s">
        <v>119</v>
      </c>
      <c r="Q96" s="187" t="s">
        <v>78</v>
      </c>
      <c r="R96" s="187">
        <v>2</v>
      </c>
      <c r="S96" s="187">
        <v>2</v>
      </c>
      <c r="T96" s="187">
        <v>2</v>
      </c>
      <c r="U96" s="187" t="s">
        <v>22</v>
      </c>
      <c r="V96" s="188">
        <f t="shared" si="43"/>
        <v>0.01</v>
      </c>
      <c r="W96" s="188">
        <f>IF(ISBLANK(O96),,IF(O96=UPPER("IB"),8.63*200,16*100))</f>
        <v>1600</v>
      </c>
      <c r="X96" s="189" t="s">
        <v>552</v>
      </c>
      <c r="Y96" s="189"/>
      <c r="Z96" s="189"/>
      <c r="AA96" s="190">
        <v>-0.09</v>
      </c>
      <c r="AB96" s="186"/>
      <c r="AC96" s="344">
        <v>-0.12</v>
      </c>
      <c r="AD96" s="186"/>
      <c r="AE96" s="186">
        <v>-7.0000000000000007E-2</v>
      </c>
      <c r="AF96" s="186"/>
      <c r="AG96" s="186"/>
      <c r="AH96" s="186"/>
      <c r="AI96" s="191">
        <f>-0.02*W96</f>
        <v>-32</v>
      </c>
      <c r="AJ96" s="191">
        <f t="shared" si="56"/>
        <v>-64</v>
      </c>
      <c r="AK96" s="186" t="s">
        <v>93</v>
      </c>
      <c r="AL96" s="186"/>
      <c r="AM96" s="186" t="s">
        <v>571</v>
      </c>
      <c r="AN96" s="344" t="s">
        <v>97</v>
      </c>
      <c r="AO96" s="199">
        <v>44890.791666666664</v>
      </c>
      <c r="AP96" s="193">
        <v>-0.08</v>
      </c>
      <c r="AQ96" s="193">
        <f t="shared" si="53"/>
        <v>9.999999999999995E-3</v>
      </c>
      <c r="AR96" s="191">
        <f t="shared" si="57"/>
        <v>31.999999999999986</v>
      </c>
      <c r="AS96" s="194">
        <f t="shared" si="54"/>
        <v>15.999999999999993</v>
      </c>
      <c r="AT96" s="195" t="s">
        <v>77</v>
      </c>
      <c r="AU96" s="425" t="s">
        <v>572</v>
      </c>
      <c r="AV96" s="425"/>
      <c r="AW96" s="425"/>
      <c r="AX96" s="425"/>
      <c r="AY96" s="425"/>
      <c r="AZ96" s="425"/>
      <c r="BA96" s="425"/>
      <c r="BB96" s="425"/>
      <c r="BC96" s="440"/>
      <c r="BD96" s="404">
        <f>SUM($AS$4:AS96)</f>
        <v>557.62000000002024</v>
      </c>
      <c r="BE96" s="405">
        <f>SUM($AR$4:AR96)</f>
        <v>896.07000000002029</v>
      </c>
      <c r="BF96" s="330"/>
      <c r="BG96" s="330"/>
    </row>
    <row r="97" spans="1:59" ht="18" customHeight="1">
      <c r="A97" s="227" t="s">
        <v>329</v>
      </c>
      <c r="B97" s="181">
        <v>44889</v>
      </c>
      <c r="C97" s="251" t="s">
        <v>588</v>
      </c>
      <c r="D97" s="182" t="s">
        <v>74</v>
      </c>
      <c r="E97" s="233"/>
      <c r="F97" s="184"/>
      <c r="G97" s="185" t="s">
        <v>192</v>
      </c>
      <c r="H97" s="186"/>
      <c r="I97" s="186"/>
      <c r="J97" s="186"/>
      <c r="K97" s="187"/>
      <c r="L97" s="186">
        <v>1</v>
      </c>
      <c r="M97" s="186"/>
      <c r="N97" s="186">
        <v>1</v>
      </c>
      <c r="O97" s="187" t="s">
        <v>76</v>
      </c>
      <c r="P97" s="187" t="s">
        <v>77</v>
      </c>
      <c r="Q97" s="187" t="s">
        <v>78</v>
      </c>
      <c r="R97" s="187">
        <v>1</v>
      </c>
      <c r="S97" s="187">
        <v>1</v>
      </c>
      <c r="T97" s="187">
        <v>1</v>
      </c>
      <c r="U97" s="187" t="s">
        <v>78</v>
      </c>
      <c r="V97" s="188">
        <f t="shared" si="43"/>
        <v>0.01</v>
      </c>
      <c r="W97" s="188">
        <f t="shared" ref="W97:W99" si="59">IF(ISBLANK(O97),,IF(O97=UPPER("IB"),8.63*200,16.2*100))</f>
        <v>1620</v>
      </c>
      <c r="X97" s="189" t="s">
        <v>589</v>
      </c>
      <c r="Y97" s="189"/>
      <c r="Z97" s="189"/>
      <c r="AA97" s="190">
        <v>0.55000000000000004</v>
      </c>
      <c r="AB97" s="189" t="s">
        <v>590</v>
      </c>
      <c r="AC97" s="344">
        <v>0.57999999999999996</v>
      </c>
      <c r="AD97" s="186" t="s">
        <v>591</v>
      </c>
      <c r="AE97" s="186">
        <v>0.52</v>
      </c>
      <c r="AF97" s="186" t="s">
        <v>592</v>
      </c>
      <c r="AG97" s="186"/>
      <c r="AH97" s="186"/>
      <c r="AI97" s="191">
        <f>-0.03*W97</f>
        <v>-48.6</v>
      </c>
      <c r="AJ97" s="191">
        <f t="shared" si="56"/>
        <v>-48.6</v>
      </c>
      <c r="AK97" s="186"/>
      <c r="AL97" s="186"/>
      <c r="AM97" s="186" t="s">
        <v>362</v>
      </c>
      <c r="AN97" s="344" t="s">
        <v>87</v>
      </c>
      <c r="AO97" s="186" t="s">
        <v>593</v>
      </c>
      <c r="AP97" s="193">
        <v>0.51</v>
      </c>
      <c r="AQ97" s="193">
        <f t="shared" si="53"/>
        <v>4.0000000000000036E-2</v>
      </c>
      <c r="AR97" s="191">
        <f t="shared" si="57"/>
        <v>64.800000000000054</v>
      </c>
      <c r="AS97" s="194">
        <f t="shared" si="54"/>
        <v>64.800000000000054</v>
      </c>
      <c r="AT97" s="195" t="s">
        <v>77</v>
      </c>
      <c r="AU97" s="425" t="s">
        <v>594</v>
      </c>
      <c r="AV97" s="425"/>
      <c r="AW97" s="425" t="s">
        <v>595</v>
      </c>
      <c r="AX97" s="425" t="s">
        <v>596</v>
      </c>
      <c r="AY97" s="425" t="s">
        <v>597</v>
      </c>
      <c r="AZ97" s="425" t="s">
        <v>598</v>
      </c>
      <c r="BA97" s="425" t="s">
        <v>599</v>
      </c>
      <c r="BB97" s="425"/>
      <c r="BC97" s="440"/>
      <c r="BD97" s="404">
        <f>SUM($AS$4:AS97)</f>
        <v>622.42000000002031</v>
      </c>
      <c r="BE97" s="405">
        <f>SUM($AR$4:AR97)</f>
        <v>960.87000000002035</v>
      </c>
      <c r="BF97" s="330"/>
      <c r="BG97" s="330"/>
    </row>
    <row r="98" spans="1:59" ht="18" customHeight="1">
      <c r="A98" s="227" t="s">
        <v>329</v>
      </c>
      <c r="B98" s="181">
        <v>44890</v>
      </c>
      <c r="C98" s="182" t="s">
        <v>600</v>
      </c>
      <c r="D98" s="182" t="s">
        <v>93</v>
      </c>
      <c r="E98" s="233"/>
      <c r="F98" s="184"/>
      <c r="G98" s="185" t="s">
        <v>535</v>
      </c>
      <c r="H98" s="186"/>
      <c r="I98" s="186"/>
      <c r="J98" s="186"/>
      <c r="K98" s="187"/>
      <c r="L98" s="186">
        <v>1</v>
      </c>
      <c r="M98" s="186"/>
      <c r="N98" s="186"/>
      <c r="O98" s="187" t="s">
        <v>76</v>
      </c>
      <c r="P98" s="187" t="s">
        <v>119</v>
      </c>
      <c r="Q98" s="187" t="s">
        <v>78</v>
      </c>
      <c r="R98" s="187">
        <v>2</v>
      </c>
      <c r="S98" s="187">
        <v>2</v>
      </c>
      <c r="T98" s="187">
        <v>1</v>
      </c>
      <c r="U98" s="187" t="s">
        <v>22</v>
      </c>
      <c r="V98" s="188">
        <f t="shared" si="43"/>
        <v>0.01</v>
      </c>
      <c r="W98" s="188">
        <f t="shared" si="59"/>
        <v>1620</v>
      </c>
      <c r="X98" s="189" t="s">
        <v>343</v>
      </c>
      <c r="Y98" s="189"/>
      <c r="Z98" s="189" t="s">
        <v>80</v>
      </c>
      <c r="AA98" s="190">
        <v>-7.0000000000000007E-2</v>
      </c>
      <c r="AB98" s="186"/>
      <c r="AC98" s="344"/>
      <c r="AD98" s="186"/>
      <c r="AE98" s="186">
        <v>-0.06</v>
      </c>
      <c r="AF98" s="186"/>
      <c r="AG98" s="186" t="s">
        <v>601</v>
      </c>
      <c r="AH98" s="186"/>
      <c r="AI98" s="191">
        <f>-0.02*W98</f>
        <v>-32.4</v>
      </c>
      <c r="AJ98" s="191">
        <f t="shared" si="56"/>
        <v>-64.8</v>
      </c>
      <c r="AK98" s="186" t="s">
        <v>74</v>
      </c>
      <c r="AL98" s="186" t="s">
        <v>602</v>
      </c>
      <c r="AM98" s="186"/>
      <c r="AN98" s="344" t="s">
        <v>97</v>
      </c>
      <c r="AO98" s="245">
        <v>44895</v>
      </c>
      <c r="AP98" s="193">
        <v>-0.08</v>
      </c>
      <c r="AQ98" s="193">
        <f t="shared" si="53"/>
        <v>-9.999999999999995E-3</v>
      </c>
      <c r="AR98" s="191">
        <f t="shared" si="57"/>
        <v>-32.399999999999984</v>
      </c>
      <c r="AS98" s="194">
        <f t="shared" si="54"/>
        <v>-16.199999999999992</v>
      </c>
      <c r="AT98" s="195" t="s">
        <v>211</v>
      </c>
      <c r="AU98" s="425" t="s">
        <v>603</v>
      </c>
      <c r="AV98" s="425"/>
      <c r="AW98" s="425"/>
      <c r="AX98" s="425"/>
      <c r="AY98" s="425"/>
      <c r="AZ98" s="425"/>
      <c r="BA98" s="425"/>
      <c r="BB98" s="425"/>
      <c r="BC98" s="440"/>
      <c r="BD98" s="404">
        <f>SUM($AS$4:AS98)</f>
        <v>606.22000000002026</v>
      </c>
      <c r="BE98" s="405">
        <f>SUM($AR$4:AR98)</f>
        <v>928.47000000002038</v>
      </c>
      <c r="BF98" s="330"/>
      <c r="BG98" s="330"/>
    </row>
    <row r="99" spans="1:59" ht="18" customHeight="1">
      <c r="A99" s="227" t="s">
        <v>329</v>
      </c>
      <c r="B99" s="181">
        <v>44893</v>
      </c>
      <c r="C99" s="198">
        <v>0.25</v>
      </c>
      <c r="D99" s="182" t="s">
        <v>114</v>
      </c>
      <c r="E99" s="233" t="s">
        <v>604</v>
      </c>
      <c r="F99" s="184" t="s">
        <v>605</v>
      </c>
      <c r="G99" s="185"/>
      <c r="H99" s="186"/>
      <c r="I99" s="186"/>
      <c r="J99" s="186">
        <v>1</v>
      </c>
      <c r="K99" s="187" t="s">
        <v>97</v>
      </c>
      <c r="L99" s="186"/>
      <c r="M99" s="186"/>
      <c r="N99" s="186"/>
      <c r="O99" s="187"/>
      <c r="P99" s="187"/>
      <c r="Q99" s="187"/>
      <c r="R99" s="187"/>
      <c r="S99" s="187"/>
      <c r="T99" s="187"/>
      <c r="U99" s="187"/>
      <c r="V99" s="188">
        <f t="shared" si="43"/>
        <v>0</v>
      </c>
      <c r="W99" s="188">
        <f t="shared" si="59"/>
        <v>0</v>
      </c>
      <c r="X99" s="189"/>
      <c r="Y99" s="189"/>
      <c r="Z99" s="189"/>
      <c r="AA99" s="190"/>
      <c r="AB99" s="186"/>
      <c r="AC99" s="344"/>
      <c r="AD99" s="186"/>
      <c r="AE99" s="186"/>
      <c r="AF99" s="186"/>
      <c r="AG99" s="186"/>
      <c r="AH99" s="186"/>
      <c r="AI99" s="191"/>
      <c r="AJ99" s="187"/>
      <c r="AK99" s="186"/>
      <c r="AL99" s="186"/>
      <c r="AM99" s="186"/>
      <c r="AN99" s="344"/>
      <c r="AO99" s="186"/>
      <c r="AP99" s="193"/>
      <c r="AQ99" s="186">
        <f t="shared" si="53"/>
        <v>0</v>
      </c>
      <c r="AR99" s="191"/>
      <c r="AS99" s="194"/>
      <c r="AT99" s="195"/>
      <c r="AU99" s="425"/>
      <c r="AV99" s="425"/>
      <c r="AW99" s="425"/>
      <c r="AX99" s="425"/>
      <c r="AY99" s="425"/>
      <c r="AZ99" s="425"/>
      <c r="BA99" s="425"/>
      <c r="BB99" s="425"/>
      <c r="BC99" s="440"/>
      <c r="BD99" s="404">
        <f>SUM($AS$4:AS99)</f>
        <v>606.22000000002026</v>
      </c>
      <c r="BE99" s="405">
        <f>SUM($AR$4:AR99)</f>
        <v>928.47000000002038</v>
      </c>
      <c r="BF99" s="330"/>
      <c r="BG99" s="330"/>
    </row>
    <row r="100" spans="1:59" ht="18" customHeight="1">
      <c r="A100" s="227" t="s">
        <v>329</v>
      </c>
      <c r="B100" s="181">
        <v>44893</v>
      </c>
      <c r="C100" s="182" t="s">
        <v>606</v>
      </c>
      <c r="D100" s="182" t="s">
        <v>114</v>
      </c>
      <c r="E100" s="233"/>
      <c r="F100" s="184"/>
      <c r="G100" s="185" t="s">
        <v>262</v>
      </c>
      <c r="H100" s="186"/>
      <c r="I100" s="186"/>
      <c r="J100" s="186"/>
      <c r="K100" s="187"/>
      <c r="L100" s="186">
        <v>1</v>
      </c>
      <c r="M100" s="186"/>
      <c r="N100" s="186"/>
      <c r="O100" s="187" t="s">
        <v>76</v>
      </c>
      <c r="P100" s="187" t="s">
        <v>119</v>
      </c>
      <c r="Q100" s="187" t="s">
        <v>78</v>
      </c>
      <c r="R100" s="187">
        <v>2</v>
      </c>
      <c r="S100" s="187">
        <v>2</v>
      </c>
      <c r="T100" s="187">
        <v>2</v>
      </c>
      <c r="U100" s="187" t="s">
        <v>22</v>
      </c>
      <c r="V100" s="188">
        <f t="shared" si="43"/>
        <v>0.01</v>
      </c>
      <c r="W100" s="188">
        <f t="shared" ref="W100:W105" si="60">IF(ISBLANK(O100),,IF(O100=UPPER("IB"),8.63*200,16*100))</f>
        <v>1600</v>
      </c>
      <c r="X100" s="189" t="s">
        <v>552</v>
      </c>
      <c r="Y100" s="189"/>
      <c r="Z100" s="189"/>
      <c r="AA100" s="190">
        <v>-0.09</v>
      </c>
      <c r="AB100" s="186" t="s">
        <v>607</v>
      </c>
      <c r="AC100" s="344"/>
      <c r="AD100" s="186"/>
      <c r="AE100" s="186"/>
      <c r="AF100" s="186"/>
      <c r="AG100" s="186"/>
      <c r="AH100" s="186"/>
      <c r="AI100" s="191">
        <f t="shared" ref="AI100:AI101" si="61">-0.03*W100</f>
        <v>-48</v>
      </c>
      <c r="AJ100" s="191">
        <f t="shared" ref="AJ100:AJ101" si="62">AI100*R100</f>
        <v>-96</v>
      </c>
      <c r="AK100" s="186" t="s">
        <v>74</v>
      </c>
      <c r="AL100" s="186" t="s">
        <v>602</v>
      </c>
      <c r="AM100" s="186" t="s">
        <v>608</v>
      </c>
      <c r="AN100" s="344" t="s">
        <v>97</v>
      </c>
      <c r="AO100" s="186" t="s">
        <v>609</v>
      </c>
      <c r="AP100" s="193">
        <v>-0.09</v>
      </c>
      <c r="AQ100" s="193">
        <f t="shared" si="53"/>
        <v>0</v>
      </c>
      <c r="AR100" s="191">
        <f>AS100*R100</f>
        <v>0</v>
      </c>
      <c r="AS100" s="194">
        <f t="shared" si="54"/>
        <v>0</v>
      </c>
      <c r="AT100" s="195" t="s">
        <v>97</v>
      </c>
      <c r="AU100" s="425" t="s">
        <v>610</v>
      </c>
      <c r="AV100" s="425"/>
      <c r="AW100" s="425"/>
      <c r="AX100" s="425"/>
      <c r="AY100" s="425"/>
      <c r="AZ100" s="425"/>
      <c r="BA100" s="425"/>
      <c r="BB100" s="425"/>
      <c r="BC100" s="440"/>
      <c r="BD100" s="404">
        <f>SUM($AS$4:AS100)</f>
        <v>606.22000000002026</v>
      </c>
      <c r="BE100" s="405">
        <f>SUM($AR$4:AR100)</f>
        <v>928.47000000002038</v>
      </c>
      <c r="BF100" s="330"/>
      <c r="BG100" s="330"/>
    </row>
    <row r="101" spans="1:59" ht="18" customHeight="1">
      <c r="A101" s="227" t="s">
        <v>329</v>
      </c>
      <c r="B101" s="181">
        <v>44893</v>
      </c>
      <c r="C101" s="182" t="s">
        <v>611</v>
      </c>
      <c r="D101" s="182" t="s">
        <v>114</v>
      </c>
      <c r="E101" s="233"/>
      <c r="F101" s="184"/>
      <c r="G101" s="203" t="s">
        <v>535</v>
      </c>
      <c r="H101" s="186"/>
      <c r="I101" s="186"/>
      <c r="J101" s="186"/>
      <c r="K101" s="187"/>
      <c r="L101" s="186">
        <v>1</v>
      </c>
      <c r="M101" s="186"/>
      <c r="N101" s="186"/>
      <c r="O101" s="187" t="s">
        <v>76</v>
      </c>
      <c r="P101" s="187" t="s">
        <v>119</v>
      </c>
      <c r="Q101" s="187" t="s">
        <v>78</v>
      </c>
      <c r="R101" s="187">
        <v>2</v>
      </c>
      <c r="S101" s="187">
        <v>2</v>
      </c>
      <c r="T101" s="187">
        <v>2</v>
      </c>
      <c r="U101" s="187" t="s">
        <v>22</v>
      </c>
      <c r="V101" s="188">
        <f t="shared" si="43"/>
        <v>0.01</v>
      </c>
      <c r="W101" s="188">
        <f t="shared" si="60"/>
        <v>1600</v>
      </c>
      <c r="X101" s="189" t="s">
        <v>120</v>
      </c>
      <c r="Y101" s="189"/>
      <c r="Z101" s="189" t="s">
        <v>80</v>
      </c>
      <c r="AA101" s="190">
        <v>-0.08</v>
      </c>
      <c r="AB101" s="186"/>
      <c r="AC101" s="344"/>
      <c r="AD101" s="186"/>
      <c r="AE101" s="186"/>
      <c r="AF101" s="186"/>
      <c r="AG101" s="186"/>
      <c r="AH101" s="186"/>
      <c r="AI101" s="191">
        <f t="shared" si="61"/>
        <v>-48</v>
      </c>
      <c r="AJ101" s="191">
        <f t="shared" si="62"/>
        <v>-96</v>
      </c>
      <c r="AK101" s="186"/>
      <c r="AL101" s="186"/>
      <c r="AM101" s="186"/>
      <c r="AN101" s="344" t="s">
        <v>97</v>
      </c>
      <c r="AO101" s="186" t="s">
        <v>612</v>
      </c>
      <c r="AP101" s="193">
        <v>-7.0000000000000007E-2</v>
      </c>
      <c r="AQ101" s="193">
        <f t="shared" si="53"/>
        <v>9.999999999999995E-3</v>
      </c>
      <c r="AR101" s="191">
        <f>AS101*R101</f>
        <v>31.999999999999986</v>
      </c>
      <c r="AS101" s="194">
        <f t="shared" si="54"/>
        <v>15.999999999999993</v>
      </c>
      <c r="AT101" s="195" t="s">
        <v>77</v>
      </c>
      <c r="AU101" s="425"/>
      <c r="AV101" s="425"/>
      <c r="AW101" s="425"/>
      <c r="AX101" s="425"/>
      <c r="AY101" s="425"/>
      <c r="AZ101" s="425"/>
      <c r="BA101" s="425"/>
      <c r="BB101" s="425"/>
      <c r="BC101" s="440"/>
      <c r="BD101" s="404">
        <f>SUM($AS$4:AS101)</f>
        <v>622.22000000002026</v>
      </c>
      <c r="BE101" s="405">
        <f>SUM($AR$4:AR101)</f>
        <v>960.47000000002038</v>
      </c>
      <c r="BF101" s="330"/>
      <c r="BG101" s="330"/>
    </row>
    <row r="102" spans="1:59" ht="18" customHeight="1">
      <c r="A102" s="227" t="s">
        <v>329</v>
      </c>
      <c r="B102" s="181">
        <v>44893</v>
      </c>
      <c r="C102" s="182" t="s">
        <v>613</v>
      </c>
      <c r="D102" s="182" t="s">
        <v>114</v>
      </c>
      <c r="E102" s="233"/>
      <c r="F102" s="184"/>
      <c r="G102" s="203" t="s">
        <v>614</v>
      </c>
      <c r="H102" s="186"/>
      <c r="I102" s="186"/>
      <c r="J102" s="186"/>
      <c r="K102" s="187"/>
      <c r="L102" s="186"/>
      <c r="M102" s="186">
        <v>1</v>
      </c>
      <c r="N102" s="186"/>
      <c r="O102" s="187" t="s">
        <v>76</v>
      </c>
      <c r="P102" s="187" t="s">
        <v>77</v>
      </c>
      <c r="Q102" s="187" t="s">
        <v>238</v>
      </c>
      <c r="R102" s="187">
        <v>2</v>
      </c>
      <c r="S102" s="187">
        <v>2</v>
      </c>
      <c r="T102" s="187">
        <v>1</v>
      </c>
      <c r="U102" s="187" t="s">
        <v>22</v>
      </c>
      <c r="V102" s="188">
        <f t="shared" si="43"/>
        <v>0.01</v>
      </c>
      <c r="W102" s="188">
        <f t="shared" si="60"/>
        <v>1600</v>
      </c>
      <c r="X102" s="189" t="s">
        <v>615</v>
      </c>
      <c r="Y102" s="200" t="s">
        <v>616</v>
      </c>
      <c r="Z102" s="189" t="s">
        <v>617</v>
      </c>
      <c r="AA102" s="190">
        <v>0</v>
      </c>
      <c r="AB102" s="186"/>
      <c r="AC102" s="344">
        <v>-2</v>
      </c>
      <c r="AD102" s="186"/>
      <c r="AE102" s="186" t="s">
        <v>618</v>
      </c>
      <c r="AF102" s="186"/>
      <c r="AG102" s="186"/>
      <c r="AH102" s="186"/>
      <c r="AI102" s="191"/>
      <c r="AJ102" s="187"/>
      <c r="AK102" s="186" t="s">
        <v>619</v>
      </c>
      <c r="AL102" s="186" t="s">
        <v>620</v>
      </c>
      <c r="AM102" s="186" t="s">
        <v>621</v>
      </c>
      <c r="AN102" s="344" t="s">
        <v>77</v>
      </c>
      <c r="AO102" s="186" t="s">
        <v>622</v>
      </c>
      <c r="AP102" s="193">
        <v>5.5E-2</v>
      </c>
      <c r="AQ102" s="193">
        <f t="shared" si="53"/>
        <v>5.5E-2</v>
      </c>
      <c r="AR102" s="191">
        <f>AS102*R102</f>
        <v>176</v>
      </c>
      <c r="AS102" s="194">
        <f t="shared" si="54"/>
        <v>88</v>
      </c>
      <c r="AT102" s="195" t="s">
        <v>77</v>
      </c>
      <c r="AU102" s="425" t="s">
        <v>623</v>
      </c>
      <c r="AV102" s="427" t="s">
        <v>624</v>
      </c>
      <c r="AW102" s="427" t="s">
        <v>625</v>
      </c>
      <c r="AX102" s="425" t="s">
        <v>626</v>
      </c>
      <c r="AY102" s="425" t="s">
        <v>627</v>
      </c>
      <c r="AZ102" s="425" t="s">
        <v>628</v>
      </c>
      <c r="BA102" s="427" t="s">
        <v>529</v>
      </c>
      <c r="BB102" s="425" t="s">
        <v>629</v>
      </c>
      <c r="BC102" s="440" t="s">
        <v>630</v>
      </c>
      <c r="BD102" s="404">
        <f>SUM($AS$4:AS102)</f>
        <v>710.22000000002026</v>
      </c>
      <c r="BE102" s="405">
        <f>SUM($AR$4:AR102)</f>
        <v>1136.4700000000203</v>
      </c>
      <c r="BF102" s="330"/>
      <c r="BG102" s="330"/>
    </row>
    <row r="103" spans="1:59" ht="18" customHeight="1">
      <c r="A103" s="227" t="s">
        <v>329</v>
      </c>
      <c r="B103" s="181"/>
      <c r="C103" s="182"/>
      <c r="D103" s="182"/>
      <c r="E103" s="233"/>
      <c r="F103" s="184"/>
      <c r="G103" s="185"/>
      <c r="H103" s="186"/>
      <c r="I103" s="186"/>
      <c r="J103" s="186"/>
      <c r="K103" s="187"/>
      <c r="L103" s="186"/>
      <c r="M103" s="186"/>
      <c r="N103" s="186"/>
      <c r="O103" s="187"/>
      <c r="P103" s="187"/>
      <c r="Q103" s="187"/>
      <c r="R103" s="187"/>
      <c r="S103" s="187"/>
      <c r="T103" s="187"/>
      <c r="U103" s="187"/>
      <c r="V103" s="188">
        <f t="shared" si="43"/>
        <v>0</v>
      </c>
      <c r="W103" s="188">
        <f t="shared" si="60"/>
        <v>0</v>
      </c>
      <c r="X103" s="189"/>
      <c r="Y103" s="189"/>
      <c r="Z103" s="189"/>
      <c r="AA103" s="190"/>
      <c r="AB103" s="186"/>
      <c r="AC103" s="344"/>
      <c r="AD103" s="186"/>
      <c r="AE103" s="186"/>
      <c r="AF103" s="186"/>
      <c r="AG103" s="186"/>
      <c r="AH103" s="186"/>
      <c r="AI103" s="191"/>
      <c r="AJ103" s="187"/>
      <c r="AK103" s="186"/>
      <c r="AL103" s="186"/>
      <c r="AM103" s="186"/>
      <c r="AN103" s="344"/>
      <c r="AO103" s="186"/>
      <c r="AP103" s="193"/>
      <c r="AQ103" s="186"/>
      <c r="AR103" s="191"/>
      <c r="AS103" s="194"/>
      <c r="AT103" s="195"/>
      <c r="AU103" s="425" t="s">
        <v>631</v>
      </c>
      <c r="AV103" s="425" t="s">
        <v>632</v>
      </c>
      <c r="AW103" s="425" t="s">
        <v>633</v>
      </c>
      <c r="AX103" s="425"/>
      <c r="AY103" s="425"/>
      <c r="AZ103" s="425"/>
      <c r="BA103" s="425"/>
      <c r="BB103" s="425"/>
      <c r="BC103" s="440"/>
      <c r="BD103" s="404">
        <f>SUM($AS$4:AS103)</f>
        <v>710.22000000002026</v>
      </c>
      <c r="BE103" s="405">
        <f>SUM($AR$4:AR103)</f>
        <v>1136.4700000000203</v>
      </c>
      <c r="BF103" s="330"/>
      <c r="BG103" s="330"/>
    </row>
    <row r="104" spans="1:59" ht="18" customHeight="1">
      <c r="A104" s="227" t="s">
        <v>329</v>
      </c>
      <c r="B104" s="181">
        <v>44895</v>
      </c>
      <c r="C104" s="182" t="s">
        <v>634</v>
      </c>
      <c r="D104" s="182" t="s">
        <v>133</v>
      </c>
      <c r="E104" s="233" t="s">
        <v>635</v>
      </c>
      <c r="F104" s="184" t="s">
        <v>636</v>
      </c>
      <c r="G104" s="185"/>
      <c r="H104" s="186"/>
      <c r="I104" s="186"/>
      <c r="J104" s="186">
        <v>1</v>
      </c>
      <c r="K104" s="187" t="s">
        <v>97</v>
      </c>
      <c r="L104" s="186"/>
      <c r="M104" s="186"/>
      <c r="N104" s="186"/>
      <c r="O104" s="187"/>
      <c r="P104" s="187"/>
      <c r="Q104" s="187"/>
      <c r="R104" s="187"/>
      <c r="S104" s="187"/>
      <c r="T104" s="187"/>
      <c r="U104" s="187"/>
      <c r="V104" s="188">
        <f t="shared" si="43"/>
        <v>0</v>
      </c>
      <c r="W104" s="188">
        <f t="shared" si="60"/>
        <v>0</v>
      </c>
      <c r="X104" s="189"/>
      <c r="Y104" s="189"/>
      <c r="Z104" s="189"/>
      <c r="AA104" s="190"/>
      <c r="AB104" s="186"/>
      <c r="AC104" s="344"/>
      <c r="AD104" s="186"/>
      <c r="AE104" s="186"/>
      <c r="AF104" s="186"/>
      <c r="AG104" s="186"/>
      <c r="AH104" s="186"/>
      <c r="AI104" s="191"/>
      <c r="AJ104" s="187"/>
      <c r="AK104" s="186"/>
      <c r="AL104" s="186"/>
      <c r="AM104" s="186"/>
      <c r="AN104" s="344"/>
      <c r="AO104" s="186"/>
      <c r="AP104" s="193"/>
      <c r="AQ104" s="186"/>
      <c r="AR104" s="191"/>
      <c r="AS104" s="194"/>
      <c r="AT104" s="195"/>
      <c r="AU104" s="425"/>
      <c r="AV104" s="425"/>
      <c r="AW104" s="425"/>
      <c r="AX104" s="427" t="s">
        <v>637</v>
      </c>
      <c r="AY104" s="427" t="s">
        <v>638</v>
      </c>
      <c r="AZ104" s="425"/>
      <c r="BA104" s="425"/>
      <c r="BB104" s="425"/>
      <c r="BC104" s="440"/>
      <c r="BD104" s="404">
        <f>SUM($AS$4:AS104)</f>
        <v>710.22000000002026</v>
      </c>
      <c r="BE104" s="405">
        <f>SUM($AR$4:AR104)</f>
        <v>1136.4700000000203</v>
      </c>
      <c r="BF104" s="330"/>
      <c r="BG104" s="330"/>
    </row>
    <row r="105" spans="1:59" ht="18" customHeight="1">
      <c r="A105" s="227" t="s">
        <v>329</v>
      </c>
      <c r="B105" s="181">
        <v>44895</v>
      </c>
      <c r="C105" s="182" t="s">
        <v>482</v>
      </c>
      <c r="D105" s="182" t="s">
        <v>133</v>
      </c>
      <c r="E105" s="233"/>
      <c r="F105" s="184"/>
      <c r="G105" s="203" t="s">
        <v>639</v>
      </c>
      <c r="H105" s="186"/>
      <c r="I105" s="186"/>
      <c r="J105" s="186"/>
      <c r="K105" s="187"/>
      <c r="L105" s="186">
        <v>1</v>
      </c>
      <c r="M105" s="186"/>
      <c r="N105" s="186"/>
      <c r="O105" s="187" t="s">
        <v>76</v>
      </c>
      <c r="P105" s="187" t="s">
        <v>119</v>
      </c>
      <c r="Q105" s="187" t="s">
        <v>78</v>
      </c>
      <c r="R105" s="187">
        <v>2</v>
      </c>
      <c r="S105" s="187">
        <v>2</v>
      </c>
      <c r="T105" s="187">
        <v>2</v>
      </c>
      <c r="U105" s="187" t="s">
        <v>22</v>
      </c>
      <c r="V105" s="188">
        <f t="shared" si="43"/>
        <v>0.01</v>
      </c>
      <c r="W105" s="188">
        <f t="shared" si="60"/>
        <v>1600</v>
      </c>
      <c r="X105" s="189" t="s">
        <v>640</v>
      </c>
      <c r="Y105" s="189"/>
      <c r="Z105" s="189"/>
      <c r="AA105" s="190">
        <v>-0.09</v>
      </c>
      <c r="AB105" s="186"/>
      <c r="AC105" s="344"/>
      <c r="AD105" s="186"/>
      <c r="AE105" s="186"/>
      <c r="AF105" s="186"/>
      <c r="AG105" s="186"/>
      <c r="AH105" s="186"/>
      <c r="AI105" s="191"/>
      <c r="AJ105" s="187"/>
      <c r="AK105" s="186"/>
      <c r="AL105" s="186"/>
      <c r="AM105" s="186"/>
      <c r="AN105" s="344" t="s">
        <v>87</v>
      </c>
      <c r="AO105" s="186" t="s">
        <v>323</v>
      </c>
      <c r="AP105" s="193">
        <v>-7.0000000000000007E-2</v>
      </c>
      <c r="AQ105" s="193">
        <f t="shared" si="53"/>
        <v>1.999999999999999E-2</v>
      </c>
      <c r="AR105" s="191">
        <f>AS105*R105</f>
        <v>63.999999999999972</v>
      </c>
      <c r="AS105" s="194">
        <f t="shared" si="54"/>
        <v>31.999999999999986</v>
      </c>
      <c r="AT105" s="195" t="s">
        <v>77</v>
      </c>
      <c r="AU105" s="425"/>
      <c r="AV105" s="425"/>
      <c r="AW105" s="425"/>
      <c r="AX105" s="425"/>
      <c r="AY105" s="425"/>
      <c r="AZ105" s="425"/>
      <c r="BA105" s="425"/>
      <c r="BB105" s="425"/>
      <c r="BC105" s="440"/>
      <c r="BD105" s="404">
        <f>SUM($AS$4:AS105)</f>
        <v>742.22000000002026</v>
      </c>
      <c r="BE105" s="405">
        <f>SUM($AR$4:AR105)</f>
        <v>1200.4700000000203</v>
      </c>
      <c r="BF105" s="330"/>
      <c r="BG105" s="330"/>
    </row>
    <row r="106" spans="1:59" ht="18" customHeight="1">
      <c r="A106" s="227" t="s">
        <v>329</v>
      </c>
      <c r="B106" s="181">
        <v>44895</v>
      </c>
      <c r="C106" s="182" t="s">
        <v>482</v>
      </c>
      <c r="D106" s="182" t="s">
        <v>133</v>
      </c>
      <c r="E106" s="233"/>
      <c r="F106" s="184"/>
      <c r="G106" s="253" t="s">
        <v>253</v>
      </c>
      <c r="H106" s="186"/>
      <c r="I106" s="186"/>
      <c r="J106" s="186"/>
      <c r="K106" s="187"/>
      <c r="L106" s="186">
        <v>1</v>
      </c>
      <c r="M106" s="186"/>
      <c r="N106" s="186"/>
      <c r="O106" s="187" t="s">
        <v>76</v>
      </c>
      <c r="P106" s="187" t="s">
        <v>119</v>
      </c>
      <c r="Q106" s="187" t="s">
        <v>78</v>
      </c>
      <c r="R106" s="187">
        <v>2</v>
      </c>
      <c r="S106" s="187">
        <v>2</v>
      </c>
      <c r="T106" s="187">
        <v>2</v>
      </c>
      <c r="U106" s="187" t="s">
        <v>22</v>
      </c>
      <c r="V106" s="188">
        <f t="shared" si="43"/>
        <v>0.01</v>
      </c>
      <c r="W106" s="188">
        <f>IF(ISBLANK(O106),,IF(O106=UPPER("IB"),8.63*200,16.3*100))</f>
        <v>1630</v>
      </c>
      <c r="X106" s="189" t="s">
        <v>641</v>
      </c>
      <c r="Y106" s="189"/>
      <c r="Z106" s="189" t="s">
        <v>80</v>
      </c>
      <c r="AA106" s="190">
        <v>-0.1</v>
      </c>
      <c r="AB106" s="186"/>
      <c r="AC106" s="344"/>
      <c r="AD106" s="186"/>
      <c r="AE106" s="186"/>
      <c r="AF106" s="186"/>
      <c r="AG106" s="186"/>
      <c r="AH106" s="186"/>
      <c r="AI106" s="191"/>
      <c r="AJ106" s="187"/>
      <c r="AK106" s="186"/>
      <c r="AL106" s="186"/>
      <c r="AM106" s="186" t="s">
        <v>642</v>
      </c>
      <c r="AN106" s="344" t="s">
        <v>97</v>
      </c>
      <c r="AO106" s="186" t="s">
        <v>643</v>
      </c>
      <c r="AP106" s="193">
        <v>-0.09</v>
      </c>
      <c r="AQ106" s="193">
        <f t="shared" si="53"/>
        <v>1.0000000000000009E-2</v>
      </c>
      <c r="AR106" s="191">
        <f>AS106*R106</f>
        <v>32.60000000000003</v>
      </c>
      <c r="AS106" s="194">
        <f t="shared" si="54"/>
        <v>16.300000000000015</v>
      </c>
      <c r="AT106" s="195" t="s">
        <v>77</v>
      </c>
      <c r="AU106" s="425" t="s">
        <v>644</v>
      </c>
      <c r="AV106" s="425"/>
      <c r="AW106" s="425"/>
      <c r="AX106" s="425"/>
      <c r="AY106" s="425"/>
      <c r="AZ106" s="425"/>
      <c r="BA106" s="425"/>
      <c r="BB106" s="425"/>
      <c r="BC106" s="440"/>
      <c r="BD106" s="404">
        <f>SUM($AS$4:AS106)</f>
        <v>758.52000000002033</v>
      </c>
      <c r="BE106" s="405">
        <f>SUM($AR$4:AR106)</f>
        <v>1233.0700000000204</v>
      </c>
      <c r="BF106" s="330"/>
      <c r="BG106" s="330"/>
    </row>
    <row r="107" spans="1:59" ht="18" customHeight="1">
      <c r="A107" s="227" t="s">
        <v>329</v>
      </c>
      <c r="B107" s="181">
        <v>44895</v>
      </c>
      <c r="C107" s="182" t="s">
        <v>482</v>
      </c>
      <c r="D107" s="182" t="s">
        <v>133</v>
      </c>
      <c r="E107" s="233"/>
      <c r="F107" s="184"/>
      <c r="G107" s="203" t="s">
        <v>262</v>
      </c>
      <c r="H107" s="186"/>
      <c r="I107" s="186"/>
      <c r="J107" s="186"/>
      <c r="K107" s="187"/>
      <c r="L107" s="186">
        <v>1</v>
      </c>
      <c r="M107" s="186"/>
      <c r="N107" s="186"/>
      <c r="O107" s="187" t="s">
        <v>76</v>
      </c>
      <c r="P107" s="187" t="s">
        <v>119</v>
      </c>
      <c r="Q107" s="187" t="s">
        <v>78</v>
      </c>
      <c r="R107" s="187">
        <v>1</v>
      </c>
      <c r="S107" s="187">
        <v>1</v>
      </c>
      <c r="T107" s="187">
        <v>1</v>
      </c>
      <c r="U107" s="187" t="s">
        <v>22</v>
      </c>
      <c r="V107" s="188">
        <f t="shared" si="43"/>
        <v>0.01</v>
      </c>
      <c r="W107" s="188">
        <f t="shared" ref="W107:W110" si="63">IF(ISBLANK(O107),,IF(O107=UPPER("IB"),8.63*200,16*100))</f>
        <v>1600</v>
      </c>
      <c r="X107" s="189" t="s">
        <v>641</v>
      </c>
      <c r="Y107" s="189"/>
      <c r="Z107" s="189" t="s">
        <v>80</v>
      </c>
      <c r="AA107" s="190">
        <v>-0.1</v>
      </c>
      <c r="AB107" s="186"/>
      <c r="AC107" s="344"/>
      <c r="AD107" s="186"/>
      <c r="AE107" s="186"/>
      <c r="AF107" s="186"/>
      <c r="AG107" s="186"/>
      <c r="AH107" s="186"/>
      <c r="AI107" s="191"/>
      <c r="AJ107" s="187"/>
      <c r="AK107" s="186"/>
      <c r="AL107" s="186"/>
      <c r="AM107" s="186" t="s">
        <v>645</v>
      </c>
      <c r="AN107" s="344" t="s">
        <v>87</v>
      </c>
      <c r="AO107" s="186" t="s">
        <v>646</v>
      </c>
      <c r="AP107" s="193">
        <v>-0.09</v>
      </c>
      <c r="AQ107" s="193">
        <f t="shared" si="53"/>
        <v>1.0000000000000009E-2</v>
      </c>
      <c r="AR107" s="191">
        <f>AS107*R107</f>
        <v>16.000000000000014</v>
      </c>
      <c r="AS107" s="194">
        <f t="shared" si="54"/>
        <v>16.000000000000014</v>
      </c>
      <c r="AT107" s="195" t="s">
        <v>77</v>
      </c>
      <c r="AU107" s="425" t="s">
        <v>647</v>
      </c>
      <c r="AV107" s="425"/>
      <c r="AW107" s="425"/>
      <c r="AX107" s="425"/>
      <c r="AY107" s="425"/>
      <c r="AZ107" s="425"/>
      <c r="BA107" s="425"/>
      <c r="BB107" s="425"/>
      <c r="BC107" s="440"/>
      <c r="BD107" s="404">
        <f>SUM($AS$4:AS107)</f>
        <v>774.52000000002033</v>
      </c>
      <c r="BE107" s="405">
        <f>SUM($AR$4:AR107)</f>
        <v>1249.0700000000204</v>
      </c>
      <c r="BF107" s="330"/>
      <c r="BG107" s="330"/>
    </row>
    <row r="108" spans="1:59" ht="18" customHeight="1">
      <c r="A108" s="227" t="s">
        <v>329</v>
      </c>
      <c r="B108" s="181"/>
      <c r="C108" s="182"/>
      <c r="D108" s="182"/>
      <c r="E108" s="233"/>
      <c r="F108" s="184"/>
      <c r="G108" s="185"/>
      <c r="H108" s="186"/>
      <c r="I108" s="186"/>
      <c r="J108" s="186"/>
      <c r="K108" s="187"/>
      <c r="L108" s="186"/>
      <c r="M108" s="186"/>
      <c r="N108" s="186"/>
      <c r="O108" s="187"/>
      <c r="P108" s="187"/>
      <c r="Q108" s="187"/>
      <c r="R108" s="187"/>
      <c r="S108" s="187"/>
      <c r="T108" s="187"/>
      <c r="U108" s="187"/>
      <c r="V108" s="188">
        <f t="shared" si="43"/>
        <v>0</v>
      </c>
      <c r="W108" s="188">
        <f t="shared" si="63"/>
        <v>0</v>
      </c>
      <c r="X108" s="189"/>
      <c r="Y108" s="189"/>
      <c r="Z108" s="189"/>
      <c r="AA108" s="190"/>
      <c r="AB108" s="186"/>
      <c r="AC108" s="344"/>
      <c r="AD108" s="186"/>
      <c r="AE108" s="186"/>
      <c r="AF108" s="186"/>
      <c r="AG108" s="186"/>
      <c r="AH108" s="186"/>
      <c r="AI108" s="191"/>
      <c r="AJ108" s="187"/>
      <c r="AK108" s="186"/>
      <c r="AL108" s="186"/>
      <c r="AM108" s="186"/>
      <c r="AN108" s="344"/>
      <c r="AO108" s="186"/>
      <c r="AP108" s="193"/>
      <c r="AQ108" s="186"/>
      <c r="AR108" s="191"/>
      <c r="AS108" s="194"/>
      <c r="AT108" s="195"/>
      <c r="AU108" s="425"/>
      <c r="AV108" s="425"/>
      <c r="AW108" s="425"/>
      <c r="AX108" s="425"/>
      <c r="AY108" s="425"/>
      <c r="AZ108" s="425"/>
      <c r="BA108" s="425"/>
      <c r="BB108" s="425"/>
      <c r="BC108" s="440"/>
      <c r="BD108" s="404">
        <f>SUM($AS$4:AS108)</f>
        <v>774.52000000002033</v>
      </c>
      <c r="BE108" s="405">
        <f>SUM($AR$4:AR108)</f>
        <v>1249.0700000000204</v>
      </c>
      <c r="BF108" s="330"/>
      <c r="BG108" s="330"/>
    </row>
    <row r="109" spans="1:59" ht="18" customHeight="1">
      <c r="A109" s="227" t="s">
        <v>329</v>
      </c>
      <c r="B109" s="204"/>
      <c r="C109" s="205"/>
      <c r="D109" s="205"/>
      <c r="E109" s="254"/>
      <c r="F109" s="207"/>
      <c r="G109" s="208"/>
      <c r="H109" s="209"/>
      <c r="I109" s="209"/>
      <c r="J109" s="209"/>
      <c r="K109" s="210"/>
      <c r="L109" s="209"/>
      <c r="M109" s="209"/>
      <c r="N109" s="209"/>
      <c r="O109" s="210"/>
      <c r="P109" s="210"/>
      <c r="Q109" s="210"/>
      <c r="R109" s="210"/>
      <c r="S109" s="210"/>
      <c r="T109" s="210"/>
      <c r="U109" s="210"/>
      <c r="V109" s="211">
        <f t="shared" si="43"/>
        <v>0</v>
      </c>
      <c r="W109" s="211">
        <f t="shared" si="63"/>
        <v>0</v>
      </c>
      <c r="X109" s="212"/>
      <c r="Y109" s="212"/>
      <c r="Z109" s="212"/>
      <c r="AA109" s="213"/>
      <c r="AB109" s="209"/>
      <c r="AC109" s="345"/>
      <c r="AD109" s="209"/>
      <c r="AE109" s="209"/>
      <c r="AF109" s="209"/>
      <c r="AG109" s="209"/>
      <c r="AH109" s="209"/>
      <c r="AI109" s="214"/>
      <c r="AJ109" s="210"/>
      <c r="AK109" s="209"/>
      <c r="AL109" s="209"/>
      <c r="AM109" s="209"/>
      <c r="AN109" s="345"/>
      <c r="AO109" s="209"/>
      <c r="AP109" s="215"/>
      <c r="AQ109" s="209"/>
      <c r="AR109" s="214"/>
      <c r="AS109" s="216"/>
      <c r="AT109" s="217"/>
      <c r="AU109" s="433" t="s">
        <v>648</v>
      </c>
      <c r="AV109" s="433" t="s">
        <v>649</v>
      </c>
      <c r="AW109" s="433" t="s">
        <v>650</v>
      </c>
      <c r="AX109" s="433" t="s">
        <v>651</v>
      </c>
      <c r="AY109" s="433" t="s">
        <v>462</v>
      </c>
      <c r="AZ109" s="433" t="s">
        <v>652</v>
      </c>
      <c r="BA109" s="433" t="s">
        <v>653</v>
      </c>
      <c r="BB109" s="433" t="s">
        <v>654</v>
      </c>
      <c r="BC109" s="445"/>
      <c r="BD109" s="404">
        <f>SUM($AS$4:AS109)</f>
        <v>774.52000000002033</v>
      </c>
      <c r="BE109" s="405">
        <f>SUM($AR$4:AR109)</f>
        <v>1249.0700000000204</v>
      </c>
      <c r="BF109" s="330"/>
      <c r="BG109" s="330"/>
    </row>
    <row r="110" spans="1:59" ht="18" customHeight="1">
      <c r="A110" s="158" t="s">
        <v>655</v>
      </c>
      <c r="B110" s="158"/>
      <c r="C110" s="218"/>
      <c r="D110" s="218"/>
      <c r="E110" s="219"/>
      <c r="F110" s="220"/>
      <c r="G110" s="218"/>
      <c r="H110" s="218"/>
      <c r="I110" s="218"/>
      <c r="J110" s="218"/>
      <c r="K110" s="221"/>
      <c r="L110" s="218"/>
      <c r="M110" s="218"/>
      <c r="N110" s="218"/>
      <c r="O110" s="221"/>
      <c r="P110" s="221"/>
      <c r="Q110" s="221"/>
      <c r="R110" s="221"/>
      <c r="S110" s="221"/>
      <c r="T110" s="221"/>
      <c r="U110" s="221"/>
      <c r="V110" s="222">
        <f t="shared" si="43"/>
        <v>0</v>
      </c>
      <c r="W110" s="222">
        <f t="shared" si="63"/>
        <v>0</v>
      </c>
      <c r="X110" s="222"/>
      <c r="Y110" s="222"/>
      <c r="Z110" s="222"/>
      <c r="AA110" s="223"/>
      <c r="AB110" s="218"/>
      <c r="AC110" s="346"/>
      <c r="AD110" s="218"/>
      <c r="AE110" s="218"/>
      <c r="AF110" s="218"/>
      <c r="AG110" s="218"/>
      <c r="AH110" s="218"/>
      <c r="AI110" s="218"/>
      <c r="AJ110" s="218"/>
      <c r="AK110" s="218"/>
      <c r="AL110" s="218"/>
      <c r="AM110" s="218"/>
      <c r="AN110" s="346"/>
      <c r="AO110" s="218"/>
      <c r="AP110" s="225"/>
      <c r="AQ110" s="225">
        <f t="shared" si="53"/>
        <v>0</v>
      </c>
      <c r="AR110" s="225"/>
      <c r="AS110" s="225">
        <f t="shared" si="54"/>
        <v>0</v>
      </c>
      <c r="AT110" s="226"/>
      <c r="AU110" s="432"/>
      <c r="AV110" s="432"/>
      <c r="AW110" s="432"/>
      <c r="AX110" s="432"/>
      <c r="AY110" s="432"/>
      <c r="AZ110" s="432"/>
      <c r="BA110" s="432"/>
      <c r="BB110" s="432"/>
      <c r="BC110" s="432"/>
      <c r="BD110" s="404">
        <f>SUM($AS$4:AS110)</f>
        <v>774.52000000002033</v>
      </c>
      <c r="BE110" s="405">
        <f>SUM($AR$4:AR110)</f>
        <v>1249.0700000000204</v>
      </c>
      <c r="BF110" s="330"/>
      <c r="BG110" s="330"/>
    </row>
    <row r="111" spans="1:59" ht="18" customHeight="1">
      <c r="A111" s="227" t="s">
        <v>656</v>
      </c>
      <c r="B111" s="227">
        <v>44897</v>
      </c>
      <c r="C111" s="229" t="s">
        <v>657</v>
      </c>
      <c r="D111" s="229" t="s">
        <v>93</v>
      </c>
      <c r="E111" s="230"/>
      <c r="F111" s="231"/>
      <c r="G111" s="232" t="s">
        <v>535</v>
      </c>
      <c r="H111" s="169"/>
      <c r="I111" s="169"/>
      <c r="J111" s="169"/>
      <c r="K111" s="172"/>
      <c r="L111" s="169">
        <v>1</v>
      </c>
      <c r="M111" s="169"/>
      <c r="N111" s="169"/>
      <c r="O111" s="172" t="s">
        <v>76</v>
      </c>
      <c r="P111" s="172" t="s">
        <v>119</v>
      </c>
      <c r="Q111" s="172" t="s">
        <v>78</v>
      </c>
      <c r="R111" s="172">
        <v>2</v>
      </c>
      <c r="S111" s="172">
        <v>2</v>
      </c>
      <c r="T111" s="172">
        <v>2</v>
      </c>
      <c r="U111" s="172" t="s">
        <v>22</v>
      </c>
      <c r="V111" s="174">
        <f t="shared" si="43"/>
        <v>0.01</v>
      </c>
      <c r="W111" s="174">
        <f t="shared" ref="W111:W112" si="64">IF(ISBLANK(O111),,IF(O111=UPPER("IB"),8.63*200,16.4*100))</f>
        <v>1639.9999999999998</v>
      </c>
      <c r="X111" s="175" t="s">
        <v>658</v>
      </c>
      <c r="Y111" s="175"/>
      <c r="Z111" s="175" t="s">
        <v>80</v>
      </c>
      <c r="AA111" s="176">
        <v>-0.08</v>
      </c>
      <c r="AB111" s="169"/>
      <c r="AC111" s="343">
        <v>-0.11</v>
      </c>
      <c r="AD111" s="169"/>
      <c r="AE111" s="169">
        <v>-6</v>
      </c>
      <c r="AF111" s="169"/>
      <c r="AG111" s="169"/>
      <c r="AH111" s="169"/>
      <c r="AI111" s="177">
        <f>-0.02*W111</f>
        <v>-32.799999999999997</v>
      </c>
      <c r="AJ111" s="177">
        <f>AI111*R111</f>
        <v>-65.599999999999994</v>
      </c>
      <c r="AK111" s="169"/>
      <c r="AL111" s="169"/>
      <c r="AM111" s="169" t="s">
        <v>659</v>
      </c>
      <c r="AN111" s="343" t="s">
        <v>87</v>
      </c>
      <c r="AO111" s="169" t="s">
        <v>660</v>
      </c>
      <c r="AP111" s="178">
        <v>-7.0000000000000007E-2</v>
      </c>
      <c r="AQ111" s="178">
        <f t="shared" si="53"/>
        <v>9.999999999999995E-3</v>
      </c>
      <c r="AR111" s="177">
        <f>AS111*R111</f>
        <v>32.799999999999976</v>
      </c>
      <c r="AS111" s="179">
        <f t="shared" si="54"/>
        <v>16.399999999999988</v>
      </c>
      <c r="AT111" s="180" t="s">
        <v>77</v>
      </c>
      <c r="AU111" s="429"/>
      <c r="AV111" s="429"/>
      <c r="AW111" s="429"/>
      <c r="AX111" s="429"/>
      <c r="AY111" s="429"/>
      <c r="AZ111" s="429"/>
      <c r="BA111" s="429" t="s">
        <v>661</v>
      </c>
      <c r="BB111" s="429" t="s">
        <v>662</v>
      </c>
      <c r="BC111" s="439"/>
      <c r="BD111" s="404">
        <f>SUM($AS$4:AS111)</f>
        <v>790.92000000002031</v>
      </c>
      <c r="BE111" s="405">
        <f>SUM($AR$4:AR111)</f>
        <v>1281.8700000000204</v>
      </c>
      <c r="BF111" s="330"/>
      <c r="BG111" s="330"/>
    </row>
    <row r="112" spans="1:59" ht="18" customHeight="1">
      <c r="A112" s="227" t="s">
        <v>656</v>
      </c>
      <c r="B112" s="181">
        <v>44901</v>
      </c>
      <c r="C112" s="182" t="s">
        <v>663</v>
      </c>
      <c r="D112" s="182" t="s">
        <v>128</v>
      </c>
      <c r="E112" s="233"/>
      <c r="F112" s="184"/>
      <c r="G112" s="185"/>
      <c r="H112" s="186"/>
      <c r="I112" s="186"/>
      <c r="J112" s="186"/>
      <c r="K112" s="187" t="s">
        <v>87</v>
      </c>
      <c r="L112" s="186"/>
      <c r="M112" s="186"/>
      <c r="N112" s="186"/>
      <c r="O112" s="187"/>
      <c r="P112" s="187"/>
      <c r="Q112" s="187"/>
      <c r="R112" s="187"/>
      <c r="S112" s="187"/>
      <c r="T112" s="187"/>
      <c r="U112" s="187"/>
      <c r="V112" s="188">
        <f t="shared" si="43"/>
        <v>0</v>
      </c>
      <c r="W112" s="188">
        <f t="shared" si="64"/>
        <v>0</v>
      </c>
      <c r="X112" s="189"/>
      <c r="Y112" s="189"/>
      <c r="Z112" s="189"/>
      <c r="AA112" s="190"/>
      <c r="AB112" s="186"/>
      <c r="AC112" s="344"/>
      <c r="AD112" s="186"/>
      <c r="AE112" s="186"/>
      <c r="AF112" s="186"/>
      <c r="AG112" s="186"/>
      <c r="AH112" s="186"/>
      <c r="AI112" s="191"/>
      <c r="AJ112" s="187"/>
      <c r="AK112" s="186"/>
      <c r="AL112" s="186"/>
      <c r="AM112" s="186"/>
      <c r="AN112" s="344"/>
      <c r="AO112" s="186"/>
      <c r="AP112" s="193"/>
      <c r="AQ112" s="186">
        <f t="shared" si="53"/>
        <v>0</v>
      </c>
      <c r="AR112" s="191"/>
      <c r="AS112" s="194">
        <f t="shared" si="54"/>
        <v>0</v>
      </c>
      <c r="AT112" s="195"/>
      <c r="AU112" s="425"/>
      <c r="AV112" s="425"/>
      <c r="AW112" s="425"/>
      <c r="AX112" s="425"/>
      <c r="AY112" s="425"/>
      <c r="AZ112" s="425"/>
      <c r="BA112" s="425"/>
      <c r="BB112" s="425"/>
      <c r="BC112" s="440"/>
      <c r="BD112" s="404">
        <f>SUM($AS$4:AS112)</f>
        <v>790.92000000002031</v>
      </c>
      <c r="BE112" s="405">
        <f>SUM($AR$4:AR112)</f>
        <v>1281.8700000000204</v>
      </c>
      <c r="BF112" s="330"/>
      <c r="BG112" s="330"/>
    </row>
    <row r="113" spans="1:59" ht="18" customHeight="1">
      <c r="A113" s="227" t="s">
        <v>656</v>
      </c>
      <c r="B113" s="181">
        <v>44901</v>
      </c>
      <c r="C113" s="182" t="s">
        <v>664</v>
      </c>
      <c r="D113" s="182" t="s">
        <v>128</v>
      </c>
      <c r="E113" s="233"/>
      <c r="F113" s="184"/>
      <c r="G113" s="185" t="s">
        <v>665</v>
      </c>
      <c r="H113" s="186"/>
      <c r="I113" s="186"/>
      <c r="J113" s="186"/>
      <c r="K113" s="187"/>
      <c r="L113" s="186">
        <v>1</v>
      </c>
      <c r="M113" s="186"/>
      <c r="N113" s="186"/>
      <c r="O113" s="187" t="s">
        <v>76</v>
      </c>
      <c r="P113" s="187" t="s">
        <v>119</v>
      </c>
      <c r="Q113" s="187" t="s">
        <v>666</v>
      </c>
      <c r="R113" s="187">
        <v>1</v>
      </c>
      <c r="S113" s="187">
        <v>1</v>
      </c>
      <c r="T113" s="187">
        <v>1</v>
      </c>
      <c r="U113" s="187" t="s">
        <v>22</v>
      </c>
      <c r="V113" s="188">
        <f t="shared" si="43"/>
        <v>0.01</v>
      </c>
      <c r="W113" s="188">
        <f t="shared" ref="W113:W115" si="65">IF(ISBLANK(O113),,IF(O113=UPPER("IB"),8.63*200,16.1*100))</f>
        <v>1610.0000000000002</v>
      </c>
      <c r="X113" s="189" t="s">
        <v>667</v>
      </c>
      <c r="Y113" s="189"/>
      <c r="Z113" s="189"/>
      <c r="AA113" s="190">
        <v>96.21</v>
      </c>
      <c r="AB113" s="186"/>
      <c r="AC113" s="344"/>
      <c r="AD113" s="186"/>
      <c r="AE113" s="186"/>
      <c r="AF113" s="186"/>
      <c r="AG113" s="186"/>
      <c r="AH113" s="186"/>
      <c r="AI113" s="191"/>
      <c r="AJ113" s="187"/>
      <c r="AK113" s="186"/>
      <c r="AL113" s="186"/>
      <c r="AM113" s="186" t="s">
        <v>668</v>
      </c>
      <c r="AN113" s="344" t="s">
        <v>376</v>
      </c>
      <c r="AO113" s="186"/>
      <c r="AP113" s="193">
        <v>96.19</v>
      </c>
      <c r="AQ113" s="193">
        <f t="shared" si="53"/>
        <v>-1.9999999999996021E-2</v>
      </c>
      <c r="AR113" s="191">
        <f>AS113*R113</f>
        <v>-32.199999999993601</v>
      </c>
      <c r="AS113" s="194">
        <f t="shared" si="54"/>
        <v>-32.199999999993601</v>
      </c>
      <c r="AT113" s="195" t="s">
        <v>211</v>
      </c>
      <c r="AU113" s="425" t="s">
        <v>669</v>
      </c>
      <c r="AV113" s="425"/>
      <c r="AW113" s="425"/>
      <c r="AX113" s="425"/>
      <c r="AY113" s="425"/>
      <c r="AZ113" s="425"/>
      <c r="BA113" s="425"/>
      <c r="BB113" s="425"/>
      <c r="BC113" s="440"/>
      <c r="BD113" s="404">
        <f>SUM($AS$4:AS113)</f>
        <v>758.72000000002674</v>
      </c>
      <c r="BE113" s="405">
        <f>SUM($AR$4:AR113)</f>
        <v>1249.6700000000267</v>
      </c>
      <c r="BF113" s="330"/>
      <c r="BG113" s="330"/>
    </row>
    <row r="114" spans="1:59" ht="18" customHeight="1">
      <c r="A114" s="227" t="s">
        <v>656</v>
      </c>
      <c r="B114" s="181">
        <v>44902</v>
      </c>
      <c r="C114" s="182"/>
      <c r="D114" s="182"/>
      <c r="E114" s="183" t="s">
        <v>670</v>
      </c>
      <c r="F114" s="184"/>
      <c r="G114" s="185"/>
      <c r="H114" s="186"/>
      <c r="I114" s="186"/>
      <c r="J114" s="186">
        <v>1</v>
      </c>
      <c r="K114" s="187"/>
      <c r="L114" s="186"/>
      <c r="M114" s="186"/>
      <c r="N114" s="186"/>
      <c r="O114" s="187"/>
      <c r="P114" s="187"/>
      <c r="Q114" s="187"/>
      <c r="R114" s="187"/>
      <c r="S114" s="187"/>
      <c r="T114" s="187"/>
      <c r="U114" s="187"/>
      <c r="V114" s="188">
        <f t="shared" si="43"/>
        <v>0</v>
      </c>
      <c r="W114" s="188">
        <f t="shared" si="65"/>
        <v>0</v>
      </c>
      <c r="X114" s="189"/>
      <c r="Y114" s="189"/>
      <c r="Z114" s="189"/>
      <c r="AA114" s="190"/>
      <c r="AB114" s="186"/>
      <c r="AC114" s="344"/>
      <c r="AD114" s="186"/>
      <c r="AE114" s="186"/>
      <c r="AF114" s="186"/>
      <c r="AG114" s="186"/>
      <c r="AH114" s="186"/>
      <c r="AI114" s="191"/>
      <c r="AJ114" s="187"/>
      <c r="AK114" s="186"/>
      <c r="AL114" s="186"/>
      <c r="AM114" s="186"/>
      <c r="AN114" s="344"/>
      <c r="AO114" s="186"/>
      <c r="AP114" s="193"/>
      <c r="AQ114" s="186">
        <f t="shared" si="53"/>
        <v>0</v>
      </c>
      <c r="AR114" s="191">
        <f>AS114*R114</f>
        <v>0</v>
      </c>
      <c r="AS114" s="194">
        <f t="shared" si="54"/>
        <v>0</v>
      </c>
      <c r="AT114" s="195"/>
      <c r="AU114" s="425" t="s">
        <v>671</v>
      </c>
      <c r="AV114" s="425" t="s">
        <v>672</v>
      </c>
      <c r="AW114" s="425"/>
      <c r="AX114" s="425"/>
      <c r="AY114" s="425"/>
      <c r="AZ114" s="425"/>
      <c r="BA114" s="425" t="s">
        <v>673</v>
      </c>
      <c r="BB114" s="425"/>
      <c r="BC114" s="440"/>
      <c r="BD114" s="404">
        <f>SUM($AS$4:AS114)</f>
        <v>758.72000000002674</v>
      </c>
      <c r="BE114" s="405">
        <f>SUM($AR$4:AR114)</f>
        <v>1249.6700000000267</v>
      </c>
      <c r="BF114" s="330"/>
      <c r="BG114" s="330"/>
    </row>
    <row r="115" spans="1:59" ht="18" customHeight="1">
      <c r="A115" s="227" t="s">
        <v>656</v>
      </c>
      <c r="B115" s="236">
        <v>44903</v>
      </c>
      <c r="C115" s="182"/>
      <c r="D115" s="182" t="s">
        <v>674</v>
      </c>
      <c r="E115" s="233"/>
      <c r="F115" s="184"/>
      <c r="G115" s="185" t="s">
        <v>253</v>
      </c>
      <c r="H115" s="186"/>
      <c r="I115" s="186"/>
      <c r="J115" s="186"/>
      <c r="K115" s="187"/>
      <c r="L115" s="186">
        <v>1</v>
      </c>
      <c r="M115" s="186"/>
      <c r="N115" s="186"/>
      <c r="O115" s="187" t="s">
        <v>76</v>
      </c>
      <c r="P115" s="187" t="s">
        <v>119</v>
      </c>
      <c r="Q115" s="187" t="s">
        <v>78</v>
      </c>
      <c r="R115" s="187">
        <v>2</v>
      </c>
      <c r="S115" s="187">
        <v>2</v>
      </c>
      <c r="T115" s="187">
        <v>2</v>
      </c>
      <c r="U115" s="187" t="s">
        <v>22</v>
      </c>
      <c r="V115" s="188">
        <f t="shared" si="43"/>
        <v>0.01</v>
      </c>
      <c r="W115" s="188">
        <f t="shared" si="65"/>
        <v>1610.0000000000002</v>
      </c>
      <c r="X115" s="189" t="s">
        <v>675</v>
      </c>
      <c r="Y115" s="189"/>
      <c r="Z115" s="189" t="s">
        <v>676</v>
      </c>
      <c r="AA115" s="190">
        <v>-0.09</v>
      </c>
      <c r="AB115" s="186" t="s">
        <v>677</v>
      </c>
      <c r="AC115" s="344">
        <v>-0.12</v>
      </c>
      <c r="AD115" s="186"/>
      <c r="AE115" s="186">
        <v>-7.0000000000000007E-2</v>
      </c>
      <c r="AF115" s="186"/>
      <c r="AG115" s="186"/>
      <c r="AH115" s="186"/>
      <c r="AI115" s="191"/>
      <c r="AJ115" s="187"/>
      <c r="AK115" s="186" t="s">
        <v>678</v>
      </c>
      <c r="AL115" s="186" t="s">
        <v>679</v>
      </c>
      <c r="AM115" s="186" t="s">
        <v>680</v>
      </c>
      <c r="AN115" s="344" t="s">
        <v>87</v>
      </c>
      <c r="AO115" s="186" t="s">
        <v>681</v>
      </c>
      <c r="AP115" s="193">
        <v>-0.08</v>
      </c>
      <c r="AQ115" s="193">
        <f t="shared" si="53"/>
        <v>9.999999999999995E-3</v>
      </c>
      <c r="AR115" s="191">
        <f>AS115*R115</f>
        <v>32.199999999999989</v>
      </c>
      <c r="AS115" s="194">
        <f t="shared" si="54"/>
        <v>16.099999999999994</v>
      </c>
      <c r="AT115" s="195" t="s">
        <v>77</v>
      </c>
      <c r="AU115" s="425" t="s">
        <v>682</v>
      </c>
      <c r="AV115" s="425" t="s">
        <v>683</v>
      </c>
      <c r="AW115" s="425"/>
      <c r="AX115" s="425"/>
      <c r="AY115" s="425"/>
      <c r="AZ115" s="425"/>
      <c r="BA115" s="425"/>
      <c r="BB115" s="425"/>
      <c r="BC115" s="440"/>
      <c r="BD115" s="404">
        <f>SUM($AS$4:AS115)</f>
        <v>774.82000000002677</v>
      </c>
      <c r="BE115" s="405">
        <f>SUM($AR$4:AR115)</f>
        <v>1281.8700000000267</v>
      </c>
      <c r="BF115" s="330"/>
      <c r="BG115" s="330"/>
    </row>
    <row r="116" spans="1:59" ht="18" customHeight="1">
      <c r="A116" s="227" t="s">
        <v>656</v>
      </c>
      <c r="B116" s="181">
        <v>44904</v>
      </c>
      <c r="C116" s="182" t="s">
        <v>684</v>
      </c>
      <c r="D116" s="182" t="s">
        <v>93</v>
      </c>
      <c r="E116" s="233"/>
      <c r="F116" s="184"/>
      <c r="G116" s="185" t="s">
        <v>115</v>
      </c>
      <c r="H116" s="186"/>
      <c r="I116" s="186"/>
      <c r="J116" s="186"/>
      <c r="K116" s="187"/>
      <c r="L116" s="186"/>
      <c r="M116" s="186"/>
      <c r="N116" s="186"/>
      <c r="O116" s="187" t="s">
        <v>76</v>
      </c>
      <c r="P116" s="187" t="s">
        <v>77</v>
      </c>
      <c r="Q116" s="187" t="s">
        <v>78</v>
      </c>
      <c r="R116" s="187">
        <v>2</v>
      </c>
      <c r="S116" s="187">
        <v>2</v>
      </c>
      <c r="T116" s="187">
        <v>2</v>
      </c>
      <c r="U116" s="187" t="s">
        <v>78</v>
      </c>
      <c r="V116" s="188">
        <f t="shared" si="43"/>
        <v>0.01</v>
      </c>
      <c r="W116" s="188">
        <f t="shared" ref="W116:W117" si="66">IF(ISBLANK(O116),,IF(O116=UPPER("IB"),8.63*200,16.3*100))</f>
        <v>1630</v>
      </c>
      <c r="X116" s="189" t="s">
        <v>267</v>
      </c>
      <c r="Y116" s="189"/>
      <c r="Z116" s="189" t="s">
        <v>80</v>
      </c>
      <c r="AA116" s="190">
        <v>0.01</v>
      </c>
      <c r="AB116" s="186" t="s">
        <v>685</v>
      </c>
      <c r="AC116" s="344"/>
      <c r="AD116" s="186"/>
      <c r="AE116" s="186"/>
      <c r="AF116" s="186"/>
      <c r="AG116" s="186"/>
      <c r="AH116" s="186"/>
      <c r="AI116" s="191"/>
      <c r="AJ116" s="187"/>
      <c r="AK116" s="186"/>
      <c r="AL116" s="186"/>
      <c r="AM116" s="186" t="s">
        <v>686</v>
      </c>
      <c r="AN116" s="344" t="s">
        <v>87</v>
      </c>
      <c r="AO116" s="235">
        <v>0.41666666666666669</v>
      </c>
      <c r="AP116" s="193">
        <v>0</v>
      </c>
      <c r="AQ116" s="193">
        <f t="shared" si="53"/>
        <v>0.01</v>
      </c>
      <c r="AR116" s="191">
        <f>AS116*R116</f>
        <v>32.6</v>
      </c>
      <c r="AS116" s="194">
        <f t="shared" si="54"/>
        <v>16.3</v>
      </c>
      <c r="AT116" s="195" t="s">
        <v>77</v>
      </c>
      <c r="AU116" s="425" t="s">
        <v>687</v>
      </c>
      <c r="AV116" s="425"/>
      <c r="AW116" s="425"/>
      <c r="AX116" s="425" t="s">
        <v>688</v>
      </c>
      <c r="AY116" s="441" t="s">
        <v>689</v>
      </c>
      <c r="AZ116" s="425"/>
      <c r="BA116" s="425" t="s">
        <v>690</v>
      </c>
      <c r="BB116" s="425"/>
      <c r="BC116" s="440"/>
      <c r="BD116" s="404">
        <f>SUM($AS$4:AS116)</f>
        <v>791.12000000002672</v>
      </c>
      <c r="BE116" s="405">
        <f>SUM($AR$4:AR116)</f>
        <v>1314.4700000000266</v>
      </c>
      <c r="BF116" s="330"/>
      <c r="BG116" s="330"/>
    </row>
    <row r="117" spans="1:59" ht="18" customHeight="1">
      <c r="A117" s="227" t="s">
        <v>656</v>
      </c>
      <c r="B117" s="181">
        <v>44904</v>
      </c>
      <c r="C117" s="198">
        <v>0.79166666666666663</v>
      </c>
      <c r="D117" s="182" t="s">
        <v>93</v>
      </c>
      <c r="E117" s="183" t="s">
        <v>691</v>
      </c>
      <c r="F117" s="184" t="s">
        <v>692</v>
      </c>
      <c r="G117" s="185"/>
      <c r="H117" s="186"/>
      <c r="I117" s="186"/>
      <c r="J117" s="186"/>
      <c r="K117" s="187"/>
      <c r="L117" s="186"/>
      <c r="M117" s="186"/>
      <c r="N117" s="186"/>
      <c r="O117" s="187"/>
      <c r="P117" s="187"/>
      <c r="Q117" s="187"/>
      <c r="R117" s="187"/>
      <c r="S117" s="187"/>
      <c r="T117" s="187"/>
      <c r="U117" s="187"/>
      <c r="V117" s="188">
        <f t="shared" si="43"/>
        <v>0</v>
      </c>
      <c r="W117" s="188">
        <f t="shared" si="66"/>
        <v>0</v>
      </c>
      <c r="X117" s="189"/>
      <c r="Y117" s="189"/>
      <c r="Z117" s="189"/>
      <c r="AA117" s="190"/>
      <c r="AB117" s="186"/>
      <c r="AC117" s="344"/>
      <c r="AD117" s="186"/>
      <c r="AE117" s="186"/>
      <c r="AF117" s="186"/>
      <c r="AG117" s="186"/>
      <c r="AH117" s="186"/>
      <c r="AI117" s="191"/>
      <c r="AJ117" s="187"/>
      <c r="AK117" s="186"/>
      <c r="AL117" s="186"/>
      <c r="AM117" s="186"/>
      <c r="AN117" s="344"/>
      <c r="AO117" s="186"/>
      <c r="AP117" s="193"/>
      <c r="AQ117" s="186">
        <f t="shared" ref="AQ117:AQ128" si="67">IF(ISBLANK(AP117),,IF(U117="S",AA117-AP117,AP117-AA117))</f>
        <v>0</v>
      </c>
      <c r="AR117" s="191"/>
      <c r="AS117" s="194">
        <f t="shared" ref="AS117:AS128" si="68">IF(ISBLANK(AP117),,(AQ117*W117))</f>
        <v>0</v>
      </c>
      <c r="AT117" s="195"/>
      <c r="AU117" s="425"/>
      <c r="AV117" s="425"/>
      <c r="AW117" s="425"/>
      <c r="AX117" s="425"/>
      <c r="AY117" s="425"/>
      <c r="AZ117" s="425"/>
      <c r="BA117" s="425"/>
      <c r="BB117" s="425"/>
      <c r="BC117" s="440"/>
      <c r="BD117" s="404">
        <f>SUM($AS$4:AS117)</f>
        <v>791.12000000002672</v>
      </c>
      <c r="BE117" s="405">
        <f>SUM($AR$4:AR117)</f>
        <v>1314.4700000000266</v>
      </c>
      <c r="BF117" s="330"/>
      <c r="BG117" s="330"/>
    </row>
    <row r="118" spans="1:59" ht="18" customHeight="1">
      <c r="A118" s="227" t="s">
        <v>656</v>
      </c>
      <c r="B118" s="181">
        <v>44907</v>
      </c>
      <c r="C118" s="182" t="s">
        <v>693</v>
      </c>
      <c r="D118" s="182" t="s">
        <v>114</v>
      </c>
      <c r="E118" s="233"/>
      <c r="F118" s="184"/>
      <c r="G118" s="255" t="s">
        <v>253</v>
      </c>
      <c r="H118" s="186"/>
      <c r="I118" s="186"/>
      <c r="J118" s="186"/>
      <c r="K118" s="187"/>
      <c r="L118" s="186">
        <v>1</v>
      </c>
      <c r="M118" s="186"/>
      <c r="N118" s="186"/>
      <c r="O118" s="187" t="s">
        <v>76</v>
      </c>
      <c r="P118" s="187" t="s">
        <v>119</v>
      </c>
      <c r="Q118" s="187" t="s">
        <v>78</v>
      </c>
      <c r="R118" s="187">
        <v>1</v>
      </c>
      <c r="S118" s="187">
        <v>1</v>
      </c>
      <c r="T118" s="187">
        <v>1</v>
      </c>
      <c r="U118" s="187" t="s">
        <v>22</v>
      </c>
      <c r="V118" s="188">
        <f t="shared" si="43"/>
        <v>0.01</v>
      </c>
      <c r="W118" s="188">
        <f t="shared" ref="W118:W119" si="69">IF(ISBLANK(O118),,IF(O118=UPPER("IB"),8.63*200,16*100))</f>
        <v>1600</v>
      </c>
      <c r="X118" s="189" t="s">
        <v>694</v>
      </c>
      <c r="Y118" s="189"/>
      <c r="Z118" s="189" t="s">
        <v>695</v>
      </c>
      <c r="AA118" s="190">
        <v>-0.09</v>
      </c>
      <c r="AB118" s="186"/>
      <c r="AC118" s="344">
        <v>-0.12</v>
      </c>
      <c r="AD118" s="186"/>
      <c r="AE118" s="186" t="s">
        <v>696</v>
      </c>
      <c r="AF118" s="186" t="s">
        <v>697</v>
      </c>
      <c r="AG118" s="186"/>
      <c r="AH118" s="186"/>
      <c r="AI118" s="191">
        <f t="shared" ref="AI118:AI119" si="70">-0.03*W118</f>
        <v>-48</v>
      </c>
      <c r="AJ118" s="191">
        <f t="shared" ref="AJ118:AJ119" si="71">AI118*R118</f>
        <v>-48</v>
      </c>
      <c r="AK118" s="186" t="s">
        <v>698</v>
      </c>
      <c r="AL118" s="186"/>
      <c r="AM118" s="186" t="s">
        <v>699</v>
      </c>
      <c r="AN118" s="344" t="s">
        <v>77</v>
      </c>
      <c r="AO118" s="186" t="s">
        <v>700</v>
      </c>
      <c r="AP118" s="193">
        <v>-0.08</v>
      </c>
      <c r="AQ118" s="193">
        <f t="shared" si="67"/>
        <v>9.999999999999995E-3</v>
      </c>
      <c r="AR118" s="191">
        <f>AS118*R118</f>
        <v>15.999999999999993</v>
      </c>
      <c r="AS118" s="194">
        <f t="shared" si="68"/>
        <v>15.999999999999993</v>
      </c>
      <c r="AT118" s="195" t="s">
        <v>77</v>
      </c>
      <c r="AU118" s="425"/>
      <c r="AV118" s="425" t="s">
        <v>701</v>
      </c>
      <c r="AW118" s="446" t="s">
        <v>702</v>
      </c>
      <c r="AX118" s="425"/>
      <c r="AY118" s="425"/>
      <c r="AZ118" s="425"/>
      <c r="BA118" s="425"/>
      <c r="BB118" s="425"/>
      <c r="BC118" s="440"/>
      <c r="BD118" s="404">
        <f>SUM($AS$4:AS118)</f>
        <v>807.12000000002672</v>
      </c>
      <c r="BE118" s="405">
        <f>SUM($AR$4:AR118)</f>
        <v>1330.4700000000266</v>
      </c>
      <c r="BF118" s="330"/>
      <c r="BG118" s="330"/>
    </row>
    <row r="119" spans="1:59" ht="18" customHeight="1">
      <c r="A119" s="227" t="s">
        <v>656</v>
      </c>
      <c r="B119" s="181">
        <v>44908</v>
      </c>
      <c r="C119" s="182" t="s">
        <v>703</v>
      </c>
      <c r="D119" s="182" t="s">
        <v>128</v>
      </c>
      <c r="E119" s="233" t="s">
        <v>704</v>
      </c>
      <c r="F119" s="184" t="s">
        <v>705</v>
      </c>
      <c r="G119" s="255" t="s">
        <v>253</v>
      </c>
      <c r="H119" s="186"/>
      <c r="I119" s="186"/>
      <c r="J119" s="186">
        <v>1</v>
      </c>
      <c r="K119" s="187" t="s">
        <v>97</v>
      </c>
      <c r="L119" s="186">
        <v>1</v>
      </c>
      <c r="M119" s="186">
        <v>1</v>
      </c>
      <c r="N119" s="186"/>
      <c r="O119" s="187" t="s">
        <v>76</v>
      </c>
      <c r="P119" s="187" t="s">
        <v>119</v>
      </c>
      <c r="Q119" s="187" t="s">
        <v>78</v>
      </c>
      <c r="R119" s="187">
        <v>2</v>
      </c>
      <c r="S119" s="187">
        <v>2</v>
      </c>
      <c r="T119" s="187">
        <v>2</v>
      </c>
      <c r="U119" s="187" t="s">
        <v>22</v>
      </c>
      <c r="V119" s="188">
        <f t="shared" si="43"/>
        <v>0.01</v>
      </c>
      <c r="W119" s="188">
        <f t="shared" si="69"/>
        <v>1600</v>
      </c>
      <c r="X119" s="189" t="s">
        <v>675</v>
      </c>
      <c r="Y119" s="189"/>
      <c r="Z119" s="189" t="s">
        <v>80</v>
      </c>
      <c r="AA119" s="190">
        <v>-0.09</v>
      </c>
      <c r="AB119" s="186"/>
      <c r="AC119" s="344">
        <v>-0.12</v>
      </c>
      <c r="AD119" s="186"/>
      <c r="AE119" s="186">
        <v>-0.08</v>
      </c>
      <c r="AF119" s="186"/>
      <c r="AG119" s="186"/>
      <c r="AH119" s="186"/>
      <c r="AI119" s="191">
        <f t="shared" si="70"/>
        <v>-48</v>
      </c>
      <c r="AJ119" s="191">
        <f t="shared" si="71"/>
        <v>-96</v>
      </c>
      <c r="AK119" s="186" t="s">
        <v>698</v>
      </c>
      <c r="AL119" s="186"/>
      <c r="AM119" s="186" t="s">
        <v>699</v>
      </c>
      <c r="AN119" s="344" t="s">
        <v>77</v>
      </c>
      <c r="AO119" s="186" t="s">
        <v>700</v>
      </c>
      <c r="AP119" s="193">
        <v>-0.08</v>
      </c>
      <c r="AQ119" s="193">
        <f t="shared" si="67"/>
        <v>9.999999999999995E-3</v>
      </c>
      <c r="AR119" s="191">
        <f>AS119*R119</f>
        <v>31.999999999999986</v>
      </c>
      <c r="AS119" s="194">
        <f t="shared" si="68"/>
        <v>15.999999999999993</v>
      </c>
      <c r="AT119" s="195" t="s">
        <v>77</v>
      </c>
      <c r="AU119" s="425"/>
      <c r="AV119" s="425" t="s">
        <v>701</v>
      </c>
      <c r="AW119" s="446" t="s">
        <v>702</v>
      </c>
      <c r="AX119" s="425"/>
      <c r="AY119" s="425"/>
      <c r="AZ119" s="425"/>
      <c r="BA119" s="425"/>
      <c r="BB119" s="425"/>
      <c r="BC119" s="440"/>
      <c r="BD119" s="404">
        <f>SUM($AS$4:AS119)</f>
        <v>823.12000000002672</v>
      </c>
      <c r="BE119" s="405">
        <f>SUM($AR$4:AR119)</f>
        <v>1362.4700000000266</v>
      </c>
      <c r="BF119" s="330"/>
      <c r="BG119" s="330"/>
    </row>
    <row r="120" spans="1:59" ht="18" customHeight="1">
      <c r="A120" s="227" t="s">
        <v>656</v>
      </c>
      <c r="B120" s="181"/>
      <c r="C120" s="182"/>
      <c r="D120" s="182"/>
      <c r="E120" s="233" t="s">
        <v>706</v>
      </c>
      <c r="F120" s="184" t="s">
        <v>707</v>
      </c>
      <c r="G120" s="185"/>
      <c r="H120" s="186"/>
      <c r="I120" s="186"/>
      <c r="J120" s="186">
        <v>1</v>
      </c>
      <c r="K120" s="187" t="s">
        <v>97</v>
      </c>
      <c r="L120" s="186"/>
      <c r="M120" s="186"/>
      <c r="N120" s="186"/>
      <c r="O120" s="187"/>
      <c r="P120" s="187"/>
      <c r="Q120" s="187"/>
      <c r="R120" s="187"/>
      <c r="S120" s="187"/>
      <c r="T120" s="187"/>
      <c r="U120" s="187"/>
      <c r="V120" s="188">
        <f t="shared" si="43"/>
        <v>0</v>
      </c>
      <c r="W120" s="188">
        <f>IF(ISBLANK(O120),,IF(O120=UPPER("IB"),8.63*200,16.3*100))</f>
        <v>0</v>
      </c>
      <c r="X120" s="189"/>
      <c r="Y120" s="189"/>
      <c r="Z120" s="189"/>
      <c r="AA120" s="190"/>
      <c r="AB120" s="186"/>
      <c r="AC120" s="344"/>
      <c r="AD120" s="186"/>
      <c r="AE120" s="186"/>
      <c r="AF120" s="186"/>
      <c r="AG120" s="186"/>
      <c r="AH120" s="186"/>
      <c r="AI120" s="191"/>
      <c r="AJ120" s="187"/>
      <c r="AK120" s="186"/>
      <c r="AL120" s="186"/>
      <c r="AM120" s="186"/>
      <c r="AN120" s="344"/>
      <c r="AO120" s="186"/>
      <c r="AP120" s="193"/>
      <c r="AQ120" s="186">
        <f t="shared" si="67"/>
        <v>0</v>
      </c>
      <c r="AR120" s="191"/>
      <c r="AS120" s="194">
        <f t="shared" si="68"/>
        <v>0</v>
      </c>
      <c r="AT120" s="195"/>
      <c r="AU120" s="425" t="s">
        <v>708</v>
      </c>
      <c r="AV120" s="425"/>
      <c r="AW120" s="425"/>
      <c r="AX120" s="425"/>
      <c r="AY120" s="425"/>
      <c r="AZ120" s="425"/>
      <c r="BA120" s="425" t="s">
        <v>709</v>
      </c>
      <c r="BB120" s="425"/>
      <c r="BC120" s="440"/>
      <c r="BD120" s="404">
        <f>SUM($AS$4:AS120)</f>
        <v>823.12000000002672</v>
      </c>
      <c r="BE120" s="405">
        <f>SUM($AR$4:AR120)</f>
        <v>1362.4700000000266</v>
      </c>
      <c r="BF120" s="330"/>
      <c r="BG120" s="330"/>
    </row>
    <row r="121" spans="1:59" ht="18" customHeight="1">
      <c r="A121" s="227" t="s">
        <v>656</v>
      </c>
      <c r="B121" s="181">
        <v>44909</v>
      </c>
      <c r="C121" s="182" t="s">
        <v>710</v>
      </c>
      <c r="D121" s="182" t="s">
        <v>133</v>
      </c>
      <c r="E121" s="233"/>
      <c r="F121" s="184"/>
      <c r="G121" s="255" t="s">
        <v>253</v>
      </c>
      <c r="H121" s="186"/>
      <c r="I121" s="186"/>
      <c r="J121" s="186"/>
      <c r="K121" s="187"/>
      <c r="L121" s="186">
        <v>1</v>
      </c>
      <c r="M121" s="186"/>
      <c r="N121" s="186"/>
      <c r="O121" s="187" t="s">
        <v>76</v>
      </c>
      <c r="P121" s="187" t="s">
        <v>119</v>
      </c>
      <c r="Q121" s="187" t="s">
        <v>78</v>
      </c>
      <c r="R121" s="187">
        <v>3</v>
      </c>
      <c r="S121" s="187">
        <v>3</v>
      </c>
      <c r="T121" s="187">
        <v>3</v>
      </c>
      <c r="U121" s="187" t="s">
        <v>22</v>
      </c>
      <c r="V121" s="188">
        <f t="shared" si="43"/>
        <v>0.01</v>
      </c>
      <c r="W121" s="188">
        <f>IF(ISBLANK(O121),,IF(O121=UPPER("IB"),8.63*200,16*100))</f>
        <v>1600</v>
      </c>
      <c r="X121" s="189" t="s">
        <v>675</v>
      </c>
      <c r="Y121" s="189"/>
      <c r="Z121" s="189" t="s">
        <v>676</v>
      </c>
      <c r="AA121" s="190">
        <v>-0.09</v>
      </c>
      <c r="AB121" s="186"/>
      <c r="AC121" s="344">
        <v>-0.12</v>
      </c>
      <c r="AD121" s="186"/>
      <c r="AE121" s="186" t="s">
        <v>711</v>
      </c>
      <c r="AF121" s="186" t="s">
        <v>712</v>
      </c>
      <c r="AG121" s="186"/>
      <c r="AH121" s="186"/>
      <c r="AI121" s="191">
        <f t="shared" ref="AI121:AI122" si="72">-0.03*W121</f>
        <v>-48</v>
      </c>
      <c r="AJ121" s="191">
        <f t="shared" ref="AJ121:AJ125" si="73">AI121*R121</f>
        <v>-144</v>
      </c>
      <c r="AK121" s="186" t="s">
        <v>410</v>
      </c>
      <c r="AL121" s="186" t="s">
        <v>698</v>
      </c>
      <c r="AM121" s="186" t="s">
        <v>699</v>
      </c>
      <c r="AN121" s="344" t="s">
        <v>77</v>
      </c>
      <c r="AO121" s="186" t="s">
        <v>700</v>
      </c>
      <c r="AP121" s="193">
        <v>-0.08</v>
      </c>
      <c r="AQ121" s="193">
        <f t="shared" si="67"/>
        <v>9.999999999999995E-3</v>
      </c>
      <c r="AR121" s="191">
        <f>AS121*R121</f>
        <v>47.999999999999979</v>
      </c>
      <c r="AS121" s="194">
        <f t="shared" si="68"/>
        <v>15.999999999999993</v>
      </c>
      <c r="AT121" s="195" t="s">
        <v>77</v>
      </c>
      <c r="AU121" s="425" t="s">
        <v>713</v>
      </c>
      <c r="AV121" s="425" t="s">
        <v>701</v>
      </c>
      <c r="AW121" s="446" t="s">
        <v>702</v>
      </c>
      <c r="AX121" s="425" t="s">
        <v>714</v>
      </c>
      <c r="AY121" s="425"/>
      <c r="AZ121" s="425"/>
      <c r="BA121" s="425"/>
      <c r="BB121" s="425"/>
      <c r="BC121" s="440"/>
      <c r="BD121" s="404">
        <f>SUM($AS$4:AS121)</f>
        <v>839.12000000002672</v>
      </c>
      <c r="BE121" s="405">
        <f>SUM($AR$4:AR121)</f>
        <v>1410.4700000000266</v>
      </c>
      <c r="BF121" s="330"/>
      <c r="BG121" s="330"/>
    </row>
    <row r="122" spans="1:59" ht="18" customHeight="1">
      <c r="A122" s="227" t="s">
        <v>656</v>
      </c>
      <c r="B122" s="181">
        <v>44909</v>
      </c>
      <c r="C122" s="182" t="s">
        <v>715</v>
      </c>
      <c r="D122" s="182" t="s">
        <v>133</v>
      </c>
      <c r="E122" s="233"/>
      <c r="F122" s="184"/>
      <c r="G122" s="185" t="s">
        <v>262</v>
      </c>
      <c r="H122" s="186"/>
      <c r="I122" s="186"/>
      <c r="J122" s="186"/>
      <c r="K122" s="187"/>
      <c r="L122" s="186">
        <v>1</v>
      </c>
      <c r="M122" s="186"/>
      <c r="N122" s="186"/>
      <c r="O122" s="187" t="s">
        <v>76</v>
      </c>
      <c r="P122" s="187" t="s">
        <v>119</v>
      </c>
      <c r="Q122" s="187" t="s">
        <v>78</v>
      </c>
      <c r="R122" s="187">
        <v>2</v>
      </c>
      <c r="S122" s="187">
        <v>2</v>
      </c>
      <c r="T122" s="187">
        <v>2</v>
      </c>
      <c r="U122" s="187" t="s">
        <v>22</v>
      </c>
      <c r="V122" s="188">
        <f t="shared" si="43"/>
        <v>0.01</v>
      </c>
      <c r="W122" s="188">
        <f t="shared" ref="W122:W123" si="74">IF(ISBLANK(O122),,IF(O122=UPPER("IB"),8.63*200,16.3*100))</f>
        <v>1630</v>
      </c>
      <c r="X122" s="189" t="s">
        <v>263</v>
      </c>
      <c r="Y122" s="189"/>
      <c r="Z122" s="189" t="s">
        <v>716</v>
      </c>
      <c r="AA122" s="190">
        <v>-0.08</v>
      </c>
      <c r="AB122" s="186"/>
      <c r="AC122" s="344">
        <v>-0.11</v>
      </c>
      <c r="AD122" s="186"/>
      <c r="AE122" s="186" t="s">
        <v>717</v>
      </c>
      <c r="AF122" s="186" t="s">
        <v>697</v>
      </c>
      <c r="AG122" s="186"/>
      <c r="AH122" s="186"/>
      <c r="AI122" s="191">
        <f t="shared" si="72"/>
        <v>-48.9</v>
      </c>
      <c r="AJ122" s="191">
        <f t="shared" si="73"/>
        <v>-97.8</v>
      </c>
      <c r="AK122" s="186" t="s">
        <v>410</v>
      </c>
      <c r="AL122" s="186"/>
      <c r="AM122" s="186" t="s">
        <v>555</v>
      </c>
      <c r="AN122" s="344" t="s">
        <v>97</v>
      </c>
      <c r="AO122" s="186" t="s">
        <v>718</v>
      </c>
      <c r="AP122" s="193">
        <v>-0.08</v>
      </c>
      <c r="AQ122" s="193">
        <f t="shared" si="67"/>
        <v>0</v>
      </c>
      <c r="AR122" s="191">
        <f>AS122*R122</f>
        <v>0</v>
      </c>
      <c r="AS122" s="194">
        <f t="shared" si="68"/>
        <v>0</v>
      </c>
      <c r="AT122" s="195" t="s">
        <v>97</v>
      </c>
      <c r="AU122" s="425"/>
      <c r="AV122" s="425" t="s">
        <v>701</v>
      </c>
      <c r="AW122" s="425"/>
      <c r="AX122" s="425"/>
      <c r="AY122" s="425"/>
      <c r="AZ122" s="425"/>
      <c r="BA122" s="425"/>
      <c r="BB122" s="425"/>
      <c r="BC122" s="440"/>
      <c r="BD122" s="404">
        <f>SUM($AS$4:AS122)</f>
        <v>839.12000000002672</v>
      </c>
      <c r="BE122" s="405">
        <f>SUM($AR$4:AR122)</f>
        <v>1410.4700000000266</v>
      </c>
      <c r="BF122" s="330"/>
      <c r="BG122" s="330"/>
    </row>
    <row r="123" spans="1:59" ht="18" customHeight="1">
      <c r="A123" s="227" t="s">
        <v>656</v>
      </c>
      <c r="B123" s="181">
        <v>44909</v>
      </c>
      <c r="C123" s="182" t="s">
        <v>719</v>
      </c>
      <c r="D123" s="182" t="s">
        <v>133</v>
      </c>
      <c r="E123" s="233"/>
      <c r="F123" s="184"/>
      <c r="G123" s="203" t="s">
        <v>253</v>
      </c>
      <c r="H123" s="186"/>
      <c r="I123" s="186"/>
      <c r="J123" s="186"/>
      <c r="K123" s="187"/>
      <c r="L123" s="186">
        <v>1</v>
      </c>
      <c r="M123" s="186">
        <v>1</v>
      </c>
      <c r="N123" s="186"/>
      <c r="O123" s="187" t="s">
        <v>76</v>
      </c>
      <c r="P123" s="187" t="s">
        <v>119</v>
      </c>
      <c r="Q123" s="187" t="s">
        <v>78</v>
      </c>
      <c r="R123" s="187">
        <v>4</v>
      </c>
      <c r="S123" s="187">
        <v>4</v>
      </c>
      <c r="T123" s="187">
        <v>3</v>
      </c>
      <c r="U123" s="187" t="s">
        <v>22</v>
      </c>
      <c r="V123" s="188">
        <f t="shared" si="43"/>
        <v>0.01</v>
      </c>
      <c r="W123" s="188">
        <f t="shared" si="74"/>
        <v>1630</v>
      </c>
      <c r="X123" s="189" t="s">
        <v>675</v>
      </c>
      <c r="Y123" s="189"/>
      <c r="Z123" s="189" t="s">
        <v>720</v>
      </c>
      <c r="AA123" s="190">
        <v>-0.1</v>
      </c>
      <c r="AB123" s="186" t="s">
        <v>721</v>
      </c>
      <c r="AC123" s="344">
        <v>-0.12</v>
      </c>
      <c r="AD123" s="186"/>
      <c r="AE123" s="186" t="s">
        <v>722</v>
      </c>
      <c r="AF123" s="186"/>
      <c r="AG123" s="186"/>
      <c r="AH123" s="186"/>
      <c r="AI123" s="191">
        <f t="shared" ref="AI123:AI125" si="75">-0.02*W123</f>
        <v>-32.6</v>
      </c>
      <c r="AJ123" s="191">
        <f t="shared" si="73"/>
        <v>-130.4</v>
      </c>
      <c r="AK123" s="186" t="s">
        <v>430</v>
      </c>
      <c r="AL123" s="186" t="s">
        <v>698</v>
      </c>
      <c r="AM123" s="186" t="s">
        <v>431</v>
      </c>
      <c r="AN123" s="344" t="s">
        <v>77</v>
      </c>
      <c r="AO123" s="186" t="s">
        <v>723</v>
      </c>
      <c r="AP123" s="193">
        <v>-0.08</v>
      </c>
      <c r="AQ123" s="193">
        <f t="shared" si="67"/>
        <v>2.0000000000000004E-2</v>
      </c>
      <c r="AR123" s="191">
        <f>AS123*R123</f>
        <v>130.40000000000003</v>
      </c>
      <c r="AS123" s="194">
        <f t="shared" si="68"/>
        <v>32.600000000000009</v>
      </c>
      <c r="AT123" s="195" t="s">
        <v>77</v>
      </c>
      <c r="AU123" s="425" t="s">
        <v>724</v>
      </c>
      <c r="AV123" s="425" t="s">
        <v>725</v>
      </c>
      <c r="AW123" s="425" t="s">
        <v>726</v>
      </c>
      <c r="AX123" s="425"/>
      <c r="AY123" s="425"/>
      <c r="AZ123" s="425"/>
      <c r="BA123" s="425"/>
      <c r="BB123" s="425"/>
      <c r="BC123" s="440"/>
      <c r="BD123" s="404">
        <f>SUM($AS$4:AS123)</f>
        <v>871.72000000002674</v>
      </c>
      <c r="BE123" s="405">
        <f>SUM($AR$4:AR123)</f>
        <v>1540.8700000000267</v>
      </c>
      <c r="BF123" s="330"/>
      <c r="BG123" s="330"/>
    </row>
    <row r="124" spans="1:59" ht="18" customHeight="1">
      <c r="A124" s="227" t="s">
        <v>656</v>
      </c>
      <c r="B124" s="181">
        <v>44910</v>
      </c>
      <c r="C124" s="182" t="s">
        <v>727</v>
      </c>
      <c r="D124" s="182" t="s">
        <v>74</v>
      </c>
      <c r="E124" s="233" t="s">
        <v>728</v>
      </c>
      <c r="F124" s="184" t="s">
        <v>729</v>
      </c>
      <c r="G124" s="256" t="s">
        <v>253</v>
      </c>
      <c r="H124" s="186"/>
      <c r="I124" s="186">
        <v>1</v>
      </c>
      <c r="J124" s="186"/>
      <c r="K124" s="187"/>
      <c r="L124" s="186">
        <v>1</v>
      </c>
      <c r="M124" s="186">
        <v>1</v>
      </c>
      <c r="N124" s="186"/>
      <c r="O124" s="187" t="s">
        <v>76</v>
      </c>
      <c r="P124" s="187" t="s">
        <v>119</v>
      </c>
      <c r="Q124" s="187" t="s">
        <v>78</v>
      </c>
      <c r="R124" s="187">
        <v>5</v>
      </c>
      <c r="S124" s="187">
        <v>5</v>
      </c>
      <c r="T124" s="187">
        <v>5</v>
      </c>
      <c r="U124" s="187" t="s">
        <v>22</v>
      </c>
      <c r="V124" s="188">
        <f t="shared" si="43"/>
        <v>0.01</v>
      </c>
      <c r="W124" s="188">
        <f>IF(ISBLANK(O124),,IF(O124=UPPER("IB"),8.63*200,16*100))</f>
        <v>1600</v>
      </c>
      <c r="X124" s="189" t="s">
        <v>730</v>
      </c>
      <c r="Y124" s="189"/>
      <c r="Z124" s="189" t="s">
        <v>731</v>
      </c>
      <c r="AA124" s="190">
        <v>-0.11</v>
      </c>
      <c r="AB124" s="186" t="s">
        <v>721</v>
      </c>
      <c r="AC124" s="344">
        <v>-0.13</v>
      </c>
      <c r="AD124" s="186"/>
      <c r="AE124" s="186" t="s">
        <v>732</v>
      </c>
      <c r="AF124" s="186"/>
      <c r="AG124" s="186"/>
      <c r="AH124" s="186"/>
      <c r="AI124" s="191">
        <f t="shared" si="75"/>
        <v>-32</v>
      </c>
      <c r="AJ124" s="191">
        <f t="shared" si="73"/>
        <v>-160</v>
      </c>
      <c r="AK124" s="186" t="s">
        <v>430</v>
      </c>
      <c r="AL124" s="186" t="s">
        <v>698</v>
      </c>
      <c r="AM124" s="186" t="s">
        <v>733</v>
      </c>
      <c r="AN124" s="344" t="s">
        <v>97</v>
      </c>
      <c r="AO124" s="234">
        <v>44916.125</v>
      </c>
      <c r="AP124" s="193">
        <v>-0.08</v>
      </c>
      <c r="AQ124" s="193">
        <f t="shared" si="67"/>
        <v>0.03</v>
      </c>
      <c r="AR124" s="191">
        <f>AS124*R124</f>
        <v>240</v>
      </c>
      <c r="AS124" s="194">
        <f t="shared" si="68"/>
        <v>48</v>
      </c>
      <c r="AT124" s="195" t="s">
        <v>77</v>
      </c>
      <c r="AU124" s="425" t="s">
        <v>724</v>
      </c>
      <c r="AV124" s="425" t="s">
        <v>725</v>
      </c>
      <c r="AW124" s="425" t="s">
        <v>726</v>
      </c>
      <c r="AX124" s="425"/>
      <c r="AY124" s="425"/>
      <c r="AZ124" s="425"/>
      <c r="BA124" s="425"/>
      <c r="BB124" s="425"/>
      <c r="BC124" s="440"/>
      <c r="BD124" s="404">
        <f>SUM($AS$4:AS124)</f>
        <v>919.72000000002674</v>
      </c>
      <c r="BE124" s="405">
        <f>SUM($AR$4:AR124)</f>
        <v>1780.8700000000267</v>
      </c>
      <c r="BF124" s="330"/>
      <c r="BG124" s="330"/>
    </row>
    <row r="125" spans="1:59" ht="18" customHeight="1">
      <c r="A125" s="227" t="s">
        <v>656</v>
      </c>
      <c r="B125" s="181">
        <v>44910</v>
      </c>
      <c r="C125" s="198">
        <v>0.25</v>
      </c>
      <c r="D125" s="182" t="s">
        <v>74</v>
      </c>
      <c r="E125" s="233" t="s">
        <v>734</v>
      </c>
      <c r="F125" s="184"/>
      <c r="G125" s="203" t="s">
        <v>735</v>
      </c>
      <c r="H125" s="186">
        <v>1</v>
      </c>
      <c r="I125" s="186"/>
      <c r="J125" s="186"/>
      <c r="K125" s="187"/>
      <c r="L125" s="186"/>
      <c r="M125" s="186"/>
      <c r="N125" s="186"/>
      <c r="O125" s="187" t="s">
        <v>76</v>
      </c>
      <c r="P125" s="187" t="s">
        <v>119</v>
      </c>
      <c r="Q125" s="187" t="s">
        <v>78</v>
      </c>
      <c r="R125" s="187">
        <v>2</v>
      </c>
      <c r="S125" s="187">
        <v>2</v>
      </c>
      <c r="T125" s="187">
        <v>2</v>
      </c>
      <c r="U125" s="187" t="s">
        <v>22</v>
      </c>
      <c r="V125" s="188">
        <f t="shared" si="43"/>
        <v>0.01</v>
      </c>
      <c r="W125" s="188">
        <f t="shared" ref="W125:W139" si="76">IF(ISBLANK(O125),,IF(O125=UPPER("IB"),8.63*200,16.3*100))</f>
        <v>1630</v>
      </c>
      <c r="X125" s="189" t="s">
        <v>267</v>
      </c>
      <c r="Y125" s="189"/>
      <c r="Z125" s="189" t="s">
        <v>695</v>
      </c>
      <c r="AA125" s="190">
        <v>-0.09</v>
      </c>
      <c r="AB125" s="186"/>
      <c r="AC125" s="344"/>
      <c r="AD125" s="186"/>
      <c r="AE125" s="186">
        <v>-7.0000000000000007E-2</v>
      </c>
      <c r="AF125" s="186"/>
      <c r="AG125" s="186"/>
      <c r="AH125" s="186"/>
      <c r="AI125" s="191">
        <f t="shared" si="75"/>
        <v>-32.6</v>
      </c>
      <c r="AJ125" s="191">
        <f t="shared" si="73"/>
        <v>-65.2</v>
      </c>
      <c r="AK125" s="186" t="s">
        <v>430</v>
      </c>
      <c r="AL125" s="186"/>
      <c r="AM125" s="186" t="s">
        <v>736</v>
      </c>
      <c r="AN125" s="344" t="s">
        <v>97</v>
      </c>
      <c r="AO125" s="186"/>
      <c r="AP125" s="193">
        <v>-0.08</v>
      </c>
      <c r="AQ125" s="193">
        <f t="shared" si="67"/>
        <v>9.999999999999995E-3</v>
      </c>
      <c r="AR125" s="191">
        <f>AS125*R125</f>
        <v>32.599999999999987</v>
      </c>
      <c r="AS125" s="194">
        <f t="shared" si="68"/>
        <v>16.299999999999994</v>
      </c>
      <c r="AT125" s="195" t="s">
        <v>77</v>
      </c>
      <c r="AU125" s="425"/>
      <c r="AV125" s="425"/>
      <c r="AW125" s="425"/>
      <c r="AX125" s="425"/>
      <c r="AY125" s="425"/>
      <c r="AZ125" s="425"/>
      <c r="BA125" s="425"/>
      <c r="BB125" s="425"/>
      <c r="BC125" s="440"/>
      <c r="BD125" s="404">
        <f>SUM($AS$4:AS125)</f>
        <v>936.0200000000267</v>
      </c>
      <c r="BE125" s="405">
        <f>SUM($AR$4:AR125)</f>
        <v>1813.4700000000266</v>
      </c>
      <c r="BF125" s="330"/>
      <c r="BG125" s="330"/>
    </row>
    <row r="126" spans="1:59" ht="18" customHeight="1">
      <c r="A126" s="227" t="s">
        <v>656</v>
      </c>
      <c r="B126" s="181"/>
      <c r="C126" s="182"/>
      <c r="D126" s="182"/>
      <c r="E126" s="233" t="s">
        <v>737</v>
      </c>
      <c r="F126" s="184"/>
      <c r="G126" s="185"/>
      <c r="H126" s="186"/>
      <c r="I126" s="186">
        <v>1</v>
      </c>
      <c r="J126" s="186"/>
      <c r="K126" s="187"/>
      <c r="L126" s="186"/>
      <c r="M126" s="186"/>
      <c r="N126" s="186"/>
      <c r="O126" s="187"/>
      <c r="P126" s="187"/>
      <c r="Q126" s="187"/>
      <c r="R126" s="187"/>
      <c r="S126" s="187"/>
      <c r="T126" s="187"/>
      <c r="U126" s="187"/>
      <c r="V126" s="188">
        <f t="shared" si="43"/>
        <v>0</v>
      </c>
      <c r="W126" s="188">
        <f t="shared" si="76"/>
        <v>0</v>
      </c>
      <c r="X126" s="189"/>
      <c r="Y126" s="189"/>
      <c r="Z126" s="189"/>
      <c r="AA126" s="190"/>
      <c r="AB126" s="186"/>
      <c r="AC126" s="344"/>
      <c r="AD126" s="186"/>
      <c r="AE126" s="186"/>
      <c r="AF126" s="186"/>
      <c r="AG126" s="186"/>
      <c r="AH126" s="186"/>
      <c r="AI126" s="191"/>
      <c r="AJ126" s="187"/>
      <c r="AK126" s="186"/>
      <c r="AL126" s="186"/>
      <c r="AM126" s="186"/>
      <c r="AN126" s="344"/>
      <c r="AO126" s="186"/>
      <c r="AP126" s="193"/>
      <c r="AQ126" s="186"/>
      <c r="AR126" s="191"/>
      <c r="AS126" s="194"/>
      <c r="AT126" s="195"/>
      <c r="AU126" s="425"/>
      <c r="AV126" s="425"/>
      <c r="AW126" s="425"/>
      <c r="AX126" s="425"/>
      <c r="AY126" s="425"/>
      <c r="AZ126" s="425"/>
      <c r="BA126" s="425"/>
      <c r="BB126" s="425"/>
      <c r="BC126" s="440"/>
      <c r="BD126" s="404">
        <f>SUM($AS$4:AS126)</f>
        <v>936.0200000000267</v>
      </c>
      <c r="BE126" s="405">
        <f>SUM($AR$4:AR126)</f>
        <v>1813.4700000000266</v>
      </c>
      <c r="BF126" s="330"/>
      <c r="BG126" s="330"/>
    </row>
    <row r="127" spans="1:59" ht="18" customHeight="1">
      <c r="A127" s="227" t="s">
        <v>656</v>
      </c>
      <c r="B127" s="181">
        <v>44910</v>
      </c>
      <c r="C127" s="182" t="s">
        <v>738</v>
      </c>
      <c r="D127" s="182" t="s">
        <v>74</v>
      </c>
      <c r="E127" s="233"/>
      <c r="F127" s="184"/>
      <c r="G127" s="185" t="s">
        <v>739</v>
      </c>
      <c r="H127" s="186"/>
      <c r="I127" s="186"/>
      <c r="J127" s="186"/>
      <c r="K127" s="187"/>
      <c r="L127" s="186">
        <v>1</v>
      </c>
      <c r="M127" s="186">
        <v>1</v>
      </c>
      <c r="N127" s="186"/>
      <c r="O127" s="187" t="s">
        <v>76</v>
      </c>
      <c r="P127" s="187" t="s">
        <v>77</v>
      </c>
      <c r="Q127" s="187" t="s">
        <v>78</v>
      </c>
      <c r="R127" s="187">
        <v>1</v>
      </c>
      <c r="S127" s="187">
        <v>1</v>
      </c>
      <c r="T127" s="187">
        <v>1</v>
      </c>
      <c r="U127" s="187" t="s">
        <v>78</v>
      </c>
      <c r="V127" s="188">
        <f t="shared" si="43"/>
        <v>0.01</v>
      </c>
      <c r="W127" s="188">
        <f t="shared" si="76"/>
        <v>1630</v>
      </c>
      <c r="X127" s="189" t="s">
        <v>120</v>
      </c>
      <c r="Y127" s="189"/>
      <c r="Z127" s="189" t="s">
        <v>740</v>
      </c>
      <c r="AA127" s="190">
        <v>0.11</v>
      </c>
      <c r="AB127" s="186"/>
      <c r="AC127" s="344"/>
      <c r="AD127" s="186"/>
      <c r="AE127" s="186" t="s">
        <v>741</v>
      </c>
      <c r="AF127" s="186"/>
      <c r="AG127" s="186"/>
      <c r="AH127" s="186"/>
      <c r="AI127" s="191">
        <f>-0.02*W127</f>
        <v>-32.6</v>
      </c>
      <c r="AJ127" s="191">
        <f t="shared" ref="AJ127:AJ128" si="77">AI127*R127</f>
        <v>-32.6</v>
      </c>
      <c r="AK127" s="186" t="s">
        <v>93</v>
      </c>
      <c r="AL127" s="186"/>
      <c r="AM127" s="186"/>
      <c r="AN127" s="344" t="s">
        <v>87</v>
      </c>
      <c r="AO127" s="186" t="s">
        <v>742</v>
      </c>
      <c r="AP127" s="193">
        <v>0.11</v>
      </c>
      <c r="AQ127" s="193">
        <f t="shared" si="67"/>
        <v>0</v>
      </c>
      <c r="AR127" s="191">
        <f>AS127*R127</f>
        <v>0</v>
      </c>
      <c r="AS127" s="194">
        <f t="shared" si="68"/>
        <v>0</v>
      </c>
      <c r="AT127" s="195" t="s">
        <v>97</v>
      </c>
      <c r="AU127" s="425" t="s">
        <v>743</v>
      </c>
      <c r="AV127" s="425" t="s">
        <v>744</v>
      </c>
      <c r="AW127" s="425" t="s">
        <v>745</v>
      </c>
      <c r="AX127" s="425"/>
      <c r="AY127" s="425"/>
      <c r="AZ127" s="425"/>
      <c r="BA127" s="425"/>
      <c r="BB127" s="425"/>
      <c r="BC127" s="440"/>
      <c r="BD127" s="404">
        <f>SUM($AS$4:AS127)</f>
        <v>936.0200000000267</v>
      </c>
      <c r="BE127" s="405">
        <f>SUM($AR$4:AR127)</f>
        <v>1813.4700000000266</v>
      </c>
      <c r="BF127" s="330"/>
      <c r="BG127" s="330"/>
    </row>
    <row r="128" spans="1:59" ht="18" customHeight="1">
      <c r="A128" s="227" t="s">
        <v>656</v>
      </c>
      <c r="B128" s="181">
        <v>44915</v>
      </c>
      <c r="C128" s="182" t="s">
        <v>746</v>
      </c>
      <c r="D128" s="182" t="s">
        <v>128</v>
      </c>
      <c r="E128" s="257" t="s">
        <v>702</v>
      </c>
      <c r="F128" s="184" t="s">
        <v>747</v>
      </c>
      <c r="G128" s="185" t="s">
        <v>347</v>
      </c>
      <c r="H128" s="186"/>
      <c r="I128" s="186"/>
      <c r="J128" s="186"/>
      <c r="K128" s="187"/>
      <c r="L128" s="186">
        <v>1</v>
      </c>
      <c r="M128" s="186"/>
      <c r="N128" s="186"/>
      <c r="O128" s="187" t="s">
        <v>76</v>
      </c>
      <c r="P128" s="187" t="s">
        <v>77</v>
      </c>
      <c r="Q128" s="187" t="s">
        <v>78</v>
      </c>
      <c r="R128" s="187">
        <v>3</v>
      </c>
      <c r="S128" s="187">
        <v>3</v>
      </c>
      <c r="T128" s="187">
        <v>3</v>
      </c>
      <c r="U128" s="187" t="s">
        <v>78</v>
      </c>
      <c r="V128" s="188">
        <f t="shared" si="43"/>
        <v>0.01</v>
      </c>
      <c r="W128" s="188">
        <f t="shared" si="76"/>
        <v>1630</v>
      </c>
      <c r="X128" s="189" t="s">
        <v>748</v>
      </c>
      <c r="Y128" s="189"/>
      <c r="Z128" s="189" t="s">
        <v>749</v>
      </c>
      <c r="AA128" s="190">
        <v>-0.03</v>
      </c>
      <c r="AB128" s="186"/>
      <c r="AC128" s="344">
        <v>1</v>
      </c>
      <c r="AD128" s="186"/>
      <c r="AE128" s="186" t="s">
        <v>750</v>
      </c>
      <c r="AF128" s="186" t="s">
        <v>751</v>
      </c>
      <c r="AG128" s="186"/>
      <c r="AH128" s="186"/>
      <c r="AI128" s="191">
        <f>-0.04*W128</f>
        <v>-65.2</v>
      </c>
      <c r="AJ128" s="191">
        <f t="shared" si="77"/>
        <v>-195.60000000000002</v>
      </c>
      <c r="AK128" s="186" t="s">
        <v>571</v>
      </c>
      <c r="AL128" s="186"/>
      <c r="AM128" s="186" t="s">
        <v>752</v>
      </c>
      <c r="AN128" s="344" t="s">
        <v>97</v>
      </c>
      <c r="AO128" s="186" t="s">
        <v>753</v>
      </c>
      <c r="AP128" s="193">
        <v>-0.03</v>
      </c>
      <c r="AQ128" s="193">
        <f t="shared" si="67"/>
        <v>0</v>
      </c>
      <c r="AR128" s="191">
        <f>AS128*R128</f>
        <v>0</v>
      </c>
      <c r="AS128" s="194">
        <f t="shared" si="68"/>
        <v>0</v>
      </c>
      <c r="AT128" s="195" t="s">
        <v>97</v>
      </c>
      <c r="AU128" s="425" t="s">
        <v>754</v>
      </c>
      <c r="AV128" s="425"/>
      <c r="AW128" s="425"/>
      <c r="AX128" s="425"/>
      <c r="AY128" s="425"/>
      <c r="AZ128" s="425"/>
      <c r="BA128" s="425"/>
      <c r="BB128" s="425"/>
      <c r="BC128" s="440"/>
      <c r="BD128" s="404">
        <f>SUM($AS$4:AS128)</f>
        <v>936.0200000000267</v>
      </c>
      <c r="BE128" s="405">
        <f>SUM($AR$4:AR128)</f>
        <v>1813.4700000000266</v>
      </c>
      <c r="BF128" s="330"/>
      <c r="BG128" s="330"/>
    </row>
    <row r="129" spans="1:59" ht="18" customHeight="1">
      <c r="A129" s="227" t="s">
        <v>656</v>
      </c>
      <c r="B129" s="181"/>
      <c r="C129" s="182"/>
      <c r="D129" s="182"/>
      <c r="E129" s="233"/>
      <c r="F129" s="184"/>
      <c r="G129" s="185"/>
      <c r="H129" s="186"/>
      <c r="I129" s="186"/>
      <c r="J129" s="186"/>
      <c r="K129" s="187"/>
      <c r="L129" s="186"/>
      <c r="M129" s="186"/>
      <c r="N129" s="186"/>
      <c r="O129" s="187"/>
      <c r="P129" s="187"/>
      <c r="Q129" s="187"/>
      <c r="R129" s="187"/>
      <c r="S129" s="187"/>
      <c r="T129" s="187"/>
      <c r="U129" s="187"/>
      <c r="V129" s="188">
        <f t="shared" si="43"/>
        <v>0</v>
      </c>
      <c r="W129" s="188">
        <f t="shared" si="76"/>
        <v>0</v>
      </c>
      <c r="X129" s="189"/>
      <c r="Y129" s="189"/>
      <c r="Z129" s="189"/>
      <c r="AA129" s="190"/>
      <c r="AB129" s="186"/>
      <c r="AC129" s="344"/>
      <c r="AD129" s="186"/>
      <c r="AE129" s="186"/>
      <c r="AF129" s="186"/>
      <c r="AG129" s="186"/>
      <c r="AH129" s="186"/>
      <c r="AI129" s="191"/>
      <c r="AJ129" s="187"/>
      <c r="AK129" s="186"/>
      <c r="AL129" s="186"/>
      <c r="AM129" s="186"/>
      <c r="AN129" s="344"/>
      <c r="AO129" s="186"/>
      <c r="AP129" s="193"/>
      <c r="AQ129" s="186"/>
      <c r="AR129" s="191"/>
      <c r="AS129" s="194"/>
      <c r="AT129" s="195"/>
      <c r="AU129" s="425" t="s">
        <v>755</v>
      </c>
      <c r="AV129" s="425" t="s">
        <v>756</v>
      </c>
      <c r="AW129" s="425"/>
      <c r="AX129" s="425"/>
      <c r="AY129" s="425"/>
      <c r="AZ129" s="425"/>
      <c r="BA129" s="425"/>
      <c r="BB129" s="425"/>
      <c r="BC129" s="440"/>
      <c r="BD129" s="404">
        <f>SUM($AS$4:AS129)</f>
        <v>936.0200000000267</v>
      </c>
      <c r="BE129" s="405">
        <f>SUM($AR$4:AR129)</f>
        <v>1813.4700000000266</v>
      </c>
      <c r="BF129" s="330"/>
      <c r="BG129" s="330"/>
    </row>
    <row r="130" spans="1:59" ht="18" customHeight="1">
      <c r="A130" s="227" t="s">
        <v>656</v>
      </c>
      <c r="B130" s="204"/>
      <c r="C130" s="205"/>
      <c r="D130" s="205"/>
      <c r="E130" s="254"/>
      <c r="F130" s="207"/>
      <c r="G130" s="208"/>
      <c r="H130" s="209"/>
      <c r="I130" s="209"/>
      <c r="J130" s="209"/>
      <c r="K130" s="210"/>
      <c r="L130" s="209"/>
      <c r="M130" s="209"/>
      <c r="N130" s="209"/>
      <c r="O130" s="210"/>
      <c r="P130" s="210"/>
      <c r="Q130" s="210"/>
      <c r="R130" s="210"/>
      <c r="S130" s="210"/>
      <c r="T130" s="210"/>
      <c r="U130" s="210"/>
      <c r="V130" s="211">
        <f t="shared" si="43"/>
        <v>0</v>
      </c>
      <c r="W130" s="211">
        <f t="shared" si="76"/>
        <v>0</v>
      </c>
      <c r="X130" s="212"/>
      <c r="Y130" s="212"/>
      <c r="Z130" s="212"/>
      <c r="AA130" s="213"/>
      <c r="AB130" s="209"/>
      <c r="AC130" s="345"/>
      <c r="AD130" s="209"/>
      <c r="AE130" s="209"/>
      <c r="AF130" s="209"/>
      <c r="AG130" s="209"/>
      <c r="AH130" s="209"/>
      <c r="AI130" s="214"/>
      <c r="AJ130" s="210"/>
      <c r="AK130" s="209"/>
      <c r="AL130" s="209"/>
      <c r="AM130" s="209"/>
      <c r="AN130" s="345"/>
      <c r="AO130" s="209"/>
      <c r="AP130" s="215"/>
      <c r="AQ130" s="209"/>
      <c r="AR130" s="214"/>
      <c r="AS130" s="216"/>
      <c r="AT130" s="217"/>
      <c r="AU130" s="433" t="s">
        <v>757</v>
      </c>
      <c r="AV130" s="433" t="s">
        <v>758</v>
      </c>
      <c r="AW130" s="433" t="s">
        <v>759</v>
      </c>
      <c r="AX130" s="433" t="s">
        <v>760</v>
      </c>
      <c r="AY130" s="433" t="s">
        <v>761</v>
      </c>
      <c r="AZ130" s="433" t="s">
        <v>762</v>
      </c>
      <c r="BA130" s="431"/>
      <c r="BB130" s="431"/>
      <c r="BC130" s="445"/>
      <c r="BD130" s="404">
        <f>SUM($AS$4:AS130)</f>
        <v>936.0200000000267</v>
      </c>
      <c r="BE130" s="405">
        <f>SUM($AR$4:AR130)</f>
        <v>1813.4700000000266</v>
      </c>
      <c r="BF130" s="330"/>
      <c r="BG130" s="330"/>
    </row>
    <row r="131" spans="1:59" ht="18" customHeight="1">
      <c r="A131" s="158" t="s">
        <v>763</v>
      </c>
      <c r="B131" s="158"/>
      <c r="C131" s="258" t="s">
        <v>764</v>
      </c>
      <c r="D131" s="218"/>
      <c r="E131" s="219"/>
      <c r="F131" s="220"/>
      <c r="G131" s="218"/>
      <c r="H131" s="218"/>
      <c r="I131" s="218"/>
      <c r="J131" s="218"/>
      <c r="K131" s="221"/>
      <c r="L131" s="218"/>
      <c r="M131" s="218"/>
      <c r="N131" s="218"/>
      <c r="O131" s="221"/>
      <c r="P131" s="221"/>
      <c r="Q131" s="221"/>
      <c r="R131" s="221"/>
      <c r="S131" s="221"/>
      <c r="T131" s="221"/>
      <c r="U131" s="221"/>
      <c r="V131" s="222">
        <f t="shared" si="43"/>
        <v>0</v>
      </c>
      <c r="W131" s="222">
        <f t="shared" si="76"/>
        <v>0</v>
      </c>
      <c r="X131" s="222"/>
      <c r="Y131" s="222"/>
      <c r="Z131" s="222"/>
      <c r="AA131" s="223"/>
      <c r="AB131" s="218"/>
      <c r="AC131" s="346"/>
      <c r="AD131" s="218"/>
      <c r="AE131" s="218"/>
      <c r="AF131" s="218"/>
      <c r="AG131" s="218"/>
      <c r="AH131" s="218"/>
      <c r="AI131" s="218"/>
      <c r="AJ131" s="218"/>
      <c r="AK131" s="218"/>
      <c r="AL131" s="218"/>
      <c r="AM131" s="218"/>
      <c r="AN131" s="346"/>
      <c r="AO131" s="218"/>
      <c r="AP131" s="225"/>
      <c r="AQ131" s="225"/>
      <c r="AR131" s="225"/>
      <c r="AS131" s="225"/>
      <c r="AT131" s="226"/>
      <c r="AU131" s="432"/>
      <c r="AV131" s="432"/>
      <c r="AW131" s="432"/>
      <c r="AX131" s="432"/>
      <c r="AY131" s="432"/>
      <c r="AZ131" s="432"/>
      <c r="BA131" s="432"/>
      <c r="BB131" s="432"/>
      <c r="BC131" s="432"/>
      <c r="BD131" s="404">
        <f>SUM($AS$4:AS131)</f>
        <v>936.0200000000267</v>
      </c>
      <c r="BE131" s="405">
        <f>SUM($AR$4:AR131)</f>
        <v>1813.4700000000266</v>
      </c>
      <c r="BF131" s="330"/>
      <c r="BG131" s="330"/>
    </row>
    <row r="132" spans="1:59" ht="18" customHeight="1">
      <c r="A132" s="259" t="s">
        <v>765</v>
      </c>
      <c r="B132" s="259" t="s">
        <v>765</v>
      </c>
      <c r="C132" s="260"/>
      <c r="D132" s="260"/>
      <c r="E132" s="261"/>
      <c r="F132" s="262"/>
      <c r="G132" s="260"/>
      <c r="H132" s="260"/>
      <c r="I132" s="260"/>
      <c r="J132" s="260"/>
      <c r="K132" s="263"/>
      <c r="L132" s="260"/>
      <c r="M132" s="260"/>
      <c r="N132" s="260"/>
      <c r="O132" s="263"/>
      <c r="P132" s="263"/>
      <c r="Q132" s="263"/>
      <c r="R132" s="263"/>
      <c r="S132" s="263"/>
      <c r="T132" s="263"/>
      <c r="U132" s="263"/>
      <c r="V132" s="264">
        <f t="shared" si="43"/>
        <v>0</v>
      </c>
      <c r="W132" s="264">
        <f t="shared" si="76"/>
        <v>0</v>
      </c>
      <c r="X132" s="265"/>
      <c r="Y132" s="265"/>
      <c r="Z132" s="265"/>
      <c r="AA132" s="266"/>
      <c r="AB132" s="260"/>
      <c r="AC132" s="347"/>
      <c r="AD132" s="260"/>
      <c r="AE132" s="260"/>
      <c r="AF132" s="260"/>
      <c r="AG132" s="260"/>
      <c r="AH132" s="260"/>
      <c r="AI132" s="267"/>
      <c r="AJ132" s="263"/>
      <c r="AK132" s="260"/>
      <c r="AL132" s="260"/>
      <c r="AM132" s="260"/>
      <c r="AN132" s="347"/>
      <c r="AO132" s="260"/>
      <c r="AP132" s="268"/>
      <c r="AQ132" s="260"/>
      <c r="AR132" s="267"/>
      <c r="AS132" s="269"/>
      <c r="AT132" s="270"/>
      <c r="AU132" s="434"/>
      <c r="AV132" s="434"/>
      <c r="AW132" s="434"/>
      <c r="AX132" s="434"/>
      <c r="AY132" s="434"/>
      <c r="AZ132" s="434"/>
      <c r="BA132" s="434"/>
      <c r="BB132" s="434"/>
      <c r="BC132" s="447"/>
      <c r="BD132" s="404">
        <f>SUM($AS$4:AS132)</f>
        <v>936.0200000000267</v>
      </c>
      <c r="BE132" s="405">
        <f>SUM($AR$4:AR132)</f>
        <v>1813.4700000000266</v>
      </c>
      <c r="BF132" s="330"/>
      <c r="BG132" s="330"/>
    </row>
    <row r="133" spans="1:59" ht="18" customHeight="1">
      <c r="A133" s="158" t="s">
        <v>766</v>
      </c>
      <c r="B133" s="158"/>
      <c r="C133" s="218"/>
      <c r="D133" s="218"/>
      <c r="E133" s="219"/>
      <c r="F133" s="220"/>
      <c r="G133" s="218"/>
      <c r="H133" s="218"/>
      <c r="I133" s="218"/>
      <c r="J133" s="218"/>
      <c r="K133" s="221"/>
      <c r="L133" s="218"/>
      <c r="M133" s="218"/>
      <c r="N133" s="218"/>
      <c r="O133" s="221"/>
      <c r="P133" s="221"/>
      <c r="Q133" s="221"/>
      <c r="R133" s="221"/>
      <c r="S133" s="221"/>
      <c r="T133" s="221"/>
      <c r="U133" s="221"/>
      <c r="V133" s="222">
        <f t="shared" si="43"/>
        <v>0</v>
      </c>
      <c r="W133" s="222">
        <f t="shared" si="76"/>
        <v>0</v>
      </c>
      <c r="X133" s="222"/>
      <c r="Y133" s="222"/>
      <c r="Z133" s="222"/>
      <c r="AA133" s="223"/>
      <c r="AB133" s="218"/>
      <c r="AC133" s="346"/>
      <c r="AD133" s="218"/>
      <c r="AE133" s="218"/>
      <c r="AF133" s="218"/>
      <c r="AG133" s="218"/>
      <c r="AH133" s="218"/>
      <c r="AI133" s="218"/>
      <c r="AJ133" s="218"/>
      <c r="AK133" s="218"/>
      <c r="AL133" s="218"/>
      <c r="AM133" s="218"/>
      <c r="AN133" s="346"/>
      <c r="AO133" s="218"/>
      <c r="AP133" s="225"/>
      <c r="AQ133" s="225"/>
      <c r="AR133" s="225"/>
      <c r="AS133" s="225"/>
      <c r="AT133" s="226"/>
      <c r="AU133" s="432"/>
      <c r="AV133" s="432"/>
      <c r="AW133" s="432"/>
      <c r="AX133" s="432"/>
      <c r="AY133" s="432"/>
      <c r="AZ133" s="432"/>
      <c r="BA133" s="432"/>
      <c r="BB133" s="432"/>
      <c r="BC133" s="432"/>
      <c r="BD133" s="404">
        <f>SUM($AS$4:AS133)</f>
        <v>936.0200000000267</v>
      </c>
      <c r="BE133" s="405">
        <f>SUM($AR$4:AR133)</f>
        <v>1813.4700000000266</v>
      </c>
      <c r="BF133" s="330"/>
      <c r="BG133" s="330"/>
    </row>
    <row r="134" spans="1:59" ht="18" customHeight="1">
      <c r="A134" s="227" t="s">
        <v>767</v>
      </c>
      <c r="B134" s="227">
        <v>44929</v>
      </c>
      <c r="C134" s="229"/>
      <c r="D134" s="229" t="s">
        <v>128</v>
      </c>
      <c r="E134" s="230"/>
      <c r="F134" s="231"/>
      <c r="G134" s="232"/>
      <c r="H134" s="169"/>
      <c r="I134" s="169"/>
      <c r="J134" s="169"/>
      <c r="K134" s="172"/>
      <c r="L134" s="169"/>
      <c r="M134" s="169"/>
      <c r="N134" s="169"/>
      <c r="O134" s="172"/>
      <c r="P134" s="172"/>
      <c r="Q134" s="172"/>
      <c r="R134" s="172"/>
      <c r="S134" s="172"/>
      <c r="T134" s="172"/>
      <c r="U134" s="172"/>
      <c r="V134" s="174">
        <f t="shared" si="43"/>
        <v>0</v>
      </c>
      <c r="W134" s="174">
        <f t="shared" si="76"/>
        <v>0</v>
      </c>
      <c r="X134" s="175"/>
      <c r="Y134" s="175"/>
      <c r="Z134" s="175"/>
      <c r="AA134" s="176"/>
      <c r="AB134" s="169"/>
      <c r="AC134" s="343"/>
      <c r="AD134" s="169"/>
      <c r="AE134" s="169"/>
      <c r="AF134" s="169"/>
      <c r="AG134" s="169"/>
      <c r="AH134" s="169"/>
      <c r="AI134" s="177"/>
      <c r="AJ134" s="172"/>
      <c r="AK134" s="169"/>
      <c r="AL134" s="169"/>
      <c r="AM134" s="169"/>
      <c r="AN134" s="343"/>
      <c r="AO134" s="169"/>
      <c r="AP134" s="178"/>
      <c r="AQ134" s="169"/>
      <c r="AR134" s="177"/>
      <c r="AS134" s="179"/>
      <c r="AT134" s="180"/>
      <c r="AU134" s="429" t="s">
        <v>768</v>
      </c>
      <c r="AV134" s="429" t="s">
        <v>769</v>
      </c>
      <c r="AW134" s="429" t="s">
        <v>770</v>
      </c>
      <c r="AX134" s="429" t="s">
        <v>771</v>
      </c>
      <c r="AY134" s="429" t="s">
        <v>772</v>
      </c>
      <c r="AZ134" s="429"/>
      <c r="BA134" s="429"/>
      <c r="BB134" s="429"/>
      <c r="BC134" s="439"/>
      <c r="BD134" s="404">
        <f>SUM($AS$4:AS134)</f>
        <v>936.0200000000267</v>
      </c>
      <c r="BE134" s="405">
        <f>SUM($AR$4:AR134)</f>
        <v>1813.4700000000266</v>
      </c>
      <c r="BF134" s="330"/>
      <c r="BG134" s="330"/>
    </row>
    <row r="135" spans="1:59" ht="18" customHeight="1">
      <c r="A135" s="181" t="s">
        <v>767</v>
      </c>
      <c r="B135" s="181"/>
      <c r="C135" s="182"/>
      <c r="D135" s="182"/>
      <c r="E135" s="233"/>
      <c r="F135" s="184"/>
      <c r="G135" s="185"/>
      <c r="H135" s="186"/>
      <c r="I135" s="186"/>
      <c r="J135" s="186"/>
      <c r="K135" s="187"/>
      <c r="L135" s="186"/>
      <c r="M135" s="186"/>
      <c r="N135" s="186"/>
      <c r="O135" s="187"/>
      <c r="P135" s="187"/>
      <c r="Q135" s="187"/>
      <c r="R135" s="187"/>
      <c r="S135" s="187"/>
      <c r="T135" s="187"/>
      <c r="U135" s="187"/>
      <c r="V135" s="188">
        <f t="shared" si="43"/>
        <v>0</v>
      </c>
      <c r="W135" s="188">
        <f t="shared" si="76"/>
        <v>0</v>
      </c>
      <c r="X135" s="189"/>
      <c r="Y135" s="189"/>
      <c r="Z135" s="189"/>
      <c r="AA135" s="190"/>
      <c r="AB135" s="186"/>
      <c r="AC135" s="344"/>
      <c r="AD135" s="186"/>
      <c r="AE135" s="186"/>
      <c r="AF135" s="186"/>
      <c r="AG135" s="186"/>
      <c r="AH135" s="186"/>
      <c r="AI135" s="191"/>
      <c r="AJ135" s="187"/>
      <c r="AK135" s="186"/>
      <c r="AL135" s="186"/>
      <c r="AM135" s="186"/>
      <c r="AN135" s="344"/>
      <c r="AO135" s="186"/>
      <c r="AP135" s="193"/>
      <c r="AQ135" s="186"/>
      <c r="AR135" s="191"/>
      <c r="AS135" s="194"/>
      <c r="AT135" s="195"/>
      <c r="AU135" s="425" t="s">
        <v>773</v>
      </c>
      <c r="AV135" s="425" t="s">
        <v>774</v>
      </c>
      <c r="AW135" s="425" t="s">
        <v>775</v>
      </c>
      <c r="AX135" s="425"/>
      <c r="AY135" s="425"/>
      <c r="AZ135" s="425"/>
      <c r="BA135" s="425"/>
      <c r="BB135" s="425"/>
      <c r="BC135" s="440"/>
      <c r="BD135" s="404">
        <f>SUM($AS$4:AS135)</f>
        <v>936.0200000000267</v>
      </c>
      <c r="BE135" s="405">
        <f>SUM($AR$4:AR135)</f>
        <v>1813.4700000000266</v>
      </c>
      <c r="BF135" s="330"/>
      <c r="BG135" s="330"/>
    </row>
    <row r="136" spans="1:59" ht="18" customHeight="1">
      <c r="A136" s="181" t="s">
        <v>767</v>
      </c>
      <c r="B136" s="181">
        <v>44929</v>
      </c>
      <c r="C136" s="182" t="s">
        <v>776</v>
      </c>
      <c r="D136" s="182" t="s">
        <v>128</v>
      </c>
      <c r="E136" s="233"/>
      <c r="F136" s="184"/>
      <c r="G136" s="185" t="s">
        <v>417</v>
      </c>
      <c r="H136" s="186"/>
      <c r="I136" s="186"/>
      <c r="J136" s="186"/>
      <c r="K136" s="187"/>
      <c r="L136" s="186">
        <v>1</v>
      </c>
      <c r="M136" s="186"/>
      <c r="N136" s="186">
        <v>1</v>
      </c>
      <c r="O136" s="187" t="s">
        <v>76</v>
      </c>
      <c r="P136" s="187" t="s">
        <v>77</v>
      </c>
      <c r="Q136" s="187" t="s">
        <v>78</v>
      </c>
      <c r="R136" s="187">
        <v>1</v>
      </c>
      <c r="S136" s="187">
        <v>1</v>
      </c>
      <c r="T136" s="187">
        <v>1</v>
      </c>
      <c r="U136" s="187" t="s">
        <v>78</v>
      </c>
      <c r="V136" s="188">
        <f t="shared" si="43"/>
        <v>0.01</v>
      </c>
      <c r="W136" s="188">
        <f t="shared" si="76"/>
        <v>1630</v>
      </c>
      <c r="X136" s="189" t="s">
        <v>777</v>
      </c>
      <c r="Y136" s="189"/>
      <c r="Z136" s="189"/>
      <c r="AA136" s="190">
        <v>0.45</v>
      </c>
      <c r="AB136" s="186"/>
      <c r="AC136" s="344">
        <v>0.48</v>
      </c>
      <c r="AD136" s="186"/>
      <c r="AE136" s="186" t="s">
        <v>778</v>
      </c>
      <c r="AF136" s="186"/>
      <c r="AG136" s="186"/>
      <c r="AH136" s="186"/>
      <c r="AI136" s="191">
        <f t="shared" ref="AI136:AI138" si="78">-0.03*W136</f>
        <v>-48.9</v>
      </c>
      <c r="AJ136" s="191">
        <f t="shared" ref="AJ136:AJ141" si="79">AI136*R136</f>
        <v>-48.9</v>
      </c>
      <c r="AK136" s="186"/>
      <c r="AL136" s="186"/>
      <c r="AM136" s="186" t="s">
        <v>779</v>
      </c>
      <c r="AN136" s="344" t="s">
        <v>376</v>
      </c>
      <c r="AO136" s="186" t="s">
        <v>780</v>
      </c>
      <c r="AP136" s="193">
        <v>0.44</v>
      </c>
      <c r="AQ136" s="193">
        <f t="shared" ref="AQ136:AQ164" si="80">IF(ISBLANK(AP136),,IF(U136="S",AA136-AP136,AP136-AA136))</f>
        <v>1.0000000000000009E-2</v>
      </c>
      <c r="AR136" s="191">
        <f t="shared" ref="AR136:AR146" si="81">AS136*R136</f>
        <v>16.300000000000015</v>
      </c>
      <c r="AS136" s="194">
        <f t="shared" ref="AS136:AS164" si="82">IF(ISBLANK(AP136),,(AQ136*W136))</f>
        <v>16.300000000000015</v>
      </c>
      <c r="AT136" s="195" t="s">
        <v>77</v>
      </c>
      <c r="AU136" s="425" t="s">
        <v>781</v>
      </c>
      <c r="AV136" s="425" t="s">
        <v>782</v>
      </c>
      <c r="AW136" s="425"/>
      <c r="AX136" s="425"/>
      <c r="AY136" s="425"/>
      <c r="AZ136" s="425"/>
      <c r="BA136" s="425"/>
      <c r="BB136" s="425"/>
      <c r="BC136" s="440"/>
      <c r="BD136" s="404">
        <f>SUM($AS$4:AS136)</f>
        <v>952.32000000002677</v>
      </c>
      <c r="BE136" s="405">
        <f>SUM($AR$4:AR136)</f>
        <v>1829.7700000000266</v>
      </c>
      <c r="BF136" s="330"/>
      <c r="BG136" s="330"/>
    </row>
    <row r="137" spans="1:59" ht="18" customHeight="1">
      <c r="A137" s="181" t="s">
        <v>767</v>
      </c>
      <c r="B137" s="181">
        <v>44930</v>
      </c>
      <c r="C137" s="182" t="s">
        <v>783</v>
      </c>
      <c r="D137" s="182" t="s">
        <v>133</v>
      </c>
      <c r="E137" s="233"/>
      <c r="F137" s="184"/>
      <c r="G137" s="247" t="s">
        <v>262</v>
      </c>
      <c r="H137" s="186"/>
      <c r="I137" s="186"/>
      <c r="J137" s="186"/>
      <c r="K137" s="187"/>
      <c r="L137" s="186">
        <v>1</v>
      </c>
      <c r="M137" s="186"/>
      <c r="N137" s="186"/>
      <c r="O137" s="187" t="s">
        <v>76</v>
      </c>
      <c r="P137" s="187" t="s">
        <v>119</v>
      </c>
      <c r="Q137" s="187" t="s">
        <v>78</v>
      </c>
      <c r="R137" s="187">
        <v>1</v>
      </c>
      <c r="S137" s="187">
        <v>1</v>
      </c>
      <c r="T137" s="187">
        <v>1</v>
      </c>
      <c r="U137" s="187" t="s">
        <v>22</v>
      </c>
      <c r="V137" s="188">
        <f t="shared" si="43"/>
        <v>0.01</v>
      </c>
      <c r="W137" s="188">
        <f t="shared" si="76"/>
        <v>1630</v>
      </c>
      <c r="X137" s="189" t="s">
        <v>784</v>
      </c>
      <c r="Y137" s="189"/>
      <c r="Z137" s="189" t="s">
        <v>80</v>
      </c>
      <c r="AA137" s="190">
        <v>-0.1</v>
      </c>
      <c r="AB137" s="186"/>
      <c r="AC137" s="344"/>
      <c r="AD137" s="186"/>
      <c r="AE137" s="186"/>
      <c r="AF137" s="186"/>
      <c r="AG137" s="186"/>
      <c r="AH137" s="186"/>
      <c r="AI137" s="191">
        <f t="shared" si="78"/>
        <v>-48.9</v>
      </c>
      <c r="AJ137" s="191">
        <f t="shared" si="79"/>
        <v>-48.9</v>
      </c>
      <c r="AK137" s="186" t="s">
        <v>785</v>
      </c>
      <c r="AL137" s="186"/>
      <c r="AM137" s="186" t="s">
        <v>786</v>
      </c>
      <c r="AN137" s="344" t="s">
        <v>97</v>
      </c>
      <c r="AO137" s="186" t="s">
        <v>787</v>
      </c>
      <c r="AP137" s="193">
        <v>-0.09</v>
      </c>
      <c r="AQ137" s="193">
        <f t="shared" si="80"/>
        <v>1.0000000000000009E-2</v>
      </c>
      <c r="AR137" s="191">
        <f t="shared" si="81"/>
        <v>16.300000000000015</v>
      </c>
      <c r="AS137" s="194">
        <f t="shared" si="82"/>
        <v>16.300000000000015</v>
      </c>
      <c r="AT137" s="195" t="s">
        <v>77</v>
      </c>
      <c r="AU137" s="425"/>
      <c r="AV137" s="425"/>
      <c r="AW137" s="425"/>
      <c r="AX137" s="425"/>
      <c r="AY137" s="425"/>
      <c r="AZ137" s="425"/>
      <c r="BA137" s="425"/>
      <c r="BB137" s="425"/>
      <c r="BC137" s="440"/>
      <c r="BD137" s="404">
        <f>SUM($AS$4:AS137)</f>
        <v>968.62000000002683</v>
      </c>
      <c r="BE137" s="405">
        <f>SUM($AR$4:AR137)</f>
        <v>1846.0700000000265</v>
      </c>
      <c r="BF137" s="330"/>
      <c r="BG137" s="330"/>
    </row>
    <row r="138" spans="1:59" ht="18" customHeight="1">
      <c r="A138" s="181" t="s">
        <v>767</v>
      </c>
      <c r="B138" s="181">
        <v>44930</v>
      </c>
      <c r="C138" s="182" t="s">
        <v>788</v>
      </c>
      <c r="D138" s="182" t="s">
        <v>133</v>
      </c>
      <c r="E138" s="233"/>
      <c r="F138" s="184"/>
      <c r="G138" s="247" t="s">
        <v>417</v>
      </c>
      <c r="H138" s="186"/>
      <c r="I138" s="186"/>
      <c r="J138" s="186"/>
      <c r="K138" s="187"/>
      <c r="L138" s="186">
        <v>1</v>
      </c>
      <c r="M138" s="186">
        <v>1</v>
      </c>
      <c r="N138" s="186">
        <v>1</v>
      </c>
      <c r="O138" s="187" t="s">
        <v>76</v>
      </c>
      <c r="P138" s="187" t="s">
        <v>77</v>
      </c>
      <c r="Q138" s="187" t="s">
        <v>78</v>
      </c>
      <c r="R138" s="187">
        <v>1</v>
      </c>
      <c r="S138" s="187">
        <v>1</v>
      </c>
      <c r="T138" s="187">
        <v>1</v>
      </c>
      <c r="U138" s="187" t="s">
        <v>78</v>
      </c>
      <c r="V138" s="188">
        <f t="shared" si="43"/>
        <v>0.01</v>
      </c>
      <c r="W138" s="188">
        <f t="shared" si="76"/>
        <v>1630</v>
      </c>
      <c r="X138" s="189" t="s">
        <v>789</v>
      </c>
      <c r="Y138" s="189" t="s">
        <v>790</v>
      </c>
      <c r="Z138" s="189" t="s">
        <v>791</v>
      </c>
      <c r="AA138" s="190">
        <v>0.41</v>
      </c>
      <c r="AB138" s="186" t="s">
        <v>792</v>
      </c>
      <c r="AC138" s="344">
        <v>0.44</v>
      </c>
      <c r="AD138" s="186"/>
      <c r="AE138" s="186" t="s">
        <v>793</v>
      </c>
      <c r="AF138" s="186" t="s">
        <v>794</v>
      </c>
      <c r="AG138" s="186" t="s">
        <v>795</v>
      </c>
      <c r="AH138" s="186">
        <v>1</v>
      </c>
      <c r="AI138" s="191">
        <f t="shared" si="78"/>
        <v>-48.9</v>
      </c>
      <c r="AJ138" s="191">
        <f t="shared" si="79"/>
        <v>-48.9</v>
      </c>
      <c r="AK138" s="186" t="s">
        <v>796</v>
      </c>
      <c r="AL138" s="186"/>
      <c r="AM138" s="186" t="s">
        <v>797</v>
      </c>
      <c r="AN138" s="344" t="s">
        <v>97</v>
      </c>
      <c r="AO138" s="186" t="s">
        <v>798</v>
      </c>
      <c r="AP138" s="193">
        <v>0.36</v>
      </c>
      <c r="AQ138" s="193">
        <f t="shared" si="80"/>
        <v>4.9999999999999989E-2</v>
      </c>
      <c r="AR138" s="191">
        <f t="shared" si="81"/>
        <v>81.499999999999986</v>
      </c>
      <c r="AS138" s="194">
        <f t="shared" si="82"/>
        <v>81.499999999999986</v>
      </c>
      <c r="AT138" s="195" t="s">
        <v>77</v>
      </c>
      <c r="AU138" s="425" t="s">
        <v>799</v>
      </c>
      <c r="AV138" s="425"/>
      <c r="AW138" s="425"/>
      <c r="AX138" s="425"/>
      <c r="AY138" s="425"/>
      <c r="AZ138" s="425"/>
      <c r="BA138" s="425"/>
      <c r="BB138" s="425"/>
      <c r="BC138" s="440"/>
      <c r="BD138" s="404">
        <f>SUM($AS$4:AS138)</f>
        <v>1050.1200000000267</v>
      </c>
      <c r="BE138" s="405">
        <f>SUM($AR$4:AR138)</f>
        <v>1927.5700000000265</v>
      </c>
      <c r="BF138" s="330"/>
      <c r="BG138" s="330"/>
    </row>
    <row r="139" spans="1:59" ht="18" customHeight="1">
      <c r="A139" s="181" t="s">
        <v>767</v>
      </c>
      <c r="B139" s="181">
        <v>44930</v>
      </c>
      <c r="C139" s="182" t="s">
        <v>800</v>
      </c>
      <c r="D139" s="182" t="s">
        <v>133</v>
      </c>
      <c r="E139" s="233"/>
      <c r="F139" s="184"/>
      <c r="G139" s="203" t="s">
        <v>739</v>
      </c>
      <c r="H139" s="186"/>
      <c r="I139" s="186"/>
      <c r="J139" s="186"/>
      <c r="K139" s="187"/>
      <c r="L139" s="186">
        <v>1</v>
      </c>
      <c r="M139" s="186">
        <v>1</v>
      </c>
      <c r="N139" s="186"/>
      <c r="O139" s="187" t="s">
        <v>76</v>
      </c>
      <c r="P139" s="187" t="s">
        <v>77</v>
      </c>
      <c r="Q139" s="187" t="s">
        <v>78</v>
      </c>
      <c r="R139" s="187">
        <v>1</v>
      </c>
      <c r="S139" s="187">
        <v>1</v>
      </c>
      <c r="T139" s="187">
        <v>1</v>
      </c>
      <c r="U139" s="187" t="s">
        <v>78</v>
      </c>
      <c r="V139" s="188">
        <f t="shared" si="43"/>
        <v>0.01</v>
      </c>
      <c r="W139" s="188">
        <f t="shared" si="76"/>
        <v>1630</v>
      </c>
      <c r="X139" s="189" t="s">
        <v>801</v>
      </c>
      <c r="Y139" s="189" t="s">
        <v>802</v>
      </c>
      <c r="Z139" s="189" t="s">
        <v>791</v>
      </c>
      <c r="AA139" s="190">
        <v>0.16</v>
      </c>
      <c r="AB139" s="186" t="s">
        <v>803</v>
      </c>
      <c r="AC139" s="344">
        <v>0.21</v>
      </c>
      <c r="AD139" s="186"/>
      <c r="AE139" s="186" t="s">
        <v>804</v>
      </c>
      <c r="AF139" s="186" t="s">
        <v>794</v>
      </c>
      <c r="AG139" s="186" t="s">
        <v>805</v>
      </c>
      <c r="AH139" s="186">
        <v>1</v>
      </c>
      <c r="AI139" s="191">
        <f>-0.06*W139</f>
        <v>-97.8</v>
      </c>
      <c r="AJ139" s="191">
        <f t="shared" si="79"/>
        <v>-97.8</v>
      </c>
      <c r="AK139" s="186" t="s">
        <v>806</v>
      </c>
      <c r="AL139" s="186"/>
      <c r="AM139" s="186"/>
      <c r="AN139" s="344"/>
      <c r="AO139" s="196">
        <v>44935</v>
      </c>
      <c r="AP139" s="193">
        <v>0.15</v>
      </c>
      <c r="AQ139" s="193">
        <f t="shared" si="80"/>
        <v>1.0000000000000009E-2</v>
      </c>
      <c r="AR139" s="191">
        <f t="shared" si="81"/>
        <v>16.300000000000015</v>
      </c>
      <c r="AS139" s="194">
        <f t="shared" si="82"/>
        <v>16.300000000000015</v>
      </c>
      <c r="AT139" s="195" t="s">
        <v>77</v>
      </c>
      <c r="AU139" s="425"/>
      <c r="AV139" s="425"/>
      <c r="AW139" s="425"/>
      <c r="AX139" s="425"/>
      <c r="AY139" s="425"/>
      <c r="AZ139" s="425"/>
      <c r="BA139" s="425"/>
      <c r="BB139" s="425"/>
      <c r="BC139" s="440"/>
      <c r="BD139" s="404">
        <f>SUM($AS$4:AS139)</f>
        <v>1066.4200000000267</v>
      </c>
      <c r="BE139" s="405">
        <f>SUM($AR$4:AR139)</f>
        <v>1943.8700000000265</v>
      </c>
      <c r="BF139" s="330"/>
      <c r="BG139" s="330"/>
    </row>
    <row r="140" spans="1:59" ht="18" customHeight="1">
      <c r="A140" s="181" t="s">
        <v>767</v>
      </c>
      <c r="B140" s="181">
        <v>44931</v>
      </c>
      <c r="C140" s="182" t="s">
        <v>588</v>
      </c>
      <c r="D140" s="182" t="s">
        <v>74</v>
      </c>
      <c r="E140" s="233"/>
      <c r="F140" s="184"/>
      <c r="G140" s="256" t="s">
        <v>739</v>
      </c>
      <c r="H140" s="186"/>
      <c r="I140" s="186"/>
      <c r="J140" s="186"/>
      <c r="K140" s="187"/>
      <c r="L140" s="186">
        <v>1</v>
      </c>
      <c r="M140" s="186">
        <v>1</v>
      </c>
      <c r="N140" s="186">
        <v>1</v>
      </c>
      <c r="O140" s="187" t="s">
        <v>76</v>
      </c>
      <c r="P140" s="187" t="s">
        <v>77</v>
      </c>
      <c r="Q140" s="187" t="s">
        <v>78</v>
      </c>
      <c r="R140" s="187">
        <v>1</v>
      </c>
      <c r="S140" s="187">
        <v>1</v>
      </c>
      <c r="T140" s="187">
        <v>1</v>
      </c>
      <c r="U140" s="187" t="s">
        <v>78</v>
      </c>
      <c r="V140" s="188">
        <f t="shared" si="43"/>
        <v>0.01</v>
      </c>
      <c r="W140" s="188">
        <f>IF(ISBLANK(O140),,IF(O140=UPPER("IB"),8.63*200,16.6*100))</f>
        <v>1660.0000000000002</v>
      </c>
      <c r="X140" s="189" t="s">
        <v>801</v>
      </c>
      <c r="Y140" s="189" t="s">
        <v>807</v>
      </c>
      <c r="Z140" s="189" t="s">
        <v>791</v>
      </c>
      <c r="AA140" s="190">
        <v>0.18</v>
      </c>
      <c r="AB140" s="186"/>
      <c r="AC140" s="344">
        <v>0.23</v>
      </c>
      <c r="AD140" s="186"/>
      <c r="AE140" s="186" t="s">
        <v>804</v>
      </c>
      <c r="AF140" s="186" t="s">
        <v>794</v>
      </c>
      <c r="AG140" s="186" t="s">
        <v>808</v>
      </c>
      <c r="AH140" s="186">
        <v>1</v>
      </c>
      <c r="AI140" s="191">
        <f>-0.05*W140</f>
        <v>-83.000000000000014</v>
      </c>
      <c r="AJ140" s="191">
        <f t="shared" si="79"/>
        <v>-83.000000000000014</v>
      </c>
      <c r="AK140" s="186" t="s">
        <v>796</v>
      </c>
      <c r="AL140" s="186"/>
      <c r="AM140" s="186" t="s">
        <v>809</v>
      </c>
      <c r="AN140" s="344" t="s">
        <v>97</v>
      </c>
      <c r="AO140" s="186" t="s">
        <v>810</v>
      </c>
      <c r="AP140" s="193">
        <v>0.14000000000000001</v>
      </c>
      <c r="AQ140" s="193">
        <f t="shared" si="80"/>
        <v>3.999999999999998E-2</v>
      </c>
      <c r="AR140" s="191">
        <f t="shared" si="81"/>
        <v>66.399999999999977</v>
      </c>
      <c r="AS140" s="194">
        <f t="shared" si="82"/>
        <v>66.399999999999977</v>
      </c>
      <c r="AT140" s="195" t="s">
        <v>77</v>
      </c>
      <c r="AU140" s="425" t="s">
        <v>811</v>
      </c>
      <c r="AV140" s="425"/>
      <c r="AW140" s="425"/>
      <c r="AX140" s="425"/>
      <c r="AY140" s="425"/>
      <c r="AZ140" s="425"/>
      <c r="BA140" s="425"/>
      <c r="BB140" s="425"/>
      <c r="BC140" s="440"/>
      <c r="BD140" s="404">
        <f>SUM($AS$4:AS140)</f>
        <v>1132.8200000000265</v>
      </c>
      <c r="BE140" s="405">
        <f>SUM($AR$4:AR140)</f>
        <v>2010.2700000000264</v>
      </c>
      <c r="BF140" s="330"/>
      <c r="BG140" s="330"/>
    </row>
    <row r="141" spans="1:59" ht="18" customHeight="1">
      <c r="A141" s="181" t="s">
        <v>767</v>
      </c>
      <c r="B141" s="181">
        <v>44931</v>
      </c>
      <c r="C141" s="182" t="s">
        <v>812</v>
      </c>
      <c r="D141" s="182" t="s">
        <v>74</v>
      </c>
      <c r="E141" s="233"/>
      <c r="F141" s="184"/>
      <c r="G141" s="185" t="s">
        <v>813</v>
      </c>
      <c r="H141" s="186"/>
      <c r="I141" s="186"/>
      <c r="J141" s="186"/>
      <c r="K141" s="187"/>
      <c r="L141" s="186"/>
      <c r="M141" s="186">
        <v>1</v>
      </c>
      <c r="N141" s="186">
        <v>1</v>
      </c>
      <c r="O141" s="187" t="s">
        <v>76</v>
      </c>
      <c r="P141" s="187" t="s">
        <v>119</v>
      </c>
      <c r="Q141" s="187" t="s">
        <v>666</v>
      </c>
      <c r="R141" s="187">
        <v>1</v>
      </c>
      <c r="S141" s="187">
        <v>1</v>
      </c>
      <c r="T141" s="187">
        <v>1</v>
      </c>
      <c r="U141" s="187" t="s">
        <v>22</v>
      </c>
      <c r="V141" s="188">
        <f t="shared" si="43"/>
        <v>0.01</v>
      </c>
      <c r="W141" s="188">
        <f>IF(ISBLANK(O141),,IF(O141=UPPER("IB"),8.63*200,16.3*100))</f>
        <v>1630</v>
      </c>
      <c r="X141" s="189" t="s">
        <v>814</v>
      </c>
      <c r="Y141" s="189" t="s">
        <v>815</v>
      </c>
      <c r="Z141" s="189"/>
      <c r="AA141" s="190">
        <v>95.85</v>
      </c>
      <c r="AB141" s="186"/>
      <c r="AC141" s="344">
        <v>95.81</v>
      </c>
      <c r="AD141" s="186"/>
      <c r="AE141" s="186" t="s">
        <v>816</v>
      </c>
      <c r="AF141" s="186" t="s">
        <v>817</v>
      </c>
      <c r="AG141" s="186" t="s">
        <v>818</v>
      </c>
      <c r="AH141" s="186"/>
      <c r="AI141" s="191">
        <f>-0.04*W141</f>
        <v>-65.2</v>
      </c>
      <c r="AJ141" s="191">
        <f t="shared" si="79"/>
        <v>-65.2</v>
      </c>
      <c r="AK141" s="186" t="s">
        <v>819</v>
      </c>
      <c r="AL141" s="186"/>
      <c r="AM141" s="186" t="s">
        <v>820</v>
      </c>
      <c r="AN141" s="344" t="s">
        <v>87</v>
      </c>
      <c r="AO141" s="235">
        <v>0.79166666666666663</v>
      </c>
      <c r="AP141" s="193">
        <v>95.82</v>
      </c>
      <c r="AQ141" s="193">
        <f t="shared" si="80"/>
        <v>-3.0000000000001137E-2</v>
      </c>
      <c r="AR141" s="191">
        <f t="shared" si="81"/>
        <v>-48.900000000001853</v>
      </c>
      <c r="AS141" s="194">
        <f t="shared" si="82"/>
        <v>-48.900000000001853</v>
      </c>
      <c r="AT141" s="195" t="s">
        <v>211</v>
      </c>
      <c r="AU141" s="425" t="s">
        <v>821</v>
      </c>
      <c r="AV141" s="425" t="s">
        <v>822</v>
      </c>
      <c r="AW141" s="425" t="s">
        <v>823</v>
      </c>
      <c r="AX141" s="425"/>
      <c r="AY141" s="425"/>
      <c r="AZ141" s="425"/>
      <c r="BA141" s="425" t="s">
        <v>824</v>
      </c>
      <c r="BB141" s="425" t="s">
        <v>825</v>
      </c>
      <c r="BC141" s="440" t="s">
        <v>826</v>
      </c>
      <c r="BD141" s="404">
        <f>SUM($AS$4:AS141)</f>
        <v>1083.9200000000246</v>
      </c>
      <c r="BE141" s="405">
        <f>SUM($AR$4:AR141)</f>
        <v>1961.3700000000244</v>
      </c>
      <c r="BF141" s="330"/>
      <c r="BG141" s="330"/>
    </row>
    <row r="142" spans="1:59" ht="18" customHeight="1">
      <c r="A142" s="181" t="s">
        <v>767</v>
      </c>
      <c r="B142" s="181">
        <v>44931</v>
      </c>
      <c r="C142" s="182" t="s">
        <v>827</v>
      </c>
      <c r="D142" s="182" t="s">
        <v>74</v>
      </c>
      <c r="E142" s="233"/>
      <c r="F142" s="184"/>
      <c r="G142" s="185" t="s">
        <v>253</v>
      </c>
      <c r="H142" s="186"/>
      <c r="I142" s="186"/>
      <c r="J142" s="186"/>
      <c r="K142" s="187"/>
      <c r="L142" s="186">
        <v>1</v>
      </c>
      <c r="M142" s="186"/>
      <c r="N142" s="186"/>
      <c r="O142" s="187" t="s">
        <v>76</v>
      </c>
      <c r="P142" s="187" t="s">
        <v>119</v>
      </c>
      <c r="Q142" s="187" t="s">
        <v>78</v>
      </c>
      <c r="R142" s="187">
        <v>2</v>
      </c>
      <c r="S142" s="187">
        <v>2</v>
      </c>
      <c r="T142" s="187">
        <v>2</v>
      </c>
      <c r="U142" s="187" t="s">
        <v>22</v>
      </c>
      <c r="V142" s="188">
        <f t="shared" si="43"/>
        <v>0.01</v>
      </c>
      <c r="W142" s="188">
        <f>IF(ISBLANK(O142),,IF(O142=UPPER("IB"),8.63*200,16.2*100))</f>
        <v>1620</v>
      </c>
      <c r="X142" s="189" t="s">
        <v>120</v>
      </c>
      <c r="Y142" s="189"/>
      <c r="Z142" s="189" t="s">
        <v>80</v>
      </c>
      <c r="AA142" s="190">
        <v>-0.11</v>
      </c>
      <c r="AB142" s="186"/>
      <c r="AC142" s="344"/>
      <c r="AD142" s="186"/>
      <c r="AE142" s="186"/>
      <c r="AF142" s="186"/>
      <c r="AG142" s="186"/>
      <c r="AH142" s="186"/>
      <c r="AI142" s="191"/>
      <c r="AJ142" s="187"/>
      <c r="AK142" s="186"/>
      <c r="AL142" s="186"/>
      <c r="AM142" s="186" t="s">
        <v>828</v>
      </c>
      <c r="AN142" s="344" t="s">
        <v>87</v>
      </c>
      <c r="AO142" s="186" t="s">
        <v>829</v>
      </c>
      <c r="AP142" s="193">
        <v>-0.1</v>
      </c>
      <c r="AQ142" s="193">
        <f t="shared" si="80"/>
        <v>9.999999999999995E-3</v>
      </c>
      <c r="AR142" s="191">
        <f t="shared" si="81"/>
        <v>32.399999999999984</v>
      </c>
      <c r="AS142" s="194">
        <f t="shared" si="82"/>
        <v>16.199999999999992</v>
      </c>
      <c r="AT142" s="195" t="s">
        <v>77</v>
      </c>
      <c r="AU142" s="425"/>
      <c r="AV142" s="425"/>
      <c r="AW142" s="425"/>
      <c r="AX142" s="425"/>
      <c r="AY142" s="425"/>
      <c r="AZ142" s="425"/>
      <c r="BA142" s="425"/>
      <c r="BB142" s="425"/>
      <c r="BC142" s="440"/>
      <c r="BD142" s="404">
        <f>SUM($AS$4:AS142)</f>
        <v>1100.1200000000247</v>
      </c>
      <c r="BE142" s="405">
        <f>SUM($AR$4:AR142)</f>
        <v>1993.7700000000245</v>
      </c>
      <c r="BF142" s="330"/>
      <c r="BG142" s="330"/>
    </row>
    <row r="143" spans="1:59" ht="18" customHeight="1">
      <c r="A143" s="181" t="s">
        <v>767</v>
      </c>
      <c r="B143" s="181">
        <v>44932</v>
      </c>
      <c r="C143" s="182" t="s">
        <v>830</v>
      </c>
      <c r="D143" s="182" t="s">
        <v>93</v>
      </c>
      <c r="E143" s="233"/>
      <c r="F143" s="184"/>
      <c r="G143" s="247" t="s">
        <v>262</v>
      </c>
      <c r="H143" s="186"/>
      <c r="I143" s="186"/>
      <c r="J143" s="186"/>
      <c r="K143" s="187"/>
      <c r="L143" s="186">
        <v>1</v>
      </c>
      <c r="M143" s="186"/>
      <c r="N143" s="186"/>
      <c r="O143" s="187" t="s">
        <v>76</v>
      </c>
      <c r="P143" s="187" t="s">
        <v>119</v>
      </c>
      <c r="Q143" s="187" t="s">
        <v>78</v>
      </c>
      <c r="R143" s="187">
        <v>1</v>
      </c>
      <c r="S143" s="187">
        <v>1</v>
      </c>
      <c r="T143" s="187">
        <v>1</v>
      </c>
      <c r="U143" s="187" t="s">
        <v>78</v>
      </c>
      <c r="V143" s="188">
        <f t="shared" si="43"/>
        <v>0.01</v>
      </c>
      <c r="W143" s="188">
        <f>IF(ISBLANK(O143),,IF(O143=UPPER("IB"),8.63*200,16.6*100))</f>
        <v>1660.0000000000002</v>
      </c>
      <c r="X143" s="189" t="s">
        <v>831</v>
      </c>
      <c r="Y143" s="189"/>
      <c r="Z143" s="189"/>
      <c r="AA143" s="190">
        <v>-0.08</v>
      </c>
      <c r="AB143" s="186"/>
      <c r="AC143" s="344"/>
      <c r="AD143" s="186"/>
      <c r="AE143" s="186">
        <v>-10</v>
      </c>
      <c r="AF143" s="186"/>
      <c r="AG143" s="186"/>
      <c r="AH143" s="186"/>
      <c r="AI143" s="191"/>
      <c r="AJ143" s="187"/>
      <c r="AK143" s="186"/>
      <c r="AL143" s="186"/>
      <c r="AM143" s="186"/>
      <c r="AN143" s="344"/>
      <c r="AO143" s="186" t="s">
        <v>832</v>
      </c>
      <c r="AP143" s="193">
        <v>-0.1</v>
      </c>
      <c r="AQ143" s="193">
        <f t="shared" si="80"/>
        <v>2.0000000000000004E-2</v>
      </c>
      <c r="AR143" s="191">
        <f t="shared" si="81"/>
        <v>33.20000000000001</v>
      </c>
      <c r="AS143" s="194">
        <f t="shared" si="82"/>
        <v>33.20000000000001</v>
      </c>
      <c r="AT143" s="195" t="s">
        <v>77</v>
      </c>
      <c r="AU143" s="425"/>
      <c r="AV143" s="425"/>
      <c r="AW143" s="425"/>
      <c r="AX143" s="425"/>
      <c r="AY143" s="425"/>
      <c r="AZ143" s="425"/>
      <c r="BA143" s="425"/>
      <c r="BB143" s="425"/>
      <c r="BC143" s="440"/>
      <c r="BD143" s="404">
        <f>SUM($AS$4:AS143)</f>
        <v>1133.3200000000247</v>
      </c>
      <c r="BE143" s="405">
        <f>SUM($AR$4:AR143)</f>
        <v>2026.9700000000246</v>
      </c>
      <c r="BF143" s="330"/>
      <c r="BG143" s="330"/>
    </row>
    <row r="144" spans="1:59" ht="18" customHeight="1">
      <c r="A144" s="181" t="s">
        <v>767</v>
      </c>
      <c r="B144" s="181">
        <v>44932</v>
      </c>
      <c r="C144" s="182" t="s">
        <v>833</v>
      </c>
      <c r="D144" s="182" t="s">
        <v>93</v>
      </c>
      <c r="E144" s="233"/>
      <c r="F144" s="184"/>
      <c r="G144" s="271" t="s">
        <v>739</v>
      </c>
      <c r="H144" s="186"/>
      <c r="I144" s="186"/>
      <c r="J144" s="186"/>
      <c r="K144" s="187"/>
      <c r="L144" s="186">
        <v>1</v>
      </c>
      <c r="M144" s="186">
        <v>1</v>
      </c>
      <c r="N144" s="186">
        <v>1</v>
      </c>
      <c r="O144" s="187" t="s">
        <v>76</v>
      </c>
      <c r="P144" s="187" t="s">
        <v>77</v>
      </c>
      <c r="Q144" s="187" t="s">
        <v>78</v>
      </c>
      <c r="R144" s="187">
        <v>1</v>
      </c>
      <c r="S144" s="187">
        <v>1</v>
      </c>
      <c r="T144" s="187">
        <v>1</v>
      </c>
      <c r="U144" s="187" t="s">
        <v>78</v>
      </c>
      <c r="V144" s="188">
        <f t="shared" si="43"/>
        <v>0.01</v>
      </c>
      <c r="W144" s="188">
        <f>IF(ISBLANK(O144),,IF(O144=UPPER("IB"),8.63*200,16.72*100))</f>
        <v>1672</v>
      </c>
      <c r="X144" s="189" t="s">
        <v>801</v>
      </c>
      <c r="Y144" s="189" t="s">
        <v>834</v>
      </c>
      <c r="Z144" s="189" t="s">
        <v>835</v>
      </c>
      <c r="AA144" s="190">
        <v>0.19</v>
      </c>
      <c r="AB144" s="186"/>
      <c r="AC144" s="344">
        <v>0.23</v>
      </c>
      <c r="AD144" s="186"/>
      <c r="AE144" s="186" t="s">
        <v>804</v>
      </c>
      <c r="AF144" s="186" t="s">
        <v>794</v>
      </c>
      <c r="AG144" s="186" t="s">
        <v>808</v>
      </c>
      <c r="AH144" s="186">
        <v>1</v>
      </c>
      <c r="AI144" s="191">
        <f>-0.04*W144</f>
        <v>-66.88</v>
      </c>
      <c r="AJ144" s="191">
        <f t="shared" ref="AJ144:AJ146" si="83">AI144*R144</f>
        <v>-66.88</v>
      </c>
      <c r="AK144" s="186"/>
      <c r="AL144" s="186"/>
      <c r="AM144" s="186" t="s">
        <v>410</v>
      </c>
      <c r="AN144" s="344" t="s">
        <v>77</v>
      </c>
      <c r="AO144" s="186" t="s">
        <v>836</v>
      </c>
      <c r="AP144" s="193">
        <v>0.09</v>
      </c>
      <c r="AQ144" s="193">
        <f t="shared" si="80"/>
        <v>0.1</v>
      </c>
      <c r="AR144" s="191">
        <f t="shared" si="81"/>
        <v>167.20000000000002</v>
      </c>
      <c r="AS144" s="194">
        <f t="shared" si="82"/>
        <v>167.20000000000002</v>
      </c>
      <c r="AT144" s="195" t="s">
        <v>77</v>
      </c>
      <c r="AU144" s="425" t="s">
        <v>837</v>
      </c>
      <c r="AV144" s="425"/>
      <c r="AW144" s="425"/>
      <c r="AX144" s="425"/>
      <c r="AY144" s="425"/>
      <c r="AZ144" s="425"/>
      <c r="BA144" s="425"/>
      <c r="BB144" s="425"/>
      <c r="BC144" s="440"/>
      <c r="BD144" s="404">
        <f>SUM($AS$4:AS144)</f>
        <v>1300.5200000000248</v>
      </c>
      <c r="BE144" s="405">
        <f>SUM($AR$4:AR144)</f>
        <v>2194.1700000000246</v>
      </c>
      <c r="BF144" s="330"/>
      <c r="BG144" s="330"/>
    </row>
    <row r="145" spans="1:59" ht="18" customHeight="1">
      <c r="A145" s="181" t="s">
        <v>767</v>
      </c>
      <c r="B145" s="181">
        <v>44932</v>
      </c>
      <c r="C145" s="182" t="s">
        <v>838</v>
      </c>
      <c r="D145" s="182" t="s">
        <v>93</v>
      </c>
      <c r="E145" s="233"/>
      <c r="F145" s="184"/>
      <c r="G145" s="247" t="s">
        <v>535</v>
      </c>
      <c r="H145" s="186"/>
      <c r="I145" s="186"/>
      <c r="J145" s="186"/>
      <c r="K145" s="187"/>
      <c r="L145" s="186">
        <v>1</v>
      </c>
      <c r="M145" s="186"/>
      <c r="N145" s="186"/>
      <c r="O145" s="187" t="s">
        <v>76</v>
      </c>
      <c r="P145" s="187" t="s">
        <v>119</v>
      </c>
      <c r="Q145" s="187" t="s">
        <v>78</v>
      </c>
      <c r="R145" s="187">
        <v>2</v>
      </c>
      <c r="S145" s="187">
        <v>2</v>
      </c>
      <c r="T145" s="187">
        <v>2</v>
      </c>
      <c r="U145" s="187" t="s">
        <v>78</v>
      </c>
      <c r="V145" s="188">
        <f t="shared" si="43"/>
        <v>0.01</v>
      </c>
      <c r="W145" s="188">
        <f t="shared" ref="W145:W146" si="84">IF(ISBLANK(O145),,IF(O145=UPPER("IB"),8.63*200,16.6*100))</f>
        <v>1660.0000000000002</v>
      </c>
      <c r="X145" s="189" t="s">
        <v>839</v>
      </c>
      <c r="Y145" s="189"/>
      <c r="Z145" s="189" t="s">
        <v>840</v>
      </c>
      <c r="AA145" s="190">
        <v>-0.06</v>
      </c>
      <c r="AB145" s="186"/>
      <c r="AC145" s="344"/>
      <c r="AD145" s="186"/>
      <c r="AE145" s="186"/>
      <c r="AF145" s="186"/>
      <c r="AG145" s="186"/>
      <c r="AH145" s="186"/>
      <c r="AI145" s="191">
        <f>-0.02*W145</f>
        <v>-33.200000000000003</v>
      </c>
      <c r="AJ145" s="191">
        <f t="shared" si="83"/>
        <v>-66.400000000000006</v>
      </c>
      <c r="AK145" s="186"/>
      <c r="AL145" s="186"/>
      <c r="AM145" s="186" t="s">
        <v>841</v>
      </c>
      <c r="AN145" s="344" t="s">
        <v>97</v>
      </c>
      <c r="AO145" s="186" t="s">
        <v>842</v>
      </c>
      <c r="AP145" s="193">
        <v>-7.4999999999999997E-2</v>
      </c>
      <c r="AQ145" s="193">
        <f t="shared" si="80"/>
        <v>1.4999999999999999E-2</v>
      </c>
      <c r="AR145" s="191">
        <f t="shared" si="81"/>
        <v>49.800000000000004</v>
      </c>
      <c r="AS145" s="194">
        <f t="shared" si="82"/>
        <v>24.900000000000002</v>
      </c>
      <c r="AT145" s="195" t="s">
        <v>77</v>
      </c>
      <c r="AU145" s="425"/>
      <c r="AV145" s="425"/>
      <c r="AW145" s="425"/>
      <c r="AX145" s="425"/>
      <c r="AY145" s="425"/>
      <c r="AZ145" s="425"/>
      <c r="BA145" s="425"/>
      <c r="BB145" s="425"/>
      <c r="BC145" s="440"/>
      <c r="BD145" s="404">
        <f>SUM($AS$4:AS145)</f>
        <v>1325.4200000000249</v>
      </c>
      <c r="BE145" s="405">
        <f>SUM($AR$4:AR145)</f>
        <v>2243.9700000000248</v>
      </c>
      <c r="BF145" s="330"/>
      <c r="BG145" s="330"/>
    </row>
    <row r="146" spans="1:59" ht="18" customHeight="1">
      <c r="A146" s="181" t="s">
        <v>767</v>
      </c>
      <c r="B146" s="181">
        <v>44932</v>
      </c>
      <c r="C146" s="182" t="s">
        <v>843</v>
      </c>
      <c r="D146" s="182" t="s">
        <v>93</v>
      </c>
      <c r="E146" s="183"/>
      <c r="F146" s="184"/>
      <c r="G146" s="272" t="s">
        <v>417</v>
      </c>
      <c r="H146" s="186"/>
      <c r="I146" s="186"/>
      <c r="J146" s="186"/>
      <c r="K146" s="187"/>
      <c r="L146" s="186">
        <v>1</v>
      </c>
      <c r="M146" s="186"/>
      <c r="N146" s="186">
        <v>1</v>
      </c>
      <c r="O146" s="187" t="s">
        <v>76</v>
      </c>
      <c r="P146" s="187" t="s">
        <v>77</v>
      </c>
      <c r="Q146" s="187"/>
      <c r="R146" s="187">
        <v>1</v>
      </c>
      <c r="S146" s="187">
        <v>1</v>
      </c>
      <c r="T146" s="187">
        <v>1</v>
      </c>
      <c r="U146" s="187" t="s">
        <v>78</v>
      </c>
      <c r="V146" s="188">
        <f t="shared" si="43"/>
        <v>0.01</v>
      </c>
      <c r="W146" s="188">
        <f t="shared" si="84"/>
        <v>1660.0000000000002</v>
      </c>
      <c r="X146" s="189" t="s">
        <v>789</v>
      </c>
      <c r="Y146" s="189"/>
      <c r="Z146" s="189"/>
      <c r="AA146" s="190">
        <v>0.42</v>
      </c>
      <c r="AB146" s="186"/>
      <c r="AC146" s="344">
        <v>0.46</v>
      </c>
      <c r="AD146" s="186" t="s">
        <v>844</v>
      </c>
      <c r="AE146" s="186"/>
      <c r="AF146" s="186" t="s">
        <v>845</v>
      </c>
      <c r="AG146" s="186"/>
      <c r="AH146" s="186"/>
      <c r="AI146" s="191">
        <f>-0.04*W146</f>
        <v>-66.400000000000006</v>
      </c>
      <c r="AJ146" s="191">
        <f t="shared" si="83"/>
        <v>-66.400000000000006</v>
      </c>
      <c r="AK146" s="186" t="s">
        <v>796</v>
      </c>
      <c r="AL146" s="186"/>
      <c r="AM146" s="186" t="s">
        <v>846</v>
      </c>
      <c r="AN146" s="344" t="s">
        <v>97</v>
      </c>
      <c r="AO146" s="186" t="s">
        <v>847</v>
      </c>
      <c r="AP146" s="193">
        <v>0.32</v>
      </c>
      <c r="AQ146" s="193">
        <f t="shared" si="80"/>
        <v>9.9999999999999978E-2</v>
      </c>
      <c r="AR146" s="191">
        <f t="shared" si="81"/>
        <v>166</v>
      </c>
      <c r="AS146" s="194">
        <f t="shared" si="82"/>
        <v>166</v>
      </c>
      <c r="AT146" s="195" t="s">
        <v>77</v>
      </c>
      <c r="AU146" s="425" t="s">
        <v>811</v>
      </c>
      <c r="AV146" s="425" t="s">
        <v>848</v>
      </c>
      <c r="AW146" s="425" t="s">
        <v>849</v>
      </c>
      <c r="AX146" s="425"/>
      <c r="AY146" s="425"/>
      <c r="AZ146" s="425"/>
      <c r="BA146" s="425"/>
      <c r="BB146" s="425"/>
      <c r="BC146" s="440"/>
      <c r="BD146" s="404">
        <f>SUM($AS$4:AS146)</f>
        <v>1491.4200000000249</v>
      </c>
      <c r="BE146" s="405">
        <f>SUM($AR$4:AR146)</f>
        <v>2409.9700000000248</v>
      </c>
      <c r="BF146" s="330"/>
      <c r="BG146" s="330"/>
    </row>
    <row r="147" spans="1:59" ht="18" customHeight="1">
      <c r="A147" s="181" t="s">
        <v>767</v>
      </c>
      <c r="B147" s="181">
        <v>44932</v>
      </c>
      <c r="C147" s="198">
        <v>0.79166666666666663</v>
      </c>
      <c r="D147" s="182" t="s">
        <v>93</v>
      </c>
      <c r="E147" s="233" t="s">
        <v>850</v>
      </c>
      <c r="F147" s="184" t="s">
        <v>851</v>
      </c>
      <c r="G147" s="185"/>
      <c r="H147" s="186"/>
      <c r="I147" s="186"/>
      <c r="J147" s="186"/>
      <c r="K147" s="187"/>
      <c r="L147" s="186"/>
      <c r="M147" s="186"/>
      <c r="N147" s="186"/>
      <c r="O147" s="187"/>
      <c r="P147" s="187"/>
      <c r="Q147" s="187"/>
      <c r="R147" s="187"/>
      <c r="S147" s="187"/>
      <c r="T147" s="187"/>
      <c r="U147" s="187"/>
      <c r="V147" s="188"/>
      <c r="W147" s="188"/>
      <c r="X147" s="189"/>
      <c r="Y147" s="189"/>
      <c r="Z147" s="189"/>
      <c r="AA147" s="190"/>
      <c r="AB147" s="186"/>
      <c r="AC147" s="344"/>
      <c r="AD147" s="186"/>
      <c r="AE147" s="186"/>
      <c r="AF147" s="186"/>
      <c r="AG147" s="186"/>
      <c r="AH147" s="186"/>
      <c r="AI147" s="191"/>
      <c r="AJ147" s="187"/>
      <c r="AK147" s="186"/>
      <c r="AL147" s="186"/>
      <c r="AM147" s="186"/>
      <c r="AN147" s="344"/>
      <c r="AO147" s="186"/>
      <c r="AP147" s="193"/>
      <c r="AQ147" s="186"/>
      <c r="AR147" s="191"/>
      <c r="AS147" s="194"/>
      <c r="AT147" s="195"/>
      <c r="AU147" s="425"/>
      <c r="AV147" s="425"/>
      <c r="AW147" s="425"/>
      <c r="AX147" s="425"/>
      <c r="AY147" s="425"/>
      <c r="AZ147" s="425"/>
      <c r="BA147" s="425"/>
      <c r="BB147" s="425"/>
      <c r="BC147" s="440"/>
      <c r="BD147" s="404">
        <f>SUM($AS$4:AS147)</f>
        <v>1491.4200000000249</v>
      </c>
      <c r="BE147" s="405">
        <f>SUM($AR$4:AR147)</f>
        <v>2409.9700000000248</v>
      </c>
      <c r="BF147" s="330"/>
      <c r="BG147" s="330"/>
    </row>
    <row r="148" spans="1:59" ht="18" customHeight="1">
      <c r="A148" s="181" t="s">
        <v>767</v>
      </c>
      <c r="B148" s="181"/>
      <c r="C148" s="198"/>
      <c r="D148" s="182"/>
      <c r="E148" s="233" t="s">
        <v>852</v>
      </c>
      <c r="F148" s="184" t="s">
        <v>853</v>
      </c>
      <c r="G148" s="185"/>
      <c r="H148" s="186"/>
      <c r="I148" s="186"/>
      <c r="J148" s="186">
        <v>1</v>
      </c>
      <c r="K148" s="187" t="s">
        <v>87</v>
      </c>
      <c r="L148" s="186"/>
      <c r="M148" s="186"/>
      <c r="N148" s="186"/>
      <c r="O148" s="187"/>
      <c r="P148" s="187"/>
      <c r="Q148" s="187"/>
      <c r="R148" s="187"/>
      <c r="S148" s="187"/>
      <c r="T148" s="187"/>
      <c r="U148" s="187"/>
      <c r="V148" s="188"/>
      <c r="W148" s="188"/>
      <c r="X148" s="189"/>
      <c r="Y148" s="189"/>
      <c r="Z148" s="189"/>
      <c r="AA148" s="190"/>
      <c r="AB148" s="186"/>
      <c r="AC148" s="344"/>
      <c r="AD148" s="186"/>
      <c r="AE148" s="186"/>
      <c r="AF148" s="186"/>
      <c r="AG148" s="186"/>
      <c r="AH148" s="186"/>
      <c r="AI148" s="191"/>
      <c r="AJ148" s="187"/>
      <c r="AK148" s="186"/>
      <c r="AL148" s="186"/>
      <c r="AM148" s="186"/>
      <c r="AN148" s="344"/>
      <c r="AO148" s="186"/>
      <c r="AP148" s="193"/>
      <c r="AQ148" s="186"/>
      <c r="AR148" s="191"/>
      <c r="AS148" s="194"/>
      <c r="AT148" s="195"/>
      <c r="AU148" s="425"/>
      <c r="AV148" s="425"/>
      <c r="AW148" s="425"/>
      <c r="AX148" s="425"/>
      <c r="AY148" s="425"/>
      <c r="AZ148" s="425"/>
      <c r="BA148" s="425"/>
      <c r="BB148" s="425"/>
      <c r="BC148" s="440"/>
      <c r="BD148" s="404">
        <f>SUM($AS$4:AS148)</f>
        <v>1491.4200000000249</v>
      </c>
      <c r="BE148" s="405">
        <f>SUM($AR$4:AR148)</f>
        <v>2409.9700000000248</v>
      </c>
      <c r="BF148" s="330"/>
      <c r="BG148" s="330"/>
    </row>
    <row r="149" spans="1:59" ht="18" customHeight="1">
      <c r="A149" s="181" t="s">
        <v>767</v>
      </c>
      <c r="B149" s="181">
        <v>44932</v>
      </c>
      <c r="C149" s="182" t="s">
        <v>854</v>
      </c>
      <c r="D149" s="182" t="s">
        <v>93</v>
      </c>
      <c r="E149" s="233"/>
      <c r="F149" s="184"/>
      <c r="G149" s="271" t="s">
        <v>739</v>
      </c>
      <c r="H149" s="186"/>
      <c r="I149" s="186"/>
      <c r="J149" s="186"/>
      <c r="K149" s="187"/>
      <c r="L149" s="186">
        <v>1</v>
      </c>
      <c r="M149" s="186">
        <v>1</v>
      </c>
      <c r="N149" s="186">
        <v>1</v>
      </c>
      <c r="O149" s="187" t="s">
        <v>76</v>
      </c>
      <c r="P149" s="187" t="s">
        <v>77</v>
      </c>
      <c r="Q149" s="187" t="s">
        <v>78</v>
      </c>
      <c r="R149" s="187">
        <v>1</v>
      </c>
      <c r="S149" s="187">
        <v>1</v>
      </c>
      <c r="T149" s="187">
        <v>1</v>
      </c>
      <c r="U149" s="187" t="s">
        <v>78</v>
      </c>
      <c r="V149" s="188">
        <f t="shared" ref="V149:V163" si="85">IF(ISBLANK(O149),,(IF(O149=UPPER("IB"),0.005,0.01)))</f>
        <v>0.01</v>
      </c>
      <c r="W149" s="188">
        <f>IF(ISBLANK(O149),,IF(O149=UPPER("IB"),8.63*200,16.7*100))</f>
        <v>1670</v>
      </c>
      <c r="X149" s="189" t="s">
        <v>801</v>
      </c>
      <c r="Y149" s="189" t="s">
        <v>834</v>
      </c>
      <c r="Z149" s="189" t="s">
        <v>835</v>
      </c>
      <c r="AA149" s="190">
        <v>0.2</v>
      </c>
      <c r="AB149" s="186"/>
      <c r="AC149" s="344">
        <v>0.26</v>
      </c>
      <c r="AD149" s="186"/>
      <c r="AE149" s="186" t="s">
        <v>804</v>
      </c>
      <c r="AF149" s="186" t="s">
        <v>794</v>
      </c>
      <c r="AG149" s="186" t="s">
        <v>808</v>
      </c>
      <c r="AH149" s="186">
        <v>1</v>
      </c>
      <c r="AI149" s="191">
        <f>-0.04*W149</f>
        <v>-66.8</v>
      </c>
      <c r="AJ149" s="191">
        <f t="shared" ref="AJ149:AJ157" si="86">AI149*R149</f>
        <v>-66.8</v>
      </c>
      <c r="AK149" s="186" t="s">
        <v>855</v>
      </c>
      <c r="AL149" s="186"/>
      <c r="AM149" s="186" t="s">
        <v>410</v>
      </c>
      <c r="AN149" s="344" t="s">
        <v>77</v>
      </c>
      <c r="AO149" s="186" t="s">
        <v>856</v>
      </c>
      <c r="AP149" s="193">
        <v>0.09</v>
      </c>
      <c r="AQ149" s="193">
        <f t="shared" si="80"/>
        <v>0.11000000000000001</v>
      </c>
      <c r="AR149" s="191">
        <f t="shared" ref="AR149:AR157" si="87">AS149*R149</f>
        <v>183.70000000000002</v>
      </c>
      <c r="AS149" s="194">
        <f t="shared" si="82"/>
        <v>183.70000000000002</v>
      </c>
      <c r="AT149" s="195" t="s">
        <v>77</v>
      </c>
      <c r="AU149" s="425" t="s">
        <v>811</v>
      </c>
      <c r="AV149" s="425" t="s">
        <v>857</v>
      </c>
      <c r="AW149" s="425"/>
      <c r="AX149" s="425"/>
      <c r="AY149" s="425"/>
      <c r="AZ149" s="425"/>
      <c r="BA149" s="425" t="s">
        <v>858</v>
      </c>
      <c r="BB149" s="425"/>
      <c r="BC149" s="440" t="s">
        <v>511</v>
      </c>
      <c r="BD149" s="404">
        <f>SUM($AS$4:AS149)</f>
        <v>1675.1200000000249</v>
      </c>
      <c r="BE149" s="405">
        <f>SUM($AR$4:AR149)</f>
        <v>2593.6700000000246</v>
      </c>
      <c r="BF149" s="330"/>
      <c r="BG149" s="330"/>
    </row>
    <row r="150" spans="1:59" ht="18" customHeight="1">
      <c r="A150" s="181" t="s">
        <v>767</v>
      </c>
      <c r="B150" s="181">
        <v>44932</v>
      </c>
      <c r="C150" s="182" t="s">
        <v>859</v>
      </c>
      <c r="D150" s="182" t="s">
        <v>93</v>
      </c>
      <c r="E150" s="233"/>
      <c r="F150" s="184"/>
      <c r="G150" s="273" t="s">
        <v>253</v>
      </c>
      <c r="H150" s="186"/>
      <c r="I150" s="186"/>
      <c r="J150" s="186"/>
      <c r="K150" s="187"/>
      <c r="L150" s="186">
        <v>1</v>
      </c>
      <c r="M150" s="186"/>
      <c r="N150" s="186"/>
      <c r="O150" s="187" t="s">
        <v>76</v>
      </c>
      <c r="P150" s="187" t="s">
        <v>119</v>
      </c>
      <c r="Q150" s="187" t="s">
        <v>78</v>
      </c>
      <c r="R150" s="187">
        <v>2</v>
      </c>
      <c r="S150" s="187">
        <v>2</v>
      </c>
      <c r="T150" s="187">
        <v>2</v>
      </c>
      <c r="U150" s="187" t="s">
        <v>22</v>
      </c>
      <c r="V150" s="188">
        <f t="shared" si="85"/>
        <v>0.01</v>
      </c>
      <c r="W150" s="188">
        <f t="shared" ref="W150:W152" si="88">IF(ISBLANK(O150),,IF(O150=UPPER("IB"),8.63*200,16.3*100))</f>
        <v>1630</v>
      </c>
      <c r="X150" s="189" t="s">
        <v>343</v>
      </c>
      <c r="Y150" s="189"/>
      <c r="Z150" s="189" t="s">
        <v>80</v>
      </c>
      <c r="AA150" s="190">
        <v>-0.11</v>
      </c>
      <c r="AB150" s="186"/>
      <c r="AC150" s="344"/>
      <c r="AD150" s="186"/>
      <c r="AE150" s="186"/>
      <c r="AF150" s="186"/>
      <c r="AG150" s="186" t="s">
        <v>860</v>
      </c>
      <c r="AH150" s="186"/>
      <c r="AI150" s="191">
        <f t="shared" ref="AI150:AI153" si="89">-0.03*W150</f>
        <v>-48.9</v>
      </c>
      <c r="AJ150" s="191">
        <f t="shared" si="86"/>
        <v>-97.8</v>
      </c>
      <c r="AK150" s="186"/>
      <c r="AL150" s="186"/>
      <c r="AM150" s="186" t="s">
        <v>861</v>
      </c>
      <c r="AN150" s="344" t="s">
        <v>77</v>
      </c>
      <c r="AO150" s="186" t="s">
        <v>862</v>
      </c>
      <c r="AP150" s="193">
        <v>-0.13500000000000001</v>
      </c>
      <c r="AQ150" s="193">
        <f t="shared" si="80"/>
        <v>-2.5000000000000008E-2</v>
      </c>
      <c r="AR150" s="191">
        <f t="shared" si="87"/>
        <v>-81.500000000000028</v>
      </c>
      <c r="AS150" s="194">
        <f t="shared" si="82"/>
        <v>-40.750000000000014</v>
      </c>
      <c r="AT150" s="195" t="s">
        <v>211</v>
      </c>
      <c r="AU150" s="425" t="s">
        <v>863</v>
      </c>
      <c r="AV150" s="425"/>
      <c r="AW150" s="425"/>
      <c r="AX150" s="425"/>
      <c r="AY150" s="425"/>
      <c r="AZ150" s="425"/>
      <c r="BA150" s="425"/>
      <c r="BB150" s="425"/>
      <c r="BC150" s="440"/>
      <c r="BD150" s="404">
        <f>SUM($AS$4:AS150)</f>
        <v>1634.3700000000249</v>
      </c>
      <c r="BE150" s="405">
        <f>SUM($AR$4:AR150)</f>
        <v>2512.1700000000246</v>
      </c>
      <c r="BF150" s="330"/>
      <c r="BG150" s="330"/>
    </row>
    <row r="151" spans="1:59" ht="18" customHeight="1">
      <c r="A151" s="181" t="s">
        <v>767</v>
      </c>
      <c r="B151" s="181">
        <v>44932</v>
      </c>
      <c r="C151" s="182" t="s">
        <v>864</v>
      </c>
      <c r="D151" s="182" t="s">
        <v>93</v>
      </c>
      <c r="E151" s="233"/>
      <c r="F151" s="184"/>
      <c r="G151" s="185" t="s">
        <v>347</v>
      </c>
      <c r="H151" s="186"/>
      <c r="I151" s="186"/>
      <c r="J151" s="186"/>
      <c r="K151" s="187"/>
      <c r="L151" s="186">
        <v>1</v>
      </c>
      <c r="M151" s="186"/>
      <c r="N151" s="186"/>
      <c r="O151" s="187" t="s">
        <v>76</v>
      </c>
      <c r="P151" s="187" t="s">
        <v>119</v>
      </c>
      <c r="Q151" s="187" t="s">
        <v>78</v>
      </c>
      <c r="R151" s="187">
        <v>1</v>
      </c>
      <c r="S151" s="187">
        <v>1</v>
      </c>
      <c r="T151" s="187">
        <v>1</v>
      </c>
      <c r="U151" s="187" t="s">
        <v>22</v>
      </c>
      <c r="V151" s="188">
        <f t="shared" si="85"/>
        <v>0.01</v>
      </c>
      <c r="W151" s="188">
        <f t="shared" si="88"/>
        <v>1630</v>
      </c>
      <c r="X151" s="189" t="s">
        <v>865</v>
      </c>
      <c r="Y151" s="189"/>
      <c r="Z151" s="189"/>
      <c r="AA151" s="190">
        <v>-0.08</v>
      </c>
      <c r="AB151" s="186"/>
      <c r="AC151" s="344"/>
      <c r="AD151" s="186"/>
      <c r="AE151" s="186">
        <v>-0.06</v>
      </c>
      <c r="AF151" s="186"/>
      <c r="AG151" s="186"/>
      <c r="AH151" s="186"/>
      <c r="AI151" s="191">
        <f t="shared" si="89"/>
        <v>-48.9</v>
      </c>
      <c r="AJ151" s="191">
        <f t="shared" si="86"/>
        <v>-48.9</v>
      </c>
      <c r="AK151" s="186"/>
      <c r="AL151" s="186"/>
      <c r="AM151" s="186"/>
      <c r="AN151" s="344" t="s">
        <v>97</v>
      </c>
      <c r="AO151" s="186" t="s">
        <v>866</v>
      </c>
      <c r="AP151" s="193">
        <v>-0.08</v>
      </c>
      <c r="AQ151" s="193">
        <f t="shared" si="80"/>
        <v>0</v>
      </c>
      <c r="AR151" s="191">
        <f t="shared" si="87"/>
        <v>0</v>
      </c>
      <c r="AS151" s="194">
        <f t="shared" si="82"/>
        <v>0</v>
      </c>
      <c r="AT151" s="195" t="s">
        <v>97</v>
      </c>
      <c r="AU151" s="425"/>
      <c r="AV151" s="425"/>
      <c r="AW151" s="425"/>
      <c r="AX151" s="425"/>
      <c r="AY151" s="425"/>
      <c r="AZ151" s="425"/>
      <c r="BA151" s="425"/>
      <c r="BB151" s="425"/>
      <c r="BC151" s="440"/>
      <c r="BD151" s="404">
        <f>SUM($AS$4:AS151)</f>
        <v>1634.3700000000249</v>
      </c>
      <c r="BE151" s="405">
        <f>SUM($AR$4:AR151)</f>
        <v>2512.1700000000246</v>
      </c>
      <c r="BF151" s="330"/>
      <c r="BG151" s="330"/>
    </row>
    <row r="152" spans="1:59" ht="18" customHeight="1">
      <c r="A152" s="181" t="s">
        <v>767</v>
      </c>
      <c r="B152" s="181">
        <v>44932</v>
      </c>
      <c r="C152" s="182" t="s">
        <v>867</v>
      </c>
      <c r="D152" s="182" t="s">
        <v>93</v>
      </c>
      <c r="E152" s="233"/>
      <c r="F152" s="184"/>
      <c r="G152" s="274" t="s">
        <v>868</v>
      </c>
      <c r="H152" s="186"/>
      <c r="I152" s="186"/>
      <c r="J152" s="186"/>
      <c r="K152" s="187"/>
      <c r="L152" s="186">
        <v>1</v>
      </c>
      <c r="M152" s="186"/>
      <c r="N152" s="186"/>
      <c r="O152" s="187" t="s">
        <v>76</v>
      </c>
      <c r="P152" s="187" t="s">
        <v>119</v>
      </c>
      <c r="Q152" s="187" t="s">
        <v>78</v>
      </c>
      <c r="R152" s="187">
        <v>1</v>
      </c>
      <c r="S152" s="187">
        <v>1</v>
      </c>
      <c r="T152" s="187">
        <v>1</v>
      </c>
      <c r="U152" s="187" t="s">
        <v>78</v>
      </c>
      <c r="V152" s="188">
        <f t="shared" si="85"/>
        <v>0.01</v>
      </c>
      <c r="W152" s="188">
        <f t="shared" si="88"/>
        <v>1630</v>
      </c>
      <c r="X152" s="189" t="s">
        <v>869</v>
      </c>
      <c r="Y152" s="189"/>
      <c r="Z152" s="189" t="s">
        <v>80</v>
      </c>
      <c r="AA152" s="190">
        <v>-0.03</v>
      </c>
      <c r="AB152" s="186"/>
      <c r="AC152" s="344"/>
      <c r="AD152" s="186"/>
      <c r="AE152" s="186">
        <v>-0.04</v>
      </c>
      <c r="AF152" s="186" t="s">
        <v>870</v>
      </c>
      <c r="AG152" s="186"/>
      <c r="AH152" s="186"/>
      <c r="AI152" s="191">
        <f t="shared" si="89"/>
        <v>-48.9</v>
      </c>
      <c r="AJ152" s="191">
        <f t="shared" si="86"/>
        <v>-48.9</v>
      </c>
      <c r="AK152" s="186"/>
      <c r="AL152" s="186"/>
      <c r="AM152" s="186" t="s">
        <v>494</v>
      </c>
      <c r="AN152" s="344" t="s">
        <v>77</v>
      </c>
      <c r="AO152" s="186" t="s">
        <v>871</v>
      </c>
      <c r="AP152" s="193">
        <v>-0.04</v>
      </c>
      <c r="AQ152" s="193">
        <f t="shared" si="80"/>
        <v>1.0000000000000002E-2</v>
      </c>
      <c r="AR152" s="191">
        <f t="shared" si="87"/>
        <v>16.300000000000004</v>
      </c>
      <c r="AS152" s="194">
        <f t="shared" si="82"/>
        <v>16.300000000000004</v>
      </c>
      <c r="AT152" s="195" t="s">
        <v>77</v>
      </c>
      <c r="AU152" s="425"/>
      <c r="AV152" s="425"/>
      <c r="AW152" s="425"/>
      <c r="AX152" s="425"/>
      <c r="AY152" s="425"/>
      <c r="AZ152" s="425"/>
      <c r="BA152" s="425"/>
      <c r="BB152" s="425"/>
      <c r="BC152" s="440"/>
      <c r="BD152" s="404">
        <f>SUM($AS$4:AS152)</f>
        <v>1650.6700000000249</v>
      </c>
      <c r="BE152" s="405">
        <f>SUM($AR$4:AR152)</f>
        <v>2528.4700000000248</v>
      </c>
      <c r="BF152" s="330"/>
      <c r="BG152" s="330"/>
    </row>
    <row r="153" spans="1:59" ht="18" customHeight="1">
      <c r="A153" s="181" t="s">
        <v>767</v>
      </c>
      <c r="B153" s="181">
        <v>44932</v>
      </c>
      <c r="C153" s="182" t="s">
        <v>872</v>
      </c>
      <c r="D153" s="182" t="s">
        <v>93</v>
      </c>
      <c r="E153" s="233"/>
      <c r="F153" s="184"/>
      <c r="G153" s="274" t="s">
        <v>868</v>
      </c>
      <c r="H153" s="186"/>
      <c r="I153" s="186"/>
      <c r="J153" s="186"/>
      <c r="K153" s="187"/>
      <c r="L153" s="186">
        <v>1</v>
      </c>
      <c r="M153" s="186"/>
      <c r="N153" s="186">
        <v>1</v>
      </c>
      <c r="O153" s="187" t="s">
        <v>76</v>
      </c>
      <c r="P153" s="187" t="s">
        <v>119</v>
      </c>
      <c r="Q153" s="187" t="s">
        <v>78</v>
      </c>
      <c r="R153" s="187">
        <v>2</v>
      </c>
      <c r="S153" s="187">
        <v>2</v>
      </c>
      <c r="T153" s="187">
        <v>2</v>
      </c>
      <c r="U153" s="187" t="s">
        <v>78</v>
      </c>
      <c r="V153" s="188">
        <f t="shared" si="85"/>
        <v>0.01</v>
      </c>
      <c r="W153" s="188">
        <f>IF(ISBLANK(O153),,IF(O153=UPPER("IB"),8.63*200,16.7*100))</f>
        <v>1670</v>
      </c>
      <c r="X153" s="189" t="s">
        <v>873</v>
      </c>
      <c r="Y153" s="189"/>
      <c r="Z153" s="189"/>
      <c r="AA153" s="190">
        <v>-0.02</v>
      </c>
      <c r="AB153" s="186"/>
      <c r="AC153" s="344"/>
      <c r="AD153" s="186"/>
      <c r="AE153" s="186">
        <v>-4.4999999999999998E-2</v>
      </c>
      <c r="AF153" s="186" t="s">
        <v>870</v>
      </c>
      <c r="AG153" s="186"/>
      <c r="AH153" s="186"/>
      <c r="AI153" s="191">
        <f t="shared" si="89"/>
        <v>-50.1</v>
      </c>
      <c r="AJ153" s="191">
        <f t="shared" si="86"/>
        <v>-100.2</v>
      </c>
      <c r="AK153" s="186"/>
      <c r="AL153" s="186"/>
      <c r="AM153" s="186" t="s">
        <v>874</v>
      </c>
      <c r="AN153" s="344" t="s">
        <v>77</v>
      </c>
      <c r="AO153" s="186" t="s">
        <v>875</v>
      </c>
      <c r="AP153" s="193">
        <v>-4.4999999999999998E-2</v>
      </c>
      <c r="AQ153" s="193">
        <f t="shared" si="80"/>
        <v>2.4999999999999998E-2</v>
      </c>
      <c r="AR153" s="191">
        <f t="shared" si="87"/>
        <v>83.5</v>
      </c>
      <c r="AS153" s="194">
        <f t="shared" si="82"/>
        <v>41.75</v>
      </c>
      <c r="AT153" s="195" t="s">
        <v>77</v>
      </c>
      <c r="AU153" s="425" t="s">
        <v>876</v>
      </c>
      <c r="AV153" s="425" t="s">
        <v>877</v>
      </c>
      <c r="AW153" s="425"/>
      <c r="AX153" s="425"/>
      <c r="AY153" s="425"/>
      <c r="AZ153" s="425"/>
      <c r="BA153" s="425"/>
      <c r="BB153" s="425"/>
      <c r="BC153" s="440"/>
      <c r="BD153" s="404">
        <f>SUM($AS$4:AS153)</f>
        <v>1692.4200000000249</v>
      </c>
      <c r="BE153" s="405">
        <f>SUM($AR$4:AR153)</f>
        <v>2611.9700000000248</v>
      </c>
      <c r="BF153" s="330"/>
      <c r="BG153" s="330"/>
    </row>
    <row r="154" spans="1:59" ht="18" customHeight="1">
      <c r="A154" s="181" t="s">
        <v>767</v>
      </c>
      <c r="B154" s="181">
        <v>44935</v>
      </c>
      <c r="C154" s="182" t="s">
        <v>710</v>
      </c>
      <c r="D154" s="182" t="s">
        <v>114</v>
      </c>
      <c r="E154" s="233"/>
      <c r="F154" s="184"/>
      <c r="G154" s="275" t="s">
        <v>253</v>
      </c>
      <c r="H154" s="186"/>
      <c r="I154" s="186"/>
      <c r="J154" s="186"/>
      <c r="K154" s="187"/>
      <c r="L154" s="186">
        <v>1</v>
      </c>
      <c r="M154" s="186"/>
      <c r="N154" s="186">
        <v>1</v>
      </c>
      <c r="O154" s="187" t="s">
        <v>76</v>
      </c>
      <c r="P154" s="187" t="s">
        <v>119</v>
      </c>
      <c r="Q154" s="187" t="s">
        <v>78</v>
      </c>
      <c r="R154" s="187">
        <v>3</v>
      </c>
      <c r="S154" s="187">
        <v>3</v>
      </c>
      <c r="T154" s="187">
        <v>3</v>
      </c>
      <c r="U154" s="187" t="s">
        <v>22</v>
      </c>
      <c r="V154" s="188">
        <f t="shared" si="85"/>
        <v>0.01</v>
      </c>
      <c r="W154" s="188">
        <f>IF(ISBLANK(O154),,IF(O154=UPPER("IB"),8.63*200,16.3*100))</f>
        <v>1630</v>
      </c>
      <c r="X154" s="189" t="s">
        <v>873</v>
      </c>
      <c r="Y154" s="189"/>
      <c r="Z154" s="189" t="s">
        <v>80</v>
      </c>
      <c r="AA154" s="190">
        <v>-0.12</v>
      </c>
      <c r="AB154" s="186"/>
      <c r="AC154" s="344">
        <v>-0.15</v>
      </c>
      <c r="AD154" s="186"/>
      <c r="AE154" s="186"/>
      <c r="AF154" s="186"/>
      <c r="AG154" s="186"/>
      <c r="AH154" s="186"/>
      <c r="AI154" s="191">
        <f t="shared" ref="AI154:AI155" si="90">-0.02*W154</f>
        <v>-32.6</v>
      </c>
      <c r="AJ154" s="191">
        <f t="shared" si="86"/>
        <v>-97.800000000000011</v>
      </c>
      <c r="AK154" s="186" t="s">
        <v>133</v>
      </c>
      <c r="AL154" s="186" t="s">
        <v>878</v>
      </c>
      <c r="AM154" s="186" t="s">
        <v>879</v>
      </c>
      <c r="AN154" s="344" t="s">
        <v>77</v>
      </c>
      <c r="AO154" s="186" t="s">
        <v>880</v>
      </c>
      <c r="AP154" s="193">
        <v>-0.13</v>
      </c>
      <c r="AQ154" s="193">
        <f t="shared" si="80"/>
        <v>-1.0000000000000009E-2</v>
      </c>
      <c r="AR154" s="191">
        <f t="shared" si="87"/>
        <v>-48.900000000000048</v>
      </c>
      <c r="AS154" s="194">
        <f t="shared" si="82"/>
        <v>-16.300000000000015</v>
      </c>
      <c r="AT154" s="195" t="s">
        <v>211</v>
      </c>
      <c r="AU154" s="425" t="s">
        <v>881</v>
      </c>
      <c r="AV154" s="425" t="s">
        <v>882</v>
      </c>
      <c r="AW154" s="425"/>
      <c r="AX154" s="425"/>
      <c r="AY154" s="425"/>
      <c r="AZ154" s="425"/>
      <c r="BA154" s="425"/>
      <c r="BB154" s="425"/>
      <c r="BC154" s="440"/>
      <c r="BD154" s="404">
        <f>SUM($AS$4:AS154)</f>
        <v>1676.1200000000249</v>
      </c>
      <c r="BE154" s="405">
        <f>SUM($AR$4:AR154)</f>
        <v>2563.0700000000247</v>
      </c>
      <c r="BF154" s="330"/>
      <c r="BG154" s="330"/>
    </row>
    <row r="155" spans="1:59" ht="18" customHeight="1">
      <c r="A155" s="181" t="s">
        <v>767</v>
      </c>
      <c r="B155" s="181">
        <v>44935</v>
      </c>
      <c r="C155" s="182" t="s">
        <v>883</v>
      </c>
      <c r="D155" s="182" t="s">
        <v>114</v>
      </c>
      <c r="E155" s="233"/>
      <c r="F155" s="184"/>
      <c r="G155" s="256" t="s">
        <v>347</v>
      </c>
      <c r="H155" s="186"/>
      <c r="I155" s="186"/>
      <c r="J155" s="186"/>
      <c r="K155" s="187"/>
      <c r="L155" s="186">
        <v>1</v>
      </c>
      <c r="M155" s="186"/>
      <c r="N155" s="186"/>
      <c r="O155" s="187" t="s">
        <v>76</v>
      </c>
      <c r="P155" s="187" t="s">
        <v>119</v>
      </c>
      <c r="Q155" s="187" t="s">
        <v>78</v>
      </c>
      <c r="R155" s="187">
        <v>2</v>
      </c>
      <c r="S155" s="187">
        <v>2</v>
      </c>
      <c r="T155" s="187">
        <v>2</v>
      </c>
      <c r="U155" s="187" t="s">
        <v>22</v>
      </c>
      <c r="V155" s="188">
        <f t="shared" si="85"/>
        <v>0.01</v>
      </c>
      <c r="W155" s="188">
        <f t="shared" ref="W155:W156" si="91">IF(ISBLANK(O155),,IF(O155=UPPER("IB"),8.63*200,16.6*100))</f>
        <v>1660.0000000000002</v>
      </c>
      <c r="X155" s="189" t="s">
        <v>865</v>
      </c>
      <c r="Y155" s="189"/>
      <c r="Z155" s="189"/>
      <c r="AA155" s="190">
        <v>-0.09</v>
      </c>
      <c r="AB155" s="186"/>
      <c r="AC155" s="344"/>
      <c r="AD155" s="186"/>
      <c r="AE155" s="186">
        <v>-0.06</v>
      </c>
      <c r="AF155" s="186"/>
      <c r="AG155" s="186"/>
      <c r="AH155" s="186"/>
      <c r="AI155" s="191">
        <f t="shared" si="90"/>
        <v>-33.200000000000003</v>
      </c>
      <c r="AJ155" s="191">
        <f t="shared" si="86"/>
        <v>-66.400000000000006</v>
      </c>
      <c r="AK155" s="186"/>
      <c r="AL155" s="186"/>
      <c r="AM155" s="186" t="s">
        <v>884</v>
      </c>
      <c r="AN155" s="344" t="s">
        <v>77</v>
      </c>
      <c r="AO155" s="186" t="s">
        <v>885</v>
      </c>
      <c r="AP155" s="193">
        <f>(-0.07-0.1)/2</f>
        <v>-8.5000000000000006E-2</v>
      </c>
      <c r="AQ155" s="193">
        <f t="shared" si="80"/>
        <v>4.9999999999999906E-3</v>
      </c>
      <c r="AR155" s="191">
        <f t="shared" si="87"/>
        <v>16.599999999999969</v>
      </c>
      <c r="AS155" s="194">
        <f t="shared" si="82"/>
        <v>8.2999999999999847</v>
      </c>
      <c r="AT155" s="195" t="s">
        <v>77</v>
      </c>
      <c r="AU155" s="425" t="s">
        <v>886</v>
      </c>
      <c r="AV155" s="425" t="s">
        <v>177</v>
      </c>
      <c r="AW155" s="425"/>
      <c r="AX155" s="425"/>
      <c r="AY155" s="425"/>
      <c r="AZ155" s="425"/>
      <c r="BA155" s="425" t="s">
        <v>177</v>
      </c>
      <c r="BB155" s="425"/>
      <c r="BC155" s="440"/>
      <c r="BD155" s="404">
        <f>SUM($AS$4:AS155)</f>
        <v>1684.4200000000249</v>
      </c>
      <c r="BE155" s="405">
        <f>SUM($AR$4:AR155)</f>
        <v>2579.6700000000246</v>
      </c>
      <c r="BF155" s="330"/>
      <c r="BG155" s="330"/>
    </row>
    <row r="156" spans="1:59" ht="18" customHeight="1">
      <c r="A156" s="181" t="s">
        <v>767</v>
      </c>
      <c r="B156" s="181">
        <v>44935</v>
      </c>
      <c r="C156" s="182" t="s">
        <v>887</v>
      </c>
      <c r="D156" s="182" t="s">
        <v>114</v>
      </c>
      <c r="E156" s="183"/>
      <c r="F156" s="184"/>
      <c r="G156" s="247" t="s">
        <v>417</v>
      </c>
      <c r="H156" s="186"/>
      <c r="I156" s="186"/>
      <c r="J156" s="186"/>
      <c r="K156" s="187"/>
      <c r="L156" s="186">
        <v>1</v>
      </c>
      <c r="M156" s="186"/>
      <c r="N156" s="186">
        <v>1</v>
      </c>
      <c r="O156" s="187" t="s">
        <v>76</v>
      </c>
      <c r="P156" s="187" t="s">
        <v>77</v>
      </c>
      <c r="Q156" s="187"/>
      <c r="R156" s="187">
        <v>1</v>
      </c>
      <c r="S156" s="187">
        <v>1</v>
      </c>
      <c r="T156" s="187">
        <v>1</v>
      </c>
      <c r="U156" s="187" t="s">
        <v>78</v>
      </c>
      <c r="V156" s="188">
        <f t="shared" si="85"/>
        <v>0.01</v>
      </c>
      <c r="W156" s="188">
        <f t="shared" si="91"/>
        <v>1660.0000000000002</v>
      </c>
      <c r="X156" s="189" t="s">
        <v>789</v>
      </c>
      <c r="Y156" s="189"/>
      <c r="Z156" s="189"/>
      <c r="AA156" s="190">
        <v>0.39</v>
      </c>
      <c r="AB156" s="186"/>
      <c r="AC156" s="344">
        <v>0.46</v>
      </c>
      <c r="AD156" s="186" t="s">
        <v>844</v>
      </c>
      <c r="AE156" s="186">
        <v>36</v>
      </c>
      <c r="AF156" s="186"/>
      <c r="AG156" s="186"/>
      <c r="AH156" s="186"/>
      <c r="AI156" s="191">
        <f>-0.04*W156</f>
        <v>-66.400000000000006</v>
      </c>
      <c r="AJ156" s="191">
        <f t="shared" si="86"/>
        <v>-66.400000000000006</v>
      </c>
      <c r="AK156" s="186" t="s">
        <v>888</v>
      </c>
      <c r="AL156" s="186"/>
      <c r="AM156" s="186" t="s">
        <v>571</v>
      </c>
      <c r="AN156" s="344" t="s">
        <v>97</v>
      </c>
      <c r="AO156" s="186" t="s">
        <v>810</v>
      </c>
      <c r="AP156" s="193">
        <v>0.37</v>
      </c>
      <c r="AQ156" s="193">
        <f t="shared" si="80"/>
        <v>2.0000000000000018E-2</v>
      </c>
      <c r="AR156" s="191">
        <f t="shared" si="87"/>
        <v>33.200000000000031</v>
      </c>
      <c r="AS156" s="194">
        <f t="shared" si="82"/>
        <v>33.200000000000031</v>
      </c>
      <c r="AT156" s="195" t="s">
        <v>77</v>
      </c>
      <c r="AU156" s="425" t="s">
        <v>889</v>
      </c>
      <c r="AV156" s="425" t="s">
        <v>890</v>
      </c>
      <c r="AW156" s="425"/>
      <c r="AX156" s="425" t="s">
        <v>891</v>
      </c>
      <c r="AY156" s="425"/>
      <c r="AZ156" s="425"/>
      <c r="BA156" s="425" t="s">
        <v>889</v>
      </c>
      <c r="BB156" s="425"/>
      <c r="BC156" s="440"/>
      <c r="BD156" s="404">
        <f>SUM($AS$4:AS156)</f>
        <v>1717.6200000000249</v>
      </c>
      <c r="BE156" s="405">
        <f>SUM($AR$4:AR156)</f>
        <v>2612.8700000000244</v>
      </c>
      <c r="BF156" s="330"/>
      <c r="BG156" s="330"/>
    </row>
    <row r="157" spans="1:59" ht="18" customHeight="1">
      <c r="A157" s="181" t="s">
        <v>767</v>
      </c>
      <c r="B157" s="276" t="s">
        <v>892</v>
      </c>
      <c r="C157" s="182" t="s">
        <v>893</v>
      </c>
      <c r="D157" s="182" t="s">
        <v>114</v>
      </c>
      <c r="E157" s="233"/>
      <c r="F157" s="184"/>
      <c r="G157" s="185" t="s">
        <v>253</v>
      </c>
      <c r="H157" s="186"/>
      <c r="I157" s="186"/>
      <c r="J157" s="186"/>
      <c r="K157" s="187"/>
      <c r="L157" s="186">
        <v>1</v>
      </c>
      <c r="M157" s="186"/>
      <c r="N157" s="186">
        <v>1</v>
      </c>
      <c r="O157" s="187" t="s">
        <v>76</v>
      </c>
      <c r="P157" s="187" t="s">
        <v>119</v>
      </c>
      <c r="Q157" s="187" t="s">
        <v>78</v>
      </c>
      <c r="R157" s="187">
        <v>3</v>
      </c>
      <c r="S157" s="187">
        <v>3</v>
      </c>
      <c r="T157" s="187">
        <v>1</v>
      </c>
      <c r="U157" s="187" t="s">
        <v>22</v>
      </c>
      <c r="V157" s="188">
        <f t="shared" si="85"/>
        <v>0.01</v>
      </c>
      <c r="W157" s="188">
        <f t="shared" ref="W157:W159" si="92">IF(ISBLANK(O157),,IF(O157=UPPER("IB"),8.63*200,16.3*100))</f>
        <v>1630</v>
      </c>
      <c r="X157" s="189" t="s">
        <v>873</v>
      </c>
      <c r="Y157" s="189"/>
      <c r="Z157" s="189"/>
      <c r="AA157" s="190">
        <v>-0.13</v>
      </c>
      <c r="AB157" s="186"/>
      <c r="AC157" s="344">
        <v>-0.15</v>
      </c>
      <c r="AD157" s="186"/>
      <c r="AE157" s="186"/>
      <c r="AF157" s="186"/>
      <c r="AG157" s="186"/>
      <c r="AH157" s="186"/>
      <c r="AI157" s="191">
        <f>-0.03*W157</f>
        <v>-48.9</v>
      </c>
      <c r="AJ157" s="191">
        <f t="shared" si="86"/>
        <v>-146.69999999999999</v>
      </c>
      <c r="AK157" s="186"/>
      <c r="AL157" s="186"/>
      <c r="AM157" s="186" t="s">
        <v>879</v>
      </c>
      <c r="AN157" s="344" t="s">
        <v>77</v>
      </c>
      <c r="AO157" s="199">
        <v>44946.791666666664</v>
      </c>
      <c r="AP157" s="193">
        <v>-0.13</v>
      </c>
      <c r="AQ157" s="193">
        <f t="shared" si="80"/>
        <v>0</v>
      </c>
      <c r="AR157" s="191">
        <f t="shared" si="87"/>
        <v>0</v>
      </c>
      <c r="AS157" s="194">
        <f t="shared" si="82"/>
        <v>0</v>
      </c>
      <c r="AT157" s="195" t="s">
        <v>97</v>
      </c>
      <c r="AU157" s="425" t="s">
        <v>894</v>
      </c>
      <c r="AV157" s="425"/>
      <c r="AW157" s="425"/>
      <c r="AX157" s="425"/>
      <c r="AY157" s="425"/>
      <c r="AZ157" s="425"/>
      <c r="BA157" s="425"/>
      <c r="BB157" s="425"/>
      <c r="BC157" s="440"/>
      <c r="BD157" s="404">
        <f>SUM($AS$4:AS157)</f>
        <v>1717.6200000000249</v>
      </c>
      <c r="BE157" s="405">
        <f>SUM($AR$4:AR157)</f>
        <v>2612.8700000000244</v>
      </c>
      <c r="BF157" s="330"/>
      <c r="BG157" s="330"/>
    </row>
    <row r="158" spans="1:59" ht="18" customHeight="1">
      <c r="A158" s="181" t="s">
        <v>767</v>
      </c>
      <c r="B158" s="181">
        <v>44937</v>
      </c>
      <c r="C158" s="198">
        <v>0.25</v>
      </c>
      <c r="D158" s="182" t="s">
        <v>133</v>
      </c>
      <c r="E158" s="233" t="s">
        <v>895</v>
      </c>
      <c r="F158" s="184" t="s">
        <v>896</v>
      </c>
      <c r="G158" s="185"/>
      <c r="H158" s="186">
        <v>1</v>
      </c>
      <c r="I158" s="186"/>
      <c r="J158" s="186"/>
      <c r="K158" s="187" t="s">
        <v>87</v>
      </c>
      <c r="L158" s="186"/>
      <c r="M158" s="186"/>
      <c r="N158" s="186"/>
      <c r="O158" s="187"/>
      <c r="P158" s="187"/>
      <c r="Q158" s="187"/>
      <c r="R158" s="187"/>
      <c r="S158" s="187"/>
      <c r="T158" s="187"/>
      <c r="U158" s="187"/>
      <c r="V158" s="188">
        <f t="shared" si="85"/>
        <v>0</v>
      </c>
      <c r="W158" s="188">
        <f t="shared" si="92"/>
        <v>0</v>
      </c>
      <c r="X158" s="189"/>
      <c r="Y158" s="189"/>
      <c r="Z158" s="189"/>
      <c r="AA158" s="190"/>
      <c r="AB158" s="186"/>
      <c r="AC158" s="344"/>
      <c r="AD158" s="186"/>
      <c r="AE158" s="186"/>
      <c r="AF158" s="186"/>
      <c r="AG158" s="186"/>
      <c r="AH158" s="186"/>
      <c r="AI158" s="191"/>
      <c r="AJ158" s="187"/>
      <c r="AK158" s="186"/>
      <c r="AL158" s="186"/>
      <c r="AM158" s="186"/>
      <c r="AN158" s="344"/>
      <c r="AO158" s="186"/>
      <c r="AP158" s="193"/>
      <c r="AQ158" s="186"/>
      <c r="AR158" s="191"/>
      <c r="AS158" s="194"/>
      <c r="AT158" s="195"/>
      <c r="AU158" s="425"/>
      <c r="AV158" s="425"/>
      <c r="AW158" s="425"/>
      <c r="AX158" s="425"/>
      <c r="AY158" s="425"/>
      <c r="AZ158" s="425"/>
      <c r="BA158" s="425"/>
      <c r="BB158" s="425"/>
      <c r="BC158" s="440"/>
      <c r="BD158" s="404">
        <f>SUM($AS$4:AS158)</f>
        <v>1717.6200000000249</v>
      </c>
      <c r="BE158" s="405">
        <f>SUM($AR$4:AR158)</f>
        <v>2612.8700000000244</v>
      </c>
      <c r="BF158" s="330"/>
      <c r="BG158" s="330"/>
    </row>
    <row r="159" spans="1:59" ht="18" customHeight="1">
      <c r="A159" s="181" t="s">
        <v>767</v>
      </c>
      <c r="B159" s="181"/>
      <c r="C159" s="182"/>
      <c r="D159" s="182"/>
      <c r="E159" s="233" t="s">
        <v>897</v>
      </c>
      <c r="F159" s="184"/>
      <c r="G159" s="185"/>
      <c r="H159" s="186">
        <v>1</v>
      </c>
      <c r="I159" s="186"/>
      <c r="J159" s="186"/>
      <c r="K159" s="187" t="s">
        <v>87</v>
      </c>
      <c r="L159" s="186"/>
      <c r="M159" s="186"/>
      <c r="N159" s="186"/>
      <c r="O159" s="187"/>
      <c r="P159" s="187"/>
      <c r="Q159" s="187"/>
      <c r="R159" s="187"/>
      <c r="S159" s="187"/>
      <c r="T159" s="187"/>
      <c r="U159" s="187"/>
      <c r="V159" s="188">
        <f t="shared" si="85"/>
        <v>0</v>
      </c>
      <c r="W159" s="188">
        <f t="shared" si="92"/>
        <v>0</v>
      </c>
      <c r="X159" s="189"/>
      <c r="Y159" s="189"/>
      <c r="Z159" s="189"/>
      <c r="AA159" s="190"/>
      <c r="AB159" s="186"/>
      <c r="AC159" s="344"/>
      <c r="AD159" s="186"/>
      <c r="AE159" s="186"/>
      <c r="AF159" s="186"/>
      <c r="AG159" s="186"/>
      <c r="AH159" s="186"/>
      <c r="AI159" s="191"/>
      <c r="AJ159" s="187"/>
      <c r="AK159" s="186"/>
      <c r="AL159" s="186"/>
      <c r="AM159" s="186"/>
      <c r="AN159" s="344"/>
      <c r="AO159" s="186"/>
      <c r="AP159" s="193"/>
      <c r="AQ159" s="186"/>
      <c r="AR159" s="191"/>
      <c r="AS159" s="194"/>
      <c r="AT159" s="195"/>
      <c r="AU159" s="425"/>
      <c r="AV159" s="425"/>
      <c r="AW159" s="425"/>
      <c r="AX159" s="425"/>
      <c r="AY159" s="425"/>
      <c r="AZ159" s="425"/>
      <c r="BA159" s="425"/>
      <c r="BB159" s="425"/>
      <c r="BC159" s="440"/>
      <c r="BD159" s="404">
        <f>SUM($AS$4:AS159)</f>
        <v>1717.6200000000249</v>
      </c>
      <c r="BE159" s="405">
        <f>SUM($AR$4:AR159)</f>
        <v>2612.8700000000244</v>
      </c>
      <c r="BF159" s="330"/>
      <c r="BG159" s="330"/>
    </row>
    <row r="160" spans="1:59" ht="18" customHeight="1">
      <c r="A160" s="181" t="s">
        <v>767</v>
      </c>
      <c r="B160" s="181">
        <v>44937</v>
      </c>
      <c r="C160" s="182" t="s">
        <v>898</v>
      </c>
      <c r="D160" s="182" t="s">
        <v>133</v>
      </c>
      <c r="E160" s="233"/>
      <c r="F160" s="184"/>
      <c r="G160" s="247" t="s">
        <v>535</v>
      </c>
      <c r="H160" s="186"/>
      <c r="I160" s="186"/>
      <c r="J160" s="186"/>
      <c r="K160" s="187"/>
      <c r="L160" s="186">
        <v>1</v>
      </c>
      <c r="M160" s="186"/>
      <c r="N160" s="186"/>
      <c r="O160" s="187" t="s">
        <v>76</v>
      </c>
      <c r="P160" s="187" t="s">
        <v>119</v>
      </c>
      <c r="Q160" s="187" t="s">
        <v>78</v>
      </c>
      <c r="R160" s="187">
        <v>1</v>
      </c>
      <c r="S160" s="187">
        <v>1</v>
      </c>
      <c r="T160" s="187">
        <v>1</v>
      </c>
      <c r="U160" s="187" t="s">
        <v>78</v>
      </c>
      <c r="V160" s="188">
        <f t="shared" si="85"/>
        <v>0.01</v>
      </c>
      <c r="W160" s="188">
        <f t="shared" ref="W160:W162" si="93">IF(ISBLANK(O160),,IF(O160=UPPER("IB"),8.63*200,16.6*100))</f>
        <v>1660.0000000000002</v>
      </c>
      <c r="X160" s="189" t="s">
        <v>839</v>
      </c>
      <c r="Y160" s="189"/>
      <c r="Z160" s="189"/>
      <c r="AA160" s="190">
        <v>-0.06</v>
      </c>
      <c r="AB160" s="186"/>
      <c r="AC160" s="344"/>
      <c r="AD160" s="186"/>
      <c r="AE160" s="186"/>
      <c r="AF160" s="186"/>
      <c r="AG160" s="186"/>
      <c r="AH160" s="186"/>
      <c r="AI160" s="191">
        <f>-0.03*W160</f>
        <v>-49.800000000000004</v>
      </c>
      <c r="AJ160" s="191">
        <f t="shared" ref="AJ160:AJ163" si="94">AI160*R160</f>
        <v>-49.800000000000004</v>
      </c>
      <c r="AK160" s="186"/>
      <c r="AL160" s="186"/>
      <c r="AM160" s="186" t="s">
        <v>786</v>
      </c>
      <c r="AN160" s="344" t="s">
        <v>97</v>
      </c>
      <c r="AO160" s="186" t="s">
        <v>899</v>
      </c>
      <c r="AP160" s="193">
        <v>-0.08</v>
      </c>
      <c r="AQ160" s="193">
        <f t="shared" si="80"/>
        <v>2.0000000000000004E-2</v>
      </c>
      <c r="AR160" s="191">
        <f>AS160*R160</f>
        <v>33.20000000000001</v>
      </c>
      <c r="AS160" s="194">
        <f t="shared" si="82"/>
        <v>33.20000000000001</v>
      </c>
      <c r="AT160" s="195" t="s">
        <v>77</v>
      </c>
      <c r="AU160" s="425"/>
      <c r="AV160" s="425"/>
      <c r="AW160" s="425"/>
      <c r="AX160" s="425"/>
      <c r="AY160" s="425"/>
      <c r="AZ160" s="425"/>
      <c r="BA160" s="425"/>
      <c r="BB160" s="425"/>
      <c r="BC160" s="440"/>
      <c r="BD160" s="404">
        <f>SUM($AS$4:AS160)</f>
        <v>1750.8200000000249</v>
      </c>
      <c r="BE160" s="405">
        <f>SUM($AR$4:AR160)</f>
        <v>2646.0700000000243</v>
      </c>
      <c r="BF160" s="330"/>
      <c r="BG160" s="330"/>
    </row>
    <row r="161" spans="1:59" ht="18" customHeight="1">
      <c r="A161" s="181" t="s">
        <v>767</v>
      </c>
      <c r="B161" s="181">
        <v>44937</v>
      </c>
      <c r="C161" s="182" t="s">
        <v>900</v>
      </c>
      <c r="D161" s="182" t="s">
        <v>133</v>
      </c>
      <c r="E161" s="233"/>
      <c r="F161" s="184"/>
      <c r="G161" s="185" t="s">
        <v>262</v>
      </c>
      <c r="H161" s="186"/>
      <c r="I161" s="186"/>
      <c r="J161" s="186"/>
      <c r="K161" s="187"/>
      <c r="L161" s="186">
        <v>1</v>
      </c>
      <c r="M161" s="186"/>
      <c r="N161" s="186"/>
      <c r="O161" s="187" t="s">
        <v>76</v>
      </c>
      <c r="P161" s="187" t="s">
        <v>119</v>
      </c>
      <c r="Q161" s="187" t="s">
        <v>78</v>
      </c>
      <c r="R161" s="187">
        <v>1</v>
      </c>
      <c r="S161" s="187">
        <v>1</v>
      </c>
      <c r="T161" s="187">
        <v>1</v>
      </c>
      <c r="U161" s="187" t="s">
        <v>22</v>
      </c>
      <c r="V161" s="188">
        <f t="shared" si="85"/>
        <v>0.01</v>
      </c>
      <c r="W161" s="188">
        <f t="shared" si="93"/>
        <v>1660.0000000000002</v>
      </c>
      <c r="X161" s="189" t="s">
        <v>901</v>
      </c>
      <c r="Y161" s="189"/>
      <c r="Z161" s="189"/>
      <c r="AA161" s="190">
        <v>-0.1</v>
      </c>
      <c r="AB161" s="186"/>
      <c r="AC161" s="344"/>
      <c r="AD161" s="186"/>
      <c r="AE161" s="186"/>
      <c r="AF161" s="186"/>
      <c r="AG161" s="186"/>
      <c r="AH161" s="186"/>
      <c r="AI161" s="191">
        <f>-0.02*W161</f>
        <v>-33.200000000000003</v>
      </c>
      <c r="AJ161" s="191">
        <f t="shared" si="94"/>
        <v>-33.200000000000003</v>
      </c>
      <c r="AK161" s="186"/>
      <c r="AL161" s="186"/>
      <c r="AM161" s="186" t="s">
        <v>902</v>
      </c>
      <c r="AN161" s="344" t="s">
        <v>77</v>
      </c>
      <c r="AO161" s="186" t="s">
        <v>903</v>
      </c>
      <c r="AP161" s="193">
        <v>-0.1</v>
      </c>
      <c r="AQ161" s="193">
        <f t="shared" si="80"/>
        <v>0</v>
      </c>
      <c r="AR161" s="191">
        <f>AS161*R161</f>
        <v>0</v>
      </c>
      <c r="AS161" s="194">
        <f t="shared" si="82"/>
        <v>0</v>
      </c>
      <c r="AT161" s="195" t="s">
        <v>97</v>
      </c>
      <c r="AU161" s="425" t="s">
        <v>904</v>
      </c>
      <c r="AV161" s="425"/>
      <c r="AW161" s="425"/>
      <c r="AX161" s="425"/>
      <c r="AY161" s="425"/>
      <c r="AZ161" s="425"/>
      <c r="BA161" s="425"/>
      <c r="BB161" s="425"/>
      <c r="BC161" s="440"/>
      <c r="BD161" s="404">
        <f>SUM($AS$4:AS161)</f>
        <v>1750.8200000000249</v>
      </c>
      <c r="BE161" s="405">
        <f>SUM($AR$4:AR161)</f>
        <v>2646.0700000000243</v>
      </c>
      <c r="BF161" s="330"/>
      <c r="BG161" s="330"/>
    </row>
    <row r="162" spans="1:59" ht="18" customHeight="1">
      <c r="A162" s="181" t="s">
        <v>767</v>
      </c>
      <c r="B162" s="276" t="s">
        <v>905</v>
      </c>
      <c r="C162" s="182" t="s">
        <v>906</v>
      </c>
      <c r="D162" s="182" t="s">
        <v>74</v>
      </c>
      <c r="E162" s="233"/>
      <c r="F162" s="184"/>
      <c r="G162" s="247" t="s">
        <v>262</v>
      </c>
      <c r="H162" s="186"/>
      <c r="I162" s="186"/>
      <c r="J162" s="186"/>
      <c r="K162" s="187"/>
      <c r="L162" s="186">
        <v>1</v>
      </c>
      <c r="M162" s="186"/>
      <c r="N162" s="186"/>
      <c r="O162" s="187" t="s">
        <v>76</v>
      </c>
      <c r="P162" s="187" t="s">
        <v>119</v>
      </c>
      <c r="Q162" s="187" t="s">
        <v>78</v>
      </c>
      <c r="R162" s="187">
        <v>2</v>
      </c>
      <c r="S162" s="187">
        <v>2</v>
      </c>
      <c r="T162" s="187">
        <v>1</v>
      </c>
      <c r="U162" s="187" t="s">
        <v>22</v>
      </c>
      <c r="V162" s="188">
        <f t="shared" si="85"/>
        <v>0.01</v>
      </c>
      <c r="W162" s="188">
        <f t="shared" si="93"/>
        <v>1660.0000000000002</v>
      </c>
      <c r="X162" s="189" t="s">
        <v>901</v>
      </c>
      <c r="Y162" s="189"/>
      <c r="Z162" s="189"/>
      <c r="AA162" s="190">
        <v>-0.11</v>
      </c>
      <c r="AB162" s="186"/>
      <c r="AC162" s="344"/>
      <c r="AD162" s="186"/>
      <c r="AE162" s="186"/>
      <c r="AF162" s="186"/>
      <c r="AG162" s="186"/>
      <c r="AH162" s="186"/>
      <c r="AI162" s="191">
        <f>-0.04*W162</f>
        <v>-66.400000000000006</v>
      </c>
      <c r="AJ162" s="191">
        <f t="shared" si="94"/>
        <v>-132.80000000000001</v>
      </c>
      <c r="AK162" s="186"/>
      <c r="AL162" s="186"/>
      <c r="AM162" s="186" t="s">
        <v>907</v>
      </c>
      <c r="AN162" s="344" t="s">
        <v>77</v>
      </c>
      <c r="AO162" s="186" t="s">
        <v>903</v>
      </c>
      <c r="AP162" s="193">
        <v>-0.1</v>
      </c>
      <c r="AQ162" s="193">
        <f t="shared" si="80"/>
        <v>9.999999999999995E-3</v>
      </c>
      <c r="AR162" s="191">
        <f>AS162*R162</f>
        <v>33.199999999999989</v>
      </c>
      <c r="AS162" s="194">
        <f t="shared" si="82"/>
        <v>16.599999999999994</v>
      </c>
      <c r="AT162" s="195" t="s">
        <v>77</v>
      </c>
      <c r="AU162" s="425" t="s">
        <v>904</v>
      </c>
      <c r="AV162" s="425"/>
      <c r="AW162" s="425"/>
      <c r="AX162" s="425"/>
      <c r="AY162" s="425"/>
      <c r="AZ162" s="425"/>
      <c r="BA162" s="425"/>
      <c r="BB162" s="425"/>
      <c r="BC162" s="440"/>
      <c r="BD162" s="404">
        <f>SUM($AS$4:AS162)</f>
        <v>1767.4200000000249</v>
      </c>
      <c r="BE162" s="405">
        <f>SUM($AR$4:AR162)</f>
        <v>2679.2700000000241</v>
      </c>
      <c r="BF162" s="330"/>
      <c r="BG162" s="330"/>
    </row>
    <row r="163" spans="1:59" ht="18" customHeight="1">
      <c r="A163" s="181" t="s">
        <v>767</v>
      </c>
      <c r="B163" s="181">
        <v>44938</v>
      </c>
      <c r="C163" s="182" t="s">
        <v>908</v>
      </c>
      <c r="D163" s="182" t="s">
        <v>74</v>
      </c>
      <c r="E163" s="233"/>
      <c r="F163" s="184"/>
      <c r="G163" s="277" t="s">
        <v>115</v>
      </c>
      <c r="H163" s="186"/>
      <c r="I163" s="186"/>
      <c r="J163" s="186"/>
      <c r="K163" s="187"/>
      <c r="L163" s="186">
        <v>1</v>
      </c>
      <c r="M163" s="186"/>
      <c r="N163" s="186">
        <v>1</v>
      </c>
      <c r="O163" s="187" t="s">
        <v>76</v>
      </c>
      <c r="P163" s="187" t="s">
        <v>77</v>
      </c>
      <c r="Q163" s="187" t="s">
        <v>78</v>
      </c>
      <c r="R163" s="187">
        <v>2</v>
      </c>
      <c r="S163" s="187">
        <v>2</v>
      </c>
      <c r="T163" s="187">
        <v>2</v>
      </c>
      <c r="U163" s="187" t="s">
        <v>22</v>
      </c>
      <c r="V163" s="188">
        <f t="shared" si="85"/>
        <v>0.01</v>
      </c>
      <c r="W163" s="188">
        <f>IF(ISBLANK(O163),,IF(O163=UPPER("IB"),8.63*200,16.7*100))</f>
        <v>1670</v>
      </c>
      <c r="X163" s="189" t="s">
        <v>909</v>
      </c>
      <c r="Y163" s="189"/>
      <c r="Z163" s="189"/>
      <c r="AA163" s="190">
        <v>-0.04</v>
      </c>
      <c r="AB163" s="186"/>
      <c r="AC163" s="344"/>
      <c r="AD163" s="186"/>
      <c r="AE163" s="186"/>
      <c r="AF163" s="186"/>
      <c r="AG163" s="186"/>
      <c r="AH163" s="186"/>
      <c r="AI163" s="191">
        <f>-0.03*W163</f>
        <v>-50.1</v>
      </c>
      <c r="AJ163" s="191">
        <f t="shared" si="94"/>
        <v>-100.2</v>
      </c>
      <c r="AK163" s="186"/>
      <c r="AL163" s="186"/>
      <c r="AM163" s="186" t="s">
        <v>910</v>
      </c>
      <c r="AN163" s="344" t="s">
        <v>97</v>
      </c>
      <c r="AO163" s="199">
        <v>44942.25</v>
      </c>
      <c r="AP163" s="193">
        <v>-0.01</v>
      </c>
      <c r="AQ163" s="193">
        <f t="shared" si="80"/>
        <v>0.03</v>
      </c>
      <c r="AR163" s="191">
        <f>AS163*R163</f>
        <v>100.2</v>
      </c>
      <c r="AS163" s="194">
        <f t="shared" si="82"/>
        <v>50.1</v>
      </c>
      <c r="AT163" s="195" t="s">
        <v>77</v>
      </c>
      <c r="AU163" s="425"/>
      <c r="AV163" s="425"/>
      <c r="AW163" s="425"/>
      <c r="AX163" s="425"/>
      <c r="AY163" s="425"/>
      <c r="AZ163" s="425"/>
      <c r="BA163" s="425"/>
      <c r="BB163" s="425"/>
      <c r="BC163" s="440"/>
      <c r="BD163" s="404">
        <f>SUM($AS$4:AS163)</f>
        <v>1817.5200000000248</v>
      </c>
      <c r="BE163" s="405">
        <f>SUM($AR$4:AR163)</f>
        <v>2779.4700000000239</v>
      </c>
      <c r="BF163" s="330"/>
      <c r="BG163" s="330"/>
    </row>
    <row r="164" spans="1:59" ht="18" customHeight="1">
      <c r="A164" s="181" t="s">
        <v>767</v>
      </c>
      <c r="B164" s="181">
        <v>44938</v>
      </c>
      <c r="C164" s="198">
        <v>0.79166666666666663</v>
      </c>
      <c r="D164" s="182" t="s">
        <v>74</v>
      </c>
      <c r="E164" s="233" t="s">
        <v>911</v>
      </c>
      <c r="F164" s="184" t="s">
        <v>912</v>
      </c>
      <c r="G164" s="185"/>
      <c r="H164" s="186"/>
      <c r="I164" s="186">
        <v>1</v>
      </c>
      <c r="J164" s="186"/>
      <c r="K164" s="187"/>
      <c r="L164" s="186"/>
      <c r="M164" s="186"/>
      <c r="N164" s="186"/>
      <c r="O164" s="187"/>
      <c r="P164" s="187"/>
      <c r="Q164" s="187"/>
      <c r="R164" s="187"/>
      <c r="S164" s="187"/>
      <c r="T164" s="187"/>
      <c r="U164" s="187"/>
      <c r="V164" s="188"/>
      <c r="W164" s="188"/>
      <c r="X164" s="189"/>
      <c r="Y164" s="189"/>
      <c r="Z164" s="189"/>
      <c r="AA164" s="190"/>
      <c r="AB164" s="186"/>
      <c r="AC164" s="344"/>
      <c r="AD164" s="186"/>
      <c r="AE164" s="186"/>
      <c r="AF164" s="186"/>
      <c r="AG164" s="186"/>
      <c r="AH164" s="186"/>
      <c r="AI164" s="191"/>
      <c r="AJ164" s="187"/>
      <c r="AK164" s="186"/>
      <c r="AL164" s="186"/>
      <c r="AM164" s="186"/>
      <c r="AN164" s="344"/>
      <c r="AO164" s="186"/>
      <c r="AP164" s="193"/>
      <c r="AQ164" s="186">
        <f t="shared" si="80"/>
        <v>0</v>
      </c>
      <c r="AR164" s="191"/>
      <c r="AS164" s="194">
        <f t="shared" si="82"/>
        <v>0</v>
      </c>
      <c r="AT164" s="195"/>
      <c r="AU164" s="425"/>
      <c r="AV164" s="425"/>
      <c r="AW164" s="425"/>
      <c r="AX164" s="425"/>
      <c r="AY164" s="425"/>
      <c r="AZ164" s="425"/>
      <c r="BA164" s="425"/>
      <c r="BB164" s="425"/>
      <c r="BC164" s="440"/>
      <c r="BD164" s="404">
        <f>SUM($AS$4:AS164)</f>
        <v>1817.5200000000248</v>
      </c>
      <c r="BE164" s="405">
        <f>SUM($AR$4:AR164)</f>
        <v>2779.4700000000239</v>
      </c>
      <c r="BF164" s="330"/>
      <c r="BG164" s="330"/>
    </row>
    <row r="165" spans="1:59" ht="18" customHeight="1">
      <c r="A165" s="181" t="s">
        <v>767</v>
      </c>
      <c r="B165" s="181"/>
      <c r="C165" s="182"/>
      <c r="D165" s="182"/>
      <c r="E165" s="233" t="s">
        <v>913</v>
      </c>
      <c r="F165" s="184" t="s">
        <v>914</v>
      </c>
      <c r="G165" s="185"/>
      <c r="H165" s="186"/>
      <c r="I165" s="186"/>
      <c r="J165" s="186">
        <v>1</v>
      </c>
      <c r="K165" s="187" t="s">
        <v>97</v>
      </c>
      <c r="L165" s="186"/>
      <c r="M165" s="186"/>
      <c r="N165" s="186"/>
      <c r="O165" s="187"/>
      <c r="P165" s="187"/>
      <c r="Q165" s="187"/>
      <c r="R165" s="187"/>
      <c r="S165" s="187"/>
      <c r="T165" s="187"/>
      <c r="U165" s="187"/>
      <c r="V165" s="188"/>
      <c r="W165" s="188"/>
      <c r="X165" s="189"/>
      <c r="Y165" s="189"/>
      <c r="Z165" s="189"/>
      <c r="AA165" s="190"/>
      <c r="AB165" s="186"/>
      <c r="AC165" s="344"/>
      <c r="AD165" s="186"/>
      <c r="AE165" s="186"/>
      <c r="AF165" s="186"/>
      <c r="AG165" s="186"/>
      <c r="AH165" s="186"/>
      <c r="AI165" s="191"/>
      <c r="AJ165" s="187"/>
      <c r="AK165" s="186"/>
      <c r="AL165" s="186"/>
      <c r="AM165" s="186"/>
      <c r="AN165" s="344"/>
      <c r="AO165" s="186"/>
      <c r="AP165" s="193"/>
      <c r="AQ165" s="186"/>
      <c r="AR165" s="191"/>
      <c r="AS165" s="194"/>
      <c r="AT165" s="195"/>
      <c r="AU165" s="425"/>
      <c r="AV165" s="425"/>
      <c r="AW165" s="425"/>
      <c r="AX165" s="425"/>
      <c r="AY165" s="425"/>
      <c r="AZ165" s="425"/>
      <c r="BA165" s="425"/>
      <c r="BB165" s="425"/>
      <c r="BC165" s="440"/>
      <c r="BD165" s="404">
        <f>SUM($AS$4:AS165)</f>
        <v>1817.5200000000248</v>
      </c>
      <c r="BE165" s="405">
        <f>SUM($AR$4:AR165)</f>
        <v>2779.4700000000239</v>
      </c>
      <c r="BF165" s="330"/>
      <c r="BG165" s="330"/>
    </row>
    <row r="166" spans="1:59" ht="18" customHeight="1">
      <c r="A166" s="181" t="s">
        <v>767</v>
      </c>
      <c r="B166" s="181"/>
      <c r="C166" s="182"/>
      <c r="D166" s="182"/>
      <c r="E166" s="233" t="s">
        <v>915</v>
      </c>
      <c r="F166" s="184"/>
      <c r="G166" s="185"/>
      <c r="H166" s="186"/>
      <c r="I166" s="186">
        <v>1</v>
      </c>
      <c r="J166" s="186"/>
      <c r="K166" s="187" t="s">
        <v>97</v>
      </c>
      <c r="L166" s="186"/>
      <c r="M166" s="186"/>
      <c r="N166" s="186"/>
      <c r="O166" s="187"/>
      <c r="P166" s="187"/>
      <c r="Q166" s="187"/>
      <c r="R166" s="187"/>
      <c r="S166" s="187"/>
      <c r="T166" s="187"/>
      <c r="U166" s="187"/>
      <c r="V166" s="188"/>
      <c r="W166" s="188"/>
      <c r="X166" s="189"/>
      <c r="Y166" s="189"/>
      <c r="Z166" s="189"/>
      <c r="AA166" s="190"/>
      <c r="AB166" s="186"/>
      <c r="AC166" s="344"/>
      <c r="AD166" s="186"/>
      <c r="AE166" s="186"/>
      <c r="AF166" s="186"/>
      <c r="AG166" s="186"/>
      <c r="AH166" s="186"/>
      <c r="AI166" s="191"/>
      <c r="AJ166" s="187"/>
      <c r="AK166" s="186"/>
      <c r="AL166" s="186"/>
      <c r="AM166" s="186"/>
      <c r="AN166" s="344"/>
      <c r="AO166" s="186"/>
      <c r="AP166" s="193"/>
      <c r="AQ166" s="186"/>
      <c r="AR166" s="191"/>
      <c r="AS166" s="194"/>
      <c r="AT166" s="195"/>
      <c r="AU166" s="425"/>
      <c r="AV166" s="425"/>
      <c r="AW166" s="425"/>
      <c r="AX166" s="425"/>
      <c r="AY166" s="425"/>
      <c r="AZ166" s="425"/>
      <c r="BA166" s="425"/>
      <c r="BB166" s="425"/>
      <c r="BC166" s="440"/>
      <c r="BD166" s="404">
        <f>SUM($AS$4:AS166)</f>
        <v>1817.5200000000248</v>
      </c>
      <c r="BE166" s="405">
        <f>SUM($AR$4:AR166)</f>
        <v>2779.4700000000239</v>
      </c>
      <c r="BF166" s="330"/>
      <c r="BG166" s="330"/>
    </row>
    <row r="167" spans="1:59" ht="18" customHeight="1">
      <c r="A167" s="181" t="s">
        <v>767</v>
      </c>
      <c r="B167" s="181"/>
      <c r="C167" s="182"/>
      <c r="D167" s="182"/>
      <c r="E167" s="233" t="s">
        <v>916</v>
      </c>
      <c r="F167" s="184"/>
      <c r="G167" s="185"/>
      <c r="H167" s="186"/>
      <c r="I167" s="186"/>
      <c r="J167" s="186"/>
      <c r="K167" s="187"/>
      <c r="L167" s="186"/>
      <c r="M167" s="186"/>
      <c r="N167" s="186"/>
      <c r="O167" s="187"/>
      <c r="P167" s="187"/>
      <c r="Q167" s="187"/>
      <c r="R167" s="187"/>
      <c r="S167" s="187"/>
      <c r="T167" s="187"/>
      <c r="U167" s="187"/>
      <c r="V167" s="188"/>
      <c r="W167" s="188"/>
      <c r="X167" s="189"/>
      <c r="Y167" s="189"/>
      <c r="Z167" s="189"/>
      <c r="AA167" s="190"/>
      <c r="AB167" s="186"/>
      <c r="AC167" s="344"/>
      <c r="AD167" s="186"/>
      <c r="AE167" s="186"/>
      <c r="AF167" s="186"/>
      <c r="AG167" s="186"/>
      <c r="AH167" s="186"/>
      <c r="AI167" s="191"/>
      <c r="AJ167" s="187"/>
      <c r="AK167" s="186"/>
      <c r="AL167" s="186"/>
      <c r="AM167" s="186"/>
      <c r="AN167" s="344"/>
      <c r="AO167" s="186"/>
      <c r="AP167" s="193"/>
      <c r="AQ167" s="186"/>
      <c r="AR167" s="191"/>
      <c r="AS167" s="194"/>
      <c r="AT167" s="195"/>
      <c r="AU167" s="425"/>
      <c r="AV167" s="425"/>
      <c r="AW167" s="425"/>
      <c r="AX167" s="425"/>
      <c r="AY167" s="425"/>
      <c r="AZ167" s="425"/>
      <c r="BA167" s="425"/>
      <c r="BB167" s="425"/>
      <c r="BC167" s="440"/>
      <c r="BD167" s="404">
        <f>SUM($AS$4:AS167)</f>
        <v>1817.5200000000248</v>
      </c>
      <c r="BE167" s="405">
        <f>SUM($AR$4:AR167)</f>
        <v>2779.4700000000239</v>
      </c>
      <c r="BF167" s="330"/>
      <c r="BG167" s="330"/>
    </row>
    <row r="168" spans="1:59" ht="18" customHeight="1">
      <c r="A168" s="181" t="s">
        <v>767</v>
      </c>
      <c r="B168" s="181">
        <v>44939</v>
      </c>
      <c r="C168" s="182" t="s">
        <v>917</v>
      </c>
      <c r="D168" s="182" t="s">
        <v>93</v>
      </c>
      <c r="E168" s="233"/>
      <c r="F168" s="184"/>
      <c r="G168" s="256" t="s">
        <v>535</v>
      </c>
      <c r="H168" s="186"/>
      <c r="I168" s="186"/>
      <c r="J168" s="186"/>
      <c r="K168" s="187"/>
      <c r="L168" s="186">
        <v>1</v>
      </c>
      <c r="M168" s="186"/>
      <c r="N168" s="186"/>
      <c r="O168" s="187" t="s">
        <v>76</v>
      </c>
      <c r="P168" s="187" t="s">
        <v>119</v>
      </c>
      <c r="Q168" s="187" t="s">
        <v>78</v>
      </c>
      <c r="R168" s="187">
        <v>1</v>
      </c>
      <c r="S168" s="187">
        <v>1</v>
      </c>
      <c r="T168" s="187">
        <v>1</v>
      </c>
      <c r="U168" s="187" t="s">
        <v>22</v>
      </c>
      <c r="V168" s="188">
        <f t="shared" ref="V168:V220" si="95">IF(ISBLANK(O168),,(IF(O168=UPPER("IB"),0.005,0.01)))</f>
        <v>0.01</v>
      </c>
      <c r="W168" s="188">
        <f t="shared" ref="W168:W184" si="96">IF(ISBLANK(O168),,IF(O168=UPPER("IB"),8.63*200,16.7*100))</f>
        <v>1670</v>
      </c>
      <c r="X168" s="189" t="s">
        <v>918</v>
      </c>
      <c r="Y168" s="189"/>
      <c r="Z168" s="189"/>
      <c r="AA168" s="190">
        <v>-0.09</v>
      </c>
      <c r="AB168" s="186"/>
      <c r="AC168" s="344">
        <v>-0.12</v>
      </c>
      <c r="AD168" s="186"/>
      <c r="AE168" s="186">
        <v>-7.0000000000000007E-2</v>
      </c>
      <c r="AF168" s="186"/>
      <c r="AG168" s="186"/>
      <c r="AH168" s="186"/>
      <c r="AI168" s="191">
        <f t="shared" ref="AI168:AI169" si="97">-0.03*W168</f>
        <v>-50.1</v>
      </c>
      <c r="AJ168" s="191">
        <f t="shared" ref="AJ168:AJ170" si="98">AI168*R168</f>
        <v>-50.1</v>
      </c>
      <c r="AK168" s="186"/>
      <c r="AL168" s="186"/>
      <c r="AM168" s="186" t="s">
        <v>919</v>
      </c>
      <c r="AN168" s="344" t="s">
        <v>87</v>
      </c>
      <c r="AO168" s="186" t="s">
        <v>920</v>
      </c>
      <c r="AP168" s="193">
        <v>-0.06</v>
      </c>
      <c r="AQ168" s="193">
        <f t="shared" ref="AQ168:AQ198" si="99">IF(ISBLANK(AP168),,IF(U168="S",AA168-AP168,AP168-AA168))</f>
        <v>0.03</v>
      </c>
      <c r="AR168" s="191">
        <f>AS168*R168</f>
        <v>50.1</v>
      </c>
      <c r="AS168" s="194">
        <f t="shared" ref="AS168:AS198" si="100">IF(ISBLANK(AP168),,(AQ168*W168))</f>
        <v>50.1</v>
      </c>
      <c r="AT168" s="195" t="s">
        <v>77</v>
      </c>
      <c r="AU168" s="425" t="s">
        <v>921</v>
      </c>
      <c r="AV168" s="425" t="s">
        <v>922</v>
      </c>
      <c r="AW168" s="425"/>
      <c r="AX168" s="425"/>
      <c r="AY168" s="425"/>
      <c r="AZ168" s="425"/>
      <c r="BA168" s="425"/>
      <c r="BB168" s="425"/>
      <c r="BC168" s="440"/>
      <c r="BD168" s="404">
        <f>SUM($AS$4:AS168)</f>
        <v>1867.6200000000247</v>
      </c>
      <c r="BE168" s="405">
        <f>SUM($AR$4:AR168)</f>
        <v>2829.5700000000238</v>
      </c>
      <c r="BF168" s="330"/>
      <c r="BG168" s="330"/>
    </row>
    <row r="169" spans="1:59" ht="18" customHeight="1">
      <c r="A169" s="181" t="s">
        <v>767</v>
      </c>
      <c r="B169" s="181">
        <v>44939</v>
      </c>
      <c r="C169" s="182" t="s">
        <v>923</v>
      </c>
      <c r="D169" s="182" t="s">
        <v>93</v>
      </c>
      <c r="E169" s="233"/>
      <c r="F169" s="184"/>
      <c r="G169" s="256" t="s">
        <v>535</v>
      </c>
      <c r="H169" s="186"/>
      <c r="I169" s="186"/>
      <c r="J169" s="186"/>
      <c r="K169" s="187"/>
      <c r="L169" s="186">
        <v>1</v>
      </c>
      <c r="M169" s="186"/>
      <c r="N169" s="186"/>
      <c r="O169" s="187" t="s">
        <v>76</v>
      </c>
      <c r="P169" s="187" t="s">
        <v>119</v>
      </c>
      <c r="Q169" s="187" t="s">
        <v>78</v>
      </c>
      <c r="R169" s="187">
        <v>1</v>
      </c>
      <c r="S169" s="187">
        <v>1</v>
      </c>
      <c r="T169" s="187">
        <v>1</v>
      </c>
      <c r="U169" s="278" t="s">
        <v>78</v>
      </c>
      <c r="V169" s="188">
        <f t="shared" si="95"/>
        <v>0.01</v>
      </c>
      <c r="W169" s="188">
        <f t="shared" si="96"/>
        <v>1670</v>
      </c>
      <c r="X169" s="189" t="s">
        <v>570</v>
      </c>
      <c r="Y169" s="189"/>
      <c r="Z169" s="189" t="s">
        <v>80</v>
      </c>
      <c r="AA169" s="190">
        <v>-0.06</v>
      </c>
      <c r="AB169" s="186"/>
      <c r="AC169" s="344">
        <v>-0.12</v>
      </c>
      <c r="AD169" s="186"/>
      <c r="AE169" s="186">
        <v>-7.0000000000000007E-2</v>
      </c>
      <c r="AF169" s="186"/>
      <c r="AG169" s="186"/>
      <c r="AH169" s="186"/>
      <c r="AI169" s="191">
        <f t="shared" si="97"/>
        <v>-50.1</v>
      </c>
      <c r="AJ169" s="191">
        <f t="shared" si="98"/>
        <v>-50.1</v>
      </c>
      <c r="AK169" s="186"/>
      <c r="AL169" s="186"/>
      <c r="AM169" s="186" t="s">
        <v>924</v>
      </c>
      <c r="AN169" s="344" t="s">
        <v>87</v>
      </c>
      <c r="AO169" s="186" t="s">
        <v>925</v>
      </c>
      <c r="AP169" s="193">
        <v>-7.0000000000000007E-2</v>
      </c>
      <c r="AQ169" s="193">
        <f t="shared" si="99"/>
        <v>1.0000000000000009E-2</v>
      </c>
      <c r="AR169" s="191">
        <f>AS169*R169</f>
        <v>16.700000000000014</v>
      </c>
      <c r="AS169" s="194">
        <f t="shared" si="100"/>
        <v>16.700000000000014</v>
      </c>
      <c r="AT169" s="195" t="s">
        <v>77</v>
      </c>
      <c r="AU169" s="425" t="s">
        <v>922</v>
      </c>
      <c r="AV169" s="425"/>
      <c r="AW169" s="425"/>
      <c r="AX169" s="425"/>
      <c r="AY169" s="425"/>
      <c r="AZ169" s="425"/>
      <c r="BA169" s="425"/>
      <c r="BB169" s="425"/>
      <c r="BC169" s="440"/>
      <c r="BD169" s="404">
        <f>SUM($AS$4:AS169)</f>
        <v>1884.3200000000247</v>
      </c>
      <c r="BE169" s="405">
        <f>SUM($AR$4:AR169)</f>
        <v>2846.2700000000236</v>
      </c>
      <c r="BF169" s="330"/>
      <c r="BG169" s="330"/>
    </row>
    <row r="170" spans="1:59" ht="18" customHeight="1">
      <c r="A170" s="181" t="s">
        <v>767</v>
      </c>
      <c r="B170" s="181">
        <v>44942</v>
      </c>
      <c r="C170" s="182" t="s">
        <v>926</v>
      </c>
      <c r="D170" s="182" t="s">
        <v>114</v>
      </c>
      <c r="E170" s="233"/>
      <c r="F170" s="184"/>
      <c r="G170" s="185" t="s">
        <v>927</v>
      </c>
      <c r="H170" s="186"/>
      <c r="I170" s="186"/>
      <c r="J170" s="186"/>
      <c r="K170" s="187"/>
      <c r="L170" s="186">
        <v>1</v>
      </c>
      <c r="M170" s="186"/>
      <c r="N170" s="186"/>
      <c r="O170" s="187" t="s">
        <v>76</v>
      </c>
      <c r="P170" s="187" t="s">
        <v>119</v>
      </c>
      <c r="Q170" s="187" t="s">
        <v>666</v>
      </c>
      <c r="R170" s="187">
        <v>1</v>
      </c>
      <c r="S170" s="187">
        <v>1</v>
      </c>
      <c r="T170" s="187">
        <v>1</v>
      </c>
      <c r="U170" s="187" t="s">
        <v>78</v>
      </c>
      <c r="V170" s="188">
        <f t="shared" si="95"/>
        <v>0.01</v>
      </c>
      <c r="W170" s="188">
        <f t="shared" si="96"/>
        <v>1670</v>
      </c>
      <c r="X170" s="189" t="s">
        <v>928</v>
      </c>
      <c r="Y170" s="189"/>
      <c r="Z170" s="189"/>
      <c r="AA170" s="190">
        <v>96.42</v>
      </c>
      <c r="AB170" s="186"/>
      <c r="AC170" s="344">
        <v>96.46</v>
      </c>
      <c r="AD170" s="186"/>
      <c r="AE170" s="186" t="s">
        <v>929</v>
      </c>
      <c r="AF170" s="186"/>
      <c r="AG170" s="186"/>
      <c r="AH170" s="186"/>
      <c r="AI170" s="191">
        <f>-0.04*W170</f>
        <v>-66.8</v>
      </c>
      <c r="AJ170" s="191">
        <f t="shared" si="98"/>
        <v>-66.8</v>
      </c>
      <c r="AK170" s="186" t="s">
        <v>930</v>
      </c>
      <c r="AL170" s="186"/>
      <c r="AM170" s="186" t="s">
        <v>931</v>
      </c>
      <c r="AN170" s="344" t="s">
        <v>87</v>
      </c>
      <c r="AO170" s="186" t="s">
        <v>932</v>
      </c>
      <c r="AP170" s="193">
        <v>96.47</v>
      </c>
      <c r="AQ170" s="193">
        <f t="shared" si="99"/>
        <v>-4.9999999999997158E-2</v>
      </c>
      <c r="AR170" s="191">
        <f>AS170*R170</f>
        <v>-83.499999999995254</v>
      </c>
      <c r="AS170" s="194">
        <f t="shared" si="100"/>
        <v>-83.499999999995254</v>
      </c>
      <c r="AT170" s="195" t="s">
        <v>211</v>
      </c>
      <c r="AU170" s="425" t="s">
        <v>933</v>
      </c>
      <c r="AV170" s="425" t="s">
        <v>934</v>
      </c>
      <c r="AW170" s="425" t="s">
        <v>935</v>
      </c>
      <c r="AX170" s="425" t="s">
        <v>936</v>
      </c>
      <c r="AY170" s="425"/>
      <c r="AZ170" s="425"/>
      <c r="BA170" s="425"/>
      <c r="BB170" s="425"/>
      <c r="BC170" s="440"/>
      <c r="BD170" s="404">
        <f>SUM($AS$4:AS170)</f>
        <v>1800.8200000000295</v>
      </c>
      <c r="BE170" s="405">
        <f>SUM($AR$4:AR170)</f>
        <v>2762.7700000000282</v>
      </c>
      <c r="BF170" s="330"/>
      <c r="BG170" s="330"/>
    </row>
    <row r="171" spans="1:59" ht="18" customHeight="1">
      <c r="A171" s="181" t="s">
        <v>767</v>
      </c>
      <c r="B171" s="181">
        <v>44943</v>
      </c>
      <c r="C171" s="198">
        <v>0.20833333333333334</v>
      </c>
      <c r="D171" s="182" t="s">
        <v>128</v>
      </c>
      <c r="E171" s="233" t="s">
        <v>937</v>
      </c>
      <c r="F171" s="184" t="s">
        <v>938</v>
      </c>
      <c r="G171" s="185"/>
      <c r="H171" s="186"/>
      <c r="I171" s="186"/>
      <c r="J171" s="186"/>
      <c r="K171" s="187"/>
      <c r="L171" s="186"/>
      <c r="M171" s="186"/>
      <c r="N171" s="186"/>
      <c r="O171" s="187"/>
      <c r="P171" s="187"/>
      <c r="Q171" s="187"/>
      <c r="R171" s="187"/>
      <c r="S171" s="187"/>
      <c r="T171" s="187"/>
      <c r="U171" s="187"/>
      <c r="V171" s="188">
        <f t="shared" si="95"/>
        <v>0</v>
      </c>
      <c r="W171" s="188">
        <f t="shared" si="96"/>
        <v>0</v>
      </c>
      <c r="X171" s="189"/>
      <c r="Y171" s="189"/>
      <c r="Z171" s="189"/>
      <c r="AA171" s="190"/>
      <c r="AB171" s="186"/>
      <c r="AC171" s="344"/>
      <c r="AD171" s="186"/>
      <c r="AE171" s="186"/>
      <c r="AF171" s="186"/>
      <c r="AG171" s="186"/>
      <c r="AH171" s="186"/>
      <c r="AI171" s="191"/>
      <c r="AJ171" s="187"/>
      <c r="AK171" s="186"/>
      <c r="AL171" s="186"/>
      <c r="AM171" s="186"/>
      <c r="AN171" s="344"/>
      <c r="AO171" s="186"/>
      <c r="AP171" s="193"/>
      <c r="AQ171" s="186"/>
      <c r="AR171" s="191"/>
      <c r="AS171" s="194"/>
      <c r="AT171" s="195"/>
      <c r="AU171" s="427"/>
      <c r="AV171" s="425" t="s">
        <v>939</v>
      </c>
      <c r="AW171" s="425"/>
      <c r="AX171" s="425"/>
      <c r="AY171" s="425"/>
      <c r="AZ171" s="425"/>
      <c r="BA171" s="425"/>
      <c r="BB171" s="425"/>
      <c r="BC171" s="440"/>
      <c r="BD171" s="404">
        <f>SUM($AS$4:AS171)</f>
        <v>1800.8200000000295</v>
      </c>
      <c r="BE171" s="405">
        <f>SUM($AR$4:AR171)</f>
        <v>2762.7700000000282</v>
      </c>
      <c r="BF171" s="330"/>
      <c r="BG171" s="330"/>
    </row>
    <row r="172" spans="1:59" ht="18" customHeight="1">
      <c r="A172" s="181" t="s">
        <v>767</v>
      </c>
      <c r="B172" s="181">
        <v>44943</v>
      </c>
      <c r="C172" s="182" t="s">
        <v>940</v>
      </c>
      <c r="D172" s="182" t="s">
        <v>128</v>
      </c>
      <c r="E172" s="233"/>
      <c r="F172" s="184"/>
      <c r="G172" s="256" t="s">
        <v>115</v>
      </c>
      <c r="H172" s="186"/>
      <c r="I172" s="186"/>
      <c r="J172" s="186"/>
      <c r="K172" s="187"/>
      <c r="L172" s="186">
        <v>1</v>
      </c>
      <c r="M172" s="186"/>
      <c r="N172" s="186">
        <v>1</v>
      </c>
      <c r="O172" s="187" t="s">
        <v>76</v>
      </c>
      <c r="P172" s="187" t="s">
        <v>77</v>
      </c>
      <c r="Q172" s="187" t="s">
        <v>78</v>
      </c>
      <c r="R172" s="187">
        <v>2</v>
      </c>
      <c r="S172" s="187">
        <v>2</v>
      </c>
      <c r="T172" s="187">
        <v>2</v>
      </c>
      <c r="U172" s="187" t="s">
        <v>22</v>
      </c>
      <c r="V172" s="188">
        <f t="shared" si="95"/>
        <v>0.01</v>
      </c>
      <c r="W172" s="188">
        <f t="shared" si="96"/>
        <v>1670</v>
      </c>
      <c r="X172" s="189" t="s">
        <v>941</v>
      </c>
      <c r="Y172" s="189"/>
      <c r="Z172" s="189"/>
      <c r="AA172" s="190">
        <v>-0.04</v>
      </c>
      <c r="AB172" s="186"/>
      <c r="AC172" s="344"/>
      <c r="AD172" s="186"/>
      <c r="AE172" s="186">
        <v>-0.02</v>
      </c>
      <c r="AF172" s="186"/>
      <c r="AG172" s="186"/>
      <c r="AH172" s="186"/>
      <c r="AI172" s="191">
        <f>-0.02*W172</f>
        <v>-33.4</v>
      </c>
      <c r="AJ172" s="191">
        <f t="shared" ref="AJ172:AJ174" si="101">AI172*R172</f>
        <v>-66.8</v>
      </c>
      <c r="AK172" s="186"/>
      <c r="AL172" s="186"/>
      <c r="AM172" s="186" t="s">
        <v>942</v>
      </c>
      <c r="AN172" s="344" t="s">
        <v>87</v>
      </c>
      <c r="AO172" s="186" t="s">
        <v>943</v>
      </c>
      <c r="AP172" s="193">
        <v>-0.02</v>
      </c>
      <c r="AQ172" s="193">
        <f t="shared" si="99"/>
        <v>0.02</v>
      </c>
      <c r="AR172" s="191">
        <f>AS172*R172</f>
        <v>66.8</v>
      </c>
      <c r="AS172" s="194">
        <f t="shared" si="100"/>
        <v>33.4</v>
      </c>
      <c r="AT172" s="195" t="s">
        <v>77</v>
      </c>
      <c r="AU172" s="425" t="s">
        <v>586</v>
      </c>
      <c r="AV172" s="425"/>
      <c r="AW172" s="425"/>
      <c r="AX172" s="425"/>
      <c r="AY172" s="425"/>
      <c r="AZ172" s="425"/>
      <c r="BA172" s="425"/>
      <c r="BB172" s="425"/>
      <c r="BC172" s="440"/>
      <c r="BD172" s="404">
        <f>SUM($AS$4:AS172)</f>
        <v>1834.2200000000296</v>
      </c>
      <c r="BE172" s="405">
        <f>SUM($AR$4:AR172)</f>
        <v>2829.5700000000284</v>
      </c>
      <c r="BF172" s="330"/>
      <c r="BG172" s="330"/>
    </row>
    <row r="173" spans="1:59" ht="18" customHeight="1">
      <c r="A173" s="181" t="s">
        <v>767</v>
      </c>
      <c r="B173" s="181">
        <v>44943</v>
      </c>
      <c r="C173" s="182" t="s">
        <v>944</v>
      </c>
      <c r="D173" s="182" t="s">
        <v>128</v>
      </c>
      <c r="E173" s="233"/>
      <c r="F173" s="184"/>
      <c r="G173" s="256" t="s">
        <v>347</v>
      </c>
      <c r="H173" s="186"/>
      <c r="I173" s="186"/>
      <c r="J173" s="186"/>
      <c r="K173" s="187"/>
      <c r="L173" s="186">
        <v>1</v>
      </c>
      <c r="M173" s="186"/>
      <c r="N173" s="186">
        <v>1</v>
      </c>
      <c r="O173" s="187" t="s">
        <v>76</v>
      </c>
      <c r="P173" s="187" t="s">
        <v>77</v>
      </c>
      <c r="Q173" s="187" t="s">
        <v>78</v>
      </c>
      <c r="R173" s="187">
        <v>2</v>
      </c>
      <c r="S173" s="187">
        <v>2</v>
      </c>
      <c r="T173" s="187">
        <v>1</v>
      </c>
      <c r="U173" s="187" t="s">
        <v>22</v>
      </c>
      <c r="V173" s="188">
        <f t="shared" si="95"/>
        <v>0.01</v>
      </c>
      <c r="W173" s="188">
        <f t="shared" si="96"/>
        <v>1670</v>
      </c>
      <c r="X173" s="189" t="s">
        <v>945</v>
      </c>
      <c r="Y173" s="189"/>
      <c r="Z173" s="189" t="s">
        <v>80</v>
      </c>
      <c r="AA173" s="190">
        <v>-0.11</v>
      </c>
      <c r="AB173" s="186"/>
      <c r="AC173" s="344"/>
      <c r="AD173" s="186"/>
      <c r="AE173" s="186">
        <v>-2</v>
      </c>
      <c r="AF173" s="186"/>
      <c r="AG173" s="186"/>
      <c r="AH173" s="186"/>
      <c r="AI173" s="191">
        <f>-0.03*W173</f>
        <v>-50.1</v>
      </c>
      <c r="AJ173" s="191">
        <f t="shared" si="101"/>
        <v>-100.2</v>
      </c>
      <c r="AK173" s="186"/>
      <c r="AL173" s="186"/>
      <c r="AM173" s="186" t="s">
        <v>946</v>
      </c>
      <c r="AN173" s="344" t="s">
        <v>87</v>
      </c>
      <c r="AO173" s="186" t="s">
        <v>947</v>
      </c>
      <c r="AP173" s="193">
        <v>-0.1</v>
      </c>
      <c r="AQ173" s="193">
        <f t="shared" si="99"/>
        <v>9.999999999999995E-3</v>
      </c>
      <c r="AR173" s="191">
        <f>AS173*R173</f>
        <v>33.399999999999984</v>
      </c>
      <c r="AS173" s="194">
        <f t="shared" si="100"/>
        <v>16.699999999999992</v>
      </c>
      <c r="AT173" s="195" t="s">
        <v>77</v>
      </c>
      <c r="AU173" s="425"/>
      <c r="AV173" s="425"/>
      <c r="AW173" s="425"/>
      <c r="AX173" s="425"/>
      <c r="AY173" s="425"/>
      <c r="AZ173" s="425"/>
      <c r="BA173" s="425"/>
      <c r="BB173" s="425"/>
      <c r="BC173" s="440"/>
      <c r="BD173" s="404">
        <f>SUM($AS$4:AS173)</f>
        <v>1850.9200000000296</v>
      </c>
      <c r="BE173" s="405">
        <f>SUM($AR$4:AR173)</f>
        <v>2862.9700000000284</v>
      </c>
      <c r="BF173" s="330"/>
      <c r="BG173" s="330"/>
    </row>
    <row r="174" spans="1:59" ht="18" customHeight="1">
      <c r="A174" s="181" t="s">
        <v>767</v>
      </c>
      <c r="B174" s="181">
        <v>44943</v>
      </c>
      <c r="C174" s="182" t="s">
        <v>948</v>
      </c>
      <c r="D174" s="182" t="s">
        <v>128</v>
      </c>
      <c r="E174" s="233"/>
      <c r="F174" s="184"/>
      <c r="G174" s="185" t="s">
        <v>927</v>
      </c>
      <c r="H174" s="186"/>
      <c r="I174" s="186"/>
      <c r="J174" s="186"/>
      <c r="K174" s="187"/>
      <c r="L174" s="186">
        <v>1</v>
      </c>
      <c r="M174" s="186"/>
      <c r="N174" s="186"/>
      <c r="O174" s="187" t="s">
        <v>76</v>
      </c>
      <c r="P174" s="187" t="s">
        <v>119</v>
      </c>
      <c r="Q174" s="187" t="s">
        <v>666</v>
      </c>
      <c r="R174" s="187">
        <v>1</v>
      </c>
      <c r="S174" s="187">
        <v>1</v>
      </c>
      <c r="T174" s="187">
        <v>1</v>
      </c>
      <c r="U174" s="187" t="s">
        <v>78</v>
      </c>
      <c r="V174" s="188">
        <f t="shared" si="95"/>
        <v>0.01</v>
      </c>
      <c r="W174" s="188">
        <f t="shared" si="96"/>
        <v>1670</v>
      </c>
      <c r="X174" s="189" t="s">
        <v>928</v>
      </c>
      <c r="Y174" s="189"/>
      <c r="Z174" s="189"/>
      <c r="AA174" s="190">
        <v>96.42</v>
      </c>
      <c r="AB174" s="186"/>
      <c r="AC174" s="344">
        <v>96.46</v>
      </c>
      <c r="AD174" s="186"/>
      <c r="AE174" s="186" t="s">
        <v>929</v>
      </c>
      <c r="AF174" s="186"/>
      <c r="AG174" s="186"/>
      <c r="AH174" s="186"/>
      <c r="AI174" s="191">
        <f>-0.04*W174</f>
        <v>-66.8</v>
      </c>
      <c r="AJ174" s="191">
        <f t="shared" si="101"/>
        <v>-66.8</v>
      </c>
      <c r="AK174" s="186" t="s">
        <v>930</v>
      </c>
      <c r="AL174" s="186"/>
      <c r="AM174" s="186" t="s">
        <v>949</v>
      </c>
      <c r="AN174" s="344" t="s">
        <v>87</v>
      </c>
      <c r="AO174" s="186" t="s">
        <v>950</v>
      </c>
      <c r="AP174" s="193">
        <v>96.42</v>
      </c>
      <c r="AQ174" s="193">
        <f t="shared" si="99"/>
        <v>0</v>
      </c>
      <c r="AR174" s="191">
        <f>AS174*R174</f>
        <v>0</v>
      </c>
      <c r="AS174" s="194">
        <f t="shared" si="100"/>
        <v>0</v>
      </c>
      <c r="AT174" s="195" t="s">
        <v>97</v>
      </c>
      <c r="AU174" s="425" t="s">
        <v>933</v>
      </c>
      <c r="AV174" s="425" t="s">
        <v>951</v>
      </c>
      <c r="AW174" s="425" t="s">
        <v>952</v>
      </c>
      <c r="AX174" s="425" t="s">
        <v>953</v>
      </c>
      <c r="AY174" s="425" t="s">
        <v>954</v>
      </c>
      <c r="AZ174" s="425"/>
      <c r="BA174" s="425"/>
      <c r="BB174" s="425"/>
      <c r="BC174" s="440"/>
      <c r="BD174" s="404">
        <f>SUM($AS$4:AS174)</f>
        <v>1850.9200000000296</v>
      </c>
      <c r="BE174" s="405">
        <f>SUM($AR$4:AR174)</f>
        <v>2862.9700000000284</v>
      </c>
      <c r="BF174" s="330"/>
      <c r="BG174" s="330"/>
    </row>
    <row r="175" spans="1:59" ht="18" customHeight="1">
      <c r="A175" s="181" t="s">
        <v>767</v>
      </c>
      <c r="B175" s="181">
        <v>44944</v>
      </c>
      <c r="C175" s="198">
        <v>0.33333333333333331</v>
      </c>
      <c r="D175" s="182" t="s">
        <v>133</v>
      </c>
      <c r="E175" s="233" t="s">
        <v>955</v>
      </c>
      <c r="F175" s="184" t="s">
        <v>956</v>
      </c>
      <c r="G175" s="185"/>
      <c r="H175" s="186"/>
      <c r="I175" s="186"/>
      <c r="J175" s="186"/>
      <c r="K175" s="187"/>
      <c r="L175" s="186"/>
      <c r="M175" s="186"/>
      <c r="N175" s="186"/>
      <c r="O175" s="187"/>
      <c r="P175" s="187"/>
      <c r="Q175" s="187"/>
      <c r="R175" s="187"/>
      <c r="S175" s="187"/>
      <c r="T175" s="187"/>
      <c r="U175" s="187"/>
      <c r="V175" s="188">
        <f t="shared" si="95"/>
        <v>0</v>
      </c>
      <c r="W175" s="188">
        <f t="shared" si="96"/>
        <v>0</v>
      </c>
      <c r="X175" s="189"/>
      <c r="Y175" s="189"/>
      <c r="Z175" s="189"/>
      <c r="AA175" s="190"/>
      <c r="AB175" s="186"/>
      <c r="AC175" s="344"/>
      <c r="AD175" s="186"/>
      <c r="AE175" s="186"/>
      <c r="AF175" s="186"/>
      <c r="AG175" s="186"/>
      <c r="AH175" s="186"/>
      <c r="AI175" s="191"/>
      <c r="AJ175" s="187"/>
      <c r="AK175" s="186"/>
      <c r="AL175" s="186"/>
      <c r="AM175" s="186"/>
      <c r="AN175" s="344"/>
      <c r="AO175" s="186"/>
      <c r="AP175" s="193"/>
      <c r="AQ175" s="186"/>
      <c r="AR175" s="191"/>
      <c r="AS175" s="194"/>
      <c r="AT175" s="195"/>
      <c r="AU175" s="425"/>
      <c r="AV175" s="425"/>
      <c r="AW175" s="425"/>
      <c r="AX175" s="425"/>
      <c r="AY175" s="425"/>
      <c r="AZ175" s="425"/>
      <c r="BA175" s="425"/>
      <c r="BB175" s="425"/>
      <c r="BC175" s="440"/>
      <c r="BD175" s="404">
        <f>SUM($AS$4:AS175)</f>
        <v>1850.9200000000296</v>
      </c>
      <c r="BE175" s="405">
        <f>SUM($AR$4:AR175)</f>
        <v>2862.9700000000284</v>
      </c>
      <c r="BF175" s="330"/>
      <c r="BG175" s="330"/>
    </row>
    <row r="176" spans="1:59" ht="18" customHeight="1">
      <c r="A176" s="181" t="s">
        <v>767</v>
      </c>
      <c r="B176" s="181">
        <v>44944</v>
      </c>
      <c r="C176" s="182" t="s">
        <v>957</v>
      </c>
      <c r="D176" s="182" t="s">
        <v>133</v>
      </c>
      <c r="E176" s="233"/>
      <c r="F176" s="184"/>
      <c r="G176" s="185" t="s">
        <v>927</v>
      </c>
      <c r="H176" s="186"/>
      <c r="I176" s="186"/>
      <c r="J176" s="186"/>
      <c r="K176" s="187"/>
      <c r="L176" s="186">
        <v>1</v>
      </c>
      <c r="M176" s="186"/>
      <c r="N176" s="186"/>
      <c r="O176" s="187" t="s">
        <v>76</v>
      </c>
      <c r="P176" s="187" t="s">
        <v>119</v>
      </c>
      <c r="Q176" s="187" t="s">
        <v>666</v>
      </c>
      <c r="R176" s="187">
        <v>1</v>
      </c>
      <c r="S176" s="187">
        <v>1</v>
      </c>
      <c r="T176" s="187">
        <v>1</v>
      </c>
      <c r="U176" s="187" t="s">
        <v>78</v>
      </c>
      <c r="V176" s="188">
        <f t="shared" si="95"/>
        <v>0.01</v>
      </c>
      <c r="W176" s="188">
        <f t="shared" si="96"/>
        <v>1670</v>
      </c>
      <c r="X176" s="189" t="s">
        <v>958</v>
      </c>
      <c r="Y176" s="189"/>
      <c r="Z176" s="189"/>
      <c r="AA176" s="190">
        <v>96.43</v>
      </c>
      <c r="AB176" s="186"/>
      <c r="AC176" s="344"/>
      <c r="AD176" s="186"/>
      <c r="AE176" s="186"/>
      <c r="AF176" s="186"/>
      <c r="AG176" s="186"/>
      <c r="AH176" s="186"/>
      <c r="AI176" s="191"/>
      <c r="AJ176" s="187"/>
      <c r="AK176" s="186"/>
      <c r="AL176" s="186"/>
      <c r="AM176" s="186" t="s">
        <v>959</v>
      </c>
      <c r="AN176" s="344" t="s">
        <v>376</v>
      </c>
      <c r="AO176" s="186" t="s">
        <v>664</v>
      </c>
      <c r="AP176" s="193">
        <v>96.48</v>
      </c>
      <c r="AQ176" s="193">
        <f t="shared" si="99"/>
        <v>-4.9999999999997158E-2</v>
      </c>
      <c r="AR176" s="191">
        <f>AS176*R176</f>
        <v>-83.499999999995254</v>
      </c>
      <c r="AS176" s="194">
        <f t="shared" si="100"/>
        <v>-83.499999999995254</v>
      </c>
      <c r="AT176" s="195" t="s">
        <v>211</v>
      </c>
      <c r="AU176" s="425" t="s">
        <v>960</v>
      </c>
      <c r="AV176" s="425"/>
      <c r="AW176" s="425"/>
      <c r="AX176" s="425" t="s">
        <v>961</v>
      </c>
      <c r="AY176" s="425"/>
      <c r="AZ176" s="425"/>
      <c r="BA176" s="425"/>
      <c r="BB176" s="425"/>
      <c r="BC176" s="440"/>
      <c r="BD176" s="404">
        <f>SUM($AS$4:AS176)</f>
        <v>1767.4200000000344</v>
      </c>
      <c r="BE176" s="405">
        <f>SUM($AR$4:AR176)</f>
        <v>2779.470000000033</v>
      </c>
      <c r="BF176" s="330"/>
      <c r="BG176" s="330"/>
    </row>
    <row r="177" spans="1:59" ht="18" customHeight="1">
      <c r="A177" s="181" t="s">
        <v>767</v>
      </c>
      <c r="B177" s="181">
        <v>44944</v>
      </c>
      <c r="C177" s="198">
        <v>0.375</v>
      </c>
      <c r="D177" s="182" t="s">
        <v>133</v>
      </c>
      <c r="E177" s="233"/>
      <c r="F177" s="184"/>
      <c r="G177" s="185" t="s">
        <v>735</v>
      </c>
      <c r="H177" s="186"/>
      <c r="I177" s="186"/>
      <c r="J177" s="186"/>
      <c r="K177" s="187"/>
      <c r="L177" s="186">
        <v>1</v>
      </c>
      <c r="M177" s="186"/>
      <c r="N177" s="186">
        <v>1</v>
      </c>
      <c r="O177" s="187" t="s">
        <v>76</v>
      </c>
      <c r="P177" s="187" t="s">
        <v>119</v>
      </c>
      <c r="Q177" s="187" t="s">
        <v>78</v>
      </c>
      <c r="R177" s="187">
        <v>3</v>
      </c>
      <c r="S177" s="187">
        <v>3</v>
      </c>
      <c r="T177" s="187">
        <v>3</v>
      </c>
      <c r="U177" s="187" t="s">
        <v>22</v>
      </c>
      <c r="V177" s="188">
        <f t="shared" si="95"/>
        <v>0.01</v>
      </c>
      <c r="W177" s="188">
        <f t="shared" si="96"/>
        <v>1670</v>
      </c>
      <c r="X177" s="189" t="s">
        <v>962</v>
      </c>
      <c r="Y177" s="189"/>
      <c r="Z177" s="189"/>
      <c r="AA177" s="190">
        <v>-0.11</v>
      </c>
      <c r="AB177" s="186"/>
      <c r="AC177" s="344">
        <v>-0.13</v>
      </c>
      <c r="AD177" s="186"/>
      <c r="AE177" s="186">
        <v>-0.09</v>
      </c>
      <c r="AF177" s="186"/>
      <c r="AG177" s="186"/>
      <c r="AH177" s="186"/>
      <c r="AI177" s="191">
        <f t="shared" ref="AI177:AI178" si="102">-0.02*W177</f>
        <v>-33.4</v>
      </c>
      <c r="AJ177" s="191">
        <f t="shared" ref="AJ177:AJ178" si="103">AI177*R177</f>
        <v>-100.19999999999999</v>
      </c>
      <c r="AK177" s="186"/>
      <c r="AL177" s="186"/>
      <c r="AM177" s="186" t="s">
        <v>963</v>
      </c>
      <c r="AN177" s="344" t="s">
        <v>87</v>
      </c>
      <c r="AO177" s="186" t="s">
        <v>664</v>
      </c>
      <c r="AP177" s="193">
        <v>-0.11</v>
      </c>
      <c r="AQ177" s="193">
        <f t="shared" si="99"/>
        <v>0</v>
      </c>
      <c r="AR177" s="191">
        <f>AS177*R177</f>
        <v>0</v>
      </c>
      <c r="AS177" s="194">
        <f t="shared" si="100"/>
        <v>0</v>
      </c>
      <c r="AT177" s="195" t="s">
        <v>97</v>
      </c>
      <c r="AU177" s="425"/>
      <c r="AV177" s="425"/>
      <c r="AW177" s="425"/>
      <c r="AX177" s="425"/>
      <c r="AY177" s="425"/>
      <c r="AZ177" s="425"/>
      <c r="BA177" s="425"/>
      <c r="BB177" s="425"/>
      <c r="BC177" s="440"/>
      <c r="BD177" s="404">
        <f>SUM($AS$4:AS177)</f>
        <v>1767.4200000000344</v>
      </c>
      <c r="BE177" s="405">
        <f>SUM($AR$4:AR177)</f>
        <v>2779.470000000033</v>
      </c>
      <c r="BF177" s="330"/>
      <c r="BG177" s="330"/>
    </row>
    <row r="178" spans="1:59" ht="18" customHeight="1">
      <c r="A178" s="181" t="s">
        <v>767</v>
      </c>
      <c r="B178" s="181">
        <v>44944</v>
      </c>
      <c r="C178" s="182" t="s">
        <v>964</v>
      </c>
      <c r="D178" s="182" t="s">
        <v>133</v>
      </c>
      <c r="E178" s="233"/>
      <c r="F178" s="184"/>
      <c r="G178" s="185" t="s">
        <v>965</v>
      </c>
      <c r="H178" s="186"/>
      <c r="I178" s="186"/>
      <c r="J178" s="186"/>
      <c r="K178" s="187"/>
      <c r="L178" s="186">
        <v>1</v>
      </c>
      <c r="M178" s="186"/>
      <c r="N178" s="186"/>
      <c r="O178" s="187" t="s">
        <v>76</v>
      </c>
      <c r="P178" s="187" t="s">
        <v>77</v>
      </c>
      <c r="Q178" s="187" t="s">
        <v>666</v>
      </c>
      <c r="R178" s="187">
        <v>1</v>
      </c>
      <c r="S178" s="187">
        <v>1</v>
      </c>
      <c r="T178" s="187">
        <v>1</v>
      </c>
      <c r="U178" s="187" t="s">
        <v>78</v>
      </c>
      <c r="V178" s="188">
        <f t="shared" si="95"/>
        <v>0.01</v>
      </c>
      <c r="W178" s="188">
        <f t="shared" si="96"/>
        <v>1670</v>
      </c>
      <c r="X178" s="189" t="s">
        <v>966</v>
      </c>
      <c r="Y178" s="189"/>
      <c r="Z178" s="189"/>
      <c r="AA178" s="190">
        <v>96.1</v>
      </c>
      <c r="AB178" s="186"/>
      <c r="AC178" s="344">
        <v>96.12</v>
      </c>
      <c r="AD178" s="186"/>
      <c r="AE178" s="186"/>
      <c r="AF178" s="186"/>
      <c r="AG178" s="186"/>
      <c r="AH178" s="186"/>
      <c r="AI178" s="191">
        <f t="shared" si="102"/>
        <v>-33.4</v>
      </c>
      <c r="AJ178" s="191">
        <f t="shared" si="103"/>
        <v>-33.4</v>
      </c>
      <c r="AK178" s="186"/>
      <c r="AL178" s="186"/>
      <c r="AM178" s="186" t="s">
        <v>949</v>
      </c>
      <c r="AN178" s="344" t="s">
        <v>87</v>
      </c>
      <c r="AO178" s="186" t="s">
        <v>967</v>
      </c>
      <c r="AP178" s="193">
        <v>96.11</v>
      </c>
      <c r="AQ178" s="193">
        <f t="shared" si="99"/>
        <v>-1.0000000000005116E-2</v>
      </c>
      <c r="AR178" s="191">
        <f>AS178*R178</f>
        <v>-16.700000000008544</v>
      </c>
      <c r="AS178" s="194">
        <f t="shared" si="100"/>
        <v>-16.700000000008544</v>
      </c>
      <c r="AT178" s="195" t="s">
        <v>211</v>
      </c>
      <c r="AU178" s="425" t="s">
        <v>968</v>
      </c>
      <c r="AV178" s="425"/>
      <c r="AW178" s="425"/>
      <c r="AX178" s="425"/>
      <c r="AY178" s="425"/>
      <c r="AZ178" s="425"/>
      <c r="BA178" s="425"/>
      <c r="BB178" s="425"/>
      <c r="BC178" s="440"/>
      <c r="BD178" s="404">
        <f>SUM($AS$4:AS178)</f>
        <v>1750.7200000000259</v>
      </c>
      <c r="BE178" s="405">
        <f>SUM($AR$4:AR178)</f>
        <v>2762.7700000000245</v>
      </c>
      <c r="BF178" s="330"/>
      <c r="BG178" s="330"/>
    </row>
    <row r="179" spans="1:59" ht="18" customHeight="1">
      <c r="A179" s="181" t="s">
        <v>767</v>
      </c>
      <c r="B179" s="181"/>
      <c r="C179" s="182"/>
      <c r="D179" s="182"/>
      <c r="E179" s="233"/>
      <c r="F179" s="184"/>
      <c r="G179" s="185"/>
      <c r="H179" s="186"/>
      <c r="I179" s="186"/>
      <c r="J179" s="186"/>
      <c r="K179" s="187"/>
      <c r="L179" s="186"/>
      <c r="M179" s="186"/>
      <c r="N179" s="186"/>
      <c r="O179" s="187"/>
      <c r="P179" s="187"/>
      <c r="Q179" s="187"/>
      <c r="R179" s="187"/>
      <c r="S179" s="187"/>
      <c r="T179" s="187"/>
      <c r="U179" s="187"/>
      <c r="V179" s="188">
        <f t="shared" si="95"/>
        <v>0</v>
      </c>
      <c r="W179" s="188">
        <f t="shared" si="96"/>
        <v>0</v>
      </c>
      <c r="X179" s="189"/>
      <c r="Y179" s="189"/>
      <c r="Z179" s="189"/>
      <c r="AA179" s="190"/>
      <c r="AB179" s="186"/>
      <c r="AC179" s="344"/>
      <c r="AD179" s="186"/>
      <c r="AE179" s="186"/>
      <c r="AF179" s="186"/>
      <c r="AG179" s="186"/>
      <c r="AH179" s="186"/>
      <c r="AI179" s="191"/>
      <c r="AJ179" s="187"/>
      <c r="AK179" s="186"/>
      <c r="AL179" s="186"/>
      <c r="AM179" s="186"/>
      <c r="AN179" s="344"/>
      <c r="AO179" s="186"/>
      <c r="AP179" s="193"/>
      <c r="AQ179" s="186"/>
      <c r="AR179" s="191"/>
      <c r="AS179" s="194"/>
      <c r="AT179" s="195"/>
      <c r="AU179" s="427" t="s">
        <v>969</v>
      </c>
      <c r="AV179" s="425" t="s">
        <v>970</v>
      </c>
      <c r="AW179" s="425" t="s">
        <v>971</v>
      </c>
      <c r="AX179" s="425" t="s">
        <v>972</v>
      </c>
      <c r="AY179" s="425"/>
      <c r="AZ179" s="425"/>
      <c r="BA179" s="425"/>
      <c r="BB179" s="425"/>
      <c r="BC179" s="440"/>
      <c r="BD179" s="404">
        <f>SUM($AS$4:AS179)</f>
        <v>1750.7200000000259</v>
      </c>
      <c r="BE179" s="405">
        <f>SUM($AR$4:AR179)</f>
        <v>2762.7700000000245</v>
      </c>
      <c r="BF179" s="330"/>
      <c r="BG179" s="330"/>
    </row>
    <row r="180" spans="1:59" ht="18" customHeight="1">
      <c r="A180" s="181" t="s">
        <v>767</v>
      </c>
      <c r="B180" s="181">
        <v>44944</v>
      </c>
      <c r="C180" s="198">
        <v>0.79166666666666663</v>
      </c>
      <c r="D180" s="182" t="s">
        <v>133</v>
      </c>
      <c r="E180" s="233" t="s">
        <v>973</v>
      </c>
      <c r="F180" s="184" t="s">
        <v>974</v>
      </c>
      <c r="G180" s="202"/>
      <c r="H180" s="186"/>
      <c r="I180" s="186"/>
      <c r="J180" s="186">
        <v>1</v>
      </c>
      <c r="K180" s="187" t="s">
        <v>97</v>
      </c>
      <c r="L180" s="186"/>
      <c r="M180" s="186"/>
      <c r="N180" s="186"/>
      <c r="O180" s="187"/>
      <c r="P180" s="187"/>
      <c r="Q180" s="187"/>
      <c r="R180" s="187"/>
      <c r="S180" s="187"/>
      <c r="T180" s="187"/>
      <c r="U180" s="187"/>
      <c r="V180" s="188">
        <f t="shared" si="95"/>
        <v>0</v>
      </c>
      <c r="W180" s="188">
        <f t="shared" si="96"/>
        <v>0</v>
      </c>
      <c r="X180" s="189"/>
      <c r="Y180" s="189"/>
      <c r="Z180" s="189"/>
      <c r="AA180" s="190"/>
      <c r="AB180" s="186"/>
      <c r="AC180" s="344"/>
      <c r="AD180" s="186"/>
      <c r="AE180" s="186"/>
      <c r="AF180" s="186"/>
      <c r="AG180" s="186"/>
      <c r="AH180" s="186"/>
      <c r="AI180" s="191"/>
      <c r="AJ180" s="187"/>
      <c r="AK180" s="186"/>
      <c r="AL180" s="186"/>
      <c r="AM180" s="186"/>
      <c r="AN180" s="344"/>
      <c r="AO180" s="186"/>
      <c r="AP180" s="193"/>
      <c r="AQ180" s="186"/>
      <c r="AR180" s="191"/>
      <c r="AS180" s="194"/>
      <c r="AT180" s="195"/>
      <c r="AU180" s="425"/>
      <c r="AV180" s="425"/>
      <c r="AW180" s="425"/>
      <c r="AX180" s="425"/>
      <c r="AY180" s="425"/>
      <c r="AZ180" s="425"/>
      <c r="BA180" s="425"/>
      <c r="BB180" s="425"/>
      <c r="BC180" s="440"/>
      <c r="BD180" s="404">
        <f>SUM($AS$4:AS180)</f>
        <v>1750.7200000000259</v>
      </c>
      <c r="BE180" s="405">
        <f>SUM($AR$4:AR180)</f>
        <v>2762.7700000000245</v>
      </c>
      <c r="BF180" s="330"/>
      <c r="BG180" s="330"/>
    </row>
    <row r="181" spans="1:59" ht="18" customHeight="1">
      <c r="A181" s="181" t="s">
        <v>767</v>
      </c>
      <c r="B181" s="181"/>
      <c r="C181" s="182"/>
      <c r="D181" s="182"/>
      <c r="E181" s="233" t="s">
        <v>975</v>
      </c>
      <c r="F181" s="184" t="s">
        <v>976</v>
      </c>
      <c r="G181" s="202"/>
      <c r="H181" s="186"/>
      <c r="I181" s="186"/>
      <c r="J181" s="186">
        <v>1</v>
      </c>
      <c r="K181" s="187" t="s">
        <v>97</v>
      </c>
      <c r="L181" s="186"/>
      <c r="M181" s="186"/>
      <c r="N181" s="186"/>
      <c r="O181" s="187"/>
      <c r="P181" s="187"/>
      <c r="Q181" s="187"/>
      <c r="R181" s="187"/>
      <c r="S181" s="187"/>
      <c r="T181" s="187"/>
      <c r="U181" s="187"/>
      <c r="V181" s="188">
        <f t="shared" si="95"/>
        <v>0</v>
      </c>
      <c r="W181" s="188">
        <f t="shared" si="96"/>
        <v>0</v>
      </c>
      <c r="X181" s="189"/>
      <c r="Y181" s="189"/>
      <c r="Z181" s="189"/>
      <c r="AA181" s="190"/>
      <c r="AB181" s="186"/>
      <c r="AC181" s="344"/>
      <c r="AD181" s="186"/>
      <c r="AE181" s="186"/>
      <c r="AF181" s="186"/>
      <c r="AG181" s="186"/>
      <c r="AH181" s="186"/>
      <c r="AI181" s="191"/>
      <c r="AJ181" s="187"/>
      <c r="AK181" s="186"/>
      <c r="AL181" s="186"/>
      <c r="AM181" s="186"/>
      <c r="AN181" s="344"/>
      <c r="AO181" s="186"/>
      <c r="AP181" s="193"/>
      <c r="AQ181" s="186"/>
      <c r="AR181" s="191"/>
      <c r="AS181" s="194"/>
      <c r="AT181" s="195"/>
      <c r="AU181" s="425"/>
      <c r="AV181" s="425"/>
      <c r="AW181" s="425"/>
      <c r="AX181" s="425"/>
      <c r="AY181" s="425"/>
      <c r="AZ181" s="425"/>
      <c r="BA181" s="425"/>
      <c r="BB181" s="425"/>
      <c r="BC181" s="440"/>
      <c r="BD181" s="404">
        <f>SUM($AS$4:AS181)</f>
        <v>1750.7200000000259</v>
      </c>
      <c r="BE181" s="405">
        <f>SUM($AR$4:AR181)</f>
        <v>2762.7700000000245</v>
      </c>
      <c r="BF181" s="330"/>
      <c r="BG181" s="330"/>
    </row>
    <row r="182" spans="1:59" ht="18" customHeight="1">
      <c r="A182" s="181" t="s">
        <v>767</v>
      </c>
      <c r="B182" s="181"/>
      <c r="C182" s="182"/>
      <c r="D182" s="182"/>
      <c r="E182" s="233" t="s">
        <v>977</v>
      </c>
      <c r="F182" s="184" t="s">
        <v>978</v>
      </c>
      <c r="G182" s="202"/>
      <c r="H182" s="186"/>
      <c r="I182" s="186"/>
      <c r="J182" s="186">
        <v>1</v>
      </c>
      <c r="K182" s="187" t="s">
        <v>97</v>
      </c>
      <c r="L182" s="186"/>
      <c r="M182" s="186"/>
      <c r="N182" s="186"/>
      <c r="O182" s="187"/>
      <c r="P182" s="187"/>
      <c r="Q182" s="187"/>
      <c r="R182" s="187"/>
      <c r="S182" s="187"/>
      <c r="T182" s="187"/>
      <c r="U182" s="187"/>
      <c r="V182" s="188">
        <f t="shared" si="95"/>
        <v>0</v>
      </c>
      <c r="W182" s="188">
        <f t="shared" si="96"/>
        <v>0</v>
      </c>
      <c r="X182" s="189"/>
      <c r="Y182" s="189"/>
      <c r="Z182" s="189"/>
      <c r="AA182" s="190"/>
      <c r="AB182" s="186"/>
      <c r="AC182" s="344"/>
      <c r="AD182" s="186"/>
      <c r="AE182" s="186"/>
      <c r="AF182" s="186"/>
      <c r="AG182" s="186"/>
      <c r="AH182" s="186"/>
      <c r="AI182" s="191"/>
      <c r="AJ182" s="187"/>
      <c r="AK182" s="186"/>
      <c r="AL182" s="186"/>
      <c r="AM182" s="186"/>
      <c r="AN182" s="344"/>
      <c r="AO182" s="186"/>
      <c r="AP182" s="193"/>
      <c r="AQ182" s="186"/>
      <c r="AR182" s="191"/>
      <c r="AS182" s="194"/>
      <c r="AT182" s="195"/>
      <c r="AU182" s="425"/>
      <c r="AV182" s="425"/>
      <c r="AW182" s="425"/>
      <c r="AX182" s="425"/>
      <c r="AY182" s="425"/>
      <c r="AZ182" s="425"/>
      <c r="BA182" s="425"/>
      <c r="BB182" s="425"/>
      <c r="BC182" s="440"/>
      <c r="BD182" s="404">
        <f>SUM($AS$4:AS182)</f>
        <v>1750.7200000000259</v>
      </c>
      <c r="BE182" s="405">
        <f>SUM($AR$4:AR182)</f>
        <v>2762.7700000000245</v>
      </c>
      <c r="BF182" s="330"/>
      <c r="BG182" s="330"/>
    </row>
    <row r="183" spans="1:59" ht="18" customHeight="1">
      <c r="A183" s="181" t="s">
        <v>767</v>
      </c>
      <c r="B183" s="181">
        <v>44944</v>
      </c>
      <c r="C183" s="198">
        <v>0.79166666666666663</v>
      </c>
      <c r="D183" s="182" t="s">
        <v>133</v>
      </c>
      <c r="E183" s="233"/>
      <c r="F183" s="184"/>
      <c r="G183" s="247" t="s">
        <v>253</v>
      </c>
      <c r="H183" s="186"/>
      <c r="I183" s="186"/>
      <c r="J183" s="186"/>
      <c r="K183" s="187"/>
      <c r="L183" s="186">
        <v>1</v>
      </c>
      <c r="M183" s="186"/>
      <c r="N183" s="186">
        <v>1</v>
      </c>
      <c r="O183" s="187" t="s">
        <v>76</v>
      </c>
      <c r="P183" s="187" t="s">
        <v>119</v>
      </c>
      <c r="Q183" s="187" t="s">
        <v>78</v>
      </c>
      <c r="R183" s="187">
        <v>5</v>
      </c>
      <c r="S183" s="187">
        <v>5</v>
      </c>
      <c r="T183" s="187">
        <v>3</v>
      </c>
      <c r="U183" s="187" t="s">
        <v>22</v>
      </c>
      <c r="V183" s="188">
        <f t="shared" si="95"/>
        <v>0.01</v>
      </c>
      <c r="W183" s="188">
        <f t="shared" si="96"/>
        <v>1670</v>
      </c>
      <c r="X183" s="189" t="s">
        <v>979</v>
      </c>
      <c r="Y183" s="189"/>
      <c r="Z183" s="189" t="s">
        <v>980</v>
      </c>
      <c r="AA183" s="190">
        <v>-0.14000000000000001</v>
      </c>
      <c r="AB183" s="186"/>
      <c r="AC183" s="344">
        <v>-0.15</v>
      </c>
      <c r="AD183" s="186"/>
      <c r="AE183" s="186"/>
      <c r="AF183" s="186"/>
      <c r="AG183" s="186"/>
      <c r="AH183" s="186"/>
      <c r="AI183" s="191">
        <f t="shared" ref="AI183:AI187" si="104">-0.02*W183</f>
        <v>-33.4</v>
      </c>
      <c r="AJ183" s="191">
        <f t="shared" ref="AJ183:AJ188" si="105">AI183*R183</f>
        <v>-167</v>
      </c>
      <c r="AK183" s="186"/>
      <c r="AL183" s="186"/>
      <c r="AM183" s="186" t="s">
        <v>981</v>
      </c>
      <c r="AN183" s="344" t="s">
        <v>97</v>
      </c>
      <c r="AO183" s="186" t="s">
        <v>982</v>
      </c>
      <c r="AP183" s="193">
        <v>-0.13200000000000001</v>
      </c>
      <c r="AQ183" s="193">
        <f t="shared" si="99"/>
        <v>8.0000000000000071E-3</v>
      </c>
      <c r="AR183" s="191">
        <f t="shared" ref="AR183:AR188" si="106">AS183*R183</f>
        <v>66.800000000000054</v>
      </c>
      <c r="AS183" s="194">
        <f t="shared" si="100"/>
        <v>13.360000000000012</v>
      </c>
      <c r="AT183" s="195" t="s">
        <v>77</v>
      </c>
      <c r="AU183" s="425" t="s">
        <v>983</v>
      </c>
      <c r="AV183" s="425"/>
      <c r="AW183" s="425"/>
      <c r="AX183" s="425"/>
      <c r="AY183" s="425"/>
      <c r="AZ183" s="425"/>
      <c r="BA183" s="425"/>
      <c r="BB183" s="425"/>
      <c r="BC183" s="440"/>
      <c r="BD183" s="404">
        <f>SUM($AS$4:AS183)</f>
        <v>1764.0800000000258</v>
      </c>
      <c r="BE183" s="405">
        <f>SUM($AR$4:AR183)</f>
        <v>2829.5700000000247</v>
      </c>
      <c r="BF183" s="330"/>
      <c r="BG183" s="330"/>
    </row>
    <row r="184" spans="1:59" ht="18" customHeight="1">
      <c r="A184" s="181" t="s">
        <v>767</v>
      </c>
      <c r="B184" s="181">
        <v>44944</v>
      </c>
      <c r="C184" s="182" t="s">
        <v>984</v>
      </c>
      <c r="D184" s="182" t="s">
        <v>133</v>
      </c>
      <c r="E184" s="233"/>
      <c r="F184" s="184"/>
      <c r="G184" s="247" t="s">
        <v>535</v>
      </c>
      <c r="H184" s="186"/>
      <c r="I184" s="186"/>
      <c r="J184" s="186"/>
      <c r="K184" s="187"/>
      <c r="L184" s="186">
        <v>1</v>
      </c>
      <c r="M184" s="186"/>
      <c r="N184" s="186"/>
      <c r="O184" s="187" t="s">
        <v>76</v>
      </c>
      <c r="P184" s="187" t="s">
        <v>119</v>
      </c>
      <c r="Q184" s="187" t="s">
        <v>78</v>
      </c>
      <c r="R184" s="187">
        <v>4</v>
      </c>
      <c r="S184" s="187">
        <v>4</v>
      </c>
      <c r="T184" s="187">
        <v>4</v>
      </c>
      <c r="U184" s="187" t="s">
        <v>22</v>
      </c>
      <c r="V184" s="188">
        <f t="shared" si="95"/>
        <v>0.01</v>
      </c>
      <c r="W184" s="188">
        <f t="shared" si="96"/>
        <v>1670</v>
      </c>
      <c r="X184" s="189" t="s">
        <v>985</v>
      </c>
      <c r="Y184" s="189"/>
      <c r="Z184" s="189" t="s">
        <v>986</v>
      </c>
      <c r="AA184" s="190">
        <v>-0.08</v>
      </c>
      <c r="AB184" s="186"/>
      <c r="AC184" s="344">
        <v>-0.1</v>
      </c>
      <c r="AD184" s="186"/>
      <c r="AE184" s="186"/>
      <c r="AF184" s="186"/>
      <c r="AG184" s="186"/>
      <c r="AH184" s="186"/>
      <c r="AI184" s="191">
        <f t="shared" si="104"/>
        <v>-33.4</v>
      </c>
      <c r="AJ184" s="191">
        <f t="shared" si="105"/>
        <v>-133.6</v>
      </c>
      <c r="AK184" s="186"/>
      <c r="AL184" s="186"/>
      <c r="AM184" s="186" t="s">
        <v>987</v>
      </c>
      <c r="AN184" s="344" t="s">
        <v>87</v>
      </c>
      <c r="AO184" s="186" t="s">
        <v>988</v>
      </c>
      <c r="AP184" s="193">
        <v>-7.2499999999999995E-2</v>
      </c>
      <c r="AQ184" s="193">
        <f t="shared" si="99"/>
        <v>7.5000000000000067E-3</v>
      </c>
      <c r="AR184" s="191">
        <f t="shared" si="106"/>
        <v>50.100000000000044</v>
      </c>
      <c r="AS184" s="194">
        <f t="shared" si="100"/>
        <v>12.525000000000011</v>
      </c>
      <c r="AT184" s="195" t="s">
        <v>77</v>
      </c>
      <c r="AU184" s="425" t="s">
        <v>989</v>
      </c>
      <c r="AV184" s="425"/>
      <c r="AW184" s="425"/>
      <c r="AX184" s="425"/>
      <c r="AY184" s="425"/>
      <c r="AZ184" s="425"/>
      <c r="BA184" s="425"/>
      <c r="BB184" s="425"/>
      <c r="BC184" s="440"/>
      <c r="BD184" s="404">
        <f>SUM($AS$4:AS184)</f>
        <v>1776.6050000000259</v>
      </c>
      <c r="BE184" s="405">
        <f>SUM($AR$4:AR184)</f>
        <v>2879.6700000000246</v>
      </c>
      <c r="BF184" s="330"/>
      <c r="BG184" s="330"/>
    </row>
    <row r="185" spans="1:59" ht="18" customHeight="1">
      <c r="A185" s="181" t="s">
        <v>767</v>
      </c>
      <c r="B185" s="181">
        <v>44944</v>
      </c>
      <c r="C185" s="182" t="s">
        <v>990</v>
      </c>
      <c r="D185" s="182" t="s">
        <v>133</v>
      </c>
      <c r="E185" s="233"/>
      <c r="F185" s="184"/>
      <c r="G185" s="185" t="s">
        <v>927</v>
      </c>
      <c r="H185" s="186"/>
      <c r="I185" s="186"/>
      <c r="J185" s="186"/>
      <c r="K185" s="187"/>
      <c r="L185" s="186">
        <v>1</v>
      </c>
      <c r="M185" s="186"/>
      <c r="N185" s="186"/>
      <c r="O185" s="187" t="s">
        <v>76</v>
      </c>
      <c r="P185" s="187" t="s">
        <v>119</v>
      </c>
      <c r="Q185" s="187" t="s">
        <v>666</v>
      </c>
      <c r="R185" s="187">
        <v>1</v>
      </c>
      <c r="S185" s="187">
        <v>1</v>
      </c>
      <c r="T185" s="187">
        <v>1</v>
      </c>
      <c r="U185" s="187" t="s">
        <v>78</v>
      </c>
      <c r="V185" s="188">
        <f t="shared" si="95"/>
        <v>0.01</v>
      </c>
      <c r="W185" s="188">
        <f t="shared" ref="W185:W186" si="107">IF(ISBLANK(O185),,IF(O185=UPPER("IB"),8.63*200,16.8*100))</f>
        <v>1680</v>
      </c>
      <c r="X185" s="189" t="s">
        <v>991</v>
      </c>
      <c r="Y185" s="189"/>
      <c r="Z185" s="189"/>
      <c r="AA185" s="190">
        <v>96.53</v>
      </c>
      <c r="AB185" s="186"/>
      <c r="AC185" s="344"/>
      <c r="AD185" s="186"/>
      <c r="AE185" s="186"/>
      <c r="AF185" s="186"/>
      <c r="AG185" s="186"/>
      <c r="AH185" s="186"/>
      <c r="AI185" s="191">
        <f t="shared" si="104"/>
        <v>-33.6</v>
      </c>
      <c r="AJ185" s="191">
        <f t="shared" si="105"/>
        <v>-33.6</v>
      </c>
      <c r="AK185" s="186"/>
      <c r="AL185" s="186"/>
      <c r="AM185" s="186" t="s">
        <v>375</v>
      </c>
      <c r="AN185" s="344" t="s">
        <v>376</v>
      </c>
      <c r="AO185" s="186" t="s">
        <v>992</v>
      </c>
      <c r="AP185" s="193">
        <v>96.57</v>
      </c>
      <c r="AQ185" s="193">
        <f t="shared" si="99"/>
        <v>-3.9999999999992042E-2</v>
      </c>
      <c r="AR185" s="191">
        <f t="shared" si="106"/>
        <v>-67.19999999998663</v>
      </c>
      <c r="AS185" s="194">
        <f t="shared" si="100"/>
        <v>-67.19999999998663</v>
      </c>
      <c r="AT185" s="195" t="s">
        <v>211</v>
      </c>
      <c r="AU185" s="425" t="s">
        <v>993</v>
      </c>
      <c r="AV185" s="425" t="s">
        <v>994</v>
      </c>
      <c r="AW185" s="425"/>
      <c r="AX185" s="425"/>
      <c r="AY185" s="425"/>
      <c r="AZ185" s="425"/>
      <c r="BA185" s="425"/>
      <c r="BB185" s="425"/>
      <c r="BC185" s="440"/>
      <c r="BD185" s="404">
        <f>SUM($AS$4:AS185)</f>
        <v>1709.4050000000393</v>
      </c>
      <c r="BE185" s="405">
        <f>SUM($AR$4:AR185)</f>
        <v>2812.470000000038</v>
      </c>
      <c r="BF185" s="330"/>
      <c r="BG185" s="330"/>
    </row>
    <row r="186" spans="1:59" ht="18" customHeight="1">
      <c r="A186" s="181" t="s">
        <v>767</v>
      </c>
      <c r="B186" s="181">
        <v>44944</v>
      </c>
      <c r="C186" s="182" t="s">
        <v>990</v>
      </c>
      <c r="D186" s="182" t="s">
        <v>133</v>
      </c>
      <c r="E186" s="233"/>
      <c r="F186" s="184"/>
      <c r="G186" s="185" t="s">
        <v>813</v>
      </c>
      <c r="H186" s="186"/>
      <c r="I186" s="186"/>
      <c r="J186" s="186"/>
      <c r="K186" s="187"/>
      <c r="L186" s="186">
        <v>1</v>
      </c>
      <c r="M186" s="186"/>
      <c r="N186" s="186"/>
      <c r="O186" s="187" t="s">
        <v>76</v>
      </c>
      <c r="P186" s="187" t="s">
        <v>119</v>
      </c>
      <c r="Q186" s="187" t="s">
        <v>666</v>
      </c>
      <c r="R186" s="187">
        <v>1</v>
      </c>
      <c r="S186" s="187">
        <v>1</v>
      </c>
      <c r="T186" s="187">
        <v>1</v>
      </c>
      <c r="U186" s="187" t="s">
        <v>78</v>
      </c>
      <c r="V186" s="188">
        <f t="shared" si="95"/>
        <v>0.01</v>
      </c>
      <c r="W186" s="188">
        <f t="shared" si="107"/>
        <v>1680</v>
      </c>
      <c r="X186" s="189" t="s">
        <v>991</v>
      </c>
      <c r="Y186" s="189"/>
      <c r="Z186" s="189"/>
      <c r="AA186" s="190">
        <v>96.28</v>
      </c>
      <c r="AB186" s="186"/>
      <c r="AC186" s="344"/>
      <c r="AD186" s="186"/>
      <c r="AE186" s="186"/>
      <c r="AF186" s="186"/>
      <c r="AG186" s="186"/>
      <c r="AH186" s="186"/>
      <c r="AI186" s="191">
        <f t="shared" si="104"/>
        <v>-33.6</v>
      </c>
      <c r="AJ186" s="191">
        <f t="shared" si="105"/>
        <v>-33.6</v>
      </c>
      <c r="AK186" s="186"/>
      <c r="AL186" s="186"/>
      <c r="AM186" s="186" t="s">
        <v>995</v>
      </c>
      <c r="AN186" s="344" t="s">
        <v>376</v>
      </c>
      <c r="AO186" s="186" t="s">
        <v>996</v>
      </c>
      <c r="AP186" s="193">
        <v>96.29</v>
      </c>
      <c r="AQ186" s="193">
        <f t="shared" si="99"/>
        <v>-1.0000000000005116E-2</v>
      </c>
      <c r="AR186" s="191">
        <f t="shared" si="106"/>
        <v>-16.800000000008595</v>
      </c>
      <c r="AS186" s="194">
        <f t="shared" si="100"/>
        <v>-16.800000000008595</v>
      </c>
      <c r="AT186" s="195" t="s">
        <v>211</v>
      </c>
      <c r="AU186" s="425"/>
      <c r="AV186" s="425"/>
      <c r="AW186" s="425"/>
      <c r="AX186" s="425"/>
      <c r="AY186" s="425"/>
      <c r="AZ186" s="425"/>
      <c r="BA186" s="425"/>
      <c r="BB186" s="425"/>
      <c r="BC186" s="440"/>
      <c r="BD186" s="404">
        <f>SUM($AS$4:AS186)</f>
        <v>1692.6050000000307</v>
      </c>
      <c r="BE186" s="405">
        <f>SUM($AR$4:AR186)</f>
        <v>2795.6700000000292</v>
      </c>
      <c r="BF186" s="330"/>
      <c r="BG186" s="330"/>
    </row>
    <row r="187" spans="1:59" ht="18" customHeight="1">
      <c r="A187" s="181" t="s">
        <v>767</v>
      </c>
      <c r="B187" s="181">
        <v>44944</v>
      </c>
      <c r="C187" s="182" t="s">
        <v>997</v>
      </c>
      <c r="D187" s="182" t="s">
        <v>133</v>
      </c>
      <c r="E187" s="233"/>
      <c r="F187" s="184"/>
      <c r="G187" s="247" t="s">
        <v>347</v>
      </c>
      <c r="H187" s="186"/>
      <c r="I187" s="186"/>
      <c r="J187" s="186"/>
      <c r="K187" s="187"/>
      <c r="L187" s="186">
        <v>1</v>
      </c>
      <c r="M187" s="186"/>
      <c r="N187" s="186">
        <v>1</v>
      </c>
      <c r="O187" s="187" t="s">
        <v>76</v>
      </c>
      <c r="P187" s="187" t="s">
        <v>77</v>
      </c>
      <c r="Q187" s="187" t="s">
        <v>78</v>
      </c>
      <c r="R187" s="187">
        <v>5</v>
      </c>
      <c r="S187" s="187">
        <v>5</v>
      </c>
      <c r="T187" s="187">
        <v>5</v>
      </c>
      <c r="U187" s="187" t="s">
        <v>22</v>
      </c>
      <c r="V187" s="188">
        <f t="shared" si="95"/>
        <v>0.01</v>
      </c>
      <c r="W187" s="188">
        <f t="shared" ref="W187:W210" si="108">IF(ISBLANK(O187),,IF(O187=UPPER("IB"),8.63*200,16.7*100))</f>
        <v>1670</v>
      </c>
      <c r="X187" s="189" t="s">
        <v>998</v>
      </c>
      <c r="Y187" s="189"/>
      <c r="Z187" s="189"/>
      <c r="AA187" s="190">
        <v>-0.12</v>
      </c>
      <c r="AB187" s="186"/>
      <c r="AC187" s="344">
        <v>-0.14000000000000001</v>
      </c>
      <c r="AD187" s="186"/>
      <c r="AE187" s="186"/>
      <c r="AF187" s="186"/>
      <c r="AG187" s="186"/>
      <c r="AH187" s="186"/>
      <c r="AI187" s="191">
        <f t="shared" si="104"/>
        <v>-33.4</v>
      </c>
      <c r="AJ187" s="191">
        <f t="shared" si="105"/>
        <v>-167</v>
      </c>
      <c r="AK187" s="186"/>
      <c r="AL187" s="186"/>
      <c r="AM187" s="186" t="s">
        <v>999</v>
      </c>
      <c r="AN187" s="344" t="s">
        <v>87</v>
      </c>
      <c r="AO187" s="186" t="s">
        <v>1000</v>
      </c>
      <c r="AP187" s="193">
        <v>-0.11</v>
      </c>
      <c r="AQ187" s="193">
        <f t="shared" si="99"/>
        <v>9.999999999999995E-3</v>
      </c>
      <c r="AR187" s="191">
        <f t="shared" si="106"/>
        <v>83.499999999999957</v>
      </c>
      <c r="AS187" s="194">
        <f t="shared" si="100"/>
        <v>16.699999999999992</v>
      </c>
      <c r="AT187" s="195" t="s">
        <v>77</v>
      </c>
      <c r="AU187" s="427" t="s">
        <v>1001</v>
      </c>
      <c r="AV187" s="425" t="s">
        <v>1002</v>
      </c>
      <c r="AW187" s="425" t="s">
        <v>1003</v>
      </c>
      <c r="AX187" s="425"/>
      <c r="AY187" s="425"/>
      <c r="AZ187" s="425"/>
      <c r="BA187" s="425"/>
      <c r="BB187" s="425"/>
      <c r="BC187" s="440"/>
      <c r="BD187" s="404">
        <f>SUM($AS$4:AS187)</f>
        <v>1709.3050000000308</v>
      </c>
      <c r="BE187" s="405">
        <f>SUM($AR$4:AR187)</f>
        <v>2879.1700000000292</v>
      </c>
      <c r="BF187" s="330"/>
      <c r="BG187" s="330"/>
    </row>
    <row r="188" spans="1:59" ht="18" customHeight="1">
      <c r="A188" s="181" t="s">
        <v>767</v>
      </c>
      <c r="B188" s="181">
        <v>44944</v>
      </c>
      <c r="C188" s="182" t="s">
        <v>1004</v>
      </c>
      <c r="D188" s="182" t="s">
        <v>133</v>
      </c>
      <c r="E188" s="233"/>
      <c r="F188" s="184"/>
      <c r="G188" s="185" t="s">
        <v>813</v>
      </c>
      <c r="H188" s="186"/>
      <c r="I188" s="186"/>
      <c r="J188" s="186"/>
      <c r="K188" s="187"/>
      <c r="L188" s="186">
        <v>1</v>
      </c>
      <c r="M188" s="186"/>
      <c r="N188" s="186"/>
      <c r="O188" s="187" t="s">
        <v>76</v>
      </c>
      <c r="P188" s="187" t="s">
        <v>119</v>
      </c>
      <c r="Q188" s="187" t="s">
        <v>666</v>
      </c>
      <c r="R188" s="187">
        <v>2</v>
      </c>
      <c r="S188" s="187">
        <v>2</v>
      </c>
      <c r="T188" s="187">
        <v>1</v>
      </c>
      <c r="U188" s="187" t="s">
        <v>78</v>
      </c>
      <c r="V188" s="188">
        <f t="shared" si="95"/>
        <v>0.01</v>
      </c>
      <c r="W188" s="188">
        <f t="shared" si="108"/>
        <v>1670</v>
      </c>
      <c r="X188" s="189" t="s">
        <v>1005</v>
      </c>
      <c r="Y188" s="189"/>
      <c r="Z188" s="189"/>
      <c r="AA188" s="190">
        <v>96.28</v>
      </c>
      <c r="AB188" s="186"/>
      <c r="AC188" s="344">
        <v>96.31</v>
      </c>
      <c r="AD188" s="186" t="s">
        <v>1006</v>
      </c>
      <c r="AE188" s="186">
        <v>96.26</v>
      </c>
      <c r="AF188" s="186" t="s">
        <v>1007</v>
      </c>
      <c r="AG188" s="186"/>
      <c r="AH188" s="186"/>
      <c r="AI188" s="191">
        <f>-0.03*W188</f>
        <v>-50.1</v>
      </c>
      <c r="AJ188" s="191">
        <f t="shared" si="105"/>
        <v>-100.2</v>
      </c>
      <c r="AK188" s="186"/>
      <c r="AL188" s="186"/>
      <c r="AM188" s="186" t="s">
        <v>1008</v>
      </c>
      <c r="AN188" s="344" t="s">
        <v>87</v>
      </c>
      <c r="AO188" s="186" t="s">
        <v>1009</v>
      </c>
      <c r="AP188" s="193">
        <v>96.31</v>
      </c>
      <c r="AQ188" s="193">
        <f t="shared" si="99"/>
        <v>-3.0000000000001137E-2</v>
      </c>
      <c r="AR188" s="191">
        <f t="shared" si="106"/>
        <v>-100.2000000000038</v>
      </c>
      <c r="AS188" s="194">
        <f t="shared" si="100"/>
        <v>-50.100000000001899</v>
      </c>
      <c r="AT188" s="195" t="s">
        <v>211</v>
      </c>
      <c r="AU188" s="425" t="s">
        <v>1010</v>
      </c>
      <c r="AV188" s="425"/>
      <c r="AW188" s="425"/>
      <c r="AX188" s="425"/>
      <c r="AY188" s="425"/>
      <c r="AZ188" s="425"/>
      <c r="BA188" s="425" t="s">
        <v>1011</v>
      </c>
      <c r="BB188" s="425"/>
      <c r="BC188" s="440"/>
      <c r="BD188" s="404">
        <f>SUM($AS$4:AS188)</f>
        <v>1659.2050000000288</v>
      </c>
      <c r="BE188" s="405">
        <f>SUM($AR$4:AR188)</f>
        <v>2778.9700000000253</v>
      </c>
      <c r="BF188" s="330"/>
      <c r="BG188" s="330"/>
    </row>
    <row r="189" spans="1:59" ht="18" customHeight="1">
      <c r="A189" s="181" t="s">
        <v>767</v>
      </c>
      <c r="B189" s="181">
        <v>44945</v>
      </c>
      <c r="C189" s="198">
        <v>0.25</v>
      </c>
      <c r="D189" s="182" t="s">
        <v>74</v>
      </c>
      <c r="E189" s="233" t="s">
        <v>1012</v>
      </c>
      <c r="F189" s="184" t="s">
        <v>1013</v>
      </c>
      <c r="G189" s="185"/>
      <c r="H189" s="186"/>
      <c r="I189" s="186"/>
      <c r="J189" s="186">
        <v>1</v>
      </c>
      <c r="K189" s="187" t="s">
        <v>97</v>
      </c>
      <c r="L189" s="186"/>
      <c r="M189" s="186"/>
      <c r="N189" s="186"/>
      <c r="O189" s="187"/>
      <c r="P189" s="187"/>
      <c r="Q189" s="187"/>
      <c r="R189" s="187"/>
      <c r="S189" s="187"/>
      <c r="T189" s="187"/>
      <c r="U189" s="187"/>
      <c r="V189" s="188">
        <f t="shared" si="95"/>
        <v>0</v>
      </c>
      <c r="W189" s="188">
        <f t="shared" si="108"/>
        <v>0</v>
      </c>
      <c r="X189" s="189"/>
      <c r="Y189" s="189"/>
      <c r="Z189" s="189"/>
      <c r="AA189" s="190"/>
      <c r="AB189" s="186"/>
      <c r="AC189" s="344"/>
      <c r="AD189" s="186"/>
      <c r="AE189" s="186"/>
      <c r="AF189" s="186"/>
      <c r="AG189" s="186"/>
      <c r="AH189" s="186"/>
      <c r="AI189" s="191"/>
      <c r="AJ189" s="187"/>
      <c r="AK189" s="186"/>
      <c r="AL189" s="186"/>
      <c r="AM189" s="186"/>
      <c r="AN189" s="344"/>
      <c r="AO189" s="186"/>
      <c r="AP189" s="193"/>
      <c r="AQ189" s="186"/>
      <c r="AR189" s="191"/>
      <c r="AS189" s="194"/>
      <c r="AT189" s="195"/>
      <c r="AU189" s="425"/>
      <c r="AV189" s="425"/>
      <c r="AW189" s="425"/>
      <c r="AX189" s="425"/>
      <c r="AY189" s="425"/>
      <c r="AZ189" s="425"/>
      <c r="BA189" s="425"/>
      <c r="BB189" s="425"/>
      <c r="BC189" s="440"/>
      <c r="BD189" s="404">
        <f>SUM($AS$4:AS189)</f>
        <v>1659.2050000000288</v>
      </c>
      <c r="BE189" s="405">
        <f>SUM($AR$4:AR189)</f>
        <v>2778.9700000000253</v>
      </c>
      <c r="BF189" s="330"/>
      <c r="BG189" s="330"/>
    </row>
    <row r="190" spans="1:59" ht="18" customHeight="1">
      <c r="A190" s="181" t="s">
        <v>767</v>
      </c>
      <c r="B190" s="181"/>
      <c r="C190" s="182"/>
      <c r="D190" s="182"/>
      <c r="E190" s="233" t="s">
        <v>1014</v>
      </c>
      <c r="F190" s="184" t="s">
        <v>1015</v>
      </c>
      <c r="G190" s="185"/>
      <c r="H190" s="186">
        <v>1</v>
      </c>
      <c r="I190" s="186"/>
      <c r="J190" s="186"/>
      <c r="K190" s="187" t="s">
        <v>97</v>
      </c>
      <c r="L190" s="186"/>
      <c r="M190" s="186"/>
      <c r="N190" s="186"/>
      <c r="O190" s="187"/>
      <c r="P190" s="187"/>
      <c r="Q190" s="187"/>
      <c r="R190" s="187"/>
      <c r="S190" s="187"/>
      <c r="T190" s="187"/>
      <c r="U190" s="187"/>
      <c r="V190" s="188">
        <f t="shared" si="95"/>
        <v>0</v>
      </c>
      <c r="W190" s="188">
        <f t="shared" si="108"/>
        <v>0</v>
      </c>
      <c r="X190" s="189"/>
      <c r="Y190" s="189"/>
      <c r="Z190" s="189"/>
      <c r="AA190" s="190"/>
      <c r="AB190" s="186"/>
      <c r="AC190" s="344"/>
      <c r="AD190" s="186"/>
      <c r="AE190" s="186"/>
      <c r="AF190" s="186"/>
      <c r="AG190" s="186"/>
      <c r="AH190" s="186"/>
      <c r="AI190" s="191"/>
      <c r="AJ190" s="187"/>
      <c r="AK190" s="186"/>
      <c r="AL190" s="186"/>
      <c r="AM190" s="186"/>
      <c r="AN190" s="344"/>
      <c r="AO190" s="186"/>
      <c r="AP190" s="193"/>
      <c r="AQ190" s="186"/>
      <c r="AR190" s="191"/>
      <c r="AS190" s="194"/>
      <c r="AT190" s="195"/>
      <c r="AU190" s="425"/>
      <c r="AV190" s="425"/>
      <c r="AW190" s="425"/>
      <c r="AX190" s="425"/>
      <c r="AY190" s="425"/>
      <c r="AZ190" s="425"/>
      <c r="BA190" s="425"/>
      <c r="BB190" s="425"/>
      <c r="BC190" s="440"/>
      <c r="BD190" s="404">
        <f>SUM($AS$4:AS190)</f>
        <v>1659.2050000000288</v>
      </c>
      <c r="BE190" s="405">
        <f>SUM($AR$4:AR190)</f>
        <v>2778.9700000000253</v>
      </c>
      <c r="BF190" s="330"/>
      <c r="BG190" s="330"/>
    </row>
    <row r="191" spans="1:59" ht="18" customHeight="1">
      <c r="A191" s="181" t="s">
        <v>767</v>
      </c>
      <c r="B191" s="276"/>
      <c r="C191" s="182"/>
      <c r="D191" s="182"/>
      <c r="E191" s="233" t="s">
        <v>1016</v>
      </c>
      <c r="F191" s="184" t="s">
        <v>1017</v>
      </c>
      <c r="G191" s="185"/>
      <c r="H191" s="186"/>
      <c r="I191" s="186"/>
      <c r="J191" s="186"/>
      <c r="K191" s="187"/>
      <c r="L191" s="186"/>
      <c r="M191" s="186"/>
      <c r="N191" s="186"/>
      <c r="O191" s="187"/>
      <c r="P191" s="187"/>
      <c r="Q191" s="187"/>
      <c r="R191" s="187"/>
      <c r="S191" s="187"/>
      <c r="T191" s="187"/>
      <c r="U191" s="187"/>
      <c r="V191" s="188">
        <f t="shared" si="95"/>
        <v>0</v>
      </c>
      <c r="W191" s="188">
        <f t="shared" si="108"/>
        <v>0</v>
      </c>
      <c r="X191" s="189"/>
      <c r="Y191" s="189"/>
      <c r="Z191" s="189"/>
      <c r="AA191" s="190"/>
      <c r="AB191" s="186"/>
      <c r="AC191" s="344"/>
      <c r="AD191" s="186"/>
      <c r="AE191" s="186"/>
      <c r="AF191" s="186"/>
      <c r="AG191" s="186"/>
      <c r="AH191" s="186"/>
      <c r="AI191" s="191"/>
      <c r="AJ191" s="187"/>
      <c r="AK191" s="186"/>
      <c r="AL191" s="186"/>
      <c r="AM191" s="186"/>
      <c r="AN191" s="344"/>
      <c r="AO191" s="186"/>
      <c r="AP191" s="193"/>
      <c r="AQ191" s="186"/>
      <c r="AR191" s="191"/>
      <c r="AS191" s="194"/>
      <c r="AT191" s="195"/>
      <c r="AU191" s="425"/>
      <c r="AV191" s="425"/>
      <c r="AW191" s="425"/>
      <c r="AX191" s="425"/>
      <c r="AY191" s="425"/>
      <c r="AZ191" s="425"/>
      <c r="BA191" s="425"/>
      <c r="BB191" s="425"/>
      <c r="BC191" s="440"/>
      <c r="BD191" s="404">
        <f>SUM($AS$4:AS191)</f>
        <v>1659.2050000000288</v>
      </c>
      <c r="BE191" s="405">
        <f>SUM($AR$4:AR191)</f>
        <v>2778.9700000000253</v>
      </c>
      <c r="BF191" s="330"/>
      <c r="BG191" s="330"/>
    </row>
    <row r="192" spans="1:59" ht="18" customHeight="1">
      <c r="A192" s="181" t="s">
        <v>767</v>
      </c>
      <c r="B192" s="181">
        <v>44945</v>
      </c>
      <c r="C192" s="182" t="s">
        <v>664</v>
      </c>
      <c r="D192" s="182" t="s">
        <v>74</v>
      </c>
      <c r="E192" s="233"/>
      <c r="F192" s="184"/>
      <c r="G192" s="185" t="s">
        <v>965</v>
      </c>
      <c r="H192" s="186"/>
      <c r="I192" s="186"/>
      <c r="J192" s="186"/>
      <c r="K192" s="187"/>
      <c r="L192" s="186">
        <v>2</v>
      </c>
      <c r="M192" s="186"/>
      <c r="N192" s="186"/>
      <c r="O192" s="187" t="s">
        <v>76</v>
      </c>
      <c r="P192" s="187" t="s">
        <v>77</v>
      </c>
      <c r="Q192" s="187" t="s">
        <v>666</v>
      </c>
      <c r="R192" s="187">
        <v>1</v>
      </c>
      <c r="S192" s="187">
        <v>1</v>
      </c>
      <c r="T192" s="187">
        <v>1</v>
      </c>
      <c r="U192" s="187" t="s">
        <v>22</v>
      </c>
      <c r="V192" s="188">
        <f t="shared" si="95"/>
        <v>0.01</v>
      </c>
      <c r="W192" s="188">
        <f t="shared" si="108"/>
        <v>1670</v>
      </c>
      <c r="X192" s="189" t="s">
        <v>1018</v>
      </c>
      <c r="Y192" s="189"/>
      <c r="Z192" s="189"/>
      <c r="AA192" s="190">
        <v>96.21</v>
      </c>
      <c r="AB192" s="186"/>
      <c r="AC192" s="344"/>
      <c r="AD192" s="186"/>
      <c r="AE192" s="186"/>
      <c r="AF192" s="186"/>
      <c r="AG192" s="186"/>
      <c r="AH192" s="186"/>
      <c r="AI192" s="191"/>
      <c r="AJ192" s="187"/>
      <c r="AK192" s="186"/>
      <c r="AL192" s="186"/>
      <c r="AM192" s="186" t="s">
        <v>1019</v>
      </c>
      <c r="AN192" s="344" t="s">
        <v>376</v>
      </c>
      <c r="AO192" s="186" t="s">
        <v>1020</v>
      </c>
      <c r="AP192" s="193">
        <v>96.3</v>
      </c>
      <c r="AQ192" s="193">
        <f t="shared" si="99"/>
        <v>9.0000000000003411E-2</v>
      </c>
      <c r="AR192" s="191">
        <f t="shared" ref="AR192:AR198" si="109">AS192*R192</f>
        <v>150.3000000000057</v>
      </c>
      <c r="AS192" s="194">
        <f t="shared" si="100"/>
        <v>150.3000000000057</v>
      </c>
      <c r="AT192" s="195" t="s">
        <v>77</v>
      </c>
      <c r="AU192" s="425" t="s">
        <v>1021</v>
      </c>
      <c r="AV192" s="425" t="s">
        <v>1022</v>
      </c>
      <c r="AW192" s="425" t="s">
        <v>764</v>
      </c>
      <c r="AX192" s="425" t="s">
        <v>1023</v>
      </c>
      <c r="AY192" s="425"/>
      <c r="AZ192" s="425"/>
      <c r="BA192" s="425"/>
      <c r="BB192" s="425"/>
      <c r="BC192" s="440"/>
      <c r="BD192" s="404">
        <f>SUM($AS$4:AS192)</f>
        <v>1809.5050000000344</v>
      </c>
      <c r="BE192" s="405">
        <f>SUM($AR$4:AR192)</f>
        <v>2929.2700000000309</v>
      </c>
      <c r="BF192" s="330"/>
      <c r="BG192" s="330"/>
    </row>
    <row r="193" spans="1:59" ht="18" customHeight="1">
      <c r="A193" s="181" t="s">
        <v>767</v>
      </c>
      <c r="B193" s="181">
        <v>44945</v>
      </c>
      <c r="C193" s="182" t="s">
        <v>664</v>
      </c>
      <c r="D193" s="182" t="s">
        <v>74</v>
      </c>
      <c r="E193" s="233"/>
      <c r="F193" s="184"/>
      <c r="G193" s="253" t="s">
        <v>417</v>
      </c>
      <c r="H193" s="186"/>
      <c r="I193" s="186"/>
      <c r="J193" s="186"/>
      <c r="K193" s="187"/>
      <c r="L193" s="186">
        <v>1</v>
      </c>
      <c r="M193" s="186"/>
      <c r="N193" s="186"/>
      <c r="O193" s="187" t="s">
        <v>76</v>
      </c>
      <c r="P193" s="187" t="s">
        <v>77</v>
      </c>
      <c r="Q193" s="187" t="s">
        <v>78</v>
      </c>
      <c r="R193" s="187">
        <v>1</v>
      </c>
      <c r="S193" s="187">
        <v>1</v>
      </c>
      <c r="T193" s="187">
        <v>1</v>
      </c>
      <c r="U193" s="187" t="s">
        <v>22</v>
      </c>
      <c r="V193" s="188">
        <f t="shared" si="95"/>
        <v>0.01</v>
      </c>
      <c r="W193" s="188">
        <f t="shared" si="108"/>
        <v>1670</v>
      </c>
      <c r="X193" s="189"/>
      <c r="Y193" s="189"/>
      <c r="Z193" s="189"/>
      <c r="AA193" s="190">
        <v>0.22</v>
      </c>
      <c r="AB193" s="186"/>
      <c r="AC193" s="344"/>
      <c r="AD193" s="186"/>
      <c r="AE193" s="186"/>
      <c r="AF193" s="186"/>
      <c r="AG193" s="186"/>
      <c r="AH193" s="186"/>
      <c r="AI193" s="191">
        <f t="shared" ref="AI193:AI197" si="110">-0.03*W193</f>
        <v>-50.1</v>
      </c>
      <c r="AJ193" s="191">
        <f t="shared" ref="AJ193:AJ198" si="111">AI193*R193</f>
        <v>-50.1</v>
      </c>
      <c r="AK193" s="186"/>
      <c r="AL193" s="186"/>
      <c r="AM193" s="186" t="s">
        <v>1024</v>
      </c>
      <c r="AN193" s="344" t="s">
        <v>87</v>
      </c>
      <c r="AO193" s="186" t="s">
        <v>812</v>
      </c>
      <c r="AP193" s="193">
        <v>0.23</v>
      </c>
      <c r="AQ193" s="193">
        <f t="shared" si="99"/>
        <v>1.0000000000000009E-2</v>
      </c>
      <c r="AR193" s="191">
        <f t="shared" si="109"/>
        <v>16.700000000000014</v>
      </c>
      <c r="AS193" s="194">
        <f t="shared" si="100"/>
        <v>16.700000000000014</v>
      </c>
      <c r="AT193" s="195" t="s">
        <v>77</v>
      </c>
      <c r="AU193" s="425" t="s">
        <v>1025</v>
      </c>
      <c r="AV193" s="425"/>
      <c r="AW193" s="425"/>
      <c r="AX193" s="425"/>
      <c r="AY193" s="425"/>
      <c r="AZ193" s="425"/>
      <c r="BA193" s="425"/>
      <c r="BB193" s="425"/>
      <c r="BC193" s="440"/>
      <c r="BD193" s="404">
        <f>SUM($AS$4:AS193)</f>
        <v>1826.2050000000345</v>
      </c>
      <c r="BE193" s="405">
        <f>SUM($AR$4:AR193)</f>
        <v>2945.9700000000307</v>
      </c>
      <c r="BF193" s="330"/>
      <c r="BG193" s="330"/>
    </row>
    <row r="194" spans="1:59" ht="18" customHeight="1">
      <c r="A194" s="181" t="s">
        <v>767</v>
      </c>
      <c r="B194" s="181">
        <v>44945</v>
      </c>
      <c r="C194" s="182" t="s">
        <v>664</v>
      </c>
      <c r="D194" s="182" t="s">
        <v>74</v>
      </c>
      <c r="E194" s="233"/>
      <c r="F194" s="184"/>
      <c r="G194" s="253" t="s">
        <v>417</v>
      </c>
      <c r="H194" s="186"/>
      <c r="I194" s="186"/>
      <c r="J194" s="186"/>
      <c r="K194" s="187"/>
      <c r="L194" s="186">
        <v>1</v>
      </c>
      <c r="M194" s="186"/>
      <c r="N194" s="186"/>
      <c r="O194" s="187" t="s">
        <v>76</v>
      </c>
      <c r="P194" s="187" t="s">
        <v>77</v>
      </c>
      <c r="Q194" s="187" t="s">
        <v>78</v>
      </c>
      <c r="R194" s="187">
        <v>2</v>
      </c>
      <c r="S194" s="187">
        <v>2</v>
      </c>
      <c r="T194" s="187">
        <v>2</v>
      </c>
      <c r="U194" s="187" t="s">
        <v>22</v>
      </c>
      <c r="V194" s="188">
        <f t="shared" si="95"/>
        <v>0.01</v>
      </c>
      <c r="W194" s="188">
        <f t="shared" si="108"/>
        <v>1670</v>
      </c>
      <c r="X194" s="189"/>
      <c r="Y194" s="189"/>
      <c r="Z194" s="189"/>
      <c r="AA194" s="190">
        <v>0.21</v>
      </c>
      <c r="AB194" s="186"/>
      <c r="AC194" s="344"/>
      <c r="AD194" s="186"/>
      <c r="AE194" s="186"/>
      <c r="AF194" s="186"/>
      <c r="AG194" s="186"/>
      <c r="AH194" s="186"/>
      <c r="AI194" s="191">
        <f t="shared" si="110"/>
        <v>-50.1</v>
      </c>
      <c r="AJ194" s="191">
        <f t="shared" si="111"/>
        <v>-100.2</v>
      </c>
      <c r="AK194" s="186"/>
      <c r="AL194" s="186"/>
      <c r="AM194" s="186" t="s">
        <v>924</v>
      </c>
      <c r="AN194" s="344" t="s">
        <v>87</v>
      </c>
      <c r="AO194" s="186" t="s">
        <v>1026</v>
      </c>
      <c r="AP194" s="193">
        <v>0.23499999999999999</v>
      </c>
      <c r="AQ194" s="193">
        <f t="shared" si="99"/>
        <v>2.4999999999999994E-2</v>
      </c>
      <c r="AR194" s="191">
        <f t="shared" si="109"/>
        <v>83.499999999999986</v>
      </c>
      <c r="AS194" s="194">
        <f t="shared" si="100"/>
        <v>41.749999999999993</v>
      </c>
      <c r="AT194" s="195" t="s">
        <v>77</v>
      </c>
      <c r="AU194" s="425" t="s">
        <v>1027</v>
      </c>
      <c r="AV194" s="425" t="s">
        <v>1028</v>
      </c>
      <c r="AW194" s="425"/>
      <c r="AX194" s="425"/>
      <c r="AY194" s="425"/>
      <c r="AZ194" s="425"/>
      <c r="BA194" s="425" t="s">
        <v>177</v>
      </c>
      <c r="BB194" s="425"/>
      <c r="BC194" s="440"/>
      <c r="BD194" s="404">
        <f>SUM($AS$4:AS194)</f>
        <v>1867.9550000000345</v>
      </c>
      <c r="BE194" s="405">
        <f>SUM($AR$4:AR194)</f>
        <v>3029.4700000000307</v>
      </c>
      <c r="BF194" s="330"/>
      <c r="BG194" s="330"/>
    </row>
    <row r="195" spans="1:59" ht="18" customHeight="1">
      <c r="A195" s="181" t="s">
        <v>767</v>
      </c>
      <c r="B195" s="181">
        <v>44945</v>
      </c>
      <c r="C195" s="182" t="s">
        <v>664</v>
      </c>
      <c r="D195" s="182" t="s">
        <v>74</v>
      </c>
      <c r="E195" s="233"/>
      <c r="F195" s="184"/>
      <c r="G195" s="256" t="s">
        <v>868</v>
      </c>
      <c r="H195" s="186"/>
      <c r="I195" s="186"/>
      <c r="J195" s="186"/>
      <c r="K195" s="187"/>
      <c r="L195" s="186">
        <v>1</v>
      </c>
      <c r="M195" s="186"/>
      <c r="N195" s="186"/>
      <c r="O195" s="187" t="s">
        <v>76</v>
      </c>
      <c r="P195" s="187" t="s">
        <v>119</v>
      </c>
      <c r="Q195" s="187" t="s">
        <v>78</v>
      </c>
      <c r="R195" s="187">
        <v>2</v>
      </c>
      <c r="S195" s="187">
        <v>2</v>
      </c>
      <c r="T195" s="187">
        <v>2</v>
      </c>
      <c r="U195" s="187" t="s">
        <v>78</v>
      </c>
      <c r="V195" s="188">
        <f t="shared" si="95"/>
        <v>0.01</v>
      </c>
      <c r="W195" s="188">
        <f t="shared" si="108"/>
        <v>1670</v>
      </c>
      <c r="X195" s="189"/>
      <c r="Y195" s="189"/>
      <c r="Z195" s="189"/>
      <c r="AA195" s="190">
        <v>-0.01</v>
      </c>
      <c r="AB195" s="186"/>
      <c r="AC195" s="344"/>
      <c r="AD195" s="186"/>
      <c r="AE195" s="186"/>
      <c r="AF195" s="186"/>
      <c r="AG195" s="186"/>
      <c r="AH195" s="186"/>
      <c r="AI195" s="191">
        <f t="shared" si="110"/>
        <v>-50.1</v>
      </c>
      <c r="AJ195" s="191">
        <f t="shared" si="111"/>
        <v>-100.2</v>
      </c>
      <c r="AK195" s="186"/>
      <c r="AL195" s="186"/>
      <c r="AM195" s="186" t="s">
        <v>1029</v>
      </c>
      <c r="AN195" s="344" t="s">
        <v>77</v>
      </c>
      <c r="AO195" s="186" t="s">
        <v>1030</v>
      </c>
      <c r="AP195" s="193">
        <v>-0.04</v>
      </c>
      <c r="AQ195" s="193">
        <f t="shared" si="99"/>
        <v>0.03</v>
      </c>
      <c r="AR195" s="191">
        <f t="shared" si="109"/>
        <v>100.2</v>
      </c>
      <c r="AS195" s="194">
        <f t="shared" si="100"/>
        <v>50.1</v>
      </c>
      <c r="AT195" s="195" t="s">
        <v>77</v>
      </c>
      <c r="AU195" s="425" t="s">
        <v>1031</v>
      </c>
      <c r="AV195" s="425"/>
      <c r="AW195" s="425"/>
      <c r="AX195" s="425"/>
      <c r="AY195" s="425"/>
      <c r="AZ195" s="425"/>
      <c r="BA195" s="425"/>
      <c r="BB195" s="425"/>
      <c r="BC195" s="440"/>
      <c r="BD195" s="404">
        <f>SUM($AS$4:AS195)</f>
        <v>1918.0550000000344</v>
      </c>
      <c r="BE195" s="405">
        <f>SUM($AR$4:AR195)</f>
        <v>3129.6700000000305</v>
      </c>
      <c r="BF195" s="330"/>
      <c r="BG195" s="330"/>
    </row>
    <row r="196" spans="1:59" ht="18" customHeight="1">
      <c r="A196" s="181" t="s">
        <v>767</v>
      </c>
      <c r="B196" s="181">
        <v>44945</v>
      </c>
      <c r="C196" s="182" t="s">
        <v>1032</v>
      </c>
      <c r="D196" s="182" t="s">
        <v>74</v>
      </c>
      <c r="E196" s="233"/>
      <c r="F196" s="184"/>
      <c r="G196" s="279" t="s">
        <v>739</v>
      </c>
      <c r="H196" s="186"/>
      <c r="I196" s="186"/>
      <c r="J196" s="186"/>
      <c r="K196" s="187"/>
      <c r="L196" s="186">
        <v>1</v>
      </c>
      <c r="M196" s="186"/>
      <c r="N196" s="186"/>
      <c r="O196" s="187" t="s">
        <v>76</v>
      </c>
      <c r="P196" s="187" t="s">
        <v>77</v>
      </c>
      <c r="Q196" s="187" t="s">
        <v>78</v>
      </c>
      <c r="R196" s="187">
        <v>1</v>
      </c>
      <c r="S196" s="187">
        <v>1</v>
      </c>
      <c r="T196" s="187">
        <v>1</v>
      </c>
      <c r="U196" s="187" t="s">
        <v>22</v>
      </c>
      <c r="V196" s="188">
        <f t="shared" si="95"/>
        <v>0.01</v>
      </c>
      <c r="W196" s="188">
        <f t="shared" si="108"/>
        <v>1670</v>
      </c>
      <c r="X196" s="189"/>
      <c r="Y196" s="189"/>
      <c r="Z196" s="189"/>
      <c r="AA196" s="190">
        <v>0.08</v>
      </c>
      <c r="AB196" s="186"/>
      <c r="AC196" s="344"/>
      <c r="AD196" s="186"/>
      <c r="AE196" s="186"/>
      <c r="AF196" s="186"/>
      <c r="AG196" s="186"/>
      <c r="AH196" s="186"/>
      <c r="AI196" s="191">
        <f t="shared" si="110"/>
        <v>-50.1</v>
      </c>
      <c r="AJ196" s="191">
        <f t="shared" si="111"/>
        <v>-50.1</v>
      </c>
      <c r="AK196" s="186"/>
      <c r="AL196" s="186"/>
      <c r="AM196" s="186" t="s">
        <v>571</v>
      </c>
      <c r="AN196" s="344" t="s">
        <v>97</v>
      </c>
      <c r="AO196" s="186" t="s">
        <v>1033</v>
      </c>
      <c r="AP196" s="193">
        <v>7.0000000000000007E-2</v>
      </c>
      <c r="AQ196" s="193">
        <f t="shared" si="99"/>
        <v>-9.999999999999995E-3</v>
      </c>
      <c r="AR196" s="191">
        <f t="shared" si="109"/>
        <v>-16.699999999999992</v>
      </c>
      <c r="AS196" s="194">
        <f t="shared" si="100"/>
        <v>-16.699999999999992</v>
      </c>
      <c r="AT196" s="195" t="s">
        <v>211</v>
      </c>
      <c r="AU196" s="425"/>
      <c r="AV196" s="425"/>
      <c r="AW196" s="425"/>
      <c r="AX196" s="425"/>
      <c r="AY196" s="425"/>
      <c r="AZ196" s="425"/>
      <c r="BA196" s="425"/>
      <c r="BB196" s="425"/>
      <c r="BC196" s="440"/>
      <c r="BD196" s="404">
        <f>SUM($AS$4:AS196)</f>
        <v>1901.3550000000344</v>
      </c>
      <c r="BE196" s="405">
        <f>SUM($AR$4:AR196)</f>
        <v>3112.9700000000307</v>
      </c>
      <c r="BF196" s="330"/>
      <c r="BG196" s="330"/>
    </row>
    <row r="197" spans="1:59" ht="18" customHeight="1">
      <c r="A197" s="181" t="s">
        <v>767</v>
      </c>
      <c r="B197" s="181">
        <v>44945</v>
      </c>
      <c r="C197" s="182" t="s">
        <v>1034</v>
      </c>
      <c r="D197" s="182" t="s">
        <v>74</v>
      </c>
      <c r="E197" s="233"/>
      <c r="F197" s="184"/>
      <c r="G197" s="253" t="s">
        <v>115</v>
      </c>
      <c r="H197" s="186"/>
      <c r="I197" s="186"/>
      <c r="J197" s="186"/>
      <c r="K197" s="187"/>
      <c r="L197" s="186">
        <v>1</v>
      </c>
      <c r="M197" s="186"/>
      <c r="N197" s="186"/>
      <c r="O197" s="187" t="s">
        <v>76</v>
      </c>
      <c r="P197" s="187" t="s">
        <v>77</v>
      </c>
      <c r="Q197" s="187" t="s">
        <v>78</v>
      </c>
      <c r="R197" s="187">
        <v>3</v>
      </c>
      <c r="S197" s="187">
        <v>3</v>
      </c>
      <c r="T197" s="187">
        <v>3</v>
      </c>
      <c r="U197" s="187" t="s">
        <v>22</v>
      </c>
      <c r="V197" s="188">
        <f t="shared" si="95"/>
        <v>0.01</v>
      </c>
      <c r="W197" s="188">
        <f t="shared" si="108"/>
        <v>1670</v>
      </c>
      <c r="X197" s="189"/>
      <c r="Y197" s="189"/>
      <c r="Z197" s="189"/>
      <c r="AA197" s="190">
        <v>-0.04</v>
      </c>
      <c r="AB197" s="186"/>
      <c r="AC197" s="344"/>
      <c r="AD197" s="186"/>
      <c r="AE197" s="186"/>
      <c r="AF197" s="186"/>
      <c r="AG197" s="186"/>
      <c r="AH197" s="186"/>
      <c r="AI197" s="191">
        <f t="shared" si="110"/>
        <v>-50.1</v>
      </c>
      <c r="AJ197" s="191">
        <f t="shared" si="111"/>
        <v>-150.30000000000001</v>
      </c>
      <c r="AK197" s="186"/>
      <c r="AL197" s="186"/>
      <c r="AM197" s="186" t="s">
        <v>1035</v>
      </c>
      <c r="AN197" s="344" t="s">
        <v>87</v>
      </c>
      <c r="AO197" s="186" t="s">
        <v>1036</v>
      </c>
      <c r="AP197" s="193">
        <v>-0.03</v>
      </c>
      <c r="AQ197" s="193">
        <f t="shared" si="99"/>
        <v>1.0000000000000002E-2</v>
      </c>
      <c r="AR197" s="191">
        <f t="shared" si="109"/>
        <v>50.100000000000009</v>
      </c>
      <c r="AS197" s="194">
        <f t="shared" si="100"/>
        <v>16.700000000000003</v>
      </c>
      <c r="AT197" s="195" t="s">
        <v>77</v>
      </c>
      <c r="AU197" s="425"/>
      <c r="AV197" s="425"/>
      <c r="AW197" s="425"/>
      <c r="AX197" s="425"/>
      <c r="AY197" s="425"/>
      <c r="AZ197" s="425"/>
      <c r="BA197" s="425"/>
      <c r="BB197" s="425"/>
      <c r="BC197" s="440"/>
      <c r="BD197" s="404">
        <f>SUM($AS$4:AS197)</f>
        <v>1918.0550000000344</v>
      </c>
      <c r="BE197" s="405">
        <f>SUM($AR$4:AR197)</f>
        <v>3163.0700000000306</v>
      </c>
      <c r="BF197" s="330"/>
      <c r="BG197" s="330"/>
    </row>
    <row r="198" spans="1:59" ht="18" customHeight="1">
      <c r="A198" s="181" t="s">
        <v>767</v>
      </c>
      <c r="B198" s="181">
        <v>44945</v>
      </c>
      <c r="C198" s="182" t="s">
        <v>1037</v>
      </c>
      <c r="D198" s="182" t="s">
        <v>74</v>
      </c>
      <c r="E198" s="233"/>
      <c r="F198" s="184"/>
      <c r="G198" s="253" t="s">
        <v>1038</v>
      </c>
      <c r="H198" s="186"/>
      <c r="I198" s="186"/>
      <c r="J198" s="186"/>
      <c r="K198" s="187"/>
      <c r="L198" s="186"/>
      <c r="M198" s="186">
        <v>1</v>
      </c>
      <c r="N198" s="186"/>
      <c r="O198" s="187" t="s">
        <v>1039</v>
      </c>
      <c r="P198" s="187" t="s">
        <v>77</v>
      </c>
      <c r="Q198" s="187" t="s">
        <v>666</v>
      </c>
      <c r="R198" s="187">
        <v>2</v>
      </c>
      <c r="S198" s="187">
        <v>2</v>
      </c>
      <c r="T198" s="187">
        <v>1</v>
      </c>
      <c r="U198" s="187" t="s">
        <v>78</v>
      </c>
      <c r="V198" s="188">
        <f t="shared" si="95"/>
        <v>5.0000000000000001E-3</v>
      </c>
      <c r="W198" s="188">
        <f t="shared" si="108"/>
        <v>1726.0000000000002</v>
      </c>
      <c r="X198" s="189" t="s">
        <v>1040</v>
      </c>
      <c r="Y198" s="189"/>
      <c r="Z198" s="189"/>
      <c r="AA198" s="190">
        <v>96.81</v>
      </c>
      <c r="AB198" s="186"/>
      <c r="AC198" s="344"/>
      <c r="AD198" s="186"/>
      <c r="AE198" s="186"/>
      <c r="AF198" s="186"/>
      <c r="AG198" s="186"/>
      <c r="AH198" s="186"/>
      <c r="AI198" s="191">
        <f>-0.02*W198</f>
        <v>-34.520000000000003</v>
      </c>
      <c r="AJ198" s="191">
        <f t="shared" si="111"/>
        <v>-69.040000000000006</v>
      </c>
      <c r="AK198" s="186"/>
      <c r="AL198" s="186"/>
      <c r="AM198" s="186" t="s">
        <v>820</v>
      </c>
      <c r="AN198" s="344" t="s">
        <v>87</v>
      </c>
      <c r="AO198" s="186" t="s">
        <v>1041</v>
      </c>
      <c r="AP198" s="193">
        <v>96.784999999999997</v>
      </c>
      <c r="AQ198" s="193">
        <f t="shared" si="99"/>
        <v>2.5000000000005684E-2</v>
      </c>
      <c r="AR198" s="191">
        <f t="shared" si="109"/>
        <v>86.300000000019637</v>
      </c>
      <c r="AS198" s="194">
        <f t="shared" si="100"/>
        <v>43.150000000009818</v>
      </c>
      <c r="AT198" s="195" t="s">
        <v>77</v>
      </c>
      <c r="AU198" s="425" t="s">
        <v>1042</v>
      </c>
      <c r="AV198" s="425" t="s">
        <v>1043</v>
      </c>
      <c r="AW198" s="425" t="s">
        <v>434</v>
      </c>
      <c r="AX198" s="425"/>
      <c r="AY198" s="425"/>
      <c r="AZ198" s="425"/>
      <c r="BA198" s="425"/>
      <c r="BB198" s="425"/>
      <c r="BC198" s="440"/>
      <c r="BD198" s="404">
        <f>SUM($AS$4:AS198)</f>
        <v>1961.2050000000443</v>
      </c>
      <c r="BE198" s="405">
        <f>SUM($AR$4:AR198)</f>
        <v>3249.3700000000504</v>
      </c>
      <c r="BF198" s="330"/>
      <c r="BG198" s="330"/>
    </row>
    <row r="199" spans="1:59" ht="18" customHeight="1">
      <c r="A199" s="181" t="s">
        <v>767</v>
      </c>
      <c r="B199" s="181">
        <v>44945</v>
      </c>
      <c r="C199" s="198">
        <v>0.79166666666666663</v>
      </c>
      <c r="D199" s="182" t="s">
        <v>74</v>
      </c>
      <c r="E199" s="233" t="s">
        <v>1044</v>
      </c>
      <c r="F199" s="184" t="s">
        <v>1045</v>
      </c>
      <c r="G199" s="185"/>
      <c r="H199" s="186"/>
      <c r="I199" s="186"/>
      <c r="J199" s="186">
        <v>1</v>
      </c>
      <c r="K199" s="187" t="s">
        <v>87</v>
      </c>
      <c r="L199" s="186"/>
      <c r="M199" s="186"/>
      <c r="N199" s="186"/>
      <c r="O199" s="187"/>
      <c r="P199" s="187"/>
      <c r="Q199" s="187"/>
      <c r="R199" s="187"/>
      <c r="S199" s="187"/>
      <c r="T199" s="187"/>
      <c r="U199" s="187"/>
      <c r="V199" s="188">
        <f t="shared" si="95"/>
        <v>0</v>
      </c>
      <c r="W199" s="188">
        <f t="shared" si="108"/>
        <v>0</v>
      </c>
      <c r="X199" s="189"/>
      <c r="Y199" s="189"/>
      <c r="Z199" s="189"/>
      <c r="AA199" s="190"/>
      <c r="AB199" s="186"/>
      <c r="AC199" s="344"/>
      <c r="AD199" s="186"/>
      <c r="AE199" s="186"/>
      <c r="AF199" s="186"/>
      <c r="AG199" s="186"/>
      <c r="AH199" s="186"/>
      <c r="AI199" s="191"/>
      <c r="AJ199" s="187"/>
      <c r="AK199" s="186"/>
      <c r="AL199" s="186"/>
      <c r="AM199" s="186"/>
      <c r="AN199" s="344"/>
      <c r="AO199" s="186"/>
      <c r="AP199" s="193"/>
      <c r="AQ199" s="186"/>
      <c r="AR199" s="191"/>
      <c r="AS199" s="194"/>
      <c r="AT199" s="195"/>
      <c r="AU199" s="425"/>
      <c r="AV199" s="425"/>
      <c r="AW199" s="425"/>
      <c r="AX199" s="425"/>
      <c r="AY199" s="425"/>
      <c r="AZ199" s="425"/>
      <c r="BA199" s="425"/>
      <c r="BB199" s="425"/>
      <c r="BC199" s="440"/>
      <c r="BD199" s="404">
        <f>SUM($AS$4:AS199)</f>
        <v>1961.2050000000443</v>
      </c>
      <c r="BE199" s="405">
        <f>SUM($AR$4:AR199)</f>
        <v>3249.3700000000504</v>
      </c>
      <c r="BF199" s="330"/>
      <c r="BG199" s="330"/>
    </row>
    <row r="200" spans="1:59" ht="18" customHeight="1">
      <c r="A200" s="181" t="s">
        <v>767</v>
      </c>
      <c r="B200" s="181">
        <v>44946</v>
      </c>
      <c r="C200" s="182" t="s">
        <v>1046</v>
      </c>
      <c r="D200" s="182" t="s">
        <v>93</v>
      </c>
      <c r="E200" s="233"/>
      <c r="F200" s="184"/>
      <c r="G200" s="185" t="s">
        <v>347</v>
      </c>
      <c r="H200" s="186"/>
      <c r="I200" s="186"/>
      <c r="J200" s="186"/>
      <c r="K200" s="187"/>
      <c r="L200" s="186">
        <v>1</v>
      </c>
      <c r="M200" s="186">
        <v>1</v>
      </c>
      <c r="N200" s="186"/>
      <c r="O200" s="187" t="s">
        <v>76</v>
      </c>
      <c r="P200" s="187" t="s">
        <v>77</v>
      </c>
      <c r="Q200" s="187" t="s">
        <v>78</v>
      </c>
      <c r="R200" s="187">
        <v>3</v>
      </c>
      <c r="S200" s="187">
        <v>3</v>
      </c>
      <c r="T200" s="187">
        <v>3</v>
      </c>
      <c r="U200" s="187" t="s">
        <v>78</v>
      </c>
      <c r="V200" s="188">
        <f t="shared" si="95"/>
        <v>0.01</v>
      </c>
      <c r="W200" s="188">
        <f t="shared" si="108"/>
        <v>1670</v>
      </c>
      <c r="X200" s="189" t="s">
        <v>1047</v>
      </c>
      <c r="Y200" s="189"/>
      <c r="Z200" s="189" t="s">
        <v>1048</v>
      </c>
      <c r="AA200" s="190">
        <v>-0.09</v>
      </c>
      <c r="AB200" s="186"/>
      <c r="AC200" s="344">
        <v>-0.06</v>
      </c>
      <c r="AD200" s="186"/>
      <c r="AE200" s="186" t="s">
        <v>1049</v>
      </c>
      <c r="AF200" s="186" t="s">
        <v>1050</v>
      </c>
      <c r="AG200" s="186"/>
      <c r="AH200" s="186"/>
      <c r="AI200" s="191">
        <f>-0.02*W200</f>
        <v>-33.4</v>
      </c>
      <c r="AJ200" s="191">
        <f t="shared" ref="AJ200:AJ206" si="112">AI200*R200</f>
        <v>-100.19999999999999</v>
      </c>
      <c r="AK200" s="186"/>
      <c r="AL200" s="186"/>
      <c r="AM200" s="186" t="s">
        <v>846</v>
      </c>
      <c r="AN200" s="344" t="s">
        <v>97</v>
      </c>
      <c r="AO200" s="186" t="s">
        <v>1051</v>
      </c>
      <c r="AP200" s="193">
        <v>-0.09</v>
      </c>
      <c r="AQ200" s="193">
        <f t="shared" ref="AQ200:AQ220" si="113">IF(ISBLANK(AP200),,IF(U200="S",AA200-AP200,AP200-AA200))</f>
        <v>0</v>
      </c>
      <c r="AR200" s="191">
        <f t="shared" ref="AR200:AR206" si="114">AS200*R200</f>
        <v>0</v>
      </c>
      <c r="AS200" s="194">
        <f t="shared" ref="AS200:AS220" si="115">IF(ISBLANK(AP200),,(AQ200*W200))</f>
        <v>0</v>
      </c>
      <c r="AT200" s="195" t="s">
        <v>97</v>
      </c>
      <c r="AU200" s="425" t="s">
        <v>1052</v>
      </c>
      <c r="AV200" s="425"/>
      <c r="AW200" s="425"/>
      <c r="AX200" s="425"/>
      <c r="AY200" s="425"/>
      <c r="AZ200" s="425"/>
      <c r="BA200" s="425"/>
      <c r="BB200" s="425"/>
      <c r="BC200" s="440"/>
      <c r="BD200" s="404">
        <f>SUM($AS$4:AS200)</f>
        <v>1961.2050000000443</v>
      </c>
      <c r="BE200" s="405">
        <f>SUM($AR$4:AR200)</f>
        <v>3249.3700000000504</v>
      </c>
      <c r="BF200" s="330"/>
      <c r="BG200" s="330"/>
    </row>
    <row r="201" spans="1:59" ht="18" customHeight="1">
      <c r="A201" s="181" t="s">
        <v>767</v>
      </c>
      <c r="B201" s="181">
        <v>44946</v>
      </c>
      <c r="C201" s="198">
        <v>0.16666666666666666</v>
      </c>
      <c r="D201" s="182" t="s">
        <v>93</v>
      </c>
      <c r="E201" s="233"/>
      <c r="F201" s="184"/>
      <c r="G201" s="256" t="s">
        <v>739</v>
      </c>
      <c r="H201" s="186"/>
      <c r="I201" s="186"/>
      <c r="J201" s="186"/>
      <c r="K201" s="187"/>
      <c r="L201" s="186">
        <v>1</v>
      </c>
      <c r="M201" s="186"/>
      <c r="N201" s="186"/>
      <c r="O201" s="187" t="s">
        <v>76</v>
      </c>
      <c r="P201" s="187" t="s">
        <v>77</v>
      </c>
      <c r="Q201" s="187" t="s">
        <v>78</v>
      </c>
      <c r="R201" s="187">
        <v>2</v>
      </c>
      <c r="S201" s="187">
        <v>2</v>
      </c>
      <c r="T201" s="187">
        <v>2</v>
      </c>
      <c r="U201" s="187" t="s">
        <v>22</v>
      </c>
      <c r="V201" s="188">
        <f t="shared" si="95"/>
        <v>0.01</v>
      </c>
      <c r="W201" s="188">
        <f t="shared" si="108"/>
        <v>1670</v>
      </c>
      <c r="X201" s="189" t="s">
        <v>1053</v>
      </c>
      <c r="Y201" s="189"/>
      <c r="Z201" s="189" t="s">
        <v>1054</v>
      </c>
      <c r="AA201" s="190">
        <v>0.06</v>
      </c>
      <c r="AB201" s="186"/>
      <c r="AC201" s="344">
        <v>0</v>
      </c>
      <c r="AD201" s="186"/>
      <c r="AE201" s="186">
        <v>9</v>
      </c>
      <c r="AF201" s="186"/>
      <c r="AG201" s="186"/>
      <c r="AH201" s="186"/>
      <c r="AI201" s="191">
        <f>-0.06*W201</f>
        <v>-100.2</v>
      </c>
      <c r="AJ201" s="191">
        <f t="shared" si="112"/>
        <v>-200.4</v>
      </c>
      <c r="AK201" s="186"/>
      <c r="AL201" s="186"/>
      <c r="AM201" s="186" t="s">
        <v>786</v>
      </c>
      <c r="AN201" s="344" t="s">
        <v>97</v>
      </c>
      <c r="AO201" s="186" t="s">
        <v>1033</v>
      </c>
      <c r="AP201" s="193">
        <v>7.0000000000000007E-2</v>
      </c>
      <c r="AQ201" s="193">
        <f t="shared" si="113"/>
        <v>1.0000000000000009E-2</v>
      </c>
      <c r="AR201" s="191">
        <f t="shared" si="114"/>
        <v>33.400000000000027</v>
      </c>
      <c r="AS201" s="194">
        <f t="shared" si="115"/>
        <v>16.700000000000014</v>
      </c>
      <c r="AT201" s="195" t="s">
        <v>77</v>
      </c>
      <c r="AU201" s="425"/>
      <c r="AV201" s="425"/>
      <c r="AW201" s="425"/>
      <c r="AX201" s="425"/>
      <c r="AY201" s="425"/>
      <c r="AZ201" s="425"/>
      <c r="BA201" s="425"/>
      <c r="BB201" s="425"/>
      <c r="BC201" s="440"/>
      <c r="BD201" s="404">
        <f>SUM($AS$4:AS201)</f>
        <v>1977.9050000000443</v>
      </c>
      <c r="BE201" s="405">
        <f>SUM($AR$4:AR201)</f>
        <v>3282.7700000000505</v>
      </c>
      <c r="BF201" s="330"/>
      <c r="BG201" s="330"/>
    </row>
    <row r="202" spans="1:59" ht="18" customHeight="1">
      <c r="A202" s="181" t="s">
        <v>767</v>
      </c>
      <c r="B202" s="181">
        <v>44946</v>
      </c>
      <c r="C202" s="182" t="s">
        <v>1055</v>
      </c>
      <c r="D202" s="182" t="s">
        <v>93</v>
      </c>
      <c r="E202" s="233"/>
      <c r="F202" s="184"/>
      <c r="G202" s="185" t="s">
        <v>115</v>
      </c>
      <c r="H202" s="186"/>
      <c r="I202" s="186"/>
      <c r="J202" s="186"/>
      <c r="K202" s="187"/>
      <c r="L202" s="186">
        <v>1</v>
      </c>
      <c r="M202" s="186"/>
      <c r="N202" s="186"/>
      <c r="O202" s="187" t="s">
        <v>76</v>
      </c>
      <c r="P202" s="187" t="s">
        <v>77</v>
      </c>
      <c r="Q202" s="187" t="s">
        <v>78</v>
      </c>
      <c r="R202" s="187">
        <v>3</v>
      </c>
      <c r="S202" s="187">
        <v>3</v>
      </c>
      <c r="T202" s="187">
        <v>3</v>
      </c>
      <c r="U202" s="187" t="s">
        <v>78</v>
      </c>
      <c r="V202" s="188">
        <f t="shared" si="95"/>
        <v>0.01</v>
      </c>
      <c r="W202" s="188">
        <f t="shared" si="108"/>
        <v>1670</v>
      </c>
      <c r="X202" s="189" t="s">
        <v>1056</v>
      </c>
      <c r="Y202" s="189"/>
      <c r="Z202" s="189"/>
      <c r="AA202" s="190">
        <v>-0.02</v>
      </c>
      <c r="AB202" s="186"/>
      <c r="AC202" s="344">
        <v>0.01</v>
      </c>
      <c r="AD202" s="186"/>
      <c r="AE202" s="186">
        <v>0.03</v>
      </c>
      <c r="AF202" s="186"/>
      <c r="AG202" s="186"/>
      <c r="AH202" s="186"/>
      <c r="AI202" s="191">
        <f t="shared" ref="AI202:AI206" si="116">-0.03*W202</f>
        <v>-50.1</v>
      </c>
      <c r="AJ202" s="191">
        <f t="shared" si="112"/>
        <v>-150.30000000000001</v>
      </c>
      <c r="AK202" s="186"/>
      <c r="AL202" s="186"/>
      <c r="AM202" s="186" t="s">
        <v>924</v>
      </c>
      <c r="AN202" s="344" t="s">
        <v>87</v>
      </c>
      <c r="AO202" s="186" t="s">
        <v>1057</v>
      </c>
      <c r="AP202" s="193">
        <v>-0.03</v>
      </c>
      <c r="AQ202" s="193">
        <f t="shared" si="113"/>
        <v>9.9999999999999985E-3</v>
      </c>
      <c r="AR202" s="191">
        <f t="shared" si="114"/>
        <v>50.099999999999987</v>
      </c>
      <c r="AS202" s="194">
        <f t="shared" si="115"/>
        <v>16.699999999999996</v>
      </c>
      <c r="AT202" s="195" t="s">
        <v>77</v>
      </c>
      <c r="AU202" s="425"/>
      <c r="AV202" s="425"/>
      <c r="AW202" s="425"/>
      <c r="AX202" s="425"/>
      <c r="AY202" s="425"/>
      <c r="AZ202" s="425"/>
      <c r="BA202" s="425"/>
      <c r="BB202" s="425"/>
      <c r="BC202" s="440"/>
      <c r="BD202" s="404">
        <f>SUM($AS$4:AS202)</f>
        <v>1994.6050000000444</v>
      </c>
      <c r="BE202" s="405">
        <f>SUM($AR$4:AR202)</f>
        <v>3332.8700000000504</v>
      </c>
      <c r="BF202" s="330"/>
      <c r="BG202" s="330"/>
    </row>
    <row r="203" spans="1:59" ht="18" customHeight="1">
      <c r="A203" s="181" t="s">
        <v>767</v>
      </c>
      <c r="B203" s="181">
        <v>44946</v>
      </c>
      <c r="C203" s="182" t="s">
        <v>1058</v>
      </c>
      <c r="D203" s="182" t="s">
        <v>93</v>
      </c>
      <c r="E203" s="233"/>
      <c r="F203" s="184"/>
      <c r="G203" s="247" t="s">
        <v>739</v>
      </c>
      <c r="H203" s="186"/>
      <c r="I203" s="186"/>
      <c r="J203" s="186"/>
      <c r="K203" s="187"/>
      <c r="L203" s="186">
        <v>1</v>
      </c>
      <c r="M203" s="186"/>
      <c r="N203" s="186"/>
      <c r="O203" s="187" t="s">
        <v>76</v>
      </c>
      <c r="P203" s="187" t="s">
        <v>77</v>
      </c>
      <c r="Q203" s="187" t="s">
        <v>78</v>
      </c>
      <c r="R203" s="187">
        <v>1</v>
      </c>
      <c r="S203" s="187">
        <v>1</v>
      </c>
      <c r="T203" s="187">
        <v>1</v>
      </c>
      <c r="U203" s="187" t="s">
        <v>22</v>
      </c>
      <c r="V203" s="188">
        <f t="shared" si="95"/>
        <v>0.01</v>
      </c>
      <c r="W203" s="188">
        <f t="shared" si="108"/>
        <v>1670</v>
      </c>
      <c r="X203" s="189" t="s">
        <v>1053</v>
      </c>
      <c r="Y203" s="189"/>
      <c r="Z203" s="189"/>
      <c r="AA203" s="190">
        <v>7.0000000000000007E-2</v>
      </c>
      <c r="AB203" s="186"/>
      <c r="AC203" s="344">
        <v>0.04</v>
      </c>
      <c r="AD203" s="186"/>
      <c r="AE203" s="186"/>
      <c r="AF203" s="186"/>
      <c r="AG203" s="186"/>
      <c r="AH203" s="186"/>
      <c r="AI203" s="191">
        <f t="shared" si="116"/>
        <v>-50.1</v>
      </c>
      <c r="AJ203" s="191">
        <f t="shared" si="112"/>
        <v>-50.1</v>
      </c>
      <c r="AK203" s="186"/>
      <c r="AL203" s="186"/>
      <c r="AM203" s="186" t="s">
        <v>786</v>
      </c>
      <c r="AN203" s="344" t="s">
        <v>97</v>
      </c>
      <c r="AO203" s="186" t="s">
        <v>424</v>
      </c>
      <c r="AP203" s="193">
        <v>0.08</v>
      </c>
      <c r="AQ203" s="193">
        <f t="shared" si="113"/>
        <v>9.999999999999995E-3</v>
      </c>
      <c r="AR203" s="191">
        <f t="shared" si="114"/>
        <v>16.699999999999992</v>
      </c>
      <c r="AS203" s="194">
        <f t="shared" si="115"/>
        <v>16.699999999999992</v>
      </c>
      <c r="AT203" s="195" t="s">
        <v>77</v>
      </c>
      <c r="AU203" s="425"/>
      <c r="AV203" s="425"/>
      <c r="AW203" s="425"/>
      <c r="AX203" s="425"/>
      <c r="AY203" s="425"/>
      <c r="AZ203" s="425"/>
      <c r="BA203" s="425"/>
      <c r="BB203" s="425"/>
      <c r="BC203" s="440"/>
      <c r="BD203" s="404">
        <f>SUM($AS$4:AS203)</f>
        <v>2011.3050000000444</v>
      </c>
      <c r="BE203" s="405">
        <f>SUM($AR$4:AR203)</f>
        <v>3349.5700000000502</v>
      </c>
      <c r="BF203" s="330"/>
      <c r="BG203" s="330"/>
    </row>
    <row r="204" spans="1:59" ht="18" customHeight="1">
      <c r="A204" s="181" t="s">
        <v>767</v>
      </c>
      <c r="B204" s="276" t="s">
        <v>1059</v>
      </c>
      <c r="C204" s="182" t="s">
        <v>1060</v>
      </c>
      <c r="D204" s="182" t="s">
        <v>93</v>
      </c>
      <c r="E204" s="233"/>
      <c r="F204" s="184"/>
      <c r="G204" s="247" t="s">
        <v>347</v>
      </c>
      <c r="H204" s="186"/>
      <c r="I204" s="186"/>
      <c r="J204" s="186"/>
      <c r="K204" s="187"/>
      <c r="L204" s="186">
        <v>1</v>
      </c>
      <c r="M204" s="186">
        <v>1</v>
      </c>
      <c r="N204" s="186"/>
      <c r="O204" s="187" t="s">
        <v>76</v>
      </c>
      <c r="P204" s="187" t="s">
        <v>77</v>
      </c>
      <c r="Q204" s="187" t="s">
        <v>78</v>
      </c>
      <c r="R204" s="187">
        <v>4</v>
      </c>
      <c r="S204" s="187">
        <v>4</v>
      </c>
      <c r="T204" s="187">
        <v>3</v>
      </c>
      <c r="U204" s="187" t="s">
        <v>78</v>
      </c>
      <c r="V204" s="188">
        <f t="shared" si="95"/>
        <v>0.01</v>
      </c>
      <c r="W204" s="188">
        <f t="shared" si="108"/>
        <v>1670</v>
      </c>
      <c r="X204" s="189" t="s">
        <v>120</v>
      </c>
      <c r="Y204" s="189"/>
      <c r="Z204" s="189" t="s">
        <v>1061</v>
      </c>
      <c r="AA204" s="190">
        <v>-7.0000000000000007E-2</v>
      </c>
      <c r="AB204" s="186"/>
      <c r="AC204" s="344"/>
      <c r="AD204" s="186"/>
      <c r="AE204" s="186">
        <v>-0.08</v>
      </c>
      <c r="AF204" s="186"/>
      <c r="AG204" s="186"/>
      <c r="AH204" s="186"/>
      <c r="AI204" s="191">
        <f t="shared" si="116"/>
        <v>-50.1</v>
      </c>
      <c r="AJ204" s="191">
        <f t="shared" si="112"/>
        <v>-200.4</v>
      </c>
      <c r="AK204" s="186"/>
      <c r="AL204" s="186"/>
      <c r="AM204" s="186" t="s">
        <v>846</v>
      </c>
      <c r="AN204" s="344" t="s">
        <v>97</v>
      </c>
      <c r="AO204" s="186" t="s">
        <v>1051</v>
      </c>
      <c r="AP204" s="193">
        <v>-0.09</v>
      </c>
      <c r="AQ204" s="193">
        <f t="shared" si="113"/>
        <v>1.999999999999999E-2</v>
      </c>
      <c r="AR204" s="191">
        <f t="shared" si="114"/>
        <v>133.59999999999994</v>
      </c>
      <c r="AS204" s="194">
        <f t="shared" si="115"/>
        <v>33.399999999999984</v>
      </c>
      <c r="AT204" s="195" t="s">
        <v>77</v>
      </c>
      <c r="AU204" s="425" t="s">
        <v>1052</v>
      </c>
      <c r="AV204" s="425" t="s">
        <v>1062</v>
      </c>
      <c r="AW204" s="425"/>
      <c r="AX204" s="425"/>
      <c r="AY204" s="425"/>
      <c r="AZ204" s="425"/>
      <c r="BA204" s="425"/>
      <c r="BB204" s="425"/>
      <c r="BC204" s="440"/>
      <c r="BD204" s="404">
        <f>SUM($AS$4:AS204)</f>
        <v>2044.7050000000445</v>
      </c>
      <c r="BE204" s="405">
        <f>SUM($AR$4:AR204)</f>
        <v>3483.1700000000501</v>
      </c>
      <c r="BF204" s="330"/>
      <c r="BG204" s="330"/>
    </row>
    <row r="205" spans="1:59" ht="18" customHeight="1">
      <c r="A205" s="181" t="s">
        <v>767</v>
      </c>
      <c r="B205" s="181">
        <v>44946</v>
      </c>
      <c r="C205" s="182" t="s">
        <v>1063</v>
      </c>
      <c r="D205" s="182" t="s">
        <v>93</v>
      </c>
      <c r="E205" s="233"/>
      <c r="F205" s="184"/>
      <c r="G205" s="253" t="s">
        <v>115</v>
      </c>
      <c r="H205" s="186"/>
      <c r="I205" s="186"/>
      <c r="J205" s="186"/>
      <c r="K205" s="187"/>
      <c r="L205" s="186">
        <v>1</v>
      </c>
      <c r="M205" s="186"/>
      <c r="N205" s="186"/>
      <c r="O205" s="187" t="s">
        <v>76</v>
      </c>
      <c r="P205" s="187" t="s">
        <v>77</v>
      </c>
      <c r="Q205" s="187" t="s">
        <v>78</v>
      </c>
      <c r="R205" s="187">
        <v>3</v>
      </c>
      <c r="S205" s="187">
        <v>3</v>
      </c>
      <c r="T205" s="187">
        <v>3</v>
      </c>
      <c r="U205" s="187" t="s">
        <v>78</v>
      </c>
      <c r="V205" s="188">
        <f t="shared" si="95"/>
        <v>0.01</v>
      </c>
      <c r="W205" s="188">
        <f t="shared" si="108"/>
        <v>1670</v>
      </c>
      <c r="X205" s="189" t="s">
        <v>1056</v>
      </c>
      <c r="Y205" s="189"/>
      <c r="Z205" s="189" t="s">
        <v>1064</v>
      </c>
      <c r="AA205" s="190">
        <v>-0.02</v>
      </c>
      <c r="AB205" s="186"/>
      <c r="AC205" s="344">
        <v>1</v>
      </c>
      <c r="AD205" s="186"/>
      <c r="AE205" s="186">
        <v>-0.03</v>
      </c>
      <c r="AF205" s="186"/>
      <c r="AG205" s="186"/>
      <c r="AH205" s="186"/>
      <c r="AI205" s="191">
        <f t="shared" si="116"/>
        <v>-50.1</v>
      </c>
      <c r="AJ205" s="191">
        <f t="shared" si="112"/>
        <v>-150.30000000000001</v>
      </c>
      <c r="AK205" s="186"/>
      <c r="AL205" s="186"/>
      <c r="AM205" s="186" t="s">
        <v>846</v>
      </c>
      <c r="AN205" s="344" t="s">
        <v>97</v>
      </c>
      <c r="AO205" s="186" t="s">
        <v>1051</v>
      </c>
      <c r="AP205" s="193">
        <v>-0.04</v>
      </c>
      <c r="AQ205" s="193">
        <f t="shared" si="113"/>
        <v>0.02</v>
      </c>
      <c r="AR205" s="191">
        <f t="shared" si="114"/>
        <v>100.19999999999999</v>
      </c>
      <c r="AS205" s="194">
        <f t="shared" si="115"/>
        <v>33.4</v>
      </c>
      <c r="AT205" s="195" t="s">
        <v>77</v>
      </c>
      <c r="AU205" s="425"/>
      <c r="AV205" s="425"/>
      <c r="AW205" s="425"/>
      <c r="AX205" s="425"/>
      <c r="AY205" s="425"/>
      <c r="AZ205" s="425"/>
      <c r="BA205" s="425"/>
      <c r="BB205" s="425"/>
      <c r="BC205" s="440"/>
      <c r="BD205" s="404">
        <f>SUM($AS$4:AS205)</f>
        <v>2078.1050000000446</v>
      </c>
      <c r="BE205" s="405">
        <f>SUM($AR$4:AR205)</f>
        <v>3583.3700000000499</v>
      </c>
      <c r="BF205" s="330"/>
      <c r="BG205" s="330"/>
    </row>
    <row r="206" spans="1:59" ht="18" customHeight="1">
      <c r="A206" s="181" t="s">
        <v>767</v>
      </c>
      <c r="B206" s="181">
        <v>44949</v>
      </c>
      <c r="C206" s="182" t="s">
        <v>1065</v>
      </c>
      <c r="D206" s="182" t="s">
        <v>114</v>
      </c>
      <c r="E206" s="233"/>
      <c r="F206" s="184"/>
      <c r="G206" s="256" t="s">
        <v>739</v>
      </c>
      <c r="H206" s="186"/>
      <c r="I206" s="186"/>
      <c r="J206" s="186"/>
      <c r="K206" s="187"/>
      <c r="L206" s="186">
        <v>1</v>
      </c>
      <c r="M206" s="186"/>
      <c r="N206" s="186"/>
      <c r="O206" s="187" t="s">
        <v>76</v>
      </c>
      <c r="P206" s="187" t="s">
        <v>77</v>
      </c>
      <c r="Q206" s="187" t="s">
        <v>78</v>
      </c>
      <c r="R206" s="187">
        <v>1</v>
      </c>
      <c r="S206" s="187">
        <v>1</v>
      </c>
      <c r="T206" s="187">
        <v>1</v>
      </c>
      <c r="U206" s="187" t="s">
        <v>22</v>
      </c>
      <c r="V206" s="188">
        <f t="shared" si="95"/>
        <v>0.01</v>
      </c>
      <c r="W206" s="188">
        <f t="shared" si="108"/>
        <v>1670</v>
      </c>
      <c r="X206" s="189" t="s">
        <v>1053</v>
      </c>
      <c r="Y206" s="189"/>
      <c r="Z206" s="189"/>
      <c r="AA206" s="190">
        <v>0.05</v>
      </c>
      <c r="AB206" s="186"/>
      <c r="AC206" s="344">
        <v>0.04</v>
      </c>
      <c r="AD206" s="186"/>
      <c r="AE206" s="186"/>
      <c r="AF206" s="186"/>
      <c r="AG206" s="186"/>
      <c r="AH206" s="186"/>
      <c r="AI206" s="191">
        <f t="shared" si="116"/>
        <v>-50.1</v>
      </c>
      <c r="AJ206" s="191">
        <f t="shared" si="112"/>
        <v>-50.1</v>
      </c>
      <c r="AK206" s="186"/>
      <c r="AL206" s="186"/>
      <c r="AM206" s="186" t="s">
        <v>1066</v>
      </c>
      <c r="AN206" s="344" t="s">
        <v>87</v>
      </c>
      <c r="AO206" s="186" t="s">
        <v>424</v>
      </c>
      <c r="AP206" s="193">
        <v>0.08</v>
      </c>
      <c r="AQ206" s="193">
        <f t="shared" si="113"/>
        <v>0.03</v>
      </c>
      <c r="AR206" s="191">
        <f t="shared" si="114"/>
        <v>50.1</v>
      </c>
      <c r="AS206" s="194">
        <f t="shared" si="115"/>
        <v>50.1</v>
      </c>
      <c r="AT206" s="195" t="s">
        <v>77</v>
      </c>
      <c r="AU206" s="425"/>
      <c r="AV206" s="425"/>
      <c r="AW206" s="425"/>
      <c r="AX206" s="425"/>
      <c r="AY206" s="425"/>
      <c r="AZ206" s="425"/>
      <c r="BA206" s="425"/>
      <c r="BB206" s="425"/>
      <c r="BC206" s="440"/>
      <c r="BD206" s="404">
        <f>SUM($AS$4:AS206)</f>
        <v>2128.2050000000445</v>
      </c>
      <c r="BE206" s="405">
        <f>SUM($AR$4:AR206)</f>
        <v>3633.4700000000498</v>
      </c>
      <c r="BF206" s="330"/>
      <c r="BG206" s="330"/>
    </row>
    <row r="207" spans="1:59" ht="18" customHeight="1">
      <c r="A207" s="181" t="s">
        <v>767</v>
      </c>
      <c r="B207" s="181"/>
      <c r="C207" s="182"/>
      <c r="D207" s="182"/>
      <c r="E207" s="233"/>
      <c r="F207" s="184"/>
      <c r="G207" s="185"/>
      <c r="H207" s="186"/>
      <c r="I207" s="186"/>
      <c r="J207" s="186"/>
      <c r="K207" s="187"/>
      <c r="L207" s="186"/>
      <c r="M207" s="186"/>
      <c r="N207" s="186"/>
      <c r="O207" s="187"/>
      <c r="P207" s="187"/>
      <c r="Q207" s="187"/>
      <c r="R207" s="187"/>
      <c r="S207" s="187"/>
      <c r="T207" s="187"/>
      <c r="U207" s="187"/>
      <c r="V207" s="188">
        <f t="shared" si="95"/>
        <v>0</v>
      </c>
      <c r="W207" s="188">
        <f t="shared" si="108"/>
        <v>0</v>
      </c>
      <c r="X207" s="189"/>
      <c r="Y207" s="189"/>
      <c r="Z207" s="189"/>
      <c r="AA207" s="190"/>
      <c r="AB207" s="186"/>
      <c r="AC207" s="344"/>
      <c r="AD207" s="186"/>
      <c r="AE207" s="186"/>
      <c r="AF207" s="186"/>
      <c r="AG207" s="186"/>
      <c r="AH207" s="186"/>
      <c r="AI207" s="191"/>
      <c r="AJ207" s="187"/>
      <c r="AK207" s="186"/>
      <c r="AL207" s="186"/>
      <c r="AM207" s="186"/>
      <c r="AN207" s="344"/>
      <c r="AO207" s="186"/>
      <c r="AP207" s="193"/>
      <c r="AQ207" s="186"/>
      <c r="AR207" s="191"/>
      <c r="AS207" s="194"/>
      <c r="AT207" s="195"/>
      <c r="AU207" s="427" t="s">
        <v>969</v>
      </c>
      <c r="AV207" s="425" t="s">
        <v>1067</v>
      </c>
      <c r="AW207" s="425" t="s">
        <v>1068</v>
      </c>
      <c r="AX207" s="425"/>
      <c r="AY207" s="425"/>
      <c r="AZ207" s="425"/>
      <c r="BA207" s="425" t="s">
        <v>1069</v>
      </c>
      <c r="BB207" s="425"/>
      <c r="BC207" s="440"/>
      <c r="BD207" s="404">
        <f>SUM($AS$4:AS207)</f>
        <v>2128.2050000000445</v>
      </c>
      <c r="BE207" s="405">
        <f>SUM($AR$4:AR207)</f>
        <v>3633.4700000000498</v>
      </c>
      <c r="BF207" s="330"/>
      <c r="BG207" s="330"/>
    </row>
    <row r="208" spans="1:59" ht="18" customHeight="1">
      <c r="A208" s="181" t="s">
        <v>767</v>
      </c>
      <c r="B208" s="181">
        <v>44951</v>
      </c>
      <c r="C208" s="198">
        <v>0.25</v>
      </c>
      <c r="D208" s="182" t="s">
        <v>133</v>
      </c>
      <c r="E208" s="233" t="s">
        <v>1070</v>
      </c>
      <c r="F208" s="184" t="s">
        <v>1071</v>
      </c>
      <c r="G208" s="185"/>
      <c r="H208" s="186">
        <v>1</v>
      </c>
      <c r="I208" s="186"/>
      <c r="J208" s="186"/>
      <c r="K208" s="187" t="s">
        <v>87</v>
      </c>
      <c r="L208" s="186"/>
      <c r="M208" s="186"/>
      <c r="N208" s="186"/>
      <c r="O208" s="187"/>
      <c r="P208" s="187"/>
      <c r="Q208" s="187"/>
      <c r="R208" s="187"/>
      <c r="S208" s="187"/>
      <c r="T208" s="187"/>
      <c r="U208" s="187"/>
      <c r="V208" s="188">
        <f t="shared" si="95"/>
        <v>0</v>
      </c>
      <c r="W208" s="188">
        <f t="shared" si="108"/>
        <v>0</v>
      </c>
      <c r="X208" s="189"/>
      <c r="Y208" s="189"/>
      <c r="Z208" s="189"/>
      <c r="AA208" s="190"/>
      <c r="AB208" s="186"/>
      <c r="AC208" s="344"/>
      <c r="AD208" s="186"/>
      <c r="AE208" s="186"/>
      <c r="AF208" s="186"/>
      <c r="AG208" s="186"/>
      <c r="AH208" s="186"/>
      <c r="AI208" s="191"/>
      <c r="AJ208" s="187"/>
      <c r="AK208" s="186"/>
      <c r="AL208" s="186"/>
      <c r="AM208" s="186"/>
      <c r="AN208" s="344"/>
      <c r="AO208" s="186"/>
      <c r="AP208" s="193"/>
      <c r="AQ208" s="186"/>
      <c r="AR208" s="191"/>
      <c r="AS208" s="194"/>
      <c r="AT208" s="195"/>
      <c r="AU208" s="425" t="s">
        <v>1072</v>
      </c>
      <c r="AV208" s="425" t="s">
        <v>1073</v>
      </c>
      <c r="AW208" s="425" t="s">
        <v>1068</v>
      </c>
      <c r="AX208" s="425"/>
      <c r="AY208" s="425"/>
      <c r="AZ208" s="425"/>
      <c r="BA208" s="425"/>
      <c r="BB208" s="425"/>
      <c r="BC208" s="440"/>
      <c r="BD208" s="404">
        <f>SUM($AS$4:AS208)</f>
        <v>2128.2050000000445</v>
      </c>
      <c r="BE208" s="405">
        <f>SUM($AR$4:AR208)</f>
        <v>3633.4700000000498</v>
      </c>
      <c r="BF208" s="330"/>
      <c r="BG208" s="330"/>
    </row>
    <row r="209" spans="1:59" ht="18" customHeight="1">
      <c r="A209" s="181" t="s">
        <v>767</v>
      </c>
      <c r="B209" s="181"/>
      <c r="C209" s="182"/>
      <c r="D209" s="182"/>
      <c r="E209" s="233" t="s">
        <v>1074</v>
      </c>
      <c r="F209" s="184" t="s">
        <v>1075</v>
      </c>
      <c r="G209" s="185"/>
      <c r="H209" s="186">
        <v>1</v>
      </c>
      <c r="I209" s="186"/>
      <c r="J209" s="186"/>
      <c r="K209" s="187" t="s">
        <v>87</v>
      </c>
      <c r="L209" s="186"/>
      <c r="M209" s="186"/>
      <c r="N209" s="186"/>
      <c r="O209" s="187"/>
      <c r="P209" s="187"/>
      <c r="Q209" s="187"/>
      <c r="R209" s="187"/>
      <c r="S209" s="187"/>
      <c r="T209" s="187"/>
      <c r="U209" s="187"/>
      <c r="V209" s="188">
        <f t="shared" si="95"/>
        <v>0</v>
      </c>
      <c r="W209" s="188">
        <f t="shared" si="108"/>
        <v>0</v>
      </c>
      <c r="X209" s="189"/>
      <c r="Y209" s="189"/>
      <c r="Z209" s="189"/>
      <c r="AA209" s="190"/>
      <c r="AB209" s="186"/>
      <c r="AC209" s="344"/>
      <c r="AD209" s="186"/>
      <c r="AE209" s="186"/>
      <c r="AF209" s="186"/>
      <c r="AG209" s="186"/>
      <c r="AH209" s="186"/>
      <c r="AI209" s="191"/>
      <c r="AJ209" s="187"/>
      <c r="AK209" s="186"/>
      <c r="AL209" s="186"/>
      <c r="AM209" s="186"/>
      <c r="AN209" s="344"/>
      <c r="AO209" s="186"/>
      <c r="AP209" s="193"/>
      <c r="AQ209" s="186"/>
      <c r="AR209" s="191"/>
      <c r="AS209" s="194"/>
      <c r="AT209" s="195"/>
      <c r="AU209" s="425"/>
      <c r="AV209" s="425"/>
      <c r="AW209" s="425"/>
      <c r="AX209" s="425"/>
      <c r="AY209" s="425"/>
      <c r="AZ209" s="425"/>
      <c r="BA209" s="425"/>
      <c r="BB209" s="425"/>
      <c r="BC209" s="440"/>
      <c r="BD209" s="404">
        <f>SUM($AS$4:AS209)</f>
        <v>2128.2050000000445</v>
      </c>
      <c r="BE209" s="405">
        <f>SUM($AR$4:AR209)</f>
        <v>3633.4700000000498</v>
      </c>
      <c r="BF209" s="330"/>
      <c r="BG209" s="330"/>
    </row>
    <row r="210" spans="1:59" ht="18" customHeight="1">
      <c r="A210" s="181" t="s">
        <v>767</v>
      </c>
      <c r="B210" s="181"/>
      <c r="C210" s="182"/>
      <c r="D210" s="182"/>
      <c r="E210" s="233" t="s">
        <v>1076</v>
      </c>
      <c r="F210" s="184"/>
      <c r="G210" s="185"/>
      <c r="H210" s="186">
        <v>1</v>
      </c>
      <c r="I210" s="186"/>
      <c r="J210" s="186"/>
      <c r="K210" s="187" t="s">
        <v>87</v>
      </c>
      <c r="L210" s="186"/>
      <c r="M210" s="186"/>
      <c r="N210" s="186"/>
      <c r="O210" s="187"/>
      <c r="P210" s="187"/>
      <c r="Q210" s="187"/>
      <c r="R210" s="187"/>
      <c r="S210" s="187"/>
      <c r="T210" s="187"/>
      <c r="U210" s="187"/>
      <c r="V210" s="188">
        <f t="shared" si="95"/>
        <v>0</v>
      </c>
      <c r="W210" s="188">
        <f t="shared" si="108"/>
        <v>0</v>
      </c>
      <c r="X210" s="189"/>
      <c r="Y210" s="189"/>
      <c r="Z210" s="189"/>
      <c r="AA210" s="190"/>
      <c r="AB210" s="186"/>
      <c r="AC210" s="344"/>
      <c r="AD210" s="186"/>
      <c r="AE210" s="186"/>
      <c r="AF210" s="186"/>
      <c r="AG210" s="186"/>
      <c r="AH210" s="186"/>
      <c r="AI210" s="191"/>
      <c r="AJ210" s="187"/>
      <c r="AK210" s="186"/>
      <c r="AL210" s="186"/>
      <c r="AM210" s="186"/>
      <c r="AN210" s="344"/>
      <c r="AO210" s="186"/>
      <c r="AP210" s="193"/>
      <c r="AQ210" s="186"/>
      <c r="AR210" s="191"/>
      <c r="AS210" s="194"/>
      <c r="AT210" s="195"/>
      <c r="AU210" s="425"/>
      <c r="AV210" s="425"/>
      <c r="AW210" s="425"/>
      <c r="AX210" s="425"/>
      <c r="AY210" s="425"/>
      <c r="AZ210" s="425"/>
      <c r="BA210" s="425"/>
      <c r="BB210" s="425"/>
      <c r="BC210" s="440"/>
      <c r="BD210" s="404">
        <f>SUM($AS$4:AS210)</f>
        <v>2128.2050000000445</v>
      </c>
      <c r="BE210" s="405">
        <f>SUM($AR$4:AR210)</f>
        <v>3633.4700000000498</v>
      </c>
      <c r="BF210" s="330"/>
      <c r="BG210" s="330"/>
    </row>
    <row r="211" spans="1:59" ht="18" customHeight="1">
      <c r="A211" s="181" t="s">
        <v>767</v>
      </c>
      <c r="B211" s="181">
        <v>44951</v>
      </c>
      <c r="C211" s="182" t="s">
        <v>664</v>
      </c>
      <c r="D211" s="182" t="s">
        <v>133</v>
      </c>
      <c r="E211" s="233"/>
      <c r="F211" s="184"/>
      <c r="G211" s="185" t="s">
        <v>1077</v>
      </c>
      <c r="H211" s="186"/>
      <c r="I211" s="186"/>
      <c r="J211" s="186"/>
      <c r="K211" s="187"/>
      <c r="L211" s="186">
        <v>2</v>
      </c>
      <c r="M211" s="186"/>
      <c r="N211" s="186"/>
      <c r="O211" s="187" t="s">
        <v>76</v>
      </c>
      <c r="P211" s="187" t="s">
        <v>119</v>
      </c>
      <c r="Q211" s="187" t="s">
        <v>666</v>
      </c>
      <c r="R211" s="187">
        <v>1</v>
      </c>
      <c r="S211" s="187">
        <v>1</v>
      </c>
      <c r="T211" s="187">
        <v>1</v>
      </c>
      <c r="U211" s="187" t="s">
        <v>78</v>
      </c>
      <c r="V211" s="188">
        <f t="shared" si="95"/>
        <v>0.01</v>
      </c>
      <c r="W211" s="188">
        <f t="shared" ref="W211:W219" si="117">IF(ISBLANK(O211),,IF(O211=UPPER("IB"),8.63*200,17*100))</f>
        <v>1700</v>
      </c>
      <c r="X211" s="189" t="s">
        <v>1078</v>
      </c>
      <c r="Y211" s="189" t="s">
        <v>1079</v>
      </c>
      <c r="Z211" s="189"/>
      <c r="AA211" s="190">
        <v>96.52</v>
      </c>
      <c r="AB211" s="186"/>
      <c r="AC211" s="344"/>
      <c r="AD211" s="186"/>
      <c r="AE211" s="186"/>
      <c r="AF211" s="186"/>
      <c r="AG211" s="186"/>
      <c r="AH211" s="186"/>
      <c r="AI211" s="191">
        <f t="shared" ref="AI211:AI212" si="118">-0.03*W211</f>
        <v>-51</v>
      </c>
      <c r="AJ211" s="191">
        <f t="shared" ref="AJ211:AJ212" si="119">AI211*R211</f>
        <v>-51</v>
      </c>
      <c r="AK211" s="186"/>
      <c r="AL211" s="186"/>
      <c r="AM211" s="186" t="s">
        <v>1080</v>
      </c>
      <c r="AN211" s="344" t="s">
        <v>376</v>
      </c>
      <c r="AO211" s="186" t="s">
        <v>664</v>
      </c>
      <c r="AP211" s="193">
        <v>96.48</v>
      </c>
      <c r="AQ211" s="193">
        <f t="shared" si="113"/>
        <v>3.9999999999992042E-2</v>
      </c>
      <c r="AR211" s="191">
        <f>AS211*R211</f>
        <v>67.999999999986471</v>
      </c>
      <c r="AS211" s="194">
        <f t="shared" si="115"/>
        <v>67.999999999986471</v>
      </c>
      <c r="AT211" s="195" t="s">
        <v>77</v>
      </c>
      <c r="AU211" s="425" t="s">
        <v>1081</v>
      </c>
      <c r="AV211" s="425" t="s">
        <v>1082</v>
      </c>
      <c r="AW211" s="425" t="s">
        <v>1083</v>
      </c>
      <c r="AX211" s="425"/>
      <c r="AY211" s="425"/>
      <c r="AZ211" s="425"/>
      <c r="BA211" s="425" t="s">
        <v>1084</v>
      </c>
      <c r="BB211" s="425"/>
      <c r="BC211" s="440"/>
      <c r="BD211" s="404">
        <f>SUM($AS$4:AS211)</f>
        <v>2196.2050000000309</v>
      </c>
      <c r="BE211" s="405">
        <f>SUM($AR$4:AR211)</f>
        <v>3701.4700000000362</v>
      </c>
      <c r="BF211" s="330"/>
      <c r="BG211" s="330"/>
    </row>
    <row r="212" spans="1:59" ht="18" customHeight="1">
      <c r="A212" s="181" t="s">
        <v>767</v>
      </c>
      <c r="B212" s="181">
        <v>44951</v>
      </c>
      <c r="C212" s="182" t="s">
        <v>664</v>
      </c>
      <c r="D212" s="182" t="s">
        <v>133</v>
      </c>
      <c r="E212" s="233"/>
      <c r="F212" s="280"/>
      <c r="G212" s="185" t="s">
        <v>1038</v>
      </c>
      <c r="H212" s="186"/>
      <c r="I212" s="186"/>
      <c r="J212" s="186"/>
      <c r="K212" s="187"/>
      <c r="L212" s="186">
        <v>1</v>
      </c>
      <c r="M212" s="186">
        <v>1</v>
      </c>
      <c r="N212" s="186"/>
      <c r="O212" s="187" t="s">
        <v>1039</v>
      </c>
      <c r="P212" s="187" t="s">
        <v>77</v>
      </c>
      <c r="Q212" s="187" t="s">
        <v>666</v>
      </c>
      <c r="R212" s="187">
        <v>2</v>
      </c>
      <c r="S212" s="187">
        <v>2</v>
      </c>
      <c r="T212" s="187">
        <v>2</v>
      </c>
      <c r="U212" s="187" t="s">
        <v>22</v>
      </c>
      <c r="V212" s="188">
        <f t="shared" si="95"/>
        <v>5.0000000000000001E-3</v>
      </c>
      <c r="W212" s="188">
        <f t="shared" si="117"/>
        <v>1726.0000000000002</v>
      </c>
      <c r="X212" s="189"/>
      <c r="Y212" s="189" t="s">
        <v>1085</v>
      </c>
      <c r="Z212" s="189"/>
      <c r="AA212" s="190">
        <v>96.76</v>
      </c>
      <c r="AB212" s="186"/>
      <c r="AC212" s="344"/>
      <c r="AD212" s="186"/>
      <c r="AE212" s="186"/>
      <c r="AF212" s="186"/>
      <c r="AG212" s="186"/>
      <c r="AH212" s="186"/>
      <c r="AI212" s="191">
        <f t="shared" si="118"/>
        <v>-51.780000000000008</v>
      </c>
      <c r="AJ212" s="191">
        <f t="shared" si="119"/>
        <v>-103.56000000000002</v>
      </c>
      <c r="AK212" s="186"/>
      <c r="AL212" s="186"/>
      <c r="AM212" s="186" t="s">
        <v>1086</v>
      </c>
      <c r="AN212" s="344" t="s">
        <v>376</v>
      </c>
      <c r="AO212" s="186" t="s">
        <v>664</v>
      </c>
      <c r="AP212" s="193">
        <v>96.754999999999995</v>
      </c>
      <c r="AQ212" s="193">
        <f t="shared" si="113"/>
        <v>-5.0000000000096634E-3</v>
      </c>
      <c r="AR212" s="191">
        <f>AS212*R212</f>
        <v>-17.260000000033362</v>
      </c>
      <c r="AS212" s="194">
        <f t="shared" si="115"/>
        <v>-8.6300000000166808</v>
      </c>
      <c r="AT212" s="195" t="s">
        <v>211</v>
      </c>
      <c r="AU212" s="425" t="s">
        <v>1087</v>
      </c>
      <c r="AV212" s="425" t="s">
        <v>1088</v>
      </c>
      <c r="AW212" s="425"/>
      <c r="AX212" s="425"/>
      <c r="AY212" s="425"/>
      <c r="AZ212" s="425"/>
      <c r="BA212" s="425"/>
      <c r="BB212" s="425"/>
      <c r="BC212" s="440"/>
      <c r="BD212" s="404">
        <f>SUM($AS$4:AS212)</f>
        <v>2187.5750000000144</v>
      </c>
      <c r="BE212" s="405">
        <f>SUM($AR$4:AR212)</f>
        <v>3684.2100000000028</v>
      </c>
      <c r="BF212" s="330"/>
      <c r="BG212" s="330"/>
    </row>
    <row r="213" spans="1:59" ht="18" customHeight="1">
      <c r="A213" s="181" t="s">
        <v>767</v>
      </c>
      <c r="B213" s="181"/>
      <c r="C213" s="198"/>
      <c r="D213" s="182"/>
      <c r="E213" s="233"/>
      <c r="F213" s="184"/>
      <c r="G213" s="185"/>
      <c r="H213" s="186"/>
      <c r="I213" s="186"/>
      <c r="J213" s="186"/>
      <c r="K213" s="187"/>
      <c r="L213" s="186"/>
      <c r="M213" s="186"/>
      <c r="N213" s="186"/>
      <c r="O213" s="187"/>
      <c r="P213" s="187"/>
      <c r="Q213" s="187"/>
      <c r="R213" s="187"/>
      <c r="S213" s="187"/>
      <c r="T213" s="187"/>
      <c r="U213" s="187"/>
      <c r="V213" s="188">
        <f t="shared" si="95"/>
        <v>0</v>
      </c>
      <c r="W213" s="188">
        <f t="shared" si="117"/>
        <v>0</v>
      </c>
      <c r="X213" s="189"/>
      <c r="Y213" s="189"/>
      <c r="Z213" s="189"/>
      <c r="AA213" s="190"/>
      <c r="AB213" s="186"/>
      <c r="AC213" s="344"/>
      <c r="AD213" s="186"/>
      <c r="AE213" s="186"/>
      <c r="AF213" s="186"/>
      <c r="AG213" s="186"/>
      <c r="AH213" s="186"/>
      <c r="AI213" s="191"/>
      <c r="AJ213" s="187"/>
      <c r="AK213" s="186"/>
      <c r="AL213" s="186"/>
      <c r="AM213" s="186"/>
      <c r="AN213" s="344"/>
      <c r="AO213" s="186"/>
      <c r="AP213" s="193"/>
      <c r="AQ213" s="186"/>
      <c r="AR213" s="191"/>
      <c r="AS213" s="194"/>
      <c r="AT213" s="195"/>
      <c r="AU213" s="448" t="s">
        <v>1089</v>
      </c>
      <c r="AV213" s="425" t="s">
        <v>1090</v>
      </c>
      <c r="AW213" s="427" t="s">
        <v>1091</v>
      </c>
      <c r="AX213" s="425"/>
      <c r="AY213" s="425"/>
      <c r="AZ213" s="425"/>
      <c r="BA213" s="425" t="s">
        <v>1092</v>
      </c>
      <c r="BB213" s="425" t="s">
        <v>1093</v>
      </c>
      <c r="BC213" s="440"/>
      <c r="BD213" s="404">
        <f>SUM($AS$4:AS213)</f>
        <v>2187.5750000000144</v>
      </c>
      <c r="BE213" s="405">
        <f>SUM($AR$4:AR213)</f>
        <v>3684.2100000000028</v>
      </c>
      <c r="BF213" s="330"/>
      <c r="BG213" s="330"/>
    </row>
    <row r="214" spans="1:59" ht="18" customHeight="1">
      <c r="A214" s="181" t="s">
        <v>767</v>
      </c>
      <c r="B214" s="181">
        <v>44951</v>
      </c>
      <c r="C214" s="198">
        <v>0.41666666666666669</v>
      </c>
      <c r="D214" s="182" t="s">
        <v>133</v>
      </c>
      <c r="E214" s="233"/>
      <c r="F214" s="184"/>
      <c r="G214" s="185" t="s">
        <v>739</v>
      </c>
      <c r="H214" s="186"/>
      <c r="I214" s="186"/>
      <c r="J214" s="186"/>
      <c r="K214" s="187"/>
      <c r="L214" s="186">
        <v>1</v>
      </c>
      <c r="M214" s="186"/>
      <c r="N214" s="186"/>
      <c r="O214" s="187" t="s">
        <v>76</v>
      </c>
      <c r="P214" s="187" t="s">
        <v>77</v>
      </c>
      <c r="Q214" s="187" t="s">
        <v>78</v>
      </c>
      <c r="R214" s="187">
        <v>2</v>
      </c>
      <c r="S214" s="187">
        <v>2</v>
      </c>
      <c r="T214" s="187">
        <v>2</v>
      </c>
      <c r="U214" s="187" t="s">
        <v>22</v>
      </c>
      <c r="V214" s="188">
        <f t="shared" si="95"/>
        <v>0.01</v>
      </c>
      <c r="W214" s="188">
        <f t="shared" si="117"/>
        <v>1700</v>
      </c>
      <c r="X214" s="189" t="s">
        <v>1094</v>
      </c>
      <c r="Y214" s="189"/>
      <c r="Z214" s="189" t="s">
        <v>1095</v>
      </c>
      <c r="AA214" s="190">
        <v>7.0000000000000007E-2</v>
      </c>
      <c r="AB214" s="186"/>
      <c r="AC214" s="344">
        <v>0.04</v>
      </c>
      <c r="AD214" s="186"/>
      <c r="AE214" s="186" t="s">
        <v>1096</v>
      </c>
      <c r="AF214" s="186"/>
      <c r="AG214" s="186"/>
      <c r="AH214" s="186"/>
      <c r="AI214" s="191">
        <f t="shared" ref="AI214:AI216" si="120">-0.03*W214</f>
        <v>-51</v>
      </c>
      <c r="AJ214" s="191">
        <f t="shared" ref="AJ214:AJ216" si="121">AI214*R214</f>
        <v>-102</v>
      </c>
      <c r="AK214" s="186"/>
      <c r="AL214" s="186"/>
      <c r="AM214" s="186" t="s">
        <v>752</v>
      </c>
      <c r="AN214" s="344" t="s">
        <v>97</v>
      </c>
      <c r="AO214" s="186" t="s">
        <v>1097</v>
      </c>
      <c r="AP214" s="193">
        <v>7.0000000000000007E-2</v>
      </c>
      <c r="AQ214" s="193">
        <f t="shared" si="113"/>
        <v>0</v>
      </c>
      <c r="AR214" s="191">
        <f>AS214*R214</f>
        <v>0</v>
      </c>
      <c r="AS214" s="194">
        <f t="shared" si="115"/>
        <v>0</v>
      </c>
      <c r="AT214" s="195" t="s">
        <v>97</v>
      </c>
      <c r="AU214" s="425" t="s">
        <v>1098</v>
      </c>
      <c r="AV214" s="425" t="s">
        <v>1099</v>
      </c>
      <c r="AW214" s="425"/>
      <c r="AX214" s="425"/>
      <c r="AY214" s="425"/>
      <c r="AZ214" s="425"/>
      <c r="BA214" s="425"/>
      <c r="BB214" s="425"/>
      <c r="BC214" s="440"/>
      <c r="BD214" s="404">
        <f>SUM($AS$4:AS214)</f>
        <v>2187.5750000000144</v>
      </c>
      <c r="BE214" s="405">
        <f>SUM($AR$4:AR214)</f>
        <v>3684.2100000000028</v>
      </c>
      <c r="BF214" s="330"/>
      <c r="BG214" s="330"/>
    </row>
    <row r="215" spans="1:59" ht="18" customHeight="1">
      <c r="A215" s="181" t="s">
        <v>767</v>
      </c>
      <c r="B215" s="181">
        <v>44951</v>
      </c>
      <c r="C215" s="182" t="s">
        <v>1100</v>
      </c>
      <c r="D215" s="182" t="s">
        <v>133</v>
      </c>
      <c r="E215" s="233"/>
      <c r="F215" s="184"/>
      <c r="G215" s="185" t="s">
        <v>115</v>
      </c>
      <c r="H215" s="186"/>
      <c r="I215" s="186"/>
      <c r="J215" s="186"/>
      <c r="K215" s="187"/>
      <c r="L215" s="186">
        <v>1</v>
      </c>
      <c r="M215" s="186"/>
      <c r="N215" s="186"/>
      <c r="O215" s="187" t="s">
        <v>76</v>
      </c>
      <c r="P215" s="187" t="s">
        <v>77</v>
      </c>
      <c r="Q215" s="187" t="s">
        <v>78</v>
      </c>
      <c r="R215" s="187">
        <v>4</v>
      </c>
      <c r="S215" s="187">
        <v>4</v>
      </c>
      <c r="T215" s="187">
        <v>4</v>
      </c>
      <c r="U215" s="187" t="s">
        <v>22</v>
      </c>
      <c r="V215" s="188">
        <f t="shared" si="95"/>
        <v>0.01</v>
      </c>
      <c r="W215" s="188">
        <f t="shared" si="117"/>
        <v>1700</v>
      </c>
      <c r="X215" s="189" t="s">
        <v>1101</v>
      </c>
      <c r="Y215" s="189"/>
      <c r="Z215" s="189"/>
      <c r="AA215" s="190">
        <v>-0.05</v>
      </c>
      <c r="AB215" s="186"/>
      <c r="AC215" s="344">
        <v>-0.08</v>
      </c>
      <c r="AD215" s="186"/>
      <c r="AE215" s="186"/>
      <c r="AF215" s="186"/>
      <c r="AG215" s="186"/>
      <c r="AH215" s="186"/>
      <c r="AI215" s="191">
        <f t="shared" si="120"/>
        <v>-51</v>
      </c>
      <c r="AJ215" s="191">
        <f t="shared" si="121"/>
        <v>-204</v>
      </c>
      <c r="AK215" s="186"/>
      <c r="AL215" s="186"/>
      <c r="AM215" s="186" t="s">
        <v>786</v>
      </c>
      <c r="AN215" s="344" t="s">
        <v>97</v>
      </c>
      <c r="AO215" s="186" t="s">
        <v>1102</v>
      </c>
      <c r="AP215" s="193">
        <v>-0.03</v>
      </c>
      <c r="AQ215" s="193">
        <f t="shared" si="113"/>
        <v>2.0000000000000004E-2</v>
      </c>
      <c r="AR215" s="191">
        <f>AS215*R215</f>
        <v>136.00000000000003</v>
      </c>
      <c r="AS215" s="194">
        <f t="shared" si="115"/>
        <v>34.000000000000007</v>
      </c>
      <c r="AT215" s="195" t="s">
        <v>77</v>
      </c>
      <c r="AU215" s="425"/>
      <c r="AV215" s="425"/>
      <c r="AW215" s="425"/>
      <c r="AX215" s="425"/>
      <c r="AY215" s="425"/>
      <c r="AZ215" s="425"/>
      <c r="BA215" s="425"/>
      <c r="BB215" s="425"/>
      <c r="BC215" s="440"/>
      <c r="BD215" s="404">
        <f>SUM($AS$4:AS215)</f>
        <v>2221.5750000000144</v>
      </c>
      <c r="BE215" s="405">
        <f>SUM($AR$4:AR215)</f>
        <v>3820.2100000000028</v>
      </c>
      <c r="BF215" s="330"/>
      <c r="BG215" s="330"/>
    </row>
    <row r="216" spans="1:59" ht="18" customHeight="1">
      <c r="A216" s="181" t="s">
        <v>767</v>
      </c>
      <c r="B216" s="181">
        <v>44953</v>
      </c>
      <c r="C216" s="182" t="s">
        <v>1103</v>
      </c>
      <c r="D216" s="182" t="s">
        <v>93</v>
      </c>
      <c r="E216" s="233"/>
      <c r="F216" s="184"/>
      <c r="G216" s="185" t="s">
        <v>253</v>
      </c>
      <c r="H216" s="186"/>
      <c r="I216" s="186"/>
      <c r="J216" s="186"/>
      <c r="K216" s="187"/>
      <c r="L216" s="186">
        <v>1</v>
      </c>
      <c r="M216" s="186"/>
      <c r="N216" s="186"/>
      <c r="O216" s="187" t="s">
        <v>76</v>
      </c>
      <c r="P216" s="187" t="s">
        <v>119</v>
      </c>
      <c r="Q216" s="187" t="s">
        <v>78</v>
      </c>
      <c r="R216" s="187">
        <v>2</v>
      </c>
      <c r="S216" s="187">
        <v>2</v>
      </c>
      <c r="T216" s="187">
        <v>2</v>
      </c>
      <c r="U216" s="187" t="s">
        <v>22</v>
      </c>
      <c r="V216" s="188">
        <f t="shared" si="95"/>
        <v>0.01</v>
      </c>
      <c r="W216" s="188">
        <f t="shared" si="117"/>
        <v>1700</v>
      </c>
      <c r="X216" s="189" t="s">
        <v>549</v>
      </c>
      <c r="Y216" s="189"/>
      <c r="Z216" s="189" t="s">
        <v>80</v>
      </c>
      <c r="AA216" s="190">
        <v>-0.16</v>
      </c>
      <c r="AB216" s="186"/>
      <c r="AC216" s="344">
        <v>-0.19</v>
      </c>
      <c r="AD216" s="186"/>
      <c r="AE216" s="186">
        <v>-0.15</v>
      </c>
      <c r="AF216" s="186"/>
      <c r="AG216" s="186"/>
      <c r="AH216" s="186"/>
      <c r="AI216" s="191">
        <f t="shared" si="120"/>
        <v>-51</v>
      </c>
      <c r="AJ216" s="191">
        <f t="shared" si="121"/>
        <v>-102</v>
      </c>
      <c r="AK216" s="186"/>
      <c r="AL216" s="186"/>
      <c r="AM216" s="186" t="s">
        <v>1104</v>
      </c>
      <c r="AN216" s="344" t="s">
        <v>376</v>
      </c>
      <c r="AO216" s="186" t="s">
        <v>1105</v>
      </c>
      <c r="AP216" s="193">
        <v>-0.15</v>
      </c>
      <c r="AQ216" s="193">
        <f t="shared" si="113"/>
        <v>1.0000000000000009E-2</v>
      </c>
      <c r="AR216" s="191">
        <f>AS216*R216</f>
        <v>34.000000000000028</v>
      </c>
      <c r="AS216" s="194">
        <f t="shared" si="115"/>
        <v>17.000000000000014</v>
      </c>
      <c r="AT216" s="195" t="s">
        <v>77</v>
      </c>
      <c r="AU216" s="425" t="s">
        <v>1106</v>
      </c>
      <c r="AV216" s="425"/>
      <c r="AW216" s="425"/>
      <c r="AX216" s="425"/>
      <c r="AY216" s="425"/>
      <c r="AZ216" s="425"/>
      <c r="BA216" s="425"/>
      <c r="BB216" s="425"/>
      <c r="BC216" s="440"/>
      <c r="BD216" s="404">
        <f>SUM($AS$4:AS216)</f>
        <v>2238.5750000000144</v>
      </c>
      <c r="BE216" s="405">
        <f>SUM($AR$4:AR216)</f>
        <v>3854.2100000000028</v>
      </c>
      <c r="BF216" s="330"/>
      <c r="BG216" s="330"/>
    </row>
    <row r="217" spans="1:59" ht="18" customHeight="1">
      <c r="A217" s="181" t="s">
        <v>767</v>
      </c>
      <c r="B217" s="181">
        <v>44953</v>
      </c>
      <c r="C217" s="198">
        <v>0.25</v>
      </c>
      <c r="D217" s="182" t="s">
        <v>93</v>
      </c>
      <c r="E217" s="233" t="s">
        <v>1107</v>
      </c>
      <c r="F217" s="184" t="s">
        <v>325</v>
      </c>
      <c r="G217" s="185"/>
      <c r="H217" s="186"/>
      <c r="I217" s="186"/>
      <c r="J217" s="186">
        <v>1</v>
      </c>
      <c r="K217" s="187" t="s">
        <v>97</v>
      </c>
      <c r="L217" s="186"/>
      <c r="M217" s="186"/>
      <c r="N217" s="186"/>
      <c r="O217" s="187"/>
      <c r="P217" s="187"/>
      <c r="Q217" s="187"/>
      <c r="R217" s="187"/>
      <c r="S217" s="187"/>
      <c r="T217" s="187"/>
      <c r="U217" s="187"/>
      <c r="V217" s="188">
        <f t="shared" si="95"/>
        <v>0</v>
      </c>
      <c r="W217" s="188">
        <f t="shared" si="117"/>
        <v>0</v>
      </c>
      <c r="X217" s="189"/>
      <c r="Y217" s="189"/>
      <c r="Z217" s="189"/>
      <c r="AA217" s="190"/>
      <c r="AB217" s="186"/>
      <c r="AC217" s="344"/>
      <c r="AD217" s="186"/>
      <c r="AE217" s="186"/>
      <c r="AF217" s="186"/>
      <c r="AG217" s="186"/>
      <c r="AH217" s="186"/>
      <c r="AI217" s="191"/>
      <c r="AJ217" s="187"/>
      <c r="AK217" s="186"/>
      <c r="AL217" s="186"/>
      <c r="AM217" s="186"/>
      <c r="AN217" s="344"/>
      <c r="AO217" s="186"/>
      <c r="AP217" s="193"/>
      <c r="AQ217" s="186"/>
      <c r="AR217" s="191"/>
      <c r="AS217" s="194"/>
      <c r="AT217" s="195"/>
      <c r="AU217" s="425"/>
      <c r="AV217" s="425"/>
      <c r="AW217" s="425"/>
      <c r="AX217" s="425"/>
      <c r="AY217" s="425"/>
      <c r="AZ217" s="425"/>
      <c r="BA217" s="425"/>
      <c r="BB217" s="425"/>
      <c r="BC217" s="440"/>
      <c r="BD217" s="404">
        <f>SUM($AS$4:AS217)</f>
        <v>2238.5750000000144</v>
      </c>
      <c r="BE217" s="405">
        <f>SUM($AR$4:AR217)</f>
        <v>3854.2100000000028</v>
      </c>
      <c r="BF217" s="330"/>
      <c r="BG217" s="330"/>
    </row>
    <row r="218" spans="1:59" ht="18" customHeight="1">
      <c r="A218" s="181" t="s">
        <v>767</v>
      </c>
      <c r="B218" s="181"/>
      <c r="C218" s="182"/>
      <c r="D218" s="182"/>
      <c r="E218" s="233" t="s">
        <v>1108</v>
      </c>
      <c r="F218" s="184"/>
      <c r="G218" s="185"/>
      <c r="H218" s="186"/>
      <c r="I218" s="186"/>
      <c r="J218" s="186">
        <v>1</v>
      </c>
      <c r="K218" s="187" t="s">
        <v>97</v>
      </c>
      <c r="L218" s="186"/>
      <c r="M218" s="186"/>
      <c r="N218" s="186"/>
      <c r="O218" s="187"/>
      <c r="P218" s="187"/>
      <c r="Q218" s="187"/>
      <c r="R218" s="187"/>
      <c r="S218" s="187"/>
      <c r="T218" s="187"/>
      <c r="U218" s="187"/>
      <c r="V218" s="188">
        <f t="shared" si="95"/>
        <v>0</v>
      </c>
      <c r="W218" s="188">
        <f t="shared" si="117"/>
        <v>0</v>
      </c>
      <c r="X218" s="189"/>
      <c r="Y218" s="189"/>
      <c r="Z218" s="189"/>
      <c r="AA218" s="190"/>
      <c r="AB218" s="186"/>
      <c r="AC218" s="344"/>
      <c r="AD218" s="186"/>
      <c r="AE218" s="186"/>
      <c r="AF218" s="186"/>
      <c r="AG218" s="186"/>
      <c r="AH218" s="186"/>
      <c r="AI218" s="191"/>
      <c r="AJ218" s="187"/>
      <c r="AK218" s="186"/>
      <c r="AL218" s="186"/>
      <c r="AM218" s="186"/>
      <c r="AN218" s="344"/>
      <c r="AO218" s="186"/>
      <c r="AP218" s="193"/>
      <c r="AQ218" s="186"/>
      <c r="AR218" s="191"/>
      <c r="AS218" s="194"/>
      <c r="AT218" s="195"/>
      <c r="AU218" s="425"/>
      <c r="AV218" s="425"/>
      <c r="AW218" s="425"/>
      <c r="AX218" s="425"/>
      <c r="AY218" s="425"/>
      <c r="AZ218" s="425"/>
      <c r="BA218" s="425"/>
      <c r="BB218" s="425"/>
      <c r="BC218" s="440"/>
      <c r="BD218" s="404">
        <f>SUM($AS$4:AS218)</f>
        <v>2238.5750000000144</v>
      </c>
      <c r="BE218" s="405">
        <f>SUM($AR$4:AR218)</f>
        <v>3854.2100000000028</v>
      </c>
      <c r="BF218" s="330"/>
      <c r="BG218" s="330"/>
    </row>
    <row r="219" spans="1:59" ht="18" customHeight="1">
      <c r="A219" s="181" t="s">
        <v>767</v>
      </c>
      <c r="B219" s="181">
        <v>44953</v>
      </c>
      <c r="C219" s="198">
        <v>0.375</v>
      </c>
      <c r="D219" s="182" t="s">
        <v>93</v>
      </c>
      <c r="E219" s="233"/>
      <c r="F219" s="184"/>
      <c r="G219" s="185" t="s">
        <v>115</v>
      </c>
      <c r="H219" s="186"/>
      <c r="I219" s="186"/>
      <c r="J219" s="186"/>
      <c r="K219" s="187"/>
      <c r="L219" s="186">
        <v>1</v>
      </c>
      <c r="M219" s="186"/>
      <c r="N219" s="186"/>
      <c r="O219" s="187" t="s">
        <v>76</v>
      </c>
      <c r="P219" s="187" t="s">
        <v>77</v>
      </c>
      <c r="Q219" s="187" t="s">
        <v>78</v>
      </c>
      <c r="R219" s="187">
        <v>4</v>
      </c>
      <c r="S219" s="187">
        <v>4</v>
      </c>
      <c r="T219" s="187">
        <v>4</v>
      </c>
      <c r="U219" s="278" t="s">
        <v>78</v>
      </c>
      <c r="V219" s="188">
        <f t="shared" si="95"/>
        <v>0.01</v>
      </c>
      <c r="W219" s="188">
        <f t="shared" si="117"/>
        <v>1700</v>
      </c>
      <c r="X219" s="189" t="s">
        <v>1109</v>
      </c>
      <c r="Y219" s="189"/>
      <c r="Z219" s="189"/>
      <c r="AA219" s="190">
        <v>-0.02</v>
      </c>
      <c r="AB219" s="186"/>
      <c r="AC219" s="344">
        <v>2</v>
      </c>
      <c r="AD219" s="186"/>
      <c r="AE219" s="186"/>
      <c r="AF219" s="186"/>
      <c r="AG219" s="186"/>
      <c r="AH219" s="186"/>
      <c r="AI219" s="191">
        <f>-0.04*W219</f>
        <v>-68</v>
      </c>
      <c r="AJ219" s="191">
        <f t="shared" ref="AJ219:AJ220" si="122">AI219*R219</f>
        <v>-272</v>
      </c>
      <c r="AK219" s="186"/>
      <c r="AL219" s="186"/>
      <c r="AM219" s="186" t="s">
        <v>786</v>
      </c>
      <c r="AN219" s="344" t="s">
        <v>97</v>
      </c>
      <c r="AO219" s="186" t="s">
        <v>1110</v>
      </c>
      <c r="AP219" s="193">
        <v>-2.5000000000000001E-2</v>
      </c>
      <c r="AQ219" s="193">
        <f t="shared" si="113"/>
        <v>5.000000000000001E-3</v>
      </c>
      <c r="AR219" s="191">
        <f>AS219*R219</f>
        <v>34.000000000000007</v>
      </c>
      <c r="AS219" s="194">
        <f t="shared" si="115"/>
        <v>8.5000000000000018</v>
      </c>
      <c r="AT219" s="195" t="s">
        <v>77</v>
      </c>
      <c r="AU219" s="425" t="s">
        <v>1111</v>
      </c>
      <c r="AV219" s="425" t="s">
        <v>1112</v>
      </c>
      <c r="AW219" s="425"/>
      <c r="AX219" s="425"/>
      <c r="AY219" s="425"/>
      <c r="AZ219" s="425"/>
      <c r="BA219" s="425"/>
      <c r="BB219" s="425"/>
      <c r="BC219" s="440"/>
      <c r="BD219" s="404">
        <f>SUM($AS$4:AS219)</f>
        <v>2247.0750000000144</v>
      </c>
      <c r="BE219" s="405">
        <f>SUM($AR$4:AR219)</f>
        <v>3888.2100000000028</v>
      </c>
      <c r="BF219" s="330"/>
      <c r="BG219" s="330"/>
    </row>
    <row r="220" spans="1:59" ht="18" customHeight="1">
      <c r="A220" s="181" t="s">
        <v>767</v>
      </c>
      <c r="B220" s="181">
        <v>44953</v>
      </c>
      <c r="C220" s="182" t="s">
        <v>1113</v>
      </c>
      <c r="D220" s="182" t="s">
        <v>93</v>
      </c>
      <c r="E220" s="233"/>
      <c r="F220" s="184"/>
      <c r="G220" s="185" t="s">
        <v>262</v>
      </c>
      <c r="H220" s="186"/>
      <c r="I220" s="186"/>
      <c r="J220" s="186"/>
      <c r="K220" s="187"/>
      <c r="L220" s="186">
        <v>1</v>
      </c>
      <c r="M220" s="186">
        <v>1</v>
      </c>
      <c r="N220" s="186"/>
      <c r="O220" s="187" t="s">
        <v>76</v>
      </c>
      <c r="P220" s="187" t="s">
        <v>77</v>
      </c>
      <c r="Q220" s="187" t="s">
        <v>78</v>
      </c>
      <c r="R220" s="187">
        <v>4</v>
      </c>
      <c r="S220" s="187">
        <v>4</v>
      </c>
      <c r="T220" s="187">
        <v>4</v>
      </c>
      <c r="U220" s="278" t="s">
        <v>78</v>
      </c>
      <c r="V220" s="188">
        <f t="shared" si="95"/>
        <v>0.01</v>
      </c>
      <c r="W220" s="188">
        <f>IF(ISBLANK(O220),,IF(O220=UPPER("IB"),8.63*200,16.9*100))</f>
        <v>1689.9999999999998</v>
      </c>
      <c r="X220" s="189" t="s">
        <v>1114</v>
      </c>
      <c r="Y220" s="189" t="s">
        <v>1115</v>
      </c>
      <c r="Z220" s="189" t="s">
        <v>1116</v>
      </c>
      <c r="AA220" s="190">
        <v>-0.09</v>
      </c>
      <c r="AB220" s="186"/>
      <c r="AC220" s="344">
        <v>2</v>
      </c>
      <c r="AD220" s="186"/>
      <c r="AE220" s="186" t="s">
        <v>1117</v>
      </c>
      <c r="AF220" s="186"/>
      <c r="AG220" s="186"/>
      <c r="AH220" s="186"/>
      <c r="AI220" s="191">
        <f>-0.03*W220</f>
        <v>-50.699999999999989</v>
      </c>
      <c r="AJ220" s="191">
        <f t="shared" si="122"/>
        <v>-202.79999999999995</v>
      </c>
      <c r="AK220" s="186"/>
      <c r="AL220" s="186"/>
      <c r="AM220" s="186" t="s">
        <v>571</v>
      </c>
      <c r="AN220" s="344" t="s">
        <v>97</v>
      </c>
      <c r="AO220" s="186" t="s">
        <v>1118</v>
      </c>
      <c r="AP220" s="193">
        <v>-0.11</v>
      </c>
      <c r="AQ220" s="193">
        <f t="shared" si="113"/>
        <v>2.0000000000000004E-2</v>
      </c>
      <c r="AR220" s="191">
        <f>AS220*R220</f>
        <v>135.20000000000002</v>
      </c>
      <c r="AS220" s="194">
        <f t="shared" si="115"/>
        <v>33.800000000000004</v>
      </c>
      <c r="AT220" s="195" t="s">
        <v>77</v>
      </c>
      <c r="AU220" s="425" t="s">
        <v>1119</v>
      </c>
      <c r="AV220" s="425"/>
      <c r="AW220" s="425"/>
      <c r="AX220" s="425"/>
      <c r="AY220" s="425"/>
      <c r="AZ220" s="425"/>
      <c r="BA220" s="425"/>
      <c r="BB220" s="425"/>
      <c r="BC220" s="440"/>
      <c r="BD220" s="404">
        <f>SUM($AS$4:AS220)</f>
        <v>2280.8750000000146</v>
      </c>
      <c r="BE220" s="405">
        <f>SUM($AR$4:AR220)</f>
        <v>4023.4100000000026</v>
      </c>
      <c r="BF220" s="330"/>
      <c r="BG220" s="330"/>
    </row>
    <row r="221" spans="1:59" ht="18" customHeight="1">
      <c r="A221" s="181" t="s">
        <v>767</v>
      </c>
      <c r="B221" s="181">
        <v>44957</v>
      </c>
      <c r="C221" s="182" t="s">
        <v>664</v>
      </c>
      <c r="D221" s="182" t="s">
        <v>128</v>
      </c>
      <c r="E221" s="233" t="s">
        <v>1120</v>
      </c>
      <c r="F221" s="184" t="s">
        <v>1121</v>
      </c>
      <c r="G221" s="185"/>
      <c r="H221" s="186"/>
      <c r="I221" s="186"/>
      <c r="J221" s="186"/>
      <c r="K221" s="187" t="s">
        <v>97</v>
      </c>
      <c r="L221" s="186"/>
      <c r="M221" s="186"/>
      <c r="N221" s="186"/>
      <c r="O221" s="187"/>
      <c r="P221" s="187"/>
      <c r="Q221" s="187"/>
      <c r="R221" s="187"/>
      <c r="S221" s="187"/>
      <c r="T221" s="187"/>
      <c r="U221" s="187"/>
      <c r="V221" s="188"/>
      <c r="W221" s="188"/>
      <c r="X221" s="189"/>
      <c r="Y221" s="189"/>
      <c r="Z221" s="189"/>
      <c r="AA221" s="190"/>
      <c r="AB221" s="186"/>
      <c r="AC221" s="344"/>
      <c r="AD221" s="186"/>
      <c r="AE221" s="186"/>
      <c r="AF221" s="186"/>
      <c r="AG221" s="186"/>
      <c r="AH221" s="186"/>
      <c r="AI221" s="191"/>
      <c r="AJ221" s="187"/>
      <c r="AK221" s="186"/>
      <c r="AL221" s="186"/>
      <c r="AM221" s="186"/>
      <c r="AN221" s="344"/>
      <c r="AO221" s="186"/>
      <c r="AP221" s="193"/>
      <c r="AQ221" s="186"/>
      <c r="AR221" s="191"/>
      <c r="AS221" s="194"/>
      <c r="AT221" s="195"/>
      <c r="AU221" s="425"/>
      <c r="AV221" s="425"/>
      <c r="AW221" s="425"/>
      <c r="AX221" s="425"/>
      <c r="AY221" s="425"/>
      <c r="AZ221" s="425"/>
      <c r="BA221" s="425"/>
      <c r="BB221" s="425"/>
      <c r="BC221" s="440"/>
      <c r="BD221" s="404">
        <f>SUM($AS$4:AS221)</f>
        <v>2280.8750000000146</v>
      </c>
      <c r="BE221" s="405">
        <f>SUM($AR$4:AR221)</f>
        <v>4023.4100000000026</v>
      </c>
      <c r="BF221" s="330"/>
      <c r="BG221" s="330"/>
    </row>
    <row r="222" spans="1:59" ht="18" customHeight="1">
      <c r="A222" s="181" t="s">
        <v>767</v>
      </c>
      <c r="B222" s="181">
        <v>44957</v>
      </c>
      <c r="C222" s="182" t="s">
        <v>664</v>
      </c>
      <c r="D222" s="182" t="s">
        <v>128</v>
      </c>
      <c r="E222" s="233"/>
      <c r="F222" s="184"/>
      <c r="G222" s="185" t="s">
        <v>1122</v>
      </c>
      <c r="H222" s="186"/>
      <c r="I222" s="186"/>
      <c r="J222" s="186"/>
      <c r="K222" s="187"/>
      <c r="L222" s="186"/>
      <c r="M222" s="186"/>
      <c r="N222" s="186"/>
      <c r="O222" s="187" t="s">
        <v>76</v>
      </c>
      <c r="P222" s="187" t="s">
        <v>77</v>
      </c>
      <c r="Q222" s="187" t="s">
        <v>666</v>
      </c>
      <c r="R222" s="187">
        <v>1</v>
      </c>
      <c r="S222" s="187">
        <v>1</v>
      </c>
      <c r="T222" s="187">
        <v>1</v>
      </c>
      <c r="U222" s="187" t="s">
        <v>22</v>
      </c>
      <c r="V222" s="188">
        <f t="shared" ref="V222:V243" si="123">IF(ISBLANK(O222),,(IF(O222=UPPER("IB"),0.005,0.01)))</f>
        <v>0.01</v>
      </c>
      <c r="W222" s="188">
        <f t="shared" ref="W222:W223" si="124">IF(ISBLANK(O222),,IF(O222=UPPER("IB"),8.63*200,16.9*100))</f>
        <v>1689.9999999999998</v>
      </c>
      <c r="X222" s="189" t="s">
        <v>1078</v>
      </c>
      <c r="Y222" s="189"/>
      <c r="Z222" s="189"/>
      <c r="AA222" s="190">
        <v>96.12</v>
      </c>
      <c r="AB222" s="186"/>
      <c r="AC222" s="344"/>
      <c r="AD222" s="186"/>
      <c r="AE222" s="186"/>
      <c r="AF222" s="186"/>
      <c r="AG222" s="186"/>
      <c r="AH222" s="186"/>
      <c r="AI222" s="191"/>
      <c r="AJ222" s="187"/>
      <c r="AK222" s="186"/>
      <c r="AL222" s="186"/>
      <c r="AM222" s="186" t="s">
        <v>1123</v>
      </c>
      <c r="AN222" s="344" t="s">
        <v>376</v>
      </c>
      <c r="AO222" s="186" t="s">
        <v>1124</v>
      </c>
      <c r="AP222" s="193">
        <v>96.13</v>
      </c>
      <c r="AQ222" s="193">
        <f>IF(ISBLANK(AP222),,IF(U222="S",AA222-AP222,AP222-AA222))</f>
        <v>9.9999999999909051E-3</v>
      </c>
      <c r="AR222" s="191">
        <f>AS222*R222</f>
        <v>16.899999999984626</v>
      </c>
      <c r="AS222" s="194">
        <f>IF(ISBLANK(AP222),,(AQ222*W222))</f>
        <v>16.899999999984626</v>
      </c>
      <c r="AT222" s="195" t="s">
        <v>77</v>
      </c>
      <c r="AU222" s="425" t="s">
        <v>1125</v>
      </c>
      <c r="AV222" s="425"/>
      <c r="AW222" s="425"/>
      <c r="AX222" s="425"/>
      <c r="AY222" s="425"/>
      <c r="AZ222" s="425"/>
      <c r="BA222" s="425" t="s">
        <v>177</v>
      </c>
      <c r="BB222" s="425"/>
      <c r="BC222" s="440"/>
      <c r="BD222" s="404">
        <f>SUM($AS$4:AS222)</f>
        <v>2297.7749999999992</v>
      </c>
      <c r="BE222" s="405">
        <f>SUM($AR$4:AR222)</f>
        <v>4040.3099999999872</v>
      </c>
      <c r="BF222" s="330"/>
      <c r="BG222" s="330"/>
    </row>
    <row r="223" spans="1:59" ht="18" customHeight="1">
      <c r="A223" s="181" t="s">
        <v>767</v>
      </c>
      <c r="B223" s="181"/>
      <c r="C223" s="182"/>
      <c r="D223" s="182"/>
      <c r="E223" s="233"/>
      <c r="F223" s="184"/>
      <c r="G223" s="185"/>
      <c r="H223" s="186"/>
      <c r="I223" s="186"/>
      <c r="J223" s="186"/>
      <c r="K223" s="187"/>
      <c r="L223" s="186"/>
      <c r="M223" s="186"/>
      <c r="N223" s="186"/>
      <c r="O223" s="187"/>
      <c r="P223" s="187"/>
      <c r="Q223" s="187"/>
      <c r="R223" s="187"/>
      <c r="S223" s="187"/>
      <c r="T223" s="187"/>
      <c r="U223" s="187"/>
      <c r="V223" s="188">
        <f t="shared" si="123"/>
        <v>0</v>
      </c>
      <c r="W223" s="188">
        <f t="shared" si="124"/>
        <v>0</v>
      </c>
      <c r="X223" s="189"/>
      <c r="Y223" s="189"/>
      <c r="Z223" s="189"/>
      <c r="AA223" s="190"/>
      <c r="AB223" s="186"/>
      <c r="AC223" s="344"/>
      <c r="AD223" s="186"/>
      <c r="AE223" s="186"/>
      <c r="AF223" s="186"/>
      <c r="AG223" s="186"/>
      <c r="AH223" s="186"/>
      <c r="AI223" s="191"/>
      <c r="AJ223" s="187"/>
      <c r="AK223" s="186"/>
      <c r="AL223" s="186"/>
      <c r="AM223" s="186"/>
      <c r="AN223" s="344"/>
      <c r="AO223" s="186"/>
      <c r="AP223" s="193"/>
      <c r="AQ223" s="186"/>
      <c r="AR223" s="191"/>
      <c r="AS223" s="194"/>
      <c r="AT223" s="195"/>
      <c r="AU223" s="425"/>
      <c r="AV223" s="425"/>
      <c r="AW223" s="425"/>
      <c r="AX223" s="425"/>
      <c r="AY223" s="425"/>
      <c r="AZ223" s="425"/>
      <c r="BA223" s="425"/>
      <c r="BB223" s="425"/>
      <c r="BC223" s="440"/>
      <c r="BD223" s="404">
        <f>SUM($AS$4:AS223)</f>
        <v>2297.7749999999992</v>
      </c>
      <c r="BE223" s="405">
        <f>SUM($AR$4:AR223)</f>
        <v>4040.3099999999872</v>
      </c>
      <c r="BF223" s="330"/>
      <c r="BG223" s="330"/>
    </row>
    <row r="224" spans="1:59" ht="18" customHeight="1">
      <c r="A224" s="181" t="s">
        <v>767</v>
      </c>
      <c r="B224" s="204"/>
      <c r="C224" s="205"/>
      <c r="D224" s="205"/>
      <c r="E224" s="254"/>
      <c r="F224" s="207"/>
      <c r="G224" s="208"/>
      <c r="H224" s="209"/>
      <c r="I224" s="209"/>
      <c r="J224" s="209"/>
      <c r="K224" s="210"/>
      <c r="L224" s="209"/>
      <c r="M224" s="209"/>
      <c r="N224" s="209"/>
      <c r="O224" s="210"/>
      <c r="P224" s="210"/>
      <c r="Q224" s="210"/>
      <c r="R224" s="210"/>
      <c r="S224" s="210"/>
      <c r="T224" s="210"/>
      <c r="U224" s="210"/>
      <c r="V224" s="210"/>
      <c r="W224" s="210"/>
      <c r="X224" s="210"/>
      <c r="Y224" s="210"/>
      <c r="Z224" s="210"/>
      <c r="AA224" s="213"/>
      <c r="AB224" s="209"/>
      <c r="AC224" s="345"/>
      <c r="AD224" s="209"/>
      <c r="AE224" s="209"/>
      <c r="AF224" s="209"/>
      <c r="AG224" s="209"/>
      <c r="AH224" s="209"/>
      <c r="AI224" s="214"/>
      <c r="AJ224" s="210"/>
      <c r="AK224" s="209"/>
      <c r="AL224" s="209"/>
      <c r="AM224" s="209"/>
      <c r="AN224" s="345"/>
      <c r="AO224" s="209"/>
      <c r="AP224" s="215"/>
      <c r="AQ224" s="209"/>
      <c r="AR224" s="214"/>
      <c r="AS224" s="216"/>
      <c r="AT224" s="217"/>
      <c r="AU224" s="433" t="s">
        <v>1126</v>
      </c>
      <c r="AV224" s="433" t="s">
        <v>1127</v>
      </c>
      <c r="AW224" s="433" t="s">
        <v>1128</v>
      </c>
      <c r="AX224" s="431"/>
      <c r="AY224" s="431"/>
      <c r="AZ224" s="431"/>
      <c r="BA224" s="431"/>
      <c r="BB224" s="431"/>
      <c r="BC224" s="445"/>
      <c r="BD224" s="404">
        <f>SUM($AS$4:AS224)</f>
        <v>2297.7749999999992</v>
      </c>
      <c r="BE224" s="405">
        <f>SUM($AR$4:AR224)</f>
        <v>4040.3099999999872</v>
      </c>
      <c r="BF224" s="330"/>
      <c r="BG224" s="330"/>
    </row>
    <row r="225" spans="1:59" ht="18" customHeight="1">
      <c r="A225" s="281" t="s">
        <v>1129</v>
      </c>
      <c r="B225" s="281"/>
      <c r="C225" s="218"/>
      <c r="D225" s="218"/>
      <c r="E225" s="219"/>
      <c r="F225" s="220"/>
      <c r="G225" s="218"/>
      <c r="H225" s="218"/>
      <c r="I225" s="218"/>
      <c r="J225" s="218"/>
      <c r="K225" s="221"/>
      <c r="L225" s="218"/>
      <c r="M225" s="218"/>
      <c r="N225" s="218"/>
      <c r="O225" s="221"/>
      <c r="P225" s="221"/>
      <c r="Q225" s="221"/>
      <c r="R225" s="221"/>
      <c r="S225" s="221"/>
      <c r="T225" s="221"/>
      <c r="U225" s="221"/>
      <c r="V225" s="287"/>
      <c r="W225" s="287"/>
      <c r="X225" s="222"/>
      <c r="Y225" s="222"/>
      <c r="Z225" s="222"/>
      <c r="AA225" s="223"/>
      <c r="AB225" s="218"/>
      <c r="AC225" s="346"/>
      <c r="AD225" s="218"/>
      <c r="AE225" s="218"/>
      <c r="AF225" s="218"/>
      <c r="AG225" s="218"/>
      <c r="AH225" s="218"/>
      <c r="AI225" s="218"/>
      <c r="AJ225" s="218"/>
      <c r="AK225" s="218"/>
      <c r="AL225" s="218"/>
      <c r="AM225" s="218"/>
      <c r="AN225" s="346"/>
      <c r="AO225" s="218"/>
      <c r="AP225" s="225"/>
      <c r="AQ225" s="225"/>
      <c r="AR225" s="225"/>
      <c r="AS225" s="225"/>
      <c r="AT225" s="226"/>
      <c r="AU225" s="432"/>
      <c r="AV225" s="432"/>
      <c r="AW225" s="432"/>
      <c r="AX225" s="432"/>
      <c r="AY225" s="432"/>
      <c r="AZ225" s="432"/>
      <c r="BA225" s="432"/>
      <c r="BB225" s="432"/>
      <c r="BC225" s="432"/>
      <c r="BD225" s="404">
        <f>SUM($AS$4:AS225)</f>
        <v>2297.7749999999992</v>
      </c>
      <c r="BE225" s="405">
        <f>SUM($AR$4:AR225)</f>
        <v>4040.3099999999872</v>
      </c>
      <c r="BF225" s="330"/>
      <c r="BG225" s="330"/>
    </row>
    <row r="226" spans="1:59" ht="18" customHeight="1">
      <c r="A226" s="227" t="s">
        <v>1130</v>
      </c>
      <c r="B226" s="227">
        <v>44958</v>
      </c>
      <c r="C226" s="229"/>
      <c r="D226" s="229"/>
      <c r="E226" s="230"/>
      <c r="F226" s="231"/>
      <c r="G226" s="232"/>
      <c r="H226" s="169"/>
      <c r="I226" s="169"/>
      <c r="J226" s="169"/>
      <c r="K226" s="172"/>
      <c r="L226" s="169"/>
      <c r="M226" s="169"/>
      <c r="N226" s="169"/>
      <c r="O226" s="172"/>
      <c r="P226" s="172"/>
      <c r="Q226" s="172"/>
      <c r="R226" s="172"/>
      <c r="S226" s="172"/>
      <c r="T226" s="172"/>
      <c r="U226" s="172"/>
      <c r="V226" s="174"/>
      <c r="W226" s="174"/>
      <c r="X226" s="175"/>
      <c r="Y226" s="175"/>
      <c r="Z226" s="175"/>
      <c r="AA226" s="176"/>
      <c r="AB226" s="169"/>
      <c r="AC226" s="343"/>
      <c r="AD226" s="169"/>
      <c r="AE226" s="169"/>
      <c r="AF226" s="169"/>
      <c r="AG226" s="169"/>
      <c r="AH226" s="169"/>
      <c r="AI226" s="177"/>
      <c r="AJ226" s="172"/>
      <c r="AK226" s="169"/>
      <c r="AL226" s="169"/>
      <c r="AM226" s="169"/>
      <c r="AN226" s="343"/>
      <c r="AO226" s="169"/>
      <c r="AP226" s="178"/>
      <c r="AQ226" s="169">
        <f t="shared" ref="AQ226:AQ244" si="125">IF(ISBLANK(AP226),,IF(U226="S",AA226-AP226,AP226-AA226))</f>
        <v>0</v>
      </c>
      <c r="AR226" s="177"/>
      <c r="AS226" s="179">
        <f t="shared" ref="AS226:AS244" si="126">IF(ISBLANK(AP226),,(AQ226*W226))</f>
        <v>0</v>
      </c>
      <c r="AT226" s="180"/>
      <c r="AU226" s="449" t="s">
        <v>1131</v>
      </c>
      <c r="AV226" s="449" t="s">
        <v>1132</v>
      </c>
      <c r="AW226" s="429" t="s">
        <v>1133</v>
      </c>
      <c r="AX226" s="429" t="s">
        <v>1134</v>
      </c>
      <c r="AY226" s="429"/>
      <c r="AZ226" s="429"/>
      <c r="BA226" s="429"/>
      <c r="BB226" s="429"/>
      <c r="BC226" s="439"/>
      <c r="BD226" s="404">
        <f>SUM($AS$4:AS226)</f>
        <v>2297.7749999999992</v>
      </c>
      <c r="BE226" s="405">
        <f>SUM($AR$4:AR226)</f>
        <v>4040.3099999999872</v>
      </c>
      <c r="BF226" s="330"/>
      <c r="BG226" s="330"/>
    </row>
    <row r="227" spans="1:59" ht="18" customHeight="1">
      <c r="A227" s="181" t="s">
        <v>1130</v>
      </c>
      <c r="B227" s="181">
        <v>44959</v>
      </c>
      <c r="C227" s="182" t="s">
        <v>1135</v>
      </c>
      <c r="D227" s="182" t="s">
        <v>74</v>
      </c>
      <c r="E227" s="233"/>
      <c r="F227" s="184"/>
      <c r="G227" s="247" t="s">
        <v>115</v>
      </c>
      <c r="H227" s="186"/>
      <c r="I227" s="186"/>
      <c r="J227" s="186"/>
      <c r="K227" s="187"/>
      <c r="L227" s="186">
        <v>1</v>
      </c>
      <c r="M227" s="186"/>
      <c r="N227" s="186"/>
      <c r="O227" s="187" t="s">
        <v>76</v>
      </c>
      <c r="P227" s="187" t="s">
        <v>77</v>
      </c>
      <c r="Q227" s="187" t="s">
        <v>78</v>
      </c>
      <c r="R227" s="187">
        <v>3</v>
      </c>
      <c r="S227" s="187">
        <v>3</v>
      </c>
      <c r="T227" s="187">
        <v>3</v>
      </c>
      <c r="U227" s="187" t="s">
        <v>78</v>
      </c>
      <c r="V227" s="188">
        <f t="shared" si="123"/>
        <v>0.01</v>
      </c>
      <c r="W227" s="188">
        <f>IF(ISBLANK(O227),,IF(O227=UPPER("IB"),8.63*200,17.1*100))</f>
        <v>1710.0000000000002</v>
      </c>
      <c r="X227" s="189" t="s">
        <v>1136</v>
      </c>
      <c r="Y227" s="189"/>
      <c r="Z227" s="189" t="s">
        <v>80</v>
      </c>
      <c r="AA227" s="190">
        <v>-0.02</v>
      </c>
      <c r="AB227" s="186"/>
      <c r="AC227" s="344">
        <v>2</v>
      </c>
      <c r="AD227" s="186"/>
      <c r="AE227" s="186" t="s">
        <v>1137</v>
      </c>
      <c r="AF227" s="186"/>
      <c r="AG227" s="186"/>
      <c r="AH227" s="186"/>
      <c r="AI227" s="191">
        <f>-0.04*W227</f>
        <v>-68.400000000000006</v>
      </c>
      <c r="AJ227" s="191">
        <f>AI227*R227</f>
        <v>-205.20000000000002</v>
      </c>
      <c r="AK227" s="186"/>
      <c r="AL227" s="186"/>
      <c r="AM227" s="186" t="s">
        <v>828</v>
      </c>
      <c r="AN227" s="344" t="s">
        <v>87</v>
      </c>
      <c r="AO227" s="186" t="s">
        <v>1138</v>
      </c>
      <c r="AP227" s="193">
        <v>-0.04</v>
      </c>
      <c r="AQ227" s="193">
        <f t="shared" si="125"/>
        <v>0.02</v>
      </c>
      <c r="AR227" s="191">
        <f>AS227*R227</f>
        <v>102.60000000000001</v>
      </c>
      <c r="AS227" s="194">
        <f t="shared" si="126"/>
        <v>34.200000000000003</v>
      </c>
      <c r="AT227" s="195" t="s">
        <v>77</v>
      </c>
      <c r="AU227" s="425"/>
      <c r="AV227" s="425"/>
      <c r="AW227" s="425"/>
      <c r="AX227" s="425"/>
      <c r="AY227" s="425"/>
      <c r="AZ227" s="425"/>
      <c r="BA227" s="425"/>
      <c r="BB227" s="425"/>
      <c r="BC227" s="440"/>
      <c r="BD227" s="404">
        <f>SUM($AS$4:AS227)</f>
        <v>2331.974999999999</v>
      </c>
      <c r="BE227" s="405">
        <f>SUM($AR$4:AR227)</f>
        <v>4142.9099999999871</v>
      </c>
      <c r="BF227" s="330"/>
      <c r="BG227" s="330"/>
    </row>
    <row r="228" spans="1:59" ht="18" customHeight="1">
      <c r="A228" s="181" t="s">
        <v>1130</v>
      </c>
      <c r="B228" s="181">
        <v>44959</v>
      </c>
      <c r="C228" s="182" t="s">
        <v>1139</v>
      </c>
      <c r="D228" s="182" t="s">
        <v>74</v>
      </c>
      <c r="E228" s="233" t="s">
        <v>1140</v>
      </c>
      <c r="F228" s="184" t="s">
        <v>1141</v>
      </c>
      <c r="G228" s="185"/>
      <c r="H228" s="186"/>
      <c r="I228" s="186">
        <v>1</v>
      </c>
      <c r="J228" s="186"/>
      <c r="K228" s="187"/>
      <c r="L228" s="186"/>
      <c r="M228" s="186"/>
      <c r="N228" s="186"/>
      <c r="O228" s="187"/>
      <c r="P228" s="187"/>
      <c r="Q228" s="187"/>
      <c r="R228" s="187"/>
      <c r="S228" s="187"/>
      <c r="T228" s="187"/>
      <c r="U228" s="187"/>
      <c r="V228" s="188"/>
      <c r="W228" s="188"/>
      <c r="X228" s="189"/>
      <c r="Y228" s="189"/>
      <c r="Z228" s="189"/>
      <c r="AA228" s="190"/>
      <c r="AB228" s="186"/>
      <c r="AC228" s="344"/>
      <c r="AD228" s="186"/>
      <c r="AE228" s="186"/>
      <c r="AF228" s="186"/>
      <c r="AG228" s="186"/>
      <c r="AH228" s="186"/>
      <c r="AI228" s="191"/>
      <c r="AJ228" s="187"/>
      <c r="AK228" s="186"/>
      <c r="AL228" s="186"/>
      <c r="AM228" s="186"/>
      <c r="AN228" s="344"/>
      <c r="AO228" s="186"/>
      <c r="AP228" s="193"/>
      <c r="AQ228" s="186"/>
      <c r="AR228" s="191"/>
      <c r="AS228" s="194"/>
      <c r="AT228" s="195"/>
      <c r="AU228" s="425"/>
      <c r="AV228" s="425"/>
      <c r="AW228" s="425"/>
      <c r="AX228" s="425"/>
      <c r="AY228" s="425"/>
      <c r="AZ228" s="425"/>
      <c r="BA228" s="425"/>
      <c r="BB228" s="425"/>
      <c r="BC228" s="440"/>
      <c r="BD228" s="404">
        <f>SUM($AS$4:AS228)</f>
        <v>2331.974999999999</v>
      </c>
      <c r="BE228" s="405">
        <f>SUM($AR$4:AR228)</f>
        <v>4142.9099999999871</v>
      </c>
      <c r="BF228" s="330"/>
      <c r="BG228" s="330"/>
    </row>
    <row r="229" spans="1:59" ht="18" customHeight="1">
      <c r="A229" s="227" t="s">
        <v>1130</v>
      </c>
      <c r="B229" s="181">
        <v>44959</v>
      </c>
      <c r="C229" s="182" t="s">
        <v>1124</v>
      </c>
      <c r="D229" s="182" t="s">
        <v>74</v>
      </c>
      <c r="E229" s="233" t="s">
        <v>1142</v>
      </c>
      <c r="F229" s="184" t="s">
        <v>1143</v>
      </c>
      <c r="G229" s="185"/>
      <c r="H229" s="186"/>
      <c r="I229" s="186"/>
      <c r="J229" s="186"/>
      <c r="K229" s="187"/>
      <c r="L229" s="186"/>
      <c r="M229" s="186"/>
      <c r="N229" s="186"/>
      <c r="O229" s="187"/>
      <c r="P229" s="187"/>
      <c r="Q229" s="187"/>
      <c r="R229" s="187"/>
      <c r="S229" s="187"/>
      <c r="T229" s="187"/>
      <c r="U229" s="187"/>
      <c r="V229" s="188"/>
      <c r="W229" s="188"/>
      <c r="X229" s="189"/>
      <c r="Y229" s="189"/>
      <c r="Z229" s="189"/>
      <c r="AA229" s="190"/>
      <c r="AB229" s="186"/>
      <c r="AC229" s="344"/>
      <c r="AD229" s="186"/>
      <c r="AE229" s="186"/>
      <c r="AF229" s="186"/>
      <c r="AG229" s="186"/>
      <c r="AH229" s="186"/>
      <c r="AI229" s="191"/>
      <c r="AJ229" s="187"/>
      <c r="AK229" s="186"/>
      <c r="AL229" s="186"/>
      <c r="AM229" s="186"/>
      <c r="AN229" s="344"/>
      <c r="AO229" s="186"/>
      <c r="AP229" s="193"/>
      <c r="AQ229" s="186"/>
      <c r="AR229" s="191"/>
      <c r="AS229" s="194"/>
      <c r="AT229" s="195"/>
      <c r="AU229" s="425"/>
      <c r="AV229" s="425"/>
      <c r="AW229" s="425"/>
      <c r="AX229" s="425"/>
      <c r="AY229" s="425"/>
      <c r="AZ229" s="425"/>
      <c r="BA229" s="425"/>
      <c r="BB229" s="425"/>
      <c r="BC229" s="440"/>
      <c r="BD229" s="404">
        <f>SUM($AS$4:AS229)</f>
        <v>2331.974999999999</v>
      </c>
      <c r="BE229" s="405">
        <f>SUM($AR$4:AR229)</f>
        <v>4142.9099999999871</v>
      </c>
      <c r="BF229" s="330"/>
      <c r="BG229" s="330"/>
    </row>
    <row r="230" spans="1:59" ht="18" customHeight="1">
      <c r="A230" s="181" t="s">
        <v>1130</v>
      </c>
      <c r="B230" s="181">
        <v>44959</v>
      </c>
      <c r="C230" s="182" t="s">
        <v>1144</v>
      </c>
      <c r="D230" s="182" t="s">
        <v>74</v>
      </c>
      <c r="E230" s="233"/>
      <c r="F230" s="184"/>
      <c r="G230" s="185" t="s">
        <v>262</v>
      </c>
      <c r="H230" s="186"/>
      <c r="I230" s="186"/>
      <c r="J230" s="186"/>
      <c r="K230" s="187"/>
      <c r="L230" s="186">
        <v>1</v>
      </c>
      <c r="M230" s="186"/>
      <c r="N230" s="186"/>
      <c r="O230" s="187" t="s">
        <v>76</v>
      </c>
      <c r="P230" s="187" t="s">
        <v>119</v>
      </c>
      <c r="Q230" s="187" t="s">
        <v>78</v>
      </c>
      <c r="R230" s="187">
        <v>3</v>
      </c>
      <c r="S230" s="187">
        <v>3</v>
      </c>
      <c r="T230" s="187">
        <v>3</v>
      </c>
      <c r="U230" s="187" t="s">
        <v>22</v>
      </c>
      <c r="V230" s="188">
        <f t="shared" si="123"/>
        <v>0.01</v>
      </c>
      <c r="W230" s="188">
        <f t="shared" ref="W230:W243" si="127">IF(ISBLANK(O230),,IF(O230=UPPER("IB"),8.63*200,17*100))</f>
        <v>1700</v>
      </c>
      <c r="X230" s="189" t="s">
        <v>1145</v>
      </c>
      <c r="Y230" s="189"/>
      <c r="Z230" s="189" t="s">
        <v>80</v>
      </c>
      <c r="AA230" s="190">
        <v>-0.11</v>
      </c>
      <c r="AB230" s="186"/>
      <c r="AC230" s="344">
        <v>-0.13</v>
      </c>
      <c r="AD230" s="186"/>
      <c r="AE230" s="186">
        <v>-0.1</v>
      </c>
      <c r="AF230" s="186"/>
      <c r="AG230" s="186"/>
      <c r="AH230" s="186"/>
      <c r="AI230" s="191">
        <f t="shared" ref="AI230:AI232" si="128">-0.03*W230</f>
        <v>-51</v>
      </c>
      <c r="AJ230" s="191">
        <f t="shared" ref="AJ230:AJ236" si="129">AI230*R230</f>
        <v>-153</v>
      </c>
      <c r="AK230" s="186" t="s">
        <v>1146</v>
      </c>
      <c r="AL230" s="186"/>
      <c r="AM230" s="186"/>
      <c r="AN230" s="344"/>
      <c r="AO230" s="186" t="s">
        <v>1147</v>
      </c>
      <c r="AP230" s="193">
        <v>-0.11</v>
      </c>
      <c r="AQ230" s="193">
        <f t="shared" si="125"/>
        <v>0</v>
      </c>
      <c r="AR230" s="191">
        <f t="shared" ref="AR230:AR236" si="130">AS230*R230</f>
        <v>0</v>
      </c>
      <c r="AS230" s="194">
        <f t="shared" si="126"/>
        <v>0</v>
      </c>
      <c r="AT230" s="195" t="s">
        <v>97</v>
      </c>
      <c r="AU230" s="425" t="s">
        <v>1148</v>
      </c>
      <c r="AV230" s="425"/>
      <c r="AW230" s="425"/>
      <c r="AX230" s="425"/>
      <c r="AY230" s="425"/>
      <c r="AZ230" s="425"/>
      <c r="BA230" s="425"/>
      <c r="BB230" s="425"/>
      <c r="BC230" s="440"/>
      <c r="BD230" s="404">
        <f>SUM($AS$4:AS230)</f>
        <v>2331.974999999999</v>
      </c>
      <c r="BE230" s="405">
        <f>SUM($AR$4:AR230)</f>
        <v>4142.9099999999871</v>
      </c>
      <c r="BF230" s="330"/>
      <c r="BG230" s="330"/>
    </row>
    <row r="231" spans="1:59" ht="18" customHeight="1">
      <c r="A231" s="181" t="s">
        <v>1130</v>
      </c>
      <c r="B231" s="181">
        <v>44959</v>
      </c>
      <c r="C231" s="182" t="s">
        <v>1149</v>
      </c>
      <c r="D231" s="182" t="s">
        <v>74</v>
      </c>
      <c r="E231" s="233"/>
      <c r="F231" s="184"/>
      <c r="G231" s="273" t="s">
        <v>739</v>
      </c>
      <c r="H231" s="186"/>
      <c r="I231" s="186"/>
      <c r="J231" s="186"/>
      <c r="K231" s="187"/>
      <c r="L231" s="186">
        <v>1</v>
      </c>
      <c r="M231" s="186"/>
      <c r="N231" s="186"/>
      <c r="O231" s="187" t="s">
        <v>76</v>
      </c>
      <c r="P231" s="187" t="s">
        <v>77</v>
      </c>
      <c r="Q231" s="187" t="s">
        <v>78</v>
      </c>
      <c r="R231" s="187">
        <v>3</v>
      </c>
      <c r="S231" s="187">
        <v>3</v>
      </c>
      <c r="T231" s="187">
        <v>3</v>
      </c>
      <c r="U231" s="187" t="s">
        <v>22</v>
      </c>
      <c r="V231" s="188">
        <f t="shared" si="123"/>
        <v>0.01</v>
      </c>
      <c r="W231" s="188">
        <f t="shared" si="127"/>
        <v>1700</v>
      </c>
      <c r="X231" s="189" t="s">
        <v>1150</v>
      </c>
      <c r="Y231" s="189"/>
      <c r="Z231" s="189" t="s">
        <v>1151</v>
      </c>
      <c r="AA231" s="190">
        <v>0.04</v>
      </c>
      <c r="AB231" s="186"/>
      <c r="AC231" s="344">
        <v>0</v>
      </c>
      <c r="AD231" s="186"/>
      <c r="AE231" s="186">
        <v>4</v>
      </c>
      <c r="AF231" s="186"/>
      <c r="AG231" s="186"/>
      <c r="AH231" s="186"/>
      <c r="AI231" s="191">
        <f t="shared" si="128"/>
        <v>-51</v>
      </c>
      <c r="AJ231" s="191">
        <f t="shared" si="129"/>
        <v>-153</v>
      </c>
      <c r="AK231" s="186" t="s">
        <v>1152</v>
      </c>
      <c r="AL231" s="186"/>
      <c r="AM231" s="186" t="s">
        <v>828</v>
      </c>
      <c r="AN231" s="344" t="s">
        <v>87</v>
      </c>
      <c r="AO231" s="235">
        <v>0.29166666666666669</v>
      </c>
      <c r="AP231" s="193">
        <v>0.01</v>
      </c>
      <c r="AQ231" s="193">
        <f t="shared" si="125"/>
        <v>-0.03</v>
      </c>
      <c r="AR231" s="191">
        <f t="shared" si="130"/>
        <v>-153</v>
      </c>
      <c r="AS231" s="194">
        <f t="shared" si="126"/>
        <v>-51</v>
      </c>
      <c r="AT231" s="195" t="s">
        <v>211</v>
      </c>
      <c r="AU231" s="425" t="s">
        <v>1153</v>
      </c>
      <c r="AV231" s="425" t="s">
        <v>1154</v>
      </c>
      <c r="AW231" s="425" t="s">
        <v>1155</v>
      </c>
      <c r="AX231" s="425" t="s">
        <v>1156</v>
      </c>
      <c r="AY231" s="425" t="s">
        <v>1157</v>
      </c>
      <c r="AZ231" s="425"/>
      <c r="BA231" s="425" t="s">
        <v>1156</v>
      </c>
      <c r="BB231" s="425"/>
      <c r="BC231" s="440"/>
      <c r="BD231" s="404">
        <f>SUM($AS$4:AS231)</f>
        <v>2280.974999999999</v>
      </c>
      <c r="BE231" s="405">
        <f>SUM($AR$4:AR231)</f>
        <v>3989.9099999999871</v>
      </c>
      <c r="BF231" s="330"/>
      <c r="BG231" s="330"/>
    </row>
    <row r="232" spans="1:59" ht="18" customHeight="1">
      <c r="A232" s="227" t="s">
        <v>1130</v>
      </c>
      <c r="B232" s="181">
        <v>44959</v>
      </c>
      <c r="C232" s="182" t="s">
        <v>1158</v>
      </c>
      <c r="D232" s="182" t="s">
        <v>74</v>
      </c>
      <c r="E232" s="233"/>
      <c r="F232" s="184"/>
      <c r="G232" s="277" t="s">
        <v>347</v>
      </c>
      <c r="H232" s="186"/>
      <c r="I232" s="186"/>
      <c r="J232" s="186"/>
      <c r="K232" s="187"/>
      <c r="L232" s="186">
        <v>1</v>
      </c>
      <c r="M232" s="186">
        <v>1</v>
      </c>
      <c r="N232" s="186"/>
      <c r="O232" s="187" t="s">
        <v>76</v>
      </c>
      <c r="P232" s="187" t="s">
        <v>119</v>
      </c>
      <c r="Q232" s="187" t="s">
        <v>78</v>
      </c>
      <c r="R232" s="187">
        <v>5</v>
      </c>
      <c r="S232" s="187">
        <v>5</v>
      </c>
      <c r="T232" s="187">
        <v>5</v>
      </c>
      <c r="U232" s="187" t="s">
        <v>22</v>
      </c>
      <c r="V232" s="188">
        <f t="shared" si="123"/>
        <v>0.01</v>
      </c>
      <c r="W232" s="188">
        <f t="shared" si="127"/>
        <v>1700</v>
      </c>
      <c r="X232" s="189" t="s">
        <v>1159</v>
      </c>
      <c r="Y232" s="189"/>
      <c r="Z232" s="189" t="s">
        <v>1160</v>
      </c>
      <c r="AA232" s="190">
        <v>-0.12</v>
      </c>
      <c r="AB232" s="186"/>
      <c r="AC232" s="344">
        <v>15</v>
      </c>
      <c r="AD232" s="186"/>
      <c r="AE232" s="186" t="s">
        <v>1161</v>
      </c>
      <c r="AF232" s="186"/>
      <c r="AG232" s="186"/>
      <c r="AH232" s="186"/>
      <c r="AI232" s="191">
        <f t="shared" si="128"/>
        <v>-51</v>
      </c>
      <c r="AJ232" s="191">
        <f t="shared" si="129"/>
        <v>-255</v>
      </c>
      <c r="AK232" s="186" t="s">
        <v>1146</v>
      </c>
      <c r="AL232" s="186"/>
      <c r="AM232" s="186" t="s">
        <v>786</v>
      </c>
      <c r="AN232" s="344" t="s">
        <v>97</v>
      </c>
      <c r="AO232" s="186" t="s">
        <v>1162</v>
      </c>
      <c r="AP232" s="193">
        <v>-0.11</v>
      </c>
      <c r="AQ232" s="193">
        <f t="shared" si="125"/>
        <v>9.999999999999995E-3</v>
      </c>
      <c r="AR232" s="191">
        <f t="shared" si="130"/>
        <v>84.999999999999972</v>
      </c>
      <c r="AS232" s="194">
        <f t="shared" si="126"/>
        <v>16.999999999999993</v>
      </c>
      <c r="AT232" s="195" t="s">
        <v>77</v>
      </c>
      <c r="AU232" s="425"/>
      <c r="AV232" s="425"/>
      <c r="AW232" s="425"/>
      <c r="AX232" s="425"/>
      <c r="AY232" s="425"/>
      <c r="AZ232" s="425"/>
      <c r="BA232" s="425"/>
      <c r="BB232" s="425"/>
      <c r="BC232" s="440"/>
      <c r="BD232" s="404">
        <f>SUM($AS$4:AS232)</f>
        <v>2297.974999999999</v>
      </c>
      <c r="BE232" s="405">
        <f>SUM($AR$4:AR232)</f>
        <v>4074.9099999999871</v>
      </c>
      <c r="BF232" s="330"/>
      <c r="BG232" s="330"/>
    </row>
    <row r="233" spans="1:59" ht="18" customHeight="1">
      <c r="A233" s="181" t="s">
        <v>1130</v>
      </c>
      <c r="B233" s="181">
        <v>44959</v>
      </c>
      <c r="C233" s="182" t="s">
        <v>1163</v>
      </c>
      <c r="D233" s="182" t="s">
        <v>74</v>
      </c>
      <c r="E233" s="233"/>
      <c r="F233" s="184"/>
      <c r="G233" s="279" t="s">
        <v>739</v>
      </c>
      <c r="H233" s="186"/>
      <c r="I233" s="186"/>
      <c r="J233" s="186"/>
      <c r="K233" s="187"/>
      <c r="L233" s="186">
        <v>1</v>
      </c>
      <c r="M233" s="186"/>
      <c r="N233" s="186"/>
      <c r="O233" s="187" t="s">
        <v>76</v>
      </c>
      <c r="P233" s="187" t="s">
        <v>77</v>
      </c>
      <c r="Q233" s="187" t="s">
        <v>78</v>
      </c>
      <c r="R233" s="187">
        <v>3</v>
      </c>
      <c r="S233" s="187">
        <v>3</v>
      </c>
      <c r="T233" s="187">
        <v>3</v>
      </c>
      <c r="U233" s="187" t="s">
        <v>22</v>
      </c>
      <c r="V233" s="188">
        <f t="shared" si="123"/>
        <v>0.01</v>
      </c>
      <c r="W233" s="188">
        <f t="shared" si="127"/>
        <v>1700</v>
      </c>
      <c r="X233" s="189" t="s">
        <v>1150</v>
      </c>
      <c r="Y233" s="188" t="s">
        <v>1164</v>
      </c>
      <c r="Z233" s="189" t="s">
        <v>1165</v>
      </c>
      <c r="AA233" s="190">
        <v>0.03</v>
      </c>
      <c r="AB233" s="186"/>
      <c r="AC233" s="344">
        <v>-1</v>
      </c>
      <c r="AD233" s="186"/>
      <c r="AE233" s="186">
        <v>4</v>
      </c>
      <c r="AF233" s="186"/>
      <c r="AG233" s="186"/>
      <c r="AH233" s="186"/>
      <c r="AI233" s="191">
        <f t="shared" ref="AI233:AI235" si="131">-0.04*W233</f>
        <v>-68</v>
      </c>
      <c r="AJ233" s="191">
        <f t="shared" si="129"/>
        <v>-204</v>
      </c>
      <c r="AK233" s="186" t="s">
        <v>1152</v>
      </c>
      <c r="AL233" s="186"/>
      <c r="AM233" s="186" t="s">
        <v>1066</v>
      </c>
      <c r="AN233" s="344" t="s">
        <v>87</v>
      </c>
      <c r="AO233" s="235">
        <v>0.29166666666666669</v>
      </c>
      <c r="AP233" s="193">
        <v>0.01</v>
      </c>
      <c r="AQ233" s="193">
        <f t="shared" si="125"/>
        <v>-1.9999999999999997E-2</v>
      </c>
      <c r="AR233" s="191">
        <f t="shared" si="130"/>
        <v>-101.99999999999997</v>
      </c>
      <c r="AS233" s="194">
        <f t="shared" si="126"/>
        <v>-33.999999999999993</v>
      </c>
      <c r="AT233" s="195" t="s">
        <v>211</v>
      </c>
      <c r="AU233" s="425" t="s">
        <v>1166</v>
      </c>
      <c r="AV233" s="425" t="s">
        <v>1167</v>
      </c>
      <c r="AW233" s="425" t="s">
        <v>1168</v>
      </c>
      <c r="AX233" s="425"/>
      <c r="AY233" s="425"/>
      <c r="AZ233" s="425"/>
      <c r="BA233" s="425"/>
      <c r="BB233" s="425"/>
      <c r="BC233" s="440"/>
      <c r="BD233" s="404">
        <f>SUM($AS$4:AS233)</f>
        <v>2263.974999999999</v>
      </c>
      <c r="BE233" s="405">
        <f>SUM($AR$4:AR233)</f>
        <v>3972.9099999999871</v>
      </c>
      <c r="BF233" s="330"/>
      <c r="BG233" s="330"/>
    </row>
    <row r="234" spans="1:59" ht="18" customHeight="1">
      <c r="A234" s="181" t="s">
        <v>1130</v>
      </c>
      <c r="B234" s="181">
        <v>44959</v>
      </c>
      <c r="C234" s="182" t="s">
        <v>1169</v>
      </c>
      <c r="D234" s="182" t="s">
        <v>74</v>
      </c>
      <c r="E234" s="233"/>
      <c r="F234" s="184"/>
      <c r="G234" s="185" t="s">
        <v>417</v>
      </c>
      <c r="H234" s="186"/>
      <c r="I234" s="186"/>
      <c r="J234" s="186"/>
      <c r="K234" s="187"/>
      <c r="L234" s="186">
        <v>1</v>
      </c>
      <c r="M234" s="186"/>
      <c r="N234" s="186"/>
      <c r="O234" s="187" t="s">
        <v>76</v>
      </c>
      <c r="P234" s="187" t="s">
        <v>77</v>
      </c>
      <c r="Q234" s="187" t="s">
        <v>78</v>
      </c>
      <c r="R234" s="187">
        <v>2</v>
      </c>
      <c r="S234" s="187">
        <v>2</v>
      </c>
      <c r="T234" s="187">
        <v>2</v>
      </c>
      <c r="U234" s="187" t="s">
        <v>22</v>
      </c>
      <c r="V234" s="188">
        <f t="shared" si="123"/>
        <v>0.01</v>
      </c>
      <c r="W234" s="188">
        <f t="shared" si="127"/>
        <v>1700</v>
      </c>
      <c r="X234" s="189" t="s">
        <v>1170</v>
      </c>
      <c r="Y234" s="189"/>
      <c r="Z234" s="189"/>
      <c r="AA234" s="190">
        <v>0.2</v>
      </c>
      <c r="AB234" s="186"/>
      <c r="AC234" s="344">
        <v>16</v>
      </c>
      <c r="AD234" s="186"/>
      <c r="AE234" s="186" t="s">
        <v>1171</v>
      </c>
      <c r="AF234" s="186" t="s">
        <v>1172</v>
      </c>
      <c r="AG234" s="186"/>
      <c r="AH234" s="186"/>
      <c r="AI234" s="191">
        <f t="shared" si="131"/>
        <v>-68</v>
      </c>
      <c r="AJ234" s="191">
        <f t="shared" si="129"/>
        <v>-136</v>
      </c>
      <c r="AK234" s="186"/>
      <c r="AL234" s="186"/>
      <c r="AM234" s="186"/>
      <c r="AN234" s="344"/>
      <c r="AO234" s="186" t="s">
        <v>1173</v>
      </c>
      <c r="AP234" s="193">
        <v>0.2</v>
      </c>
      <c r="AQ234" s="193">
        <f t="shared" si="125"/>
        <v>0</v>
      </c>
      <c r="AR234" s="191">
        <f t="shared" si="130"/>
        <v>0</v>
      </c>
      <c r="AS234" s="194">
        <f t="shared" si="126"/>
        <v>0</v>
      </c>
      <c r="AT234" s="195" t="s">
        <v>97</v>
      </c>
      <c r="AU234" s="425"/>
      <c r="AV234" s="425"/>
      <c r="AW234" s="425"/>
      <c r="AX234" s="425"/>
      <c r="AY234" s="425"/>
      <c r="AZ234" s="425"/>
      <c r="BA234" s="425"/>
      <c r="BB234" s="425"/>
      <c r="BC234" s="440"/>
      <c r="BD234" s="404">
        <f>SUM($AS$4:AS234)</f>
        <v>2263.974999999999</v>
      </c>
      <c r="BE234" s="405">
        <f>SUM($AR$4:AR234)</f>
        <v>3972.9099999999871</v>
      </c>
      <c r="BF234" s="330"/>
      <c r="BG234" s="330"/>
    </row>
    <row r="235" spans="1:59" ht="18" customHeight="1">
      <c r="A235" s="227" t="s">
        <v>1130</v>
      </c>
      <c r="B235" s="181">
        <v>44959</v>
      </c>
      <c r="C235" s="182" t="s">
        <v>1169</v>
      </c>
      <c r="D235" s="182" t="s">
        <v>74</v>
      </c>
      <c r="E235" s="233"/>
      <c r="F235" s="184"/>
      <c r="G235" s="277" t="s">
        <v>115</v>
      </c>
      <c r="H235" s="186"/>
      <c r="I235" s="186"/>
      <c r="J235" s="186"/>
      <c r="K235" s="187"/>
      <c r="L235" s="186">
        <v>1</v>
      </c>
      <c r="M235" s="186"/>
      <c r="N235" s="186"/>
      <c r="O235" s="187" t="s">
        <v>76</v>
      </c>
      <c r="P235" s="187" t="s">
        <v>77</v>
      </c>
      <c r="Q235" s="187" t="s">
        <v>78</v>
      </c>
      <c r="R235" s="187">
        <v>5</v>
      </c>
      <c r="S235" s="187">
        <v>5</v>
      </c>
      <c r="T235" s="187">
        <v>5</v>
      </c>
      <c r="U235" s="187" t="s">
        <v>22</v>
      </c>
      <c r="V235" s="188">
        <f t="shared" si="123"/>
        <v>0.01</v>
      </c>
      <c r="W235" s="188">
        <f t="shared" si="127"/>
        <v>1700</v>
      </c>
      <c r="X235" s="189" t="s">
        <v>1174</v>
      </c>
      <c r="Y235" s="189" t="s">
        <v>1175</v>
      </c>
      <c r="Z235" s="189"/>
      <c r="AA235" s="190">
        <v>-0.05</v>
      </c>
      <c r="AB235" s="186"/>
      <c r="AC235" s="344">
        <v>-8</v>
      </c>
      <c r="AD235" s="186"/>
      <c r="AE235" s="186" t="s">
        <v>1176</v>
      </c>
      <c r="AF235" s="186"/>
      <c r="AG235" s="186"/>
      <c r="AH235" s="186"/>
      <c r="AI235" s="191">
        <f t="shared" si="131"/>
        <v>-68</v>
      </c>
      <c r="AJ235" s="191">
        <f t="shared" si="129"/>
        <v>-340</v>
      </c>
      <c r="AK235" s="186"/>
      <c r="AL235" s="186"/>
      <c r="AM235" s="186" t="s">
        <v>786</v>
      </c>
      <c r="AN235" s="344" t="s">
        <v>97</v>
      </c>
      <c r="AO235" s="199">
        <v>44960.833333333336</v>
      </c>
      <c r="AP235" s="193">
        <v>-0.04</v>
      </c>
      <c r="AQ235" s="193">
        <f t="shared" si="125"/>
        <v>1.0000000000000002E-2</v>
      </c>
      <c r="AR235" s="191">
        <f t="shared" si="130"/>
        <v>85.000000000000014</v>
      </c>
      <c r="AS235" s="194">
        <f t="shared" si="126"/>
        <v>17.000000000000004</v>
      </c>
      <c r="AT235" s="195" t="s">
        <v>77</v>
      </c>
      <c r="AU235" s="425" t="s">
        <v>1177</v>
      </c>
      <c r="AV235" s="425" t="s">
        <v>1178</v>
      </c>
      <c r="AW235" s="425"/>
      <c r="AX235" s="425"/>
      <c r="AY235" s="425"/>
      <c r="AZ235" s="425"/>
      <c r="BA235" s="425"/>
      <c r="BB235" s="425"/>
      <c r="BC235" s="440"/>
      <c r="BD235" s="404">
        <f>SUM($AS$4:AS235)</f>
        <v>2280.974999999999</v>
      </c>
      <c r="BE235" s="405">
        <f>SUM($AR$4:AR235)</f>
        <v>4057.9099999999871</v>
      </c>
      <c r="BF235" s="330"/>
      <c r="BG235" s="330"/>
    </row>
    <row r="236" spans="1:59" ht="18" customHeight="1">
      <c r="A236" s="181" t="s">
        <v>1130</v>
      </c>
      <c r="B236" s="181">
        <v>44959</v>
      </c>
      <c r="C236" s="198">
        <v>0.95833333333333337</v>
      </c>
      <c r="D236" s="182" t="s">
        <v>74</v>
      </c>
      <c r="E236" s="233"/>
      <c r="F236" s="184"/>
      <c r="G236" s="185" t="s">
        <v>739</v>
      </c>
      <c r="H236" s="186"/>
      <c r="I236" s="186"/>
      <c r="J236" s="186"/>
      <c r="K236" s="187"/>
      <c r="L236" s="186">
        <v>1</v>
      </c>
      <c r="M236" s="186"/>
      <c r="N236" s="186"/>
      <c r="O236" s="187" t="s">
        <v>76</v>
      </c>
      <c r="P236" s="187" t="s">
        <v>77</v>
      </c>
      <c r="Q236" s="187" t="s">
        <v>78</v>
      </c>
      <c r="R236" s="187">
        <v>4</v>
      </c>
      <c r="S236" s="187">
        <v>4</v>
      </c>
      <c r="T236" s="187">
        <v>4</v>
      </c>
      <c r="U236" s="187" t="s">
        <v>22</v>
      </c>
      <c r="V236" s="188">
        <f t="shared" si="123"/>
        <v>0.01</v>
      </c>
      <c r="W236" s="188">
        <f t="shared" si="127"/>
        <v>1700</v>
      </c>
      <c r="X236" s="189" t="s">
        <v>1150</v>
      </c>
      <c r="Y236" s="189"/>
      <c r="Z236" s="189"/>
      <c r="AA236" s="190">
        <v>0.02</v>
      </c>
      <c r="AB236" s="186"/>
      <c r="AC236" s="344">
        <v>-1</v>
      </c>
      <c r="AD236" s="186"/>
      <c r="AE236" s="186">
        <v>4</v>
      </c>
      <c r="AF236" s="186"/>
      <c r="AG236" s="186"/>
      <c r="AH236" s="186"/>
      <c r="AI236" s="191">
        <f>-0.03*W236</f>
        <v>-51</v>
      </c>
      <c r="AJ236" s="191">
        <f t="shared" si="129"/>
        <v>-204</v>
      </c>
      <c r="AK236" s="186" t="s">
        <v>1146</v>
      </c>
      <c r="AL236" s="186"/>
      <c r="AM236" s="186" t="s">
        <v>828</v>
      </c>
      <c r="AN236" s="344" t="s">
        <v>87</v>
      </c>
      <c r="AO236" s="186" t="s">
        <v>1179</v>
      </c>
      <c r="AP236" s="193">
        <v>0.02</v>
      </c>
      <c r="AQ236" s="193">
        <f t="shared" si="125"/>
        <v>0</v>
      </c>
      <c r="AR236" s="191">
        <f t="shared" si="130"/>
        <v>0</v>
      </c>
      <c r="AS236" s="194">
        <f t="shared" si="126"/>
        <v>0</v>
      </c>
      <c r="AT236" s="195" t="s">
        <v>97</v>
      </c>
      <c r="AU236" s="425" t="s">
        <v>1180</v>
      </c>
      <c r="AV236" s="425" t="s">
        <v>1181</v>
      </c>
      <c r="AW236" s="425"/>
      <c r="AX236" s="425"/>
      <c r="AY236" s="425"/>
      <c r="AZ236" s="425"/>
      <c r="BA236" s="425"/>
      <c r="BB236" s="425"/>
      <c r="BC236" s="440"/>
      <c r="BD236" s="404">
        <f>SUM($AS$4:AS236)</f>
        <v>2280.974999999999</v>
      </c>
      <c r="BE236" s="405">
        <f>SUM($AR$4:AR236)</f>
        <v>4057.9099999999871</v>
      </c>
      <c r="BF236" s="330"/>
      <c r="BG236" s="330"/>
    </row>
    <row r="237" spans="1:59" ht="18" customHeight="1">
      <c r="A237" s="181" t="s">
        <v>1130</v>
      </c>
      <c r="B237" s="181">
        <v>44960</v>
      </c>
      <c r="C237" s="198">
        <v>0.79166666666666663</v>
      </c>
      <c r="D237" s="182" t="s">
        <v>93</v>
      </c>
      <c r="E237" s="233" t="s">
        <v>1182</v>
      </c>
      <c r="F237" s="184" t="s">
        <v>1183</v>
      </c>
      <c r="G237" s="185"/>
      <c r="H237" s="186">
        <v>1</v>
      </c>
      <c r="I237" s="186"/>
      <c r="J237" s="186"/>
      <c r="K237" s="187" t="s">
        <v>87</v>
      </c>
      <c r="L237" s="186"/>
      <c r="M237" s="186"/>
      <c r="N237" s="186"/>
      <c r="O237" s="187"/>
      <c r="P237" s="187"/>
      <c r="Q237" s="187"/>
      <c r="R237" s="187"/>
      <c r="S237" s="187"/>
      <c r="T237" s="187"/>
      <c r="U237" s="187"/>
      <c r="V237" s="188"/>
      <c r="W237" s="188"/>
      <c r="X237" s="189"/>
      <c r="Y237" s="189"/>
      <c r="Z237" s="189"/>
      <c r="AA237" s="190"/>
      <c r="AB237" s="186"/>
      <c r="AC237" s="344"/>
      <c r="AD237" s="186"/>
      <c r="AE237" s="186"/>
      <c r="AF237" s="186"/>
      <c r="AG237" s="186"/>
      <c r="AH237" s="186"/>
      <c r="AI237" s="191"/>
      <c r="AJ237" s="187"/>
      <c r="AK237" s="186"/>
      <c r="AL237" s="186"/>
      <c r="AM237" s="186"/>
      <c r="AN237" s="344"/>
      <c r="AO237" s="186"/>
      <c r="AP237" s="193"/>
      <c r="AQ237" s="186"/>
      <c r="AR237" s="191"/>
      <c r="AS237" s="194"/>
      <c r="AT237" s="195"/>
      <c r="AU237" s="425"/>
      <c r="AV237" s="425"/>
      <c r="AW237" s="425"/>
      <c r="AX237" s="425"/>
      <c r="AY237" s="425"/>
      <c r="AZ237" s="425"/>
      <c r="BA237" s="425"/>
      <c r="BB237" s="425"/>
      <c r="BC237" s="440"/>
      <c r="BD237" s="404">
        <f>SUM($AS$4:AS237)</f>
        <v>2280.974999999999</v>
      </c>
      <c r="BE237" s="405">
        <f>SUM($AR$4:AR237)</f>
        <v>4057.9099999999871</v>
      </c>
      <c r="BF237" s="330"/>
      <c r="BG237" s="330"/>
    </row>
    <row r="238" spans="1:59" ht="18" customHeight="1">
      <c r="A238" s="227" t="s">
        <v>1130</v>
      </c>
      <c r="B238" s="181"/>
      <c r="C238" s="182"/>
      <c r="D238" s="182"/>
      <c r="E238" s="233" t="s">
        <v>1184</v>
      </c>
      <c r="F238" s="184"/>
      <c r="G238" s="185"/>
      <c r="H238" s="186"/>
      <c r="I238" s="186"/>
      <c r="J238" s="186">
        <v>1</v>
      </c>
      <c r="K238" s="187" t="s">
        <v>87</v>
      </c>
      <c r="L238" s="186"/>
      <c r="M238" s="186"/>
      <c r="N238" s="186"/>
      <c r="O238" s="187"/>
      <c r="P238" s="187"/>
      <c r="Q238" s="187"/>
      <c r="R238" s="187"/>
      <c r="S238" s="187"/>
      <c r="T238" s="187"/>
      <c r="U238" s="187"/>
      <c r="V238" s="188"/>
      <c r="W238" s="188"/>
      <c r="X238" s="189"/>
      <c r="Y238" s="189"/>
      <c r="Z238" s="189"/>
      <c r="AA238" s="190"/>
      <c r="AB238" s="186"/>
      <c r="AC238" s="344"/>
      <c r="AD238" s="186"/>
      <c r="AE238" s="186"/>
      <c r="AF238" s="186"/>
      <c r="AG238" s="186"/>
      <c r="AH238" s="186"/>
      <c r="AI238" s="191"/>
      <c r="AJ238" s="187"/>
      <c r="AK238" s="186"/>
      <c r="AL238" s="186"/>
      <c r="AM238" s="186"/>
      <c r="AN238" s="344"/>
      <c r="AO238" s="186"/>
      <c r="AP238" s="193"/>
      <c r="AQ238" s="186"/>
      <c r="AR238" s="191"/>
      <c r="AS238" s="194"/>
      <c r="AT238" s="195"/>
      <c r="AU238" s="425"/>
      <c r="AV238" s="425"/>
      <c r="AW238" s="425"/>
      <c r="AX238" s="425"/>
      <c r="AY238" s="425"/>
      <c r="AZ238" s="425"/>
      <c r="BA238" s="425"/>
      <c r="BB238" s="425"/>
      <c r="BC238" s="440"/>
      <c r="BD238" s="404">
        <f>SUM($AS$4:AS238)</f>
        <v>2280.974999999999</v>
      </c>
      <c r="BE238" s="405">
        <f>SUM($AR$4:AR238)</f>
        <v>4057.9099999999871</v>
      </c>
      <c r="BF238" s="330"/>
      <c r="BG238" s="330"/>
    </row>
    <row r="239" spans="1:59" ht="18" customHeight="1">
      <c r="A239" s="181" t="s">
        <v>1130</v>
      </c>
      <c r="B239" s="181">
        <v>44960</v>
      </c>
      <c r="C239" s="182" t="s">
        <v>664</v>
      </c>
      <c r="D239" s="182" t="s">
        <v>93</v>
      </c>
      <c r="E239" s="233"/>
      <c r="F239" s="184"/>
      <c r="G239" s="185" t="s">
        <v>1185</v>
      </c>
      <c r="H239" s="186"/>
      <c r="I239" s="186"/>
      <c r="J239" s="186"/>
      <c r="K239" s="187"/>
      <c r="L239" s="186">
        <v>1</v>
      </c>
      <c r="M239" s="186"/>
      <c r="N239" s="186"/>
      <c r="O239" s="187" t="s">
        <v>76</v>
      </c>
      <c r="P239" s="187" t="s">
        <v>119</v>
      </c>
      <c r="Q239" s="187" t="s">
        <v>666</v>
      </c>
      <c r="R239" s="187">
        <v>1</v>
      </c>
      <c r="S239" s="187">
        <v>1</v>
      </c>
      <c r="T239" s="187">
        <v>1</v>
      </c>
      <c r="U239" s="187" t="s">
        <v>78</v>
      </c>
      <c r="V239" s="188">
        <f t="shared" si="123"/>
        <v>0.01</v>
      </c>
      <c r="W239" s="188">
        <f t="shared" si="127"/>
        <v>1700</v>
      </c>
      <c r="X239" s="189" t="s">
        <v>1186</v>
      </c>
      <c r="Y239" s="189"/>
      <c r="Z239" s="189"/>
      <c r="AA239" s="190">
        <v>96.54</v>
      </c>
      <c r="AB239" s="186"/>
      <c r="AC239" s="344"/>
      <c r="AD239" s="186"/>
      <c r="AE239" s="186"/>
      <c r="AF239" s="186"/>
      <c r="AG239" s="186"/>
      <c r="AH239" s="186"/>
      <c r="AI239" s="191"/>
      <c r="AJ239" s="187"/>
      <c r="AK239" s="186"/>
      <c r="AL239" s="186"/>
      <c r="AM239" s="186" t="s">
        <v>1123</v>
      </c>
      <c r="AN239" s="344" t="s">
        <v>376</v>
      </c>
      <c r="AO239" s="186" t="s">
        <v>1187</v>
      </c>
      <c r="AP239" s="193">
        <v>96.53</v>
      </c>
      <c r="AQ239" s="193">
        <f t="shared" si="125"/>
        <v>1.0000000000005116E-2</v>
      </c>
      <c r="AR239" s="191">
        <f t="shared" ref="AR239:AR244" si="132">AS239*R239</f>
        <v>17.000000000008697</v>
      </c>
      <c r="AS239" s="194">
        <f t="shared" si="126"/>
        <v>17.000000000008697</v>
      </c>
      <c r="AT239" s="195" t="s">
        <v>77</v>
      </c>
      <c r="AU239" s="425" t="s">
        <v>1188</v>
      </c>
      <c r="AV239" s="425"/>
      <c r="AW239" s="425"/>
      <c r="AX239" s="425"/>
      <c r="AY239" s="425"/>
      <c r="AZ239" s="425"/>
      <c r="BA239" s="425"/>
      <c r="BB239" s="425"/>
      <c r="BC239" s="440"/>
      <c r="BD239" s="404">
        <f>SUM($AS$4:AS239)</f>
        <v>2297.9750000000076</v>
      </c>
      <c r="BE239" s="405">
        <f>SUM($AR$4:AR239)</f>
        <v>4074.9099999999958</v>
      </c>
      <c r="BF239" s="330"/>
      <c r="BG239" s="330"/>
    </row>
    <row r="240" spans="1:59" ht="18" customHeight="1">
      <c r="A240" s="181" t="s">
        <v>1130</v>
      </c>
      <c r="B240" s="181">
        <v>44960</v>
      </c>
      <c r="C240" s="182" t="s">
        <v>664</v>
      </c>
      <c r="D240" s="182" t="s">
        <v>93</v>
      </c>
      <c r="E240" s="233"/>
      <c r="F240" s="184"/>
      <c r="G240" s="185" t="s">
        <v>927</v>
      </c>
      <c r="H240" s="186"/>
      <c r="I240" s="186"/>
      <c r="J240" s="186"/>
      <c r="K240" s="187"/>
      <c r="L240" s="186">
        <v>1</v>
      </c>
      <c r="M240" s="186"/>
      <c r="N240" s="186"/>
      <c r="O240" s="187" t="s">
        <v>76</v>
      </c>
      <c r="P240" s="187" t="s">
        <v>119</v>
      </c>
      <c r="Q240" s="187" t="s">
        <v>666</v>
      </c>
      <c r="R240" s="187">
        <v>1</v>
      </c>
      <c r="S240" s="187">
        <v>1</v>
      </c>
      <c r="T240" s="187">
        <v>1</v>
      </c>
      <c r="U240" s="187" t="s">
        <v>78</v>
      </c>
      <c r="V240" s="188">
        <f t="shared" si="123"/>
        <v>0.01</v>
      </c>
      <c r="W240" s="188">
        <f t="shared" si="127"/>
        <v>1700</v>
      </c>
      <c r="X240" s="189" t="s">
        <v>1078</v>
      </c>
      <c r="Y240" s="189"/>
      <c r="Z240" s="189"/>
      <c r="AA240" s="190">
        <v>96.66</v>
      </c>
      <c r="AB240" s="186"/>
      <c r="AC240" s="344"/>
      <c r="AD240" s="186"/>
      <c r="AE240" s="186"/>
      <c r="AF240" s="186"/>
      <c r="AG240" s="186"/>
      <c r="AH240" s="186"/>
      <c r="AI240" s="191"/>
      <c r="AJ240" s="187"/>
      <c r="AK240" s="186"/>
      <c r="AL240" s="186"/>
      <c r="AM240" s="186" t="s">
        <v>1189</v>
      </c>
      <c r="AN240" s="344" t="s">
        <v>376</v>
      </c>
      <c r="AO240" s="186" t="s">
        <v>1190</v>
      </c>
      <c r="AP240" s="193">
        <v>96.64</v>
      </c>
      <c r="AQ240" s="193">
        <f t="shared" si="125"/>
        <v>1.9999999999996021E-2</v>
      </c>
      <c r="AR240" s="191">
        <f t="shared" si="132"/>
        <v>33.999999999993236</v>
      </c>
      <c r="AS240" s="194">
        <f t="shared" si="126"/>
        <v>33.999999999993236</v>
      </c>
      <c r="AT240" s="195" t="s">
        <v>77</v>
      </c>
      <c r="AU240" s="425" t="s">
        <v>1191</v>
      </c>
      <c r="AV240" s="425" t="s">
        <v>1192</v>
      </c>
      <c r="AW240" s="425" t="s">
        <v>1193</v>
      </c>
      <c r="AX240" s="425"/>
      <c r="AY240" s="425"/>
      <c r="AZ240" s="425"/>
      <c r="BA240" s="425" t="s">
        <v>1194</v>
      </c>
      <c r="BB240" s="425"/>
      <c r="BC240" s="440"/>
      <c r="BD240" s="404">
        <f>SUM($AS$4:AS240)</f>
        <v>2331.9750000000008</v>
      </c>
      <c r="BE240" s="405">
        <f>SUM($AR$4:AR240)</f>
        <v>4108.9099999999889</v>
      </c>
      <c r="BF240" s="330"/>
      <c r="BG240" s="330"/>
    </row>
    <row r="241" spans="1:59" ht="18" customHeight="1">
      <c r="A241" s="227" t="s">
        <v>1130</v>
      </c>
      <c r="B241" s="181">
        <v>44960</v>
      </c>
      <c r="C241" s="182" t="s">
        <v>664</v>
      </c>
      <c r="D241" s="182" t="s">
        <v>93</v>
      </c>
      <c r="E241" s="233"/>
      <c r="F241" s="184"/>
      <c r="G241" s="185" t="s">
        <v>813</v>
      </c>
      <c r="H241" s="186"/>
      <c r="I241" s="186"/>
      <c r="J241" s="186"/>
      <c r="K241" s="187"/>
      <c r="L241" s="186">
        <v>1</v>
      </c>
      <c r="M241" s="186"/>
      <c r="N241" s="186"/>
      <c r="O241" s="187" t="s">
        <v>76</v>
      </c>
      <c r="P241" s="187" t="s">
        <v>119</v>
      </c>
      <c r="Q241" s="187" t="s">
        <v>666</v>
      </c>
      <c r="R241" s="187">
        <v>1</v>
      </c>
      <c r="S241" s="187">
        <v>1</v>
      </c>
      <c r="T241" s="187">
        <v>1</v>
      </c>
      <c r="U241" s="187" t="s">
        <v>78</v>
      </c>
      <c r="V241" s="188">
        <f t="shared" si="123"/>
        <v>0.01</v>
      </c>
      <c r="W241" s="188">
        <f t="shared" si="127"/>
        <v>1700</v>
      </c>
      <c r="X241" s="189" t="s">
        <v>1078</v>
      </c>
      <c r="Y241" s="189"/>
      <c r="Z241" s="189"/>
      <c r="AA241" s="190">
        <v>96.35</v>
      </c>
      <c r="AB241" s="186"/>
      <c r="AC241" s="344"/>
      <c r="AD241" s="186"/>
      <c r="AE241" s="186"/>
      <c r="AF241" s="186"/>
      <c r="AG241" s="186"/>
      <c r="AH241" s="186"/>
      <c r="AI241" s="191"/>
      <c r="AJ241" s="187"/>
      <c r="AK241" s="186"/>
      <c r="AL241" s="186"/>
      <c r="AM241" s="186"/>
      <c r="AN241" s="344" t="s">
        <v>376</v>
      </c>
      <c r="AO241" s="186"/>
      <c r="AP241" s="193">
        <v>96.36</v>
      </c>
      <c r="AQ241" s="193">
        <f t="shared" si="125"/>
        <v>-1.0000000000005116E-2</v>
      </c>
      <c r="AR241" s="191">
        <f t="shared" si="132"/>
        <v>-17.000000000008697</v>
      </c>
      <c r="AS241" s="194">
        <f t="shared" si="126"/>
        <v>-17.000000000008697</v>
      </c>
      <c r="AT241" s="195" t="s">
        <v>211</v>
      </c>
      <c r="AU241" s="425" t="s">
        <v>1195</v>
      </c>
      <c r="AV241" s="425" t="s">
        <v>1196</v>
      </c>
      <c r="AW241" s="425"/>
      <c r="AX241" s="425"/>
      <c r="AY241" s="425"/>
      <c r="AZ241" s="425"/>
      <c r="BA241" s="425" t="s">
        <v>1197</v>
      </c>
      <c r="BB241" s="425" t="s">
        <v>1198</v>
      </c>
      <c r="BC241" s="440"/>
      <c r="BD241" s="404">
        <f>SUM($AS$4:AS241)</f>
        <v>2314.9749999999922</v>
      </c>
      <c r="BE241" s="405">
        <f>SUM($AR$4:AR241)</f>
        <v>4091.9099999999803</v>
      </c>
      <c r="BF241" s="330"/>
      <c r="BG241" s="330"/>
    </row>
    <row r="242" spans="1:59" ht="18" customHeight="1">
      <c r="A242" s="181" t="s">
        <v>1130</v>
      </c>
      <c r="B242" s="181">
        <v>44960</v>
      </c>
      <c r="C242" s="182" t="s">
        <v>1199</v>
      </c>
      <c r="D242" s="182" t="s">
        <v>93</v>
      </c>
      <c r="E242" s="233"/>
      <c r="F242" s="184"/>
      <c r="G242" s="185" t="s">
        <v>739</v>
      </c>
      <c r="H242" s="186"/>
      <c r="I242" s="186"/>
      <c r="J242" s="186"/>
      <c r="K242" s="187"/>
      <c r="L242" s="186">
        <v>1</v>
      </c>
      <c r="M242" s="186"/>
      <c r="N242" s="186"/>
      <c r="O242" s="187" t="s">
        <v>76</v>
      </c>
      <c r="P242" s="187" t="s">
        <v>77</v>
      </c>
      <c r="Q242" s="187" t="s">
        <v>78</v>
      </c>
      <c r="R242" s="187">
        <v>2</v>
      </c>
      <c r="S242" s="187">
        <v>2</v>
      </c>
      <c r="T242" s="187">
        <v>2</v>
      </c>
      <c r="U242" s="187" t="s">
        <v>78</v>
      </c>
      <c r="V242" s="188">
        <f t="shared" si="123"/>
        <v>0.01</v>
      </c>
      <c r="W242" s="188">
        <f t="shared" si="127"/>
        <v>1700</v>
      </c>
      <c r="X242" s="189"/>
      <c r="Y242" s="189" t="s">
        <v>1200</v>
      </c>
      <c r="Z242" s="189" t="s">
        <v>511</v>
      </c>
      <c r="AA242" s="190">
        <v>0.03</v>
      </c>
      <c r="AB242" s="186"/>
      <c r="AC242" s="344"/>
      <c r="AD242" s="186"/>
      <c r="AE242" s="186"/>
      <c r="AF242" s="186"/>
      <c r="AG242" s="186"/>
      <c r="AH242" s="186"/>
      <c r="AI242" s="191"/>
      <c r="AJ242" s="187"/>
      <c r="AK242" s="186"/>
      <c r="AL242" s="186"/>
      <c r="AM242" s="186"/>
      <c r="AN242" s="344" t="s">
        <v>376</v>
      </c>
      <c r="AO242" s="186" t="s">
        <v>1201</v>
      </c>
      <c r="AP242" s="193">
        <v>0.03</v>
      </c>
      <c r="AQ242" s="193">
        <f t="shared" si="125"/>
        <v>0</v>
      </c>
      <c r="AR242" s="191">
        <f t="shared" si="132"/>
        <v>0</v>
      </c>
      <c r="AS242" s="194">
        <f t="shared" si="126"/>
        <v>0</v>
      </c>
      <c r="AT242" s="195" t="s">
        <v>97</v>
      </c>
      <c r="AU242" s="425" t="s">
        <v>1202</v>
      </c>
      <c r="AV242" s="425" t="s">
        <v>1203</v>
      </c>
      <c r="AW242" s="425"/>
      <c r="AX242" s="425"/>
      <c r="AY242" s="425"/>
      <c r="AZ242" s="425"/>
      <c r="BA242" s="425"/>
      <c r="BB242" s="425"/>
      <c r="BC242" s="440"/>
      <c r="BD242" s="404">
        <f>SUM($AS$4:AS242)</f>
        <v>2314.9749999999922</v>
      </c>
      <c r="BE242" s="405">
        <f>SUM($AR$4:AR242)</f>
        <v>4091.9099999999803</v>
      </c>
      <c r="BF242" s="330"/>
      <c r="BG242" s="330"/>
    </row>
    <row r="243" spans="1:59" ht="18" customHeight="1">
      <c r="A243" s="181" t="s">
        <v>1130</v>
      </c>
      <c r="B243" s="181">
        <v>44960</v>
      </c>
      <c r="C243" s="182" t="s">
        <v>1204</v>
      </c>
      <c r="D243" s="182" t="s">
        <v>93</v>
      </c>
      <c r="E243" s="233"/>
      <c r="F243" s="184"/>
      <c r="G243" s="185" t="s">
        <v>739</v>
      </c>
      <c r="H243" s="186"/>
      <c r="I243" s="186"/>
      <c r="J243" s="186"/>
      <c r="K243" s="187"/>
      <c r="L243" s="186">
        <v>1</v>
      </c>
      <c r="M243" s="186"/>
      <c r="N243" s="186"/>
      <c r="O243" s="187" t="s">
        <v>76</v>
      </c>
      <c r="P243" s="187" t="s">
        <v>77</v>
      </c>
      <c r="Q243" s="187" t="s">
        <v>78</v>
      </c>
      <c r="R243" s="187">
        <v>2</v>
      </c>
      <c r="S243" s="187">
        <v>2</v>
      </c>
      <c r="T243" s="187">
        <v>2</v>
      </c>
      <c r="U243" s="187" t="s">
        <v>78</v>
      </c>
      <c r="V243" s="188">
        <f t="shared" si="123"/>
        <v>0.01</v>
      </c>
      <c r="W243" s="188">
        <f t="shared" si="127"/>
        <v>1700</v>
      </c>
      <c r="X243" s="189"/>
      <c r="Y243" s="189" t="s">
        <v>1200</v>
      </c>
      <c r="Z243" s="189" t="s">
        <v>511</v>
      </c>
      <c r="AA243" s="190">
        <v>0.03</v>
      </c>
      <c r="AB243" s="186"/>
      <c r="AC243" s="344"/>
      <c r="AD243" s="186"/>
      <c r="AE243" s="186"/>
      <c r="AF243" s="186"/>
      <c r="AG243" s="186"/>
      <c r="AH243" s="186"/>
      <c r="AI243" s="191"/>
      <c r="AJ243" s="187"/>
      <c r="AK243" s="186"/>
      <c r="AL243" s="186"/>
      <c r="AM243" s="186"/>
      <c r="AN243" s="344" t="s">
        <v>376</v>
      </c>
      <c r="AO243" s="186" t="s">
        <v>1205</v>
      </c>
      <c r="AP243" s="193">
        <v>0.03</v>
      </c>
      <c r="AQ243" s="193">
        <f t="shared" si="125"/>
        <v>0</v>
      </c>
      <c r="AR243" s="191">
        <f t="shared" si="132"/>
        <v>0</v>
      </c>
      <c r="AS243" s="194">
        <f t="shared" si="126"/>
        <v>0</v>
      </c>
      <c r="AT243" s="195" t="s">
        <v>97</v>
      </c>
      <c r="AU243" s="425" t="s">
        <v>1202</v>
      </c>
      <c r="AV243" s="425"/>
      <c r="AW243" s="425"/>
      <c r="AX243" s="425"/>
      <c r="AY243" s="425"/>
      <c r="AZ243" s="425"/>
      <c r="BA243" s="425"/>
      <c r="BB243" s="425"/>
      <c r="BC243" s="440"/>
      <c r="BD243" s="404">
        <f>SUM($AS$4:AS243)</f>
        <v>2314.9749999999922</v>
      </c>
      <c r="BE243" s="405">
        <f>SUM($AR$4:AR243)</f>
        <v>4091.9099999999803</v>
      </c>
      <c r="BF243" s="330"/>
      <c r="BG243" s="330"/>
    </row>
    <row r="244" spans="1:59" ht="18" customHeight="1">
      <c r="A244" s="227" t="s">
        <v>1130</v>
      </c>
      <c r="B244" s="181">
        <v>44963</v>
      </c>
      <c r="C244" s="182" t="s">
        <v>1206</v>
      </c>
      <c r="D244" s="182" t="s">
        <v>114</v>
      </c>
      <c r="E244" s="233"/>
      <c r="F244" s="184"/>
      <c r="G244" s="279" t="s">
        <v>115</v>
      </c>
      <c r="H244" s="186"/>
      <c r="I244" s="186"/>
      <c r="J244" s="186"/>
      <c r="K244" s="187"/>
      <c r="L244" s="186">
        <v>1</v>
      </c>
      <c r="M244" s="186"/>
      <c r="N244" s="186"/>
      <c r="O244" s="187" t="s">
        <v>76</v>
      </c>
      <c r="P244" s="187" t="s">
        <v>77</v>
      </c>
      <c r="Q244" s="187" t="s">
        <v>78</v>
      </c>
      <c r="R244" s="187">
        <v>5</v>
      </c>
      <c r="S244" s="187">
        <v>5</v>
      </c>
      <c r="T244" s="187">
        <v>4</v>
      </c>
      <c r="U244" s="187" t="s">
        <v>78</v>
      </c>
      <c r="V244" s="188">
        <f>IF(ISBLANK(O244),"",(IF(O244=UPPER("IB"),0.005,0.01)))</f>
        <v>0.01</v>
      </c>
      <c r="W244" s="188">
        <f>IF(ISBLANK(O244),"",IF(O244=UPPER("IB"),8.63*200,16.6*100))</f>
        <v>1660.0000000000002</v>
      </c>
      <c r="X244" s="189" t="s">
        <v>1207</v>
      </c>
      <c r="Y244" s="189"/>
      <c r="Z244" s="189" t="s">
        <v>1208</v>
      </c>
      <c r="AA244" s="190">
        <v>-0.03</v>
      </c>
      <c r="AB244" s="186"/>
      <c r="AC244" s="344">
        <v>0</v>
      </c>
      <c r="AD244" s="186"/>
      <c r="AE244" s="186" t="s">
        <v>1209</v>
      </c>
      <c r="AF244" s="186"/>
      <c r="AG244" s="186"/>
      <c r="AH244" s="186"/>
      <c r="AI244" s="191">
        <f>-0.04*W244</f>
        <v>-66.400000000000006</v>
      </c>
      <c r="AJ244" s="191">
        <f>AI244*R244</f>
        <v>-332</v>
      </c>
      <c r="AK244" s="186"/>
      <c r="AL244" s="186"/>
      <c r="AM244" s="186" t="s">
        <v>752</v>
      </c>
      <c r="AN244" s="344" t="s">
        <v>97</v>
      </c>
      <c r="AO244" s="186" t="s">
        <v>1210</v>
      </c>
      <c r="AP244" s="193">
        <f>(-0.03*3 +2*-0.05)/5</f>
        <v>-3.7999999999999999E-2</v>
      </c>
      <c r="AQ244" s="193">
        <f t="shared" si="125"/>
        <v>8.0000000000000002E-3</v>
      </c>
      <c r="AR244" s="191">
        <f t="shared" si="132"/>
        <v>66.40000000000002</v>
      </c>
      <c r="AS244" s="194">
        <f t="shared" si="126"/>
        <v>13.280000000000003</v>
      </c>
      <c r="AT244" s="195" t="s">
        <v>77</v>
      </c>
      <c r="AU244" s="425" t="s">
        <v>1211</v>
      </c>
      <c r="AV244" s="425"/>
      <c r="AW244" s="425"/>
      <c r="AX244" s="425"/>
      <c r="AY244" s="425"/>
      <c r="AZ244" s="425"/>
      <c r="BA244" s="425"/>
      <c r="BB244" s="425"/>
      <c r="BC244" s="440"/>
      <c r="BD244" s="404">
        <f>SUM($AS$4:AS244)</f>
        <v>2328.2549999999924</v>
      </c>
      <c r="BE244" s="405">
        <f>SUM($AR$4:AR244)</f>
        <v>4158.3099999999804</v>
      </c>
      <c r="BF244" s="330"/>
      <c r="BG244" s="330"/>
    </row>
    <row r="245" spans="1:59" ht="18" customHeight="1">
      <c r="A245" s="181" t="s">
        <v>1130</v>
      </c>
      <c r="B245" s="181">
        <v>44963</v>
      </c>
      <c r="C245" s="198">
        <v>0.25</v>
      </c>
      <c r="D245" s="182" t="s">
        <v>114</v>
      </c>
      <c r="E245" s="233" t="s">
        <v>1212</v>
      </c>
      <c r="F245" s="184" t="s">
        <v>1213</v>
      </c>
      <c r="G245" s="185"/>
      <c r="H245" s="186">
        <v>1</v>
      </c>
      <c r="I245" s="186"/>
      <c r="J245" s="186"/>
      <c r="K245" s="187"/>
      <c r="L245" s="186"/>
      <c r="M245" s="186"/>
      <c r="N245" s="186"/>
      <c r="O245" s="187"/>
      <c r="P245" s="187"/>
      <c r="Q245" s="187"/>
      <c r="R245" s="187"/>
      <c r="S245" s="187"/>
      <c r="T245" s="187"/>
      <c r="U245" s="187"/>
      <c r="V245" s="188" t="str">
        <f t="shared" ref="V245:V257" si="133">IF(ISBLANK(O245),"",(IF(O245=UPPER("IB"),0.005,0.01)))</f>
        <v/>
      </c>
      <c r="W245" s="188" t="str">
        <f t="shared" ref="W245:W257" si="134">IF(ISBLANK(O245),"",IF(O245=UPPER("IB"),8.63*200,16.6*100))</f>
        <v/>
      </c>
      <c r="X245" s="189"/>
      <c r="Y245" s="189"/>
      <c r="Z245" s="189"/>
      <c r="AA245" s="190"/>
      <c r="AB245" s="186"/>
      <c r="AC245" s="344"/>
      <c r="AD245" s="186"/>
      <c r="AE245" s="186"/>
      <c r="AF245" s="186"/>
      <c r="AG245" s="186"/>
      <c r="AH245" s="186"/>
      <c r="AI245" s="191"/>
      <c r="AJ245" s="187"/>
      <c r="AK245" s="186"/>
      <c r="AL245" s="186"/>
      <c r="AM245" s="186"/>
      <c r="AN245" s="344"/>
      <c r="AO245" s="186"/>
      <c r="AP245" s="193"/>
      <c r="AQ245" s="193"/>
      <c r="AR245" s="191"/>
      <c r="AS245" s="194"/>
      <c r="AT245" s="195"/>
      <c r="AU245" s="425"/>
      <c r="AV245" s="425"/>
      <c r="AW245" s="425"/>
      <c r="AX245" s="425"/>
      <c r="AY245" s="425"/>
      <c r="AZ245" s="425"/>
      <c r="BA245" s="425"/>
      <c r="BB245" s="425"/>
      <c r="BC245" s="440"/>
      <c r="BD245" s="404">
        <f>SUM($AS$4:AS245)</f>
        <v>2328.2549999999924</v>
      </c>
      <c r="BE245" s="405">
        <f>SUM($AR$4:AR245)</f>
        <v>4158.3099999999804</v>
      </c>
      <c r="BF245" s="330"/>
      <c r="BG245" s="330"/>
    </row>
    <row r="246" spans="1:59" ht="18" customHeight="1">
      <c r="A246" s="181" t="s">
        <v>1130</v>
      </c>
      <c r="B246" s="181" t="s">
        <v>1214</v>
      </c>
      <c r="C246" s="182" t="s">
        <v>1215</v>
      </c>
      <c r="D246" s="182" t="s">
        <v>114</v>
      </c>
      <c r="E246" s="233"/>
      <c r="F246" s="184"/>
      <c r="G246" s="288" t="s">
        <v>739</v>
      </c>
      <c r="H246" s="186"/>
      <c r="I246" s="186"/>
      <c r="J246" s="186"/>
      <c r="K246" s="187"/>
      <c r="L246" s="186">
        <v>1</v>
      </c>
      <c r="M246" s="186">
        <v>1</v>
      </c>
      <c r="N246" s="186"/>
      <c r="O246" s="187" t="s">
        <v>76</v>
      </c>
      <c r="P246" s="187" t="s">
        <v>77</v>
      </c>
      <c r="Q246" s="187" t="s">
        <v>78</v>
      </c>
      <c r="R246" s="187">
        <v>2</v>
      </c>
      <c r="S246" s="187">
        <v>2</v>
      </c>
      <c r="T246" s="187">
        <v>1</v>
      </c>
      <c r="U246" s="187" t="s">
        <v>78</v>
      </c>
      <c r="V246" s="188">
        <f t="shared" si="133"/>
        <v>0.01</v>
      </c>
      <c r="W246" s="188">
        <f t="shared" si="134"/>
        <v>1660.0000000000002</v>
      </c>
      <c r="X246" s="189" t="s">
        <v>1216</v>
      </c>
      <c r="Y246" s="189"/>
      <c r="Z246" s="189" t="s">
        <v>1217</v>
      </c>
      <c r="AA246" s="190">
        <v>0.05</v>
      </c>
      <c r="AB246" s="186"/>
      <c r="AC246" s="344">
        <v>9</v>
      </c>
      <c r="AD246" s="186" t="s">
        <v>1218</v>
      </c>
      <c r="AE246" s="186" t="s">
        <v>1219</v>
      </c>
      <c r="AF246" s="186"/>
      <c r="AG246" s="186"/>
      <c r="AH246" s="186"/>
      <c r="AI246" s="191">
        <f t="shared" ref="AI246:AI247" si="135">-0.04*W246</f>
        <v>-66.400000000000006</v>
      </c>
      <c r="AJ246" s="191">
        <f t="shared" ref="AJ246:AJ247" si="136">AI246*R246</f>
        <v>-132.80000000000001</v>
      </c>
      <c r="AK246" s="186" t="s">
        <v>1220</v>
      </c>
      <c r="AL246" s="186" t="s">
        <v>1221</v>
      </c>
      <c r="AM246" s="186" t="s">
        <v>828</v>
      </c>
      <c r="AN246" s="344" t="s">
        <v>87</v>
      </c>
      <c r="AO246" s="186" t="s">
        <v>1222</v>
      </c>
      <c r="AP246" s="193">
        <v>0.05</v>
      </c>
      <c r="AQ246" s="193">
        <f>IF(ISBLANK(AP246),,IF(U246="S",AA246-AP246,AP246-AA246))</f>
        <v>0</v>
      </c>
      <c r="AR246" s="191">
        <f>AS246*R246</f>
        <v>0</v>
      </c>
      <c r="AS246" s="194">
        <f>IF(ISBLANK(AP246),,(AQ246*W246))</f>
        <v>0</v>
      </c>
      <c r="AT246" s="195" t="s">
        <v>97</v>
      </c>
      <c r="AU246" s="425" t="s">
        <v>1223</v>
      </c>
      <c r="AV246" s="425"/>
      <c r="AW246" s="425"/>
      <c r="AX246" s="425"/>
      <c r="AY246" s="425"/>
      <c r="AZ246" s="425"/>
      <c r="BA246" s="425"/>
      <c r="BB246" s="425"/>
      <c r="BC246" s="440"/>
      <c r="BD246" s="404">
        <f>SUM($AS$4:AS246)</f>
        <v>2328.2549999999924</v>
      </c>
      <c r="BE246" s="405">
        <f>SUM($AR$4:AR246)</f>
        <v>4158.3099999999804</v>
      </c>
      <c r="BF246" s="330"/>
      <c r="BG246" s="330"/>
    </row>
    <row r="247" spans="1:59" ht="18" customHeight="1">
      <c r="A247" s="227" t="s">
        <v>1130</v>
      </c>
      <c r="B247" s="181">
        <v>44963</v>
      </c>
      <c r="C247" s="182" t="s">
        <v>1224</v>
      </c>
      <c r="D247" s="182" t="s">
        <v>114</v>
      </c>
      <c r="E247" s="233"/>
      <c r="F247" s="184"/>
      <c r="G247" s="253" t="s">
        <v>1225</v>
      </c>
      <c r="H247" s="186"/>
      <c r="I247" s="186"/>
      <c r="J247" s="186"/>
      <c r="K247" s="187"/>
      <c r="L247" s="186">
        <v>1</v>
      </c>
      <c r="M247" s="186">
        <v>1</v>
      </c>
      <c r="N247" s="186"/>
      <c r="O247" s="187" t="s">
        <v>76</v>
      </c>
      <c r="P247" s="187" t="s">
        <v>77</v>
      </c>
      <c r="Q247" s="187" t="s">
        <v>238</v>
      </c>
      <c r="R247" s="187">
        <v>2</v>
      </c>
      <c r="S247" s="187">
        <v>2</v>
      </c>
      <c r="T247" s="187">
        <v>2</v>
      </c>
      <c r="U247" s="187" t="s">
        <v>78</v>
      </c>
      <c r="V247" s="188">
        <f t="shared" si="133"/>
        <v>0.01</v>
      </c>
      <c r="W247" s="188">
        <f t="shared" si="134"/>
        <v>1660.0000000000002</v>
      </c>
      <c r="X247" s="189" t="s">
        <v>1226</v>
      </c>
      <c r="Y247" s="189"/>
      <c r="Z247" s="189" t="s">
        <v>1208</v>
      </c>
      <c r="AA247" s="190">
        <v>0.08</v>
      </c>
      <c r="AB247" s="186" t="s">
        <v>1227</v>
      </c>
      <c r="AC247" s="344">
        <v>12</v>
      </c>
      <c r="AD247" s="186"/>
      <c r="AE247" s="186" t="s">
        <v>1228</v>
      </c>
      <c r="AF247" s="186"/>
      <c r="AG247" s="186"/>
      <c r="AH247" s="186"/>
      <c r="AI247" s="191">
        <f t="shared" si="135"/>
        <v>-66.400000000000006</v>
      </c>
      <c r="AJ247" s="191">
        <f t="shared" si="136"/>
        <v>-132.80000000000001</v>
      </c>
      <c r="AK247" s="186" t="s">
        <v>1229</v>
      </c>
      <c r="AL247" s="186"/>
      <c r="AM247" s="186" t="s">
        <v>752</v>
      </c>
      <c r="AN247" s="344" t="s">
        <v>97</v>
      </c>
      <c r="AO247" s="186" t="s">
        <v>1230</v>
      </c>
      <c r="AP247" s="193">
        <v>7.0000000000000007E-2</v>
      </c>
      <c r="AQ247" s="193">
        <f>IF(ISBLANK(AP247),,IF(U247="S",AA247-AP247,AP247-AA247))</f>
        <v>9.999999999999995E-3</v>
      </c>
      <c r="AR247" s="191">
        <f>AS247*R247</f>
        <v>33.199999999999989</v>
      </c>
      <c r="AS247" s="194">
        <f>IF(ISBLANK(AP247),,(AQ247*W247))</f>
        <v>16.599999999999994</v>
      </c>
      <c r="AT247" s="195" t="s">
        <v>77</v>
      </c>
      <c r="AU247" s="425" t="s">
        <v>1231</v>
      </c>
      <c r="AV247" s="425"/>
      <c r="AW247" s="425"/>
      <c r="AX247" s="425"/>
      <c r="AY247" s="425"/>
      <c r="AZ247" s="425"/>
      <c r="BA247" s="425"/>
      <c r="BB247" s="425"/>
      <c r="BC247" s="440"/>
      <c r="BD247" s="404">
        <f>SUM($AS$4:AS247)</f>
        <v>2344.8549999999923</v>
      </c>
      <c r="BE247" s="405">
        <f>SUM($AR$4:AR247)</f>
        <v>4191.5099999999802</v>
      </c>
      <c r="BF247" s="330"/>
      <c r="BG247" s="330"/>
    </row>
    <row r="248" spans="1:59" ht="18" customHeight="1">
      <c r="A248" s="181" t="s">
        <v>1130</v>
      </c>
      <c r="B248" s="181">
        <v>44964</v>
      </c>
      <c r="C248" s="182" t="s">
        <v>1232</v>
      </c>
      <c r="D248" s="182" t="s">
        <v>128</v>
      </c>
      <c r="E248" s="233"/>
      <c r="F248" s="184"/>
      <c r="G248" s="289" t="s">
        <v>115</v>
      </c>
      <c r="H248" s="186"/>
      <c r="I248" s="186"/>
      <c r="J248" s="186"/>
      <c r="K248" s="187"/>
      <c r="L248" s="186">
        <v>1</v>
      </c>
      <c r="M248" s="186"/>
      <c r="N248" s="186"/>
      <c r="O248" s="187" t="s">
        <v>76</v>
      </c>
      <c r="P248" s="187" t="s">
        <v>77</v>
      </c>
      <c r="Q248" s="187" t="s">
        <v>78</v>
      </c>
      <c r="R248" s="187">
        <v>5</v>
      </c>
      <c r="S248" s="187">
        <v>5</v>
      </c>
      <c r="T248" s="187">
        <v>5</v>
      </c>
      <c r="U248" s="187" t="s">
        <v>78</v>
      </c>
      <c r="V248" s="188">
        <f t="shared" si="133"/>
        <v>0.01</v>
      </c>
      <c r="W248" s="188">
        <f>IF(ISBLANK(O248),"",IF(O248=UPPER("IB"),8.63*200,16.65*100))</f>
        <v>1664.9999999999998</v>
      </c>
      <c r="X248" s="189" t="s">
        <v>1233</v>
      </c>
      <c r="Y248" s="189"/>
      <c r="Z248" s="189" t="s">
        <v>1234</v>
      </c>
      <c r="AA248" s="190">
        <v>-0.02</v>
      </c>
      <c r="AB248" s="186"/>
      <c r="AC248" s="344">
        <v>0</v>
      </c>
      <c r="AD248" s="186"/>
      <c r="AE248" s="186" t="s">
        <v>1209</v>
      </c>
      <c r="AF248" s="186"/>
      <c r="AG248" s="186"/>
      <c r="AH248" s="186"/>
      <c r="AI248" s="191"/>
      <c r="AJ248" s="191"/>
      <c r="AK248" s="186"/>
      <c r="AL248" s="186"/>
      <c r="AM248" s="186" t="s">
        <v>571</v>
      </c>
      <c r="AN248" s="344" t="s">
        <v>97</v>
      </c>
      <c r="AO248" s="186" t="s">
        <v>1235</v>
      </c>
      <c r="AP248" s="193">
        <f>(3*-0.05+2*-0.06)/5</f>
        <v>-5.4000000000000006E-2</v>
      </c>
      <c r="AQ248" s="193">
        <f>IF(ISBLANK(AP248),,IF(U248="S",AA248-AP248,AP248-AA248))</f>
        <v>3.4000000000000002E-2</v>
      </c>
      <c r="AR248" s="191">
        <f>AS248*R248</f>
        <v>283.05</v>
      </c>
      <c r="AS248" s="194">
        <f>IF(ISBLANK(AP248),,(AQ248*W248))</f>
        <v>56.61</v>
      </c>
      <c r="AT248" s="195" t="s">
        <v>77</v>
      </c>
      <c r="AU248" s="425" t="s">
        <v>1236</v>
      </c>
      <c r="AV248" s="425"/>
      <c r="AW248" s="425"/>
      <c r="AX248" s="425"/>
      <c r="AY248" s="425"/>
      <c r="AZ248" s="425"/>
      <c r="BA248" s="425" t="s">
        <v>889</v>
      </c>
      <c r="BB248" s="425"/>
      <c r="BC248" s="440"/>
      <c r="BD248" s="404">
        <f>SUM($AS$4:AS248)</f>
        <v>2401.4649999999924</v>
      </c>
      <c r="BE248" s="405">
        <f>SUM($AR$4:AR248)</f>
        <v>4474.5599999999804</v>
      </c>
      <c r="BF248" s="330"/>
      <c r="BG248" s="330"/>
    </row>
    <row r="249" spans="1:59" ht="18" customHeight="1">
      <c r="A249" s="181" t="s">
        <v>1130</v>
      </c>
      <c r="B249" s="181">
        <v>44964</v>
      </c>
      <c r="C249" s="182" t="s">
        <v>1237</v>
      </c>
      <c r="D249" s="182" t="s">
        <v>128</v>
      </c>
      <c r="E249" s="233" t="s">
        <v>1238</v>
      </c>
      <c r="F249" s="184" t="s">
        <v>1239</v>
      </c>
      <c r="G249" s="185"/>
      <c r="H249" s="186"/>
      <c r="I249" s="186">
        <v>1</v>
      </c>
      <c r="J249" s="186"/>
      <c r="K249" s="187"/>
      <c r="L249" s="186"/>
      <c r="M249" s="186"/>
      <c r="N249" s="186"/>
      <c r="O249" s="187"/>
      <c r="P249" s="187"/>
      <c r="Q249" s="187"/>
      <c r="R249" s="187"/>
      <c r="S249" s="187"/>
      <c r="T249" s="187"/>
      <c r="U249" s="187"/>
      <c r="V249" s="188" t="str">
        <f t="shared" si="133"/>
        <v/>
      </c>
      <c r="W249" s="188" t="str">
        <f t="shared" si="134"/>
        <v/>
      </c>
      <c r="X249" s="189"/>
      <c r="Y249" s="189"/>
      <c r="Z249" s="189"/>
      <c r="AA249" s="190"/>
      <c r="AB249" s="186"/>
      <c r="AC249" s="344"/>
      <c r="AD249" s="186"/>
      <c r="AE249" s="186"/>
      <c r="AF249" s="186"/>
      <c r="AG249" s="186"/>
      <c r="AH249" s="186"/>
      <c r="AI249" s="191"/>
      <c r="AJ249" s="191"/>
      <c r="AK249" s="186"/>
      <c r="AL249" s="186"/>
      <c r="AM249" s="186"/>
      <c r="AN249" s="344"/>
      <c r="AO249" s="186"/>
      <c r="AP249" s="193"/>
      <c r="AQ249" s="193"/>
      <c r="AR249" s="191"/>
      <c r="AS249" s="194"/>
      <c r="AT249" s="195"/>
      <c r="AU249" s="425"/>
      <c r="AV249" s="425"/>
      <c r="AW249" s="425"/>
      <c r="AX249" s="425"/>
      <c r="AY249" s="425"/>
      <c r="AZ249" s="425"/>
      <c r="BA249" s="425"/>
      <c r="BB249" s="425"/>
      <c r="BC249" s="440"/>
      <c r="BD249" s="404">
        <f>SUM($AS$4:AS249)</f>
        <v>2401.4649999999924</v>
      </c>
      <c r="BE249" s="405">
        <f>SUM($AR$4:AR249)</f>
        <v>4474.5599999999804</v>
      </c>
      <c r="BF249" s="330"/>
      <c r="BG249" s="330"/>
    </row>
    <row r="250" spans="1:59" ht="18" customHeight="1">
      <c r="A250" s="227" t="s">
        <v>1130</v>
      </c>
      <c r="B250" s="181">
        <v>44964</v>
      </c>
      <c r="C250" s="182" t="s">
        <v>1237</v>
      </c>
      <c r="D250" s="182" t="s">
        <v>128</v>
      </c>
      <c r="E250" s="233"/>
      <c r="F250" s="184"/>
      <c r="G250" s="185" t="s">
        <v>965</v>
      </c>
      <c r="H250" s="186"/>
      <c r="I250" s="186"/>
      <c r="J250" s="186"/>
      <c r="K250" s="187"/>
      <c r="L250" s="186">
        <v>1</v>
      </c>
      <c r="M250" s="186"/>
      <c r="N250" s="186"/>
      <c r="O250" s="187" t="s">
        <v>76</v>
      </c>
      <c r="P250" s="187" t="s">
        <v>77</v>
      </c>
      <c r="Q250" s="187" t="s">
        <v>666</v>
      </c>
      <c r="R250" s="187">
        <v>1</v>
      </c>
      <c r="S250" s="187">
        <v>1</v>
      </c>
      <c r="T250" s="187">
        <v>1</v>
      </c>
      <c r="U250" s="187" t="s">
        <v>22</v>
      </c>
      <c r="V250" s="188">
        <f t="shared" si="133"/>
        <v>0.01</v>
      </c>
      <c r="W250" s="188">
        <f t="shared" si="134"/>
        <v>1660.0000000000002</v>
      </c>
      <c r="X250" s="189"/>
      <c r="Y250" s="189" t="s">
        <v>1240</v>
      </c>
      <c r="Z250" s="189"/>
      <c r="AA250" s="190">
        <v>96.05</v>
      </c>
      <c r="AB250" s="186"/>
      <c r="AC250" s="344"/>
      <c r="AD250" s="186"/>
      <c r="AE250" s="186"/>
      <c r="AF250" s="186"/>
      <c r="AG250" s="186"/>
      <c r="AH250" s="186"/>
      <c r="AI250" s="191"/>
      <c r="AJ250" s="191"/>
      <c r="AK250" s="186"/>
      <c r="AL250" s="186"/>
      <c r="AM250" s="186" t="s">
        <v>1124</v>
      </c>
      <c r="AN250" s="344" t="s">
        <v>376</v>
      </c>
      <c r="AO250" s="186" t="s">
        <v>1124</v>
      </c>
      <c r="AP250" s="193">
        <v>96</v>
      </c>
      <c r="AQ250" s="193">
        <f t="shared" ref="AQ250:AQ260" si="137">IF(ISBLANK(AP250),,IF(U250="S",AA250-AP250,AP250-AA250))</f>
        <v>-4.9999999999997158E-2</v>
      </c>
      <c r="AR250" s="191">
        <f t="shared" ref="AR250:AR260" si="138">AS250*R250</f>
        <v>-82.999999999995296</v>
      </c>
      <c r="AS250" s="194">
        <f t="shared" ref="AS250:AS260" si="139">IF(ISBLANK(AP250),,(AQ250*W250))</f>
        <v>-82.999999999995296</v>
      </c>
      <c r="AT250" s="195" t="s">
        <v>211</v>
      </c>
      <c r="AU250" s="425"/>
      <c r="AV250" s="425"/>
      <c r="AW250" s="425"/>
      <c r="AX250" s="425"/>
      <c r="AY250" s="425"/>
      <c r="AZ250" s="425"/>
      <c r="BA250" s="425"/>
      <c r="BB250" s="425"/>
      <c r="BC250" s="440"/>
      <c r="BD250" s="404">
        <f>SUM($AS$4:AS250)</f>
        <v>2318.464999999997</v>
      </c>
      <c r="BE250" s="405">
        <f>SUM($AR$4:AR250)</f>
        <v>4391.5599999999849</v>
      </c>
      <c r="BF250" s="330"/>
      <c r="BG250" s="330"/>
    </row>
    <row r="251" spans="1:59" ht="18" customHeight="1">
      <c r="A251" s="181" t="s">
        <v>1130</v>
      </c>
      <c r="B251" s="181">
        <v>44964</v>
      </c>
      <c r="C251" s="182" t="s">
        <v>957</v>
      </c>
      <c r="D251" s="182" t="s">
        <v>128</v>
      </c>
      <c r="E251" s="233"/>
      <c r="F251" s="184"/>
      <c r="G251" s="290" t="s">
        <v>535</v>
      </c>
      <c r="H251" s="186"/>
      <c r="I251" s="186"/>
      <c r="J251" s="186"/>
      <c r="K251" s="187"/>
      <c r="L251" s="186">
        <v>1</v>
      </c>
      <c r="M251" s="186"/>
      <c r="N251" s="186"/>
      <c r="O251" s="187" t="s">
        <v>76</v>
      </c>
      <c r="P251" s="187" t="s">
        <v>119</v>
      </c>
      <c r="Q251" s="187" t="s">
        <v>78</v>
      </c>
      <c r="R251" s="187">
        <v>2</v>
      </c>
      <c r="S251" s="187">
        <v>2</v>
      </c>
      <c r="T251" s="187">
        <v>2</v>
      </c>
      <c r="U251" s="187" t="s">
        <v>22</v>
      </c>
      <c r="V251" s="188">
        <f t="shared" si="133"/>
        <v>0.01</v>
      </c>
      <c r="W251" s="188">
        <f t="shared" si="134"/>
        <v>1660.0000000000002</v>
      </c>
      <c r="X251" s="189" t="s">
        <v>918</v>
      </c>
      <c r="Y251" s="189"/>
      <c r="Z251" s="189"/>
      <c r="AA251" s="190">
        <v>-0.09</v>
      </c>
      <c r="AB251" s="186"/>
      <c r="AC251" s="344">
        <v>-12</v>
      </c>
      <c r="AD251" s="186"/>
      <c r="AE251" s="186" t="s">
        <v>1241</v>
      </c>
      <c r="AF251" s="186"/>
      <c r="AG251" s="186"/>
      <c r="AH251" s="186"/>
      <c r="AI251" s="191">
        <f>-0.02*W251</f>
        <v>-33.200000000000003</v>
      </c>
      <c r="AJ251" s="191">
        <f t="shared" ref="AJ251" si="140">AI251*R251</f>
        <v>-66.400000000000006</v>
      </c>
      <c r="AK251" s="186"/>
      <c r="AL251" s="186"/>
      <c r="AM251" s="186" t="s">
        <v>1242</v>
      </c>
      <c r="AN251" s="344" t="s">
        <v>97</v>
      </c>
      <c r="AO251" s="186" t="s">
        <v>1243</v>
      </c>
      <c r="AP251" s="193">
        <v>-0.105</v>
      </c>
      <c r="AQ251" s="193">
        <f t="shared" si="137"/>
        <v>-1.4999999999999999E-2</v>
      </c>
      <c r="AR251" s="191">
        <f t="shared" si="138"/>
        <v>-49.800000000000004</v>
      </c>
      <c r="AS251" s="194">
        <f t="shared" si="139"/>
        <v>-24.900000000000002</v>
      </c>
      <c r="AT251" s="195" t="s">
        <v>211</v>
      </c>
      <c r="AU251" s="425" t="s">
        <v>1244</v>
      </c>
      <c r="AV251" s="425" t="s">
        <v>1245</v>
      </c>
      <c r="AW251" s="425" t="s">
        <v>1246</v>
      </c>
      <c r="AX251" s="425" t="s">
        <v>1247</v>
      </c>
      <c r="AY251" s="425" t="s">
        <v>1248</v>
      </c>
      <c r="AZ251" s="425"/>
      <c r="BA251" s="425"/>
      <c r="BB251" s="425"/>
      <c r="BC251" s="440"/>
      <c r="BD251" s="404">
        <f>SUM($AS$4:AS251)</f>
        <v>2293.5649999999969</v>
      </c>
      <c r="BE251" s="405">
        <f>SUM($AR$4:AR251)</f>
        <v>4341.7599999999848</v>
      </c>
      <c r="BF251" s="330"/>
      <c r="BG251" s="330"/>
    </row>
    <row r="252" spans="1:59" ht="18" customHeight="1">
      <c r="A252" s="181" t="s">
        <v>1130</v>
      </c>
      <c r="B252" s="181">
        <v>44964</v>
      </c>
      <c r="C252" s="182" t="s">
        <v>664</v>
      </c>
      <c r="D252" s="182" t="s">
        <v>128</v>
      </c>
      <c r="E252" s="233"/>
      <c r="F252" s="184"/>
      <c r="G252" s="307" t="s">
        <v>115</v>
      </c>
      <c r="H252" s="186"/>
      <c r="I252" s="186"/>
      <c r="J252" s="186"/>
      <c r="K252" s="187"/>
      <c r="L252" s="186">
        <v>1</v>
      </c>
      <c r="M252" s="186"/>
      <c r="N252" s="186"/>
      <c r="O252" s="187" t="s">
        <v>76</v>
      </c>
      <c r="P252" s="187" t="s">
        <v>77</v>
      </c>
      <c r="Q252" s="187" t="s">
        <v>78</v>
      </c>
      <c r="R252" s="187">
        <v>5</v>
      </c>
      <c r="S252" s="187">
        <v>5</v>
      </c>
      <c r="T252" s="187">
        <v>5</v>
      </c>
      <c r="U252" s="187" t="s">
        <v>78</v>
      </c>
      <c r="V252" s="188">
        <f t="shared" si="133"/>
        <v>0.01</v>
      </c>
      <c r="W252" s="188">
        <f t="shared" si="134"/>
        <v>1660.0000000000002</v>
      </c>
      <c r="X252" s="189" t="s">
        <v>1249</v>
      </c>
      <c r="Y252" s="189"/>
      <c r="Z252" s="189" t="s">
        <v>1250</v>
      </c>
      <c r="AA252" s="190">
        <v>-0.01</v>
      </c>
      <c r="AB252" s="186"/>
      <c r="AC252" s="344">
        <v>1</v>
      </c>
      <c r="AD252" s="186"/>
      <c r="AE252" s="186" t="s">
        <v>1251</v>
      </c>
      <c r="AF252" s="186"/>
      <c r="AG252" s="186"/>
      <c r="AH252" s="186"/>
      <c r="AI252" s="191"/>
      <c r="AJ252" s="191"/>
      <c r="AK252" s="186"/>
      <c r="AL252" s="186"/>
      <c r="AM252" s="186" t="s">
        <v>902</v>
      </c>
      <c r="AN252" s="344" t="s">
        <v>77</v>
      </c>
      <c r="AO252" s="186" t="s">
        <v>1252</v>
      </c>
      <c r="AP252" s="193">
        <v>0</v>
      </c>
      <c r="AQ252" s="193">
        <f t="shared" si="137"/>
        <v>-0.01</v>
      </c>
      <c r="AR252" s="191">
        <f t="shared" si="138"/>
        <v>-83</v>
      </c>
      <c r="AS252" s="194">
        <f t="shared" si="139"/>
        <v>-16.600000000000001</v>
      </c>
      <c r="AT252" s="195" t="s">
        <v>211</v>
      </c>
      <c r="AU252" s="425"/>
      <c r="AV252" s="425" t="s">
        <v>1253</v>
      </c>
      <c r="AW252" s="425" t="s">
        <v>1254</v>
      </c>
      <c r="AX252" s="425"/>
      <c r="AY252" s="425"/>
      <c r="AZ252" s="425"/>
      <c r="BA252" s="425"/>
      <c r="BB252" s="425"/>
      <c r="BC252" s="440"/>
      <c r="BD252" s="404">
        <f>SUM($AS$4:AS252)</f>
        <v>2276.964999999997</v>
      </c>
      <c r="BE252" s="405">
        <f>SUM($AR$4:AR252)</f>
        <v>4258.7599999999848</v>
      </c>
      <c r="BF252" s="330"/>
      <c r="BG252" s="330"/>
    </row>
    <row r="253" spans="1:59" ht="18" customHeight="1">
      <c r="A253" s="227" t="s">
        <v>1130</v>
      </c>
      <c r="B253" s="181">
        <v>44964</v>
      </c>
      <c r="C253" s="182" t="s">
        <v>664</v>
      </c>
      <c r="D253" s="182" t="s">
        <v>128</v>
      </c>
      <c r="E253" s="233"/>
      <c r="F253" s="184"/>
      <c r="G253" s="291" t="s">
        <v>253</v>
      </c>
      <c r="H253" s="186"/>
      <c r="I253" s="186"/>
      <c r="J253" s="186"/>
      <c r="K253" s="187"/>
      <c r="L253" s="186">
        <v>1</v>
      </c>
      <c r="M253" s="186"/>
      <c r="N253" s="186"/>
      <c r="O253" s="187" t="s">
        <v>76</v>
      </c>
      <c r="P253" s="187" t="s">
        <v>119</v>
      </c>
      <c r="Q253" s="187" t="s">
        <v>78</v>
      </c>
      <c r="R253" s="187">
        <v>5</v>
      </c>
      <c r="S253" s="187">
        <v>5</v>
      </c>
      <c r="T253" s="187">
        <v>5</v>
      </c>
      <c r="U253" s="187" t="s">
        <v>22</v>
      </c>
      <c r="V253" s="188">
        <f t="shared" si="133"/>
        <v>0.01</v>
      </c>
      <c r="W253" s="188">
        <f t="shared" si="134"/>
        <v>1660.0000000000002</v>
      </c>
      <c r="X253" s="189" t="s">
        <v>1255</v>
      </c>
      <c r="Y253" s="189"/>
      <c r="Z253" s="189"/>
      <c r="AA253" s="190">
        <v>-0.16</v>
      </c>
      <c r="AB253" s="186"/>
      <c r="AC253" s="344"/>
      <c r="AD253" s="186"/>
      <c r="AE253" s="186">
        <v>-14</v>
      </c>
      <c r="AF253" s="186"/>
      <c r="AG253" s="186"/>
      <c r="AH253" s="186"/>
      <c r="AI253" s="191">
        <f>-0.03*W253</f>
        <v>-49.800000000000004</v>
      </c>
      <c r="AJ253" s="191">
        <f t="shared" ref="AJ253:AJ256" si="141">AI253*R253</f>
        <v>-249.00000000000003</v>
      </c>
      <c r="AK253" s="186"/>
      <c r="AL253" s="186"/>
      <c r="AM253" s="186" t="s">
        <v>981</v>
      </c>
      <c r="AN253" s="344" t="s">
        <v>97</v>
      </c>
      <c r="AO253" s="186" t="s">
        <v>1256</v>
      </c>
      <c r="AP253" s="193">
        <v>-0.16</v>
      </c>
      <c r="AQ253" s="193">
        <f t="shared" si="137"/>
        <v>0</v>
      </c>
      <c r="AR253" s="191">
        <f t="shared" si="138"/>
        <v>0</v>
      </c>
      <c r="AS253" s="194">
        <f t="shared" si="139"/>
        <v>0</v>
      </c>
      <c r="AT253" s="195" t="s">
        <v>97</v>
      </c>
      <c r="AU253" s="425" t="s">
        <v>1257</v>
      </c>
      <c r="AV253" s="425" t="s">
        <v>1258</v>
      </c>
      <c r="AW253" s="425" t="s">
        <v>1259</v>
      </c>
      <c r="AX253" s="425"/>
      <c r="AY253" s="425"/>
      <c r="AZ253" s="425"/>
      <c r="BA253" s="425"/>
      <c r="BB253" s="425"/>
      <c r="BC253" s="440"/>
      <c r="BD253" s="404">
        <f>SUM($AS$4:AS253)</f>
        <v>2276.964999999997</v>
      </c>
      <c r="BE253" s="405">
        <f>SUM($AR$4:AR253)</f>
        <v>4258.7599999999848</v>
      </c>
      <c r="BF253" s="330"/>
      <c r="BG253" s="330"/>
    </row>
    <row r="254" spans="1:59" ht="18" customHeight="1">
      <c r="A254" s="181" t="s">
        <v>1130</v>
      </c>
      <c r="B254" s="181">
        <v>44964</v>
      </c>
      <c r="C254" s="182" t="s">
        <v>1260</v>
      </c>
      <c r="D254" s="182" t="s">
        <v>128</v>
      </c>
      <c r="E254" s="233"/>
      <c r="F254" s="184"/>
      <c r="G254" s="296" t="s">
        <v>262</v>
      </c>
      <c r="H254" s="186"/>
      <c r="I254" s="186"/>
      <c r="J254" s="186"/>
      <c r="K254" s="187"/>
      <c r="L254" s="186">
        <v>1</v>
      </c>
      <c r="M254" s="186"/>
      <c r="N254" s="186"/>
      <c r="O254" s="187" t="s">
        <v>76</v>
      </c>
      <c r="P254" s="187" t="s">
        <v>119</v>
      </c>
      <c r="Q254" s="187" t="s">
        <v>78</v>
      </c>
      <c r="R254" s="187">
        <v>5</v>
      </c>
      <c r="S254" s="187">
        <v>5</v>
      </c>
      <c r="T254" s="187">
        <v>5</v>
      </c>
      <c r="U254" s="187" t="s">
        <v>22</v>
      </c>
      <c r="V254" s="188">
        <f t="shared" si="133"/>
        <v>0.01</v>
      </c>
      <c r="W254" s="188">
        <f>IF(ISBLANK(O254),"",IF(O254=UPPER("IB"),8.63*200,16.7*100))</f>
        <v>1670</v>
      </c>
      <c r="X254" s="189" t="s">
        <v>1261</v>
      </c>
      <c r="Y254" s="189" t="s">
        <v>511</v>
      </c>
      <c r="Z254" s="189"/>
      <c r="AA254" s="190">
        <v>-0.13</v>
      </c>
      <c r="AB254" s="186"/>
      <c r="AC254" s="344"/>
      <c r="AD254" s="186"/>
      <c r="AE254" s="186">
        <v>-11</v>
      </c>
      <c r="AF254" s="186"/>
      <c r="AG254" s="186"/>
      <c r="AH254" s="186"/>
      <c r="AI254" s="191">
        <f>-0.03*W254</f>
        <v>-50.1</v>
      </c>
      <c r="AJ254" s="191">
        <f t="shared" si="141"/>
        <v>-250.5</v>
      </c>
      <c r="AK254" s="186" t="s">
        <v>1262</v>
      </c>
      <c r="AL254" s="186"/>
      <c r="AM254" s="186" t="s">
        <v>884</v>
      </c>
      <c r="AN254" s="344" t="s">
        <v>77</v>
      </c>
      <c r="AO254" s="295" t="s">
        <v>1263</v>
      </c>
      <c r="AP254" s="193">
        <f>(-0.15*2+-0.14*3)/5</f>
        <v>-0.14399999999999999</v>
      </c>
      <c r="AQ254" s="193">
        <f t="shared" si="137"/>
        <v>-1.3999999999999985E-2</v>
      </c>
      <c r="AR254" s="191">
        <f t="shared" si="138"/>
        <v>-116.89999999999986</v>
      </c>
      <c r="AS254" s="194">
        <f t="shared" si="139"/>
        <v>-23.379999999999974</v>
      </c>
      <c r="AT254" s="195" t="s">
        <v>211</v>
      </c>
      <c r="AU254" s="425" t="s">
        <v>1264</v>
      </c>
      <c r="AV254" s="425" t="s">
        <v>1258</v>
      </c>
      <c r="AW254" s="425" t="s">
        <v>1265</v>
      </c>
      <c r="AX254" s="425" t="s">
        <v>1266</v>
      </c>
      <c r="AY254" s="425"/>
      <c r="AZ254" s="425"/>
      <c r="BA254" s="425"/>
      <c r="BB254" s="425"/>
      <c r="BC254" s="440"/>
      <c r="BD254" s="404">
        <f>SUM($AS$4:AS254)</f>
        <v>2253.5849999999969</v>
      </c>
      <c r="BE254" s="405">
        <f>SUM($AR$4:AR254)</f>
        <v>4141.8599999999851</v>
      </c>
      <c r="BF254" s="330"/>
      <c r="BG254" s="330"/>
    </row>
    <row r="255" spans="1:59" ht="18" customHeight="1">
      <c r="A255" s="181" t="s">
        <v>1130</v>
      </c>
      <c r="B255" s="181">
        <v>44964</v>
      </c>
      <c r="C255" s="182" t="s">
        <v>1260</v>
      </c>
      <c r="D255" s="182" t="s">
        <v>128</v>
      </c>
      <c r="E255" s="233"/>
      <c r="F255" s="184"/>
      <c r="G255" s="286" t="s">
        <v>347</v>
      </c>
      <c r="H255" s="186"/>
      <c r="I255" s="186"/>
      <c r="J255" s="186"/>
      <c r="K255" s="187"/>
      <c r="L255" s="186">
        <v>1</v>
      </c>
      <c r="M255" s="186"/>
      <c r="N255" s="186"/>
      <c r="O255" s="187" t="s">
        <v>76</v>
      </c>
      <c r="P255" s="187" t="s">
        <v>119</v>
      </c>
      <c r="Q255" s="187" t="s">
        <v>78</v>
      </c>
      <c r="R255" s="187">
        <v>2</v>
      </c>
      <c r="S255" s="187">
        <v>2</v>
      </c>
      <c r="T255" s="187">
        <v>2</v>
      </c>
      <c r="U255" s="187" t="s">
        <v>22</v>
      </c>
      <c r="V255" s="188">
        <f t="shared" si="133"/>
        <v>0.01</v>
      </c>
      <c r="W255" s="188">
        <f t="shared" si="134"/>
        <v>1660.0000000000002</v>
      </c>
      <c r="X255" s="189" t="s">
        <v>1267</v>
      </c>
      <c r="Y255" s="189"/>
      <c r="Z255" s="189" t="s">
        <v>1268</v>
      </c>
      <c r="AA255" s="190">
        <v>-0.12</v>
      </c>
      <c r="AB255" s="186"/>
      <c r="AC255" s="344"/>
      <c r="AD255" s="186"/>
      <c r="AE255" s="186"/>
      <c r="AF255" s="186"/>
      <c r="AG255" s="186"/>
      <c r="AH255" s="186"/>
      <c r="AI255" s="191">
        <f t="shared" ref="AI255" si="142">-0.02*W255</f>
        <v>-33.200000000000003</v>
      </c>
      <c r="AJ255" s="191">
        <f t="shared" si="141"/>
        <v>-66.400000000000006</v>
      </c>
      <c r="AK255" s="186"/>
      <c r="AL255" s="186"/>
      <c r="AM255" s="186" t="s">
        <v>946</v>
      </c>
      <c r="AN255" s="344" t="s">
        <v>87</v>
      </c>
      <c r="AO255" s="186" t="s">
        <v>1269</v>
      </c>
      <c r="AP255" s="193">
        <v>-0.11</v>
      </c>
      <c r="AQ255" s="193">
        <f t="shared" si="137"/>
        <v>9.999999999999995E-3</v>
      </c>
      <c r="AR255" s="191">
        <f t="shared" si="138"/>
        <v>33.199999999999989</v>
      </c>
      <c r="AS255" s="194">
        <f t="shared" si="139"/>
        <v>16.599999999999994</v>
      </c>
      <c r="AT255" s="195" t="s">
        <v>77</v>
      </c>
      <c r="AU255" s="425"/>
      <c r="AV255" s="425"/>
      <c r="AW255" s="425"/>
      <c r="AX255" s="425"/>
      <c r="AY255" s="425"/>
      <c r="AZ255" s="425"/>
      <c r="BA255" s="425"/>
      <c r="BB255" s="425"/>
      <c r="BC255" s="440"/>
      <c r="BD255" s="404">
        <f>SUM($AS$4:AS255)</f>
        <v>2270.1849999999968</v>
      </c>
      <c r="BE255" s="405">
        <f>SUM($AR$4:AR255)</f>
        <v>4175.0599999999849</v>
      </c>
      <c r="BF255" s="330"/>
      <c r="BG255" s="330"/>
    </row>
    <row r="256" spans="1:59" ht="18" customHeight="1">
      <c r="A256" s="227" t="s">
        <v>1130</v>
      </c>
      <c r="B256" s="181">
        <v>44964</v>
      </c>
      <c r="C256" s="182" t="s">
        <v>664</v>
      </c>
      <c r="D256" s="182" t="s">
        <v>128</v>
      </c>
      <c r="E256" s="233"/>
      <c r="F256" s="184"/>
      <c r="G256" s="256" t="s">
        <v>739</v>
      </c>
      <c r="H256" s="186"/>
      <c r="I256" s="186"/>
      <c r="J256" s="186"/>
      <c r="K256" s="187"/>
      <c r="L256" s="186">
        <v>1</v>
      </c>
      <c r="M256" s="186">
        <v>1</v>
      </c>
      <c r="N256" s="186"/>
      <c r="O256" s="187" t="s">
        <v>76</v>
      </c>
      <c r="P256" s="187" t="s">
        <v>77</v>
      </c>
      <c r="Q256" s="187" t="s">
        <v>78</v>
      </c>
      <c r="R256" s="187">
        <v>1</v>
      </c>
      <c r="S256" s="187">
        <v>1</v>
      </c>
      <c r="T256" s="187">
        <v>1</v>
      </c>
      <c r="U256" s="187" t="s">
        <v>78</v>
      </c>
      <c r="V256" s="188">
        <f t="shared" si="133"/>
        <v>0.01</v>
      </c>
      <c r="W256" s="188">
        <f t="shared" si="134"/>
        <v>1660.0000000000002</v>
      </c>
      <c r="X256" s="189" t="s">
        <v>1216</v>
      </c>
      <c r="Y256" s="189"/>
      <c r="Z256" s="189" t="s">
        <v>1217</v>
      </c>
      <c r="AA256" s="190">
        <v>0.06</v>
      </c>
      <c r="AB256" s="186"/>
      <c r="AC256" s="344">
        <v>9</v>
      </c>
      <c r="AD256" s="186" t="s">
        <v>1218</v>
      </c>
      <c r="AE256" s="186" t="s">
        <v>1270</v>
      </c>
      <c r="AF256" s="186"/>
      <c r="AG256" s="186"/>
      <c r="AH256" s="186"/>
      <c r="AI256" s="191">
        <f t="shared" ref="AI256" si="143">-0.04*W256</f>
        <v>-66.400000000000006</v>
      </c>
      <c r="AJ256" s="191">
        <f t="shared" si="141"/>
        <v>-66.400000000000006</v>
      </c>
      <c r="AK256" s="186" t="s">
        <v>1220</v>
      </c>
      <c r="AL256" s="186" t="s">
        <v>1221</v>
      </c>
      <c r="AM256" s="186" t="s">
        <v>828</v>
      </c>
      <c r="AN256" s="344" t="s">
        <v>87</v>
      </c>
      <c r="AO256" s="186" t="s">
        <v>1222</v>
      </c>
      <c r="AP256" s="193">
        <v>0.05</v>
      </c>
      <c r="AQ256" s="193">
        <f t="shared" si="137"/>
        <v>9.999999999999995E-3</v>
      </c>
      <c r="AR256" s="191">
        <f t="shared" si="138"/>
        <v>16.599999999999994</v>
      </c>
      <c r="AS256" s="194">
        <f t="shared" si="139"/>
        <v>16.599999999999994</v>
      </c>
      <c r="AT256" s="195" t="s">
        <v>77</v>
      </c>
      <c r="AU256" s="425"/>
      <c r="AV256" s="425"/>
      <c r="AW256" s="425"/>
      <c r="AX256" s="425"/>
      <c r="AY256" s="425"/>
      <c r="AZ256" s="425"/>
      <c r="BA256" s="425"/>
      <c r="BB256" s="425"/>
      <c r="BC256" s="440"/>
      <c r="BD256" s="404">
        <f>SUM($AS$4:AS256)</f>
        <v>2286.7849999999967</v>
      </c>
      <c r="BE256" s="405">
        <f>SUM($AR$4:AR256)</f>
        <v>4191.6599999999853</v>
      </c>
      <c r="BF256" s="330"/>
      <c r="BG256" s="330"/>
    </row>
    <row r="257" spans="1:59" ht="18" customHeight="1">
      <c r="A257" s="181" t="s">
        <v>1130</v>
      </c>
      <c r="B257" s="181">
        <v>44964</v>
      </c>
      <c r="C257" s="182" t="s">
        <v>1271</v>
      </c>
      <c r="D257" s="182" t="s">
        <v>128</v>
      </c>
      <c r="E257" s="233"/>
      <c r="F257" s="184"/>
      <c r="G257" s="286" t="s">
        <v>417</v>
      </c>
      <c r="H257" s="186"/>
      <c r="I257" s="186"/>
      <c r="J257" s="186"/>
      <c r="K257" s="187"/>
      <c r="L257" s="186">
        <v>1</v>
      </c>
      <c r="M257" s="186"/>
      <c r="N257" s="186"/>
      <c r="O257" s="187" t="s">
        <v>76</v>
      </c>
      <c r="P257" s="187" t="s">
        <v>77</v>
      </c>
      <c r="Q257" s="187" t="s">
        <v>78</v>
      </c>
      <c r="R257" s="187">
        <v>1</v>
      </c>
      <c r="S257" s="187">
        <v>1</v>
      </c>
      <c r="T257" s="187">
        <v>1</v>
      </c>
      <c r="U257" s="187" t="s">
        <v>78</v>
      </c>
      <c r="V257" s="188">
        <f t="shared" si="133"/>
        <v>0.01</v>
      </c>
      <c r="W257" s="188">
        <f t="shared" si="134"/>
        <v>1660.0000000000002</v>
      </c>
      <c r="X257" s="189" t="s">
        <v>120</v>
      </c>
      <c r="Y257" s="189"/>
      <c r="Z257" s="189" t="s">
        <v>1272</v>
      </c>
      <c r="AA257" s="190">
        <v>0.32</v>
      </c>
      <c r="AB257" s="186"/>
      <c r="AC257" s="344"/>
      <c r="AD257" s="186"/>
      <c r="AE257" s="186"/>
      <c r="AF257" s="186"/>
      <c r="AG257" s="186"/>
      <c r="AH257" s="186"/>
      <c r="AI257" s="191">
        <f>-0.03*W257</f>
        <v>-49.800000000000004</v>
      </c>
      <c r="AJ257" s="191">
        <f t="shared" ref="AJ257" si="144">AI257*R257</f>
        <v>-49.800000000000004</v>
      </c>
      <c r="AK257" s="186"/>
      <c r="AL257" s="186"/>
      <c r="AM257" s="186" t="s">
        <v>1273</v>
      </c>
      <c r="AN257" s="344" t="s">
        <v>87</v>
      </c>
      <c r="AO257" s="186" t="s">
        <v>1274</v>
      </c>
      <c r="AP257" s="193">
        <v>0.31</v>
      </c>
      <c r="AQ257" s="193">
        <f t="shared" si="137"/>
        <v>1.0000000000000009E-2</v>
      </c>
      <c r="AR257" s="191">
        <f t="shared" si="138"/>
        <v>16.600000000000016</v>
      </c>
      <c r="AS257" s="194">
        <f t="shared" si="139"/>
        <v>16.600000000000016</v>
      </c>
      <c r="AT257" s="195" t="s">
        <v>77</v>
      </c>
      <c r="AU257" s="425" t="s">
        <v>1275</v>
      </c>
      <c r="AV257" s="425" t="s">
        <v>511</v>
      </c>
      <c r="AW257" s="425"/>
      <c r="AX257" s="425"/>
      <c r="AY257" s="425"/>
      <c r="AZ257" s="425"/>
      <c r="BA257" s="425"/>
      <c r="BB257" s="425"/>
      <c r="BC257" s="440"/>
      <c r="BD257" s="404">
        <f>SUM($AS$4:AS257)</f>
        <v>2303.3849999999966</v>
      </c>
      <c r="BE257" s="405">
        <f>SUM($AR$4:AR257)</f>
        <v>4208.2599999999857</v>
      </c>
      <c r="BF257" s="330"/>
      <c r="BG257" s="330"/>
    </row>
    <row r="258" spans="1:59" ht="18" customHeight="1">
      <c r="A258" s="181" t="s">
        <v>1130</v>
      </c>
      <c r="B258" s="181">
        <v>44967</v>
      </c>
      <c r="C258" s="182" t="s">
        <v>1276</v>
      </c>
      <c r="D258" s="182" t="s">
        <v>93</v>
      </c>
      <c r="E258" s="233"/>
      <c r="F258" s="184"/>
      <c r="G258" s="291" t="s">
        <v>535</v>
      </c>
      <c r="H258" s="186"/>
      <c r="I258" s="186"/>
      <c r="J258" s="186"/>
      <c r="K258" s="187"/>
      <c r="L258" s="186">
        <v>1</v>
      </c>
      <c r="M258" s="186"/>
      <c r="N258" s="186"/>
      <c r="O258" s="187" t="s">
        <v>76</v>
      </c>
      <c r="P258" s="187" t="s">
        <v>119</v>
      </c>
      <c r="Q258" s="187" t="s">
        <v>78</v>
      </c>
      <c r="R258" s="187">
        <v>3</v>
      </c>
      <c r="S258" s="187">
        <v>3</v>
      </c>
      <c r="T258" s="187">
        <v>3</v>
      </c>
      <c r="U258" s="187" t="s">
        <v>22</v>
      </c>
      <c r="V258" s="188">
        <f t="shared" ref="V258" si="145">IF(ISBLANK(O258),"",(IF(O258=UPPER("IB"),0.005,0.01)))</f>
        <v>0.01</v>
      </c>
      <c r="W258" s="188">
        <f t="shared" ref="W258" si="146">IF(ISBLANK(O258),"",IF(O258=UPPER("IB"),8.63*200,16.6*100))</f>
        <v>1660.0000000000002</v>
      </c>
      <c r="X258" s="189"/>
      <c r="Y258" s="189"/>
      <c r="Z258" s="189" t="s">
        <v>80</v>
      </c>
      <c r="AA258" s="190">
        <v>-0.11</v>
      </c>
      <c r="AB258" s="186"/>
      <c r="AC258" s="344"/>
      <c r="AD258" s="186"/>
      <c r="AE258" s="186"/>
      <c r="AF258" s="186"/>
      <c r="AG258" s="186"/>
      <c r="AH258" s="186"/>
      <c r="AI258" s="191">
        <f t="shared" ref="AI258" si="147">-0.03*W258</f>
        <v>-49.800000000000004</v>
      </c>
      <c r="AJ258" s="191">
        <f t="shared" ref="AJ258:AJ260" si="148">AI258*R258</f>
        <v>-149.4</v>
      </c>
      <c r="AK258" s="186"/>
      <c r="AL258" s="186"/>
      <c r="AM258" s="186" t="s">
        <v>946</v>
      </c>
      <c r="AN258" s="344" t="s">
        <v>87</v>
      </c>
      <c r="AO258" s="186" t="s">
        <v>1277</v>
      </c>
      <c r="AP258" s="193">
        <v>-0.11</v>
      </c>
      <c r="AQ258" s="193">
        <f t="shared" si="137"/>
        <v>0</v>
      </c>
      <c r="AR258" s="191">
        <f t="shared" si="138"/>
        <v>0</v>
      </c>
      <c r="AS258" s="194">
        <f t="shared" si="139"/>
        <v>0</v>
      </c>
      <c r="AT258" s="195" t="s">
        <v>97</v>
      </c>
      <c r="AU258" s="425" t="s">
        <v>1278</v>
      </c>
      <c r="AV258" s="425" t="s">
        <v>1279</v>
      </c>
      <c r="AW258" s="425"/>
      <c r="AX258" s="425"/>
      <c r="AY258" s="425"/>
      <c r="AZ258" s="425"/>
      <c r="BA258" s="425"/>
      <c r="BB258" s="425"/>
      <c r="BC258" s="440"/>
      <c r="BD258" s="404">
        <f>SUM($AS$4:AS258)</f>
        <v>2303.3849999999966</v>
      </c>
      <c r="BE258" s="405">
        <f>SUM($AR$4:AR258)</f>
        <v>4208.2599999999857</v>
      </c>
      <c r="BF258" s="330"/>
      <c r="BG258" s="330"/>
    </row>
    <row r="259" spans="1:59" ht="18" customHeight="1">
      <c r="A259" s="227" t="s">
        <v>1130</v>
      </c>
      <c r="B259" s="181">
        <v>44967</v>
      </c>
      <c r="C259" s="182" t="s">
        <v>1280</v>
      </c>
      <c r="D259" s="182" t="s">
        <v>93</v>
      </c>
      <c r="E259" s="233"/>
      <c r="F259" s="184"/>
      <c r="G259" s="291" t="s">
        <v>417</v>
      </c>
      <c r="H259" s="186"/>
      <c r="I259" s="186"/>
      <c r="J259" s="186"/>
      <c r="K259" s="187"/>
      <c r="L259" s="186">
        <v>1</v>
      </c>
      <c r="M259" s="186"/>
      <c r="N259" s="186"/>
      <c r="O259" s="187" t="s">
        <v>76</v>
      </c>
      <c r="P259" s="187" t="s">
        <v>77</v>
      </c>
      <c r="Q259" s="187" t="s">
        <v>78</v>
      </c>
      <c r="R259" s="187">
        <v>1</v>
      </c>
      <c r="S259" s="187">
        <v>1</v>
      </c>
      <c r="T259" s="187">
        <v>1</v>
      </c>
      <c r="U259" s="187" t="s">
        <v>78</v>
      </c>
      <c r="V259" s="188">
        <f t="shared" ref="V259:V260" si="149">IF(ISBLANK(O259),"",(IF(O259=UPPER("IB"),0.005,0.01)))</f>
        <v>0.01</v>
      </c>
      <c r="W259" s="188">
        <f t="shared" ref="W259:W260" si="150">IF(ISBLANK(O259),"",IF(O259=UPPER("IB"),8.63*200,16.6*100))</f>
        <v>1660.0000000000002</v>
      </c>
      <c r="X259" s="189" t="s">
        <v>1281</v>
      </c>
      <c r="Y259" s="189" t="s">
        <v>1282</v>
      </c>
      <c r="Z259" s="189" t="s">
        <v>1283</v>
      </c>
      <c r="AA259" s="190">
        <v>0.44</v>
      </c>
      <c r="AB259" s="186"/>
      <c r="AC259" s="344"/>
      <c r="AD259" s="186"/>
      <c r="AE259" s="186" t="s">
        <v>1284</v>
      </c>
      <c r="AF259" s="186"/>
      <c r="AG259" s="186"/>
      <c r="AH259" s="186">
        <v>1</v>
      </c>
      <c r="AI259" s="191">
        <f>-0.05*W259</f>
        <v>-83.000000000000014</v>
      </c>
      <c r="AJ259" s="191">
        <f t="shared" si="148"/>
        <v>-83.000000000000014</v>
      </c>
      <c r="AK259" s="186"/>
      <c r="AL259" s="186"/>
      <c r="AM259" s="186" t="s">
        <v>1008</v>
      </c>
      <c r="AN259" s="344" t="s">
        <v>87</v>
      </c>
      <c r="AO259" s="186" t="s">
        <v>1285</v>
      </c>
      <c r="AP259" s="193">
        <v>0.44</v>
      </c>
      <c r="AQ259" s="193">
        <f t="shared" si="137"/>
        <v>0</v>
      </c>
      <c r="AR259" s="191">
        <f t="shared" si="138"/>
        <v>0</v>
      </c>
      <c r="AS259" s="194">
        <f t="shared" si="139"/>
        <v>0</v>
      </c>
      <c r="AT259" s="195" t="s">
        <v>97</v>
      </c>
      <c r="AU259" s="425" t="s">
        <v>1286</v>
      </c>
      <c r="AV259" s="425" t="s">
        <v>1287</v>
      </c>
      <c r="AW259" s="425"/>
      <c r="AX259" s="425" t="s">
        <v>1288</v>
      </c>
      <c r="AY259" s="425" t="s">
        <v>511</v>
      </c>
      <c r="AZ259" s="425"/>
      <c r="BA259" s="425"/>
      <c r="BB259" s="425"/>
      <c r="BC259" s="440"/>
      <c r="BD259" s="404">
        <f>SUM($AS$4:AS259)</f>
        <v>2303.3849999999966</v>
      </c>
      <c r="BE259" s="405">
        <f>SUM($AR$4:AR259)</f>
        <v>4208.2599999999857</v>
      </c>
      <c r="BF259" s="330"/>
      <c r="BG259" s="330"/>
    </row>
    <row r="260" spans="1:59" ht="18" customHeight="1">
      <c r="A260" s="181" t="s">
        <v>1130</v>
      </c>
      <c r="B260" s="181">
        <v>44967</v>
      </c>
      <c r="C260" s="182" t="s">
        <v>1289</v>
      </c>
      <c r="D260" s="182" t="s">
        <v>93</v>
      </c>
      <c r="E260" s="233"/>
      <c r="F260" s="184"/>
      <c r="G260" s="292" t="s">
        <v>739</v>
      </c>
      <c r="H260" s="186"/>
      <c r="I260" s="186"/>
      <c r="J260" s="186"/>
      <c r="K260" s="187"/>
      <c r="L260" s="186">
        <v>1</v>
      </c>
      <c r="M260" s="186">
        <v>1</v>
      </c>
      <c r="N260" s="186"/>
      <c r="O260" s="187" t="s">
        <v>76</v>
      </c>
      <c r="P260" s="187" t="s">
        <v>77</v>
      </c>
      <c r="Q260" s="187" t="s">
        <v>78</v>
      </c>
      <c r="R260" s="187">
        <v>2</v>
      </c>
      <c r="S260" s="187">
        <v>2</v>
      </c>
      <c r="T260" s="187">
        <v>1</v>
      </c>
      <c r="U260" s="187" t="s">
        <v>78</v>
      </c>
      <c r="V260" s="188">
        <f t="shared" si="149"/>
        <v>0.01</v>
      </c>
      <c r="W260" s="188">
        <f t="shared" si="150"/>
        <v>1660.0000000000002</v>
      </c>
      <c r="X260" s="189" t="s">
        <v>1216</v>
      </c>
      <c r="Y260" s="189"/>
      <c r="Z260" s="189" t="s">
        <v>1290</v>
      </c>
      <c r="AA260" s="190">
        <v>0.09</v>
      </c>
      <c r="AB260" s="186"/>
      <c r="AC260" s="344">
        <v>13</v>
      </c>
      <c r="AD260" s="186" t="s">
        <v>1218</v>
      </c>
      <c r="AE260" s="186" t="s">
        <v>1291</v>
      </c>
      <c r="AF260" s="186"/>
      <c r="AG260" s="186"/>
      <c r="AH260" s="186"/>
      <c r="AI260" s="191">
        <f>-0.03*W260</f>
        <v>-49.800000000000004</v>
      </c>
      <c r="AJ260" s="191">
        <f t="shared" si="148"/>
        <v>-99.600000000000009</v>
      </c>
      <c r="AK260" s="186"/>
      <c r="AL260" s="186"/>
      <c r="AM260" s="186" t="s">
        <v>752</v>
      </c>
      <c r="AN260" s="344" t="s">
        <v>97</v>
      </c>
      <c r="AO260" s="186" t="s">
        <v>1292</v>
      </c>
      <c r="AP260" s="193">
        <v>0.11</v>
      </c>
      <c r="AQ260" s="193">
        <f t="shared" si="137"/>
        <v>-2.0000000000000004E-2</v>
      </c>
      <c r="AR260" s="191">
        <f t="shared" si="138"/>
        <v>-66.40000000000002</v>
      </c>
      <c r="AS260" s="194">
        <f t="shared" si="139"/>
        <v>-33.20000000000001</v>
      </c>
      <c r="AT260" s="195" t="s">
        <v>211</v>
      </c>
      <c r="AU260" s="425" t="s">
        <v>1293</v>
      </c>
      <c r="AV260" s="425"/>
      <c r="AW260" s="425"/>
      <c r="AX260" s="425"/>
      <c r="AY260" s="425"/>
      <c r="AZ260" s="425"/>
      <c r="BA260" s="425"/>
      <c r="BB260" s="425"/>
      <c r="BC260" s="440"/>
      <c r="BD260" s="404">
        <f>SUM($AS$4:AS260)</f>
        <v>2270.1849999999968</v>
      </c>
      <c r="BE260" s="405">
        <f>SUM($AR$4:AR260)</f>
        <v>4141.859999999986</v>
      </c>
      <c r="BF260" s="330"/>
      <c r="BG260" s="330"/>
    </row>
    <row r="261" spans="1:59" ht="18" customHeight="1">
      <c r="A261" s="181" t="s">
        <v>1130</v>
      </c>
      <c r="B261" s="181">
        <v>44967</v>
      </c>
      <c r="C261" s="182" t="s">
        <v>1237</v>
      </c>
      <c r="D261" s="182" t="s">
        <v>93</v>
      </c>
      <c r="E261" s="293" t="s">
        <v>1294</v>
      </c>
      <c r="F261" s="184" t="s">
        <v>1295</v>
      </c>
      <c r="G261" s="185"/>
      <c r="H261" s="186"/>
      <c r="I261" s="186"/>
      <c r="J261" s="186"/>
      <c r="K261" s="187"/>
      <c r="L261" s="186"/>
      <c r="M261" s="186"/>
      <c r="N261" s="186"/>
      <c r="O261" s="187"/>
      <c r="P261" s="187"/>
      <c r="Q261" s="187"/>
      <c r="R261" s="187"/>
      <c r="S261" s="187"/>
      <c r="T261" s="187"/>
      <c r="U261" s="187"/>
      <c r="V261" s="188" t="str">
        <f t="shared" ref="V261:V263" si="151">IF(ISBLANK(O261),"",(IF(O261=UPPER("IB"),0.005,0.01)))</f>
        <v/>
      </c>
      <c r="W261" s="188" t="str">
        <f t="shared" ref="W261:W263" si="152">IF(ISBLANK(O261),"",IF(O261=UPPER("IB"),8.63*200,16.6*100))</f>
        <v/>
      </c>
      <c r="X261" s="189"/>
      <c r="Y261" s="189"/>
      <c r="Z261" s="189"/>
      <c r="AA261" s="190"/>
      <c r="AB261" s="186"/>
      <c r="AC261" s="344"/>
      <c r="AD261" s="186"/>
      <c r="AE261" s="186"/>
      <c r="AF261" s="186"/>
      <c r="AG261" s="186"/>
      <c r="AH261" s="186"/>
      <c r="AI261" s="191"/>
      <c r="AJ261" s="191"/>
      <c r="AK261" s="186"/>
      <c r="AL261" s="186"/>
      <c r="AM261" s="186"/>
      <c r="AN261" s="344"/>
      <c r="AO261" s="186"/>
      <c r="AP261" s="193"/>
      <c r="AQ261" s="193"/>
      <c r="AR261" s="191"/>
      <c r="AS261" s="194"/>
      <c r="AT261" s="195"/>
      <c r="AU261" s="425" t="s">
        <v>1296</v>
      </c>
      <c r="AV261" s="425" t="s">
        <v>511</v>
      </c>
      <c r="AW261" s="425"/>
      <c r="AX261" s="425"/>
      <c r="AY261" s="425"/>
      <c r="AZ261" s="425"/>
      <c r="BA261" s="425"/>
      <c r="BB261" s="425"/>
      <c r="BC261" s="440"/>
      <c r="BD261" s="404">
        <f>SUM($AS$4:AS261)</f>
        <v>2270.1849999999968</v>
      </c>
      <c r="BE261" s="405">
        <f>SUM($AR$4:AR261)</f>
        <v>4141.859999999986</v>
      </c>
      <c r="BF261" s="330"/>
      <c r="BG261" s="330"/>
    </row>
    <row r="262" spans="1:59" ht="18" customHeight="1">
      <c r="A262" s="227" t="s">
        <v>1130</v>
      </c>
      <c r="B262" s="181">
        <v>44967</v>
      </c>
      <c r="C262" s="182" t="s">
        <v>1297</v>
      </c>
      <c r="D262" s="182" t="s">
        <v>93</v>
      </c>
      <c r="E262" s="233"/>
      <c r="F262" s="184"/>
      <c r="G262" s="294" t="s">
        <v>535</v>
      </c>
      <c r="H262" s="186"/>
      <c r="I262" s="186"/>
      <c r="J262" s="186"/>
      <c r="K262" s="187"/>
      <c r="L262" s="186">
        <v>1</v>
      </c>
      <c r="M262" s="186"/>
      <c r="N262" s="186"/>
      <c r="O262" s="187" t="s">
        <v>76</v>
      </c>
      <c r="P262" s="187" t="s">
        <v>119</v>
      </c>
      <c r="Q262" s="187" t="s">
        <v>78</v>
      </c>
      <c r="R262" s="187">
        <v>3</v>
      </c>
      <c r="S262" s="187">
        <v>3</v>
      </c>
      <c r="T262" s="187">
        <v>3</v>
      </c>
      <c r="U262" s="187" t="s">
        <v>78</v>
      </c>
      <c r="V262" s="188">
        <f t="shared" si="151"/>
        <v>0.01</v>
      </c>
      <c r="W262" s="188">
        <f t="shared" si="152"/>
        <v>1660.0000000000002</v>
      </c>
      <c r="X262" s="189" t="s">
        <v>1298</v>
      </c>
      <c r="Y262" s="189"/>
      <c r="Z262" s="189" t="s">
        <v>1299</v>
      </c>
      <c r="AA262" s="190">
        <v>-0.09</v>
      </c>
      <c r="AB262" s="186"/>
      <c r="AC262" s="344"/>
      <c r="AD262" s="186"/>
      <c r="AE262" s="186"/>
      <c r="AF262" s="186"/>
      <c r="AG262" s="186"/>
      <c r="AH262" s="186"/>
      <c r="AI262" s="191">
        <f>-0.02*W262</f>
        <v>-33.200000000000003</v>
      </c>
      <c r="AJ262" s="191">
        <f t="shared" ref="AJ262:AJ263" si="153">AI262*R262</f>
        <v>-99.600000000000009</v>
      </c>
      <c r="AK262" s="186"/>
      <c r="AL262" s="186"/>
      <c r="AM262" s="186" t="s">
        <v>786</v>
      </c>
      <c r="AN262" s="344" t="s">
        <v>97</v>
      </c>
      <c r="AO262" s="186" t="s">
        <v>1300</v>
      </c>
      <c r="AP262" s="193">
        <v>-0.1</v>
      </c>
      <c r="AQ262" s="193">
        <f>IF(ISBLANK(AP262),,IF(U262="S",AA262-AP262,AP262-AA262))</f>
        <v>1.0000000000000009E-2</v>
      </c>
      <c r="AR262" s="191">
        <f>AS262*R262</f>
        <v>49.800000000000047</v>
      </c>
      <c r="AS262" s="194">
        <f>IF(ISBLANK(AP262),,(AQ262*W262))</f>
        <v>16.600000000000016</v>
      </c>
      <c r="AT262" s="195" t="s">
        <v>77</v>
      </c>
      <c r="AU262" s="425" t="s">
        <v>1301</v>
      </c>
      <c r="AV262" s="425" t="s">
        <v>1302</v>
      </c>
      <c r="AW262" s="425"/>
      <c r="AX262" s="425"/>
      <c r="AY262" s="425"/>
      <c r="AZ262" s="425"/>
      <c r="BA262" s="425"/>
      <c r="BB262" s="425"/>
      <c r="BC262" s="440"/>
      <c r="BD262" s="404">
        <f>SUM($AS$4:AS262)</f>
        <v>2286.7849999999967</v>
      </c>
      <c r="BE262" s="405">
        <f>SUM($AR$4:AR262)</f>
        <v>4191.6599999999862</v>
      </c>
      <c r="BF262" s="330"/>
      <c r="BG262" s="330"/>
    </row>
    <row r="263" spans="1:59" ht="18" customHeight="1">
      <c r="A263" s="181" t="s">
        <v>1130</v>
      </c>
      <c r="B263" s="181">
        <v>44967</v>
      </c>
      <c r="C263" s="182" t="s">
        <v>1303</v>
      </c>
      <c r="D263" s="182" t="s">
        <v>93</v>
      </c>
      <c r="E263" s="300"/>
      <c r="F263" s="184"/>
      <c r="G263" s="292" t="s">
        <v>739</v>
      </c>
      <c r="H263" s="186"/>
      <c r="I263" s="186"/>
      <c r="J263" s="186"/>
      <c r="K263" s="187"/>
      <c r="L263" s="186">
        <v>1</v>
      </c>
      <c r="M263" s="186">
        <v>1</v>
      </c>
      <c r="N263" s="186"/>
      <c r="O263" s="187" t="s">
        <v>76</v>
      </c>
      <c r="P263" s="187" t="s">
        <v>77</v>
      </c>
      <c r="Q263" s="187" t="s">
        <v>78</v>
      </c>
      <c r="R263" s="187">
        <v>2</v>
      </c>
      <c r="S263" s="187">
        <v>2</v>
      </c>
      <c r="T263" s="187">
        <v>1</v>
      </c>
      <c r="U263" s="187" t="s">
        <v>78</v>
      </c>
      <c r="V263" s="188">
        <f t="shared" si="151"/>
        <v>0.01</v>
      </c>
      <c r="W263" s="188">
        <f t="shared" si="152"/>
        <v>1660.0000000000002</v>
      </c>
      <c r="X263" s="189"/>
      <c r="Y263" s="189"/>
      <c r="Z263" s="189" t="s">
        <v>1290</v>
      </c>
      <c r="AA263" s="190">
        <v>0.1</v>
      </c>
      <c r="AB263" s="186"/>
      <c r="AC263" s="344">
        <v>15</v>
      </c>
      <c r="AD263" s="186" t="s">
        <v>1218</v>
      </c>
      <c r="AE263" s="186" t="s">
        <v>1304</v>
      </c>
      <c r="AF263" s="186"/>
      <c r="AG263" s="186" t="s">
        <v>1305</v>
      </c>
      <c r="AH263" s="186"/>
      <c r="AI263" s="191">
        <f>-0.05*W263</f>
        <v>-83.000000000000014</v>
      </c>
      <c r="AJ263" s="191">
        <f t="shared" si="153"/>
        <v>-166.00000000000003</v>
      </c>
      <c r="AK263" s="186" t="s">
        <v>1306</v>
      </c>
      <c r="AL263" s="186" t="s">
        <v>1221</v>
      </c>
      <c r="AM263" s="186" t="s">
        <v>786</v>
      </c>
      <c r="AN263" s="344" t="s">
        <v>97</v>
      </c>
      <c r="AO263" s="295" t="s">
        <v>1307</v>
      </c>
      <c r="AP263" s="193">
        <v>0.1</v>
      </c>
      <c r="AQ263" s="193">
        <f>IF(ISBLANK(AP263),,IF(U263="S",AA263-AP263,AP263-AA263))</f>
        <v>0</v>
      </c>
      <c r="AR263" s="191">
        <f>AS263*R263</f>
        <v>0</v>
      </c>
      <c r="AS263" s="194">
        <f>IF(ISBLANK(AP263),,(AQ263*W263))</f>
        <v>0</v>
      </c>
      <c r="AT263" s="195" t="s">
        <v>97</v>
      </c>
      <c r="AU263" s="425" t="s">
        <v>1308</v>
      </c>
      <c r="AV263" s="425"/>
      <c r="AW263" s="425" t="s">
        <v>1309</v>
      </c>
      <c r="AX263" s="425"/>
      <c r="AY263" s="425"/>
      <c r="AZ263" s="425"/>
      <c r="BA263" s="425"/>
      <c r="BB263" s="425"/>
      <c r="BC263" s="440"/>
      <c r="BD263" s="404">
        <f>SUM($AS$4:AS263)</f>
        <v>2286.7849999999967</v>
      </c>
      <c r="BE263" s="405">
        <f>SUM($AR$4:AR263)</f>
        <v>4191.6599999999862</v>
      </c>
      <c r="BF263" s="330"/>
      <c r="BG263" s="330"/>
    </row>
    <row r="264" spans="1:59" ht="18" customHeight="1">
      <c r="A264" s="181" t="s">
        <v>1130</v>
      </c>
      <c r="B264" s="181"/>
      <c r="C264" s="182"/>
      <c r="D264" s="182"/>
      <c r="E264" s="300"/>
      <c r="F264" s="184"/>
      <c r="G264" s="185"/>
      <c r="H264" s="186"/>
      <c r="I264" s="186"/>
      <c r="J264" s="186"/>
      <c r="K264" s="187"/>
      <c r="L264" s="186"/>
      <c r="M264" s="186"/>
      <c r="N264" s="186"/>
      <c r="O264" s="187"/>
      <c r="P264" s="187"/>
      <c r="Q264" s="187"/>
      <c r="R264" s="187"/>
      <c r="S264" s="187"/>
      <c r="T264" s="187"/>
      <c r="U264" s="187"/>
      <c r="V264" s="282"/>
      <c r="W264" s="282"/>
      <c r="X264" s="189"/>
      <c r="Y264" s="189"/>
      <c r="Z264" s="189"/>
      <c r="AA264" s="190"/>
      <c r="AB264" s="186"/>
      <c r="AC264" s="344"/>
      <c r="AD264" s="186"/>
      <c r="AE264" s="186"/>
      <c r="AF264" s="186"/>
      <c r="AG264" s="186"/>
      <c r="AH264" s="186"/>
      <c r="AI264" s="191"/>
      <c r="AJ264" s="191"/>
      <c r="AK264" s="186"/>
      <c r="AL264" s="186"/>
      <c r="AM264" s="186"/>
      <c r="AN264" s="344"/>
      <c r="AO264" s="186"/>
      <c r="AP264" s="193"/>
      <c r="AQ264" s="193"/>
      <c r="AR264" s="191"/>
      <c r="AS264" s="194"/>
      <c r="AT264" s="195"/>
      <c r="AU264" s="425" t="s">
        <v>1310</v>
      </c>
      <c r="AV264" s="425" t="s">
        <v>1311</v>
      </c>
      <c r="AW264" s="425" t="s">
        <v>1312</v>
      </c>
      <c r="AX264" s="425" t="s">
        <v>1313</v>
      </c>
      <c r="AY264" s="425" t="s">
        <v>1314</v>
      </c>
      <c r="AZ264" s="425" t="s">
        <v>1315</v>
      </c>
      <c r="BA264" s="425" t="s">
        <v>511</v>
      </c>
      <c r="BB264" s="425"/>
      <c r="BC264" s="440"/>
      <c r="BD264" s="404">
        <f>SUM($AS$4:AS264)</f>
        <v>2286.7849999999967</v>
      </c>
      <c r="BE264" s="405">
        <f>SUM($AR$4:AR264)</f>
        <v>4191.6599999999862</v>
      </c>
      <c r="BF264" s="330"/>
      <c r="BG264" s="330"/>
    </row>
    <row r="265" spans="1:59" ht="18" customHeight="1">
      <c r="A265" s="227" t="s">
        <v>1130</v>
      </c>
      <c r="B265" s="181">
        <v>44970</v>
      </c>
      <c r="C265" s="182" t="s">
        <v>1316</v>
      </c>
      <c r="D265" s="182" t="s">
        <v>114</v>
      </c>
      <c r="E265" s="300"/>
      <c r="F265" s="184"/>
      <c r="G265" s="304" t="s">
        <v>115</v>
      </c>
      <c r="H265" s="186"/>
      <c r="I265" s="186"/>
      <c r="J265" s="186"/>
      <c r="K265" s="187"/>
      <c r="L265" s="186">
        <v>1</v>
      </c>
      <c r="M265" s="186"/>
      <c r="N265" s="186"/>
      <c r="O265" s="187" t="s">
        <v>76</v>
      </c>
      <c r="P265" s="187" t="s">
        <v>77</v>
      </c>
      <c r="Q265" s="187" t="s">
        <v>78</v>
      </c>
      <c r="R265" s="187">
        <v>3</v>
      </c>
      <c r="S265" s="187">
        <v>3</v>
      </c>
      <c r="T265" s="187">
        <v>3</v>
      </c>
      <c r="U265" s="187" t="s">
        <v>78</v>
      </c>
      <c r="V265" s="188">
        <f t="shared" ref="V265" si="154">IF(ISBLANK(O265),"",(IF(O265=UPPER("IB"),0.005,0.01)))</f>
        <v>0.01</v>
      </c>
      <c r="W265" s="188">
        <f t="shared" ref="W265" si="155">IF(ISBLANK(O265),"",IF(O265=UPPER("IB"),8.63*200,16.6*100))</f>
        <v>1660.0000000000002</v>
      </c>
      <c r="X265" s="189"/>
      <c r="Y265" s="189"/>
      <c r="Z265" s="189" t="s">
        <v>1317</v>
      </c>
      <c r="AA265" s="190">
        <v>-0.03</v>
      </c>
      <c r="AB265" s="186"/>
      <c r="AC265" s="344"/>
      <c r="AD265" s="186"/>
      <c r="AE265" s="186"/>
      <c r="AF265" s="186"/>
      <c r="AG265" s="186"/>
      <c r="AH265" s="186"/>
      <c r="AI265" s="191">
        <f>-0.05*W265</f>
        <v>-83.000000000000014</v>
      </c>
      <c r="AJ265" s="191">
        <f t="shared" ref="AJ265" si="156">AI265*R265</f>
        <v>-249.00000000000006</v>
      </c>
      <c r="AK265" s="186"/>
      <c r="AL265" s="186"/>
      <c r="AM265" s="186" t="s">
        <v>571</v>
      </c>
      <c r="AN265" s="344" t="s">
        <v>97</v>
      </c>
      <c r="AO265" s="186" t="s">
        <v>1318</v>
      </c>
      <c r="AP265" s="193">
        <v>0.03</v>
      </c>
      <c r="AQ265" s="193">
        <f>IF(ISBLANK(AP265),,IF(U265="S",AA265-AP265,AP265-AA265))</f>
        <v>-0.06</v>
      </c>
      <c r="AR265" s="191">
        <f>AS265*R265</f>
        <v>-298.8</v>
      </c>
      <c r="AS265" s="194">
        <f>IF(ISBLANK(AP265),,(AQ265*W265))</f>
        <v>-99.600000000000009</v>
      </c>
      <c r="AT265" s="195" t="s">
        <v>211</v>
      </c>
      <c r="AU265" s="425" t="s">
        <v>1319</v>
      </c>
      <c r="AV265" s="425"/>
      <c r="AW265" s="425"/>
      <c r="AX265" s="425"/>
      <c r="AY265" s="425"/>
      <c r="AZ265" s="425" t="s">
        <v>511</v>
      </c>
      <c r="BA265" s="425"/>
      <c r="BB265" s="425"/>
      <c r="BC265" s="440"/>
      <c r="BD265" s="404">
        <f>SUM($AS$4:AS265)</f>
        <v>2187.1849999999968</v>
      </c>
      <c r="BE265" s="405">
        <f>SUM($AR$4:AR265)</f>
        <v>3892.859999999986</v>
      </c>
      <c r="BF265" s="330"/>
      <c r="BG265" s="330"/>
    </row>
    <row r="266" spans="1:59" ht="18" customHeight="1">
      <c r="A266" s="181" t="s">
        <v>1130</v>
      </c>
      <c r="B266" s="181">
        <v>44970</v>
      </c>
      <c r="C266" s="182" t="s">
        <v>830</v>
      </c>
      <c r="D266" s="182" t="s">
        <v>114</v>
      </c>
      <c r="E266" s="300"/>
      <c r="F266" s="184"/>
      <c r="G266" s="307" t="s">
        <v>115</v>
      </c>
      <c r="H266" s="186"/>
      <c r="I266" s="186"/>
      <c r="J266" s="186"/>
      <c r="K266" s="187"/>
      <c r="L266" s="186">
        <v>1</v>
      </c>
      <c r="M266" s="186"/>
      <c r="N266" s="186"/>
      <c r="O266" s="187" t="s">
        <v>76</v>
      </c>
      <c r="P266" s="187" t="s">
        <v>77</v>
      </c>
      <c r="Q266" s="187" t="s">
        <v>78</v>
      </c>
      <c r="R266" s="187">
        <v>4</v>
      </c>
      <c r="S266" s="187">
        <v>4</v>
      </c>
      <c r="T266" s="187">
        <v>3</v>
      </c>
      <c r="U266" s="187" t="s">
        <v>78</v>
      </c>
      <c r="V266" s="188">
        <f t="shared" ref="V266" si="157">IF(ISBLANK(O266),"",(IF(O266=UPPER("IB"),0.005,0.01)))</f>
        <v>0.01</v>
      </c>
      <c r="W266" s="188">
        <f t="shared" ref="W266" si="158">IF(ISBLANK(O266),"",IF(O266=UPPER("IB"),8.63*200,16.6*100))</f>
        <v>1660.0000000000002</v>
      </c>
      <c r="X266" s="189"/>
      <c r="Y266" s="189"/>
      <c r="Z266" s="189" t="s">
        <v>1317</v>
      </c>
      <c r="AA266" s="190">
        <v>-0.02</v>
      </c>
      <c r="AB266" s="186"/>
      <c r="AC266" s="344">
        <v>0</v>
      </c>
      <c r="AD266" s="186"/>
      <c r="AE266" s="186"/>
      <c r="AF266" s="186"/>
      <c r="AG266" s="186"/>
      <c r="AH266" s="186"/>
      <c r="AI266" s="191">
        <f>-0.04*W266</f>
        <v>-66.400000000000006</v>
      </c>
      <c r="AJ266" s="191">
        <f t="shared" ref="AJ266" si="159">AI266*R266</f>
        <v>-265.60000000000002</v>
      </c>
      <c r="AK266" s="186"/>
      <c r="AL266" s="186"/>
      <c r="AM266" s="186" t="s">
        <v>846</v>
      </c>
      <c r="AN266" s="344" t="s">
        <v>97</v>
      </c>
      <c r="AO266" s="186" t="s">
        <v>1320</v>
      </c>
      <c r="AP266" s="193">
        <v>0.01</v>
      </c>
      <c r="AQ266" s="193">
        <f>IF(ISBLANK(AP266),,IF(U266="S",AA266-AP266,AP266-AA266))</f>
        <v>-0.03</v>
      </c>
      <c r="AR266" s="191">
        <f>AS266*R266</f>
        <v>-199.20000000000002</v>
      </c>
      <c r="AS266" s="194">
        <f>IF(ISBLANK(AP266),,(AQ266*W266))</f>
        <v>-49.800000000000004</v>
      </c>
      <c r="AT266" s="195" t="s">
        <v>211</v>
      </c>
      <c r="AU266" s="425" t="s">
        <v>1321</v>
      </c>
      <c r="AV266" s="425"/>
      <c r="AW266" s="425"/>
      <c r="AX266" s="425"/>
      <c r="AY266" s="425"/>
      <c r="AZ266" s="425"/>
      <c r="BA266" s="425"/>
      <c r="BB266" s="425"/>
      <c r="BC266" s="440"/>
      <c r="BD266" s="404">
        <f>SUM($AS$4:AS266)</f>
        <v>2137.3849999999966</v>
      </c>
      <c r="BE266" s="405">
        <f>SUM($AR$4:AR266)</f>
        <v>3693.6599999999862</v>
      </c>
      <c r="BF266" s="330"/>
      <c r="BG266" s="330"/>
    </row>
    <row r="267" spans="1:59" ht="18" customHeight="1">
      <c r="A267" s="181" t="s">
        <v>1130</v>
      </c>
      <c r="B267" s="181">
        <v>44970</v>
      </c>
      <c r="C267" s="182" t="s">
        <v>1322</v>
      </c>
      <c r="D267" s="182" t="s">
        <v>114</v>
      </c>
      <c r="E267" s="300"/>
      <c r="F267" s="184"/>
      <c r="G267" s="297" t="s">
        <v>115</v>
      </c>
      <c r="H267" s="186"/>
      <c r="I267" s="186"/>
      <c r="J267" s="186"/>
      <c r="K267" s="187"/>
      <c r="L267" s="186">
        <v>1</v>
      </c>
      <c r="M267" s="186"/>
      <c r="N267" s="186"/>
      <c r="O267" s="187" t="s">
        <v>76</v>
      </c>
      <c r="P267" s="187" t="s">
        <v>77</v>
      </c>
      <c r="Q267" s="187" t="s">
        <v>78</v>
      </c>
      <c r="R267" s="187">
        <v>1</v>
      </c>
      <c r="S267" s="187">
        <v>1</v>
      </c>
      <c r="T267" s="187">
        <v>1</v>
      </c>
      <c r="U267" s="187" t="s">
        <v>78</v>
      </c>
      <c r="V267" s="188">
        <f t="shared" ref="V267" si="160">IF(ISBLANK(O267),"",(IF(O267=UPPER("IB"),0.005,0.01)))</f>
        <v>0.01</v>
      </c>
      <c r="W267" s="188">
        <f t="shared" ref="W267" si="161">IF(ISBLANK(O267),"",IF(O267=UPPER("IB"),8.63*200,16.6*100))</f>
        <v>1660.0000000000002</v>
      </c>
      <c r="X267" s="189"/>
      <c r="Y267" s="189"/>
      <c r="Z267" s="189" t="s">
        <v>1317</v>
      </c>
      <c r="AA267" s="190">
        <v>-0.01</v>
      </c>
      <c r="AB267" s="186"/>
      <c r="AC267" s="344"/>
      <c r="AD267" s="186"/>
      <c r="AE267" s="186"/>
      <c r="AF267" s="186"/>
      <c r="AG267" s="186"/>
      <c r="AH267" s="186"/>
      <c r="AI267" s="191">
        <f>-0.03*W267</f>
        <v>-49.800000000000004</v>
      </c>
      <c r="AJ267" s="191">
        <f t="shared" ref="AJ267" si="162">AI267*R267</f>
        <v>-49.800000000000004</v>
      </c>
      <c r="AK267" s="186"/>
      <c r="AL267" s="186"/>
      <c r="AM267" s="186"/>
      <c r="AN267" s="344" t="s">
        <v>97</v>
      </c>
      <c r="AO267" s="186" t="s">
        <v>1323</v>
      </c>
      <c r="AP267" s="193">
        <v>-0.06</v>
      </c>
      <c r="AQ267" s="193">
        <f>IF(ISBLANK(AP267),,IF(U267="S",AA267-AP267,AP267-AA267))</f>
        <v>4.9999999999999996E-2</v>
      </c>
      <c r="AR267" s="191">
        <f>AS267*R267</f>
        <v>83</v>
      </c>
      <c r="AS267" s="194">
        <f>IF(ISBLANK(AP267),,(AQ267*W267))</f>
        <v>83</v>
      </c>
      <c r="AT267" s="195" t="s">
        <v>77</v>
      </c>
      <c r="AU267" s="425" t="s">
        <v>1324</v>
      </c>
      <c r="AV267" s="425"/>
      <c r="AW267" s="425"/>
      <c r="AX267" s="425"/>
      <c r="AY267" s="425"/>
      <c r="AZ267" s="425"/>
      <c r="BA267" s="425"/>
      <c r="BB267" s="425"/>
      <c r="BC267" s="440"/>
      <c r="BD267" s="404">
        <f>SUM($AS$4:AS267)</f>
        <v>2220.3849999999966</v>
      </c>
      <c r="BE267" s="405">
        <f>SUM($AR$4:AR267)</f>
        <v>3776.6599999999862</v>
      </c>
      <c r="BF267" s="330"/>
      <c r="BG267" s="330"/>
    </row>
    <row r="268" spans="1:59" ht="18" customHeight="1">
      <c r="A268" s="227" t="s">
        <v>1130</v>
      </c>
      <c r="B268" s="181">
        <v>44971</v>
      </c>
      <c r="C268" s="182" t="s">
        <v>1325</v>
      </c>
      <c r="D268" s="182" t="s">
        <v>128</v>
      </c>
      <c r="E268" s="301" t="s">
        <v>1326</v>
      </c>
      <c r="F268" s="184" t="s">
        <v>1327</v>
      </c>
      <c r="G268" s="185"/>
      <c r="H268" s="186"/>
      <c r="I268" s="186">
        <v>1</v>
      </c>
      <c r="J268" s="186"/>
      <c r="K268" s="187"/>
      <c r="L268" s="186"/>
      <c r="M268" s="186"/>
      <c r="N268" s="186"/>
      <c r="O268" s="187"/>
      <c r="P268" s="187"/>
      <c r="Q268" s="187"/>
      <c r="R268" s="187"/>
      <c r="S268" s="187"/>
      <c r="T268" s="187"/>
      <c r="U268" s="187"/>
      <c r="V268" s="188" t="str">
        <f t="shared" ref="V268:V272" si="163">IF(ISBLANK(O268),"",(IF(O268=UPPER("IB"),0.005,0.01)))</f>
        <v/>
      </c>
      <c r="W268" s="188" t="str">
        <f t="shared" ref="W268:W272" si="164">IF(ISBLANK(O268),"",IF(O268=UPPER("IB"),8.63*200,16.6*100))</f>
        <v/>
      </c>
      <c r="X268" s="189"/>
      <c r="Y268" s="189"/>
      <c r="Z268" s="189"/>
      <c r="AA268" s="190"/>
      <c r="AB268" s="186"/>
      <c r="AC268" s="344"/>
      <c r="AD268" s="186"/>
      <c r="AE268" s="186"/>
      <c r="AF268" s="186"/>
      <c r="AG268" s="186"/>
      <c r="AH268" s="186"/>
      <c r="AI268" s="191"/>
      <c r="AJ268" s="191"/>
      <c r="AK268" s="186"/>
      <c r="AL268" s="186"/>
      <c r="AM268" s="186"/>
      <c r="AN268" s="344"/>
      <c r="AO268" s="186"/>
      <c r="AP268" s="193"/>
      <c r="AQ268" s="193"/>
      <c r="AR268" s="191"/>
      <c r="AS268" s="194"/>
      <c r="AT268" s="195"/>
      <c r="AU268" s="425" t="s">
        <v>1328</v>
      </c>
      <c r="AV268" s="425" t="s">
        <v>1329</v>
      </c>
      <c r="AW268" s="425" t="s">
        <v>1330</v>
      </c>
      <c r="AX268" s="425"/>
      <c r="AY268" s="425"/>
      <c r="AZ268" s="425"/>
      <c r="BA268" s="425"/>
      <c r="BB268" s="425"/>
      <c r="BC268" s="440"/>
      <c r="BD268" s="404">
        <f>SUM($AS$4:AS268)</f>
        <v>2220.3849999999966</v>
      </c>
      <c r="BE268" s="405">
        <f>SUM($AR$4:AR268)</f>
        <v>3776.6599999999862</v>
      </c>
      <c r="BF268" s="330"/>
      <c r="BG268" s="330"/>
    </row>
    <row r="269" spans="1:59" ht="18" customHeight="1">
      <c r="A269" s="181" t="s">
        <v>1130</v>
      </c>
      <c r="B269" s="181"/>
      <c r="C269" s="182"/>
      <c r="D269" s="182"/>
      <c r="E269" s="301" t="s">
        <v>1331</v>
      </c>
      <c r="F269" s="184" t="s">
        <v>1332</v>
      </c>
      <c r="G269" s="185"/>
      <c r="H269" s="186"/>
      <c r="I269" s="186">
        <v>1</v>
      </c>
      <c r="J269" s="186"/>
      <c r="K269" s="187"/>
      <c r="L269" s="186"/>
      <c r="M269" s="186"/>
      <c r="N269" s="186"/>
      <c r="O269" s="187"/>
      <c r="P269" s="187"/>
      <c r="Q269" s="187"/>
      <c r="R269" s="187"/>
      <c r="S269" s="187"/>
      <c r="T269" s="187"/>
      <c r="U269" s="187"/>
      <c r="V269" s="188" t="str">
        <f t="shared" si="163"/>
        <v/>
      </c>
      <c r="W269" s="188" t="str">
        <f t="shared" si="164"/>
        <v/>
      </c>
      <c r="X269" s="189"/>
      <c r="Y269" s="189"/>
      <c r="Z269" s="189"/>
      <c r="AA269" s="190"/>
      <c r="AB269" s="186"/>
      <c r="AC269" s="344"/>
      <c r="AD269" s="186"/>
      <c r="AE269" s="186"/>
      <c r="AF269" s="186"/>
      <c r="AG269" s="186"/>
      <c r="AH269" s="186"/>
      <c r="AI269" s="191"/>
      <c r="AJ269" s="191"/>
      <c r="AK269" s="186"/>
      <c r="AL269" s="186"/>
      <c r="AM269" s="186"/>
      <c r="AN269" s="344"/>
      <c r="AO269" s="186"/>
      <c r="AP269" s="193"/>
      <c r="AQ269" s="193"/>
      <c r="AR269" s="191"/>
      <c r="AS269" s="194"/>
      <c r="AT269" s="195"/>
      <c r="AU269" s="425"/>
      <c r="AV269" s="425"/>
      <c r="AW269" s="425"/>
      <c r="AX269" s="425"/>
      <c r="AY269" s="425"/>
      <c r="AZ269" s="425"/>
      <c r="BA269" s="425"/>
      <c r="BB269" s="425"/>
      <c r="BC269" s="440"/>
      <c r="BD269" s="404">
        <f>SUM($AS$4:AS269)</f>
        <v>2220.3849999999966</v>
      </c>
      <c r="BE269" s="405">
        <f>SUM($AR$4:AR269)</f>
        <v>3776.6599999999862</v>
      </c>
      <c r="BF269" s="330"/>
      <c r="BG269" s="330"/>
    </row>
    <row r="270" spans="1:59" ht="18" customHeight="1">
      <c r="A270" s="181" t="s">
        <v>1130</v>
      </c>
      <c r="B270" s="181"/>
      <c r="C270" s="182"/>
      <c r="D270" s="182"/>
      <c r="E270" s="302" t="s">
        <v>1333</v>
      </c>
      <c r="F270" s="184" t="s">
        <v>1334</v>
      </c>
      <c r="G270" s="185"/>
      <c r="H270" s="186">
        <v>1</v>
      </c>
      <c r="I270" s="186"/>
      <c r="J270" s="186"/>
      <c r="K270" s="187" t="s">
        <v>87</v>
      </c>
      <c r="L270" s="186"/>
      <c r="M270" s="186"/>
      <c r="N270" s="186"/>
      <c r="O270" s="187"/>
      <c r="P270" s="187"/>
      <c r="Q270" s="187"/>
      <c r="R270" s="187"/>
      <c r="S270" s="187"/>
      <c r="T270" s="187"/>
      <c r="U270" s="187"/>
      <c r="V270" s="188" t="str">
        <f t="shared" si="163"/>
        <v/>
      </c>
      <c r="W270" s="188" t="str">
        <f t="shared" si="164"/>
        <v/>
      </c>
      <c r="X270" s="189"/>
      <c r="Y270" s="189"/>
      <c r="Z270" s="189"/>
      <c r="AA270" s="190"/>
      <c r="AB270" s="186"/>
      <c r="AC270" s="344"/>
      <c r="AD270" s="186"/>
      <c r="AE270" s="186"/>
      <c r="AF270" s="186"/>
      <c r="AG270" s="186"/>
      <c r="AH270" s="186"/>
      <c r="AI270" s="191"/>
      <c r="AJ270" s="191"/>
      <c r="AK270" s="186"/>
      <c r="AL270" s="186"/>
      <c r="AM270" s="186"/>
      <c r="AN270" s="344"/>
      <c r="AO270" s="186"/>
      <c r="AP270" s="193"/>
      <c r="AQ270" s="193"/>
      <c r="AR270" s="191"/>
      <c r="AS270" s="194"/>
      <c r="AT270" s="195"/>
      <c r="AU270" s="425"/>
      <c r="AV270" s="425"/>
      <c r="AW270" s="425"/>
      <c r="AX270" s="425"/>
      <c r="AY270" s="425"/>
      <c r="AZ270" s="425"/>
      <c r="BA270" s="425"/>
      <c r="BB270" s="425"/>
      <c r="BC270" s="440"/>
      <c r="BD270" s="404">
        <f>SUM($AS$4:AS270)</f>
        <v>2220.3849999999966</v>
      </c>
      <c r="BE270" s="405">
        <f>SUM($AR$4:AR270)</f>
        <v>3776.6599999999862</v>
      </c>
      <c r="BF270" s="330"/>
      <c r="BG270" s="330"/>
    </row>
    <row r="271" spans="1:59" ht="18" customHeight="1">
      <c r="A271" s="227" t="s">
        <v>1130</v>
      </c>
      <c r="B271" s="181"/>
      <c r="C271" s="182"/>
      <c r="D271" s="182"/>
      <c r="E271" s="302" t="s">
        <v>1335</v>
      </c>
      <c r="F271" s="184" t="s">
        <v>1328</v>
      </c>
      <c r="G271" s="185"/>
      <c r="H271" s="186">
        <v>1</v>
      </c>
      <c r="I271" s="186"/>
      <c r="J271" s="186"/>
      <c r="K271" s="187" t="s">
        <v>87</v>
      </c>
      <c r="L271" s="186"/>
      <c r="M271" s="186"/>
      <c r="N271" s="186"/>
      <c r="O271" s="187"/>
      <c r="P271" s="187"/>
      <c r="Q271" s="187"/>
      <c r="R271" s="187"/>
      <c r="S271" s="187"/>
      <c r="T271" s="187"/>
      <c r="U271" s="187"/>
      <c r="V271" s="188" t="str">
        <f t="shared" si="163"/>
        <v/>
      </c>
      <c r="W271" s="188" t="str">
        <f t="shared" si="164"/>
        <v/>
      </c>
      <c r="X271" s="189"/>
      <c r="Y271" s="189"/>
      <c r="Z271" s="189"/>
      <c r="AA271" s="190"/>
      <c r="AB271" s="186"/>
      <c r="AC271" s="344"/>
      <c r="AD271" s="186"/>
      <c r="AE271" s="186"/>
      <c r="AF271" s="186"/>
      <c r="AG271" s="186"/>
      <c r="AH271" s="186"/>
      <c r="AI271" s="191"/>
      <c r="AJ271" s="191"/>
      <c r="AK271" s="186"/>
      <c r="AL271" s="186"/>
      <c r="AM271" s="186"/>
      <c r="AN271" s="344"/>
      <c r="AO271" s="186"/>
      <c r="AP271" s="193"/>
      <c r="AQ271" s="193"/>
      <c r="AR271" s="191"/>
      <c r="AS271" s="194"/>
      <c r="AT271" s="195"/>
      <c r="AU271" s="425"/>
      <c r="AV271" s="425"/>
      <c r="AW271" s="425"/>
      <c r="AX271" s="425"/>
      <c r="AY271" s="425"/>
      <c r="AZ271" s="425"/>
      <c r="BA271" s="425"/>
      <c r="BB271" s="425"/>
      <c r="BC271" s="440"/>
      <c r="BD271" s="404">
        <f>SUM($AS$4:AS271)</f>
        <v>2220.3849999999966</v>
      </c>
      <c r="BE271" s="405">
        <f>SUM($AR$4:AR271)</f>
        <v>3776.6599999999862</v>
      </c>
      <c r="BF271" s="330"/>
      <c r="BG271" s="330"/>
    </row>
    <row r="272" spans="1:59" ht="18" customHeight="1">
      <c r="A272" s="181" t="s">
        <v>1130</v>
      </c>
      <c r="B272" s="181" t="s">
        <v>1336</v>
      </c>
      <c r="C272" s="182" t="s">
        <v>1337</v>
      </c>
      <c r="D272" s="182" t="s">
        <v>128</v>
      </c>
      <c r="E272" s="299" t="s">
        <v>511</v>
      </c>
      <c r="F272" s="184"/>
      <c r="G272" s="303" t="s">
        <v>535</v>
      </c>
      <c r="H272" s="186"/>
      <c r="I272" s="186"/>
      <c r="J272" s="186"/>
      <c r="K272" s="187"/>
      <c r="L272" s="186">
        <v>1</v>
      </c>
      <c r="M272" s="186"/>
      <c r="N272" s="186"/>
      <c r="O272" s="187" t="s">
        <v>76</v>
      </c>
      <c r="P272" s="187" t="s">
        <v>119</v>
      </c>
      <c r="Q272" s="187" t="s">
        <v>78</v>
      </c>
      <c r="R272" s="187">
        <v>3</v>
      </c>
      <c r="S272" s="187">
        <v>3</v>
      </c>
      <c r="T272" s="187">
        <v>2</v>
      </c>
      <c r="U272" s="187" t="s">
        <v>78</v>
      </c>
      <c r="V272" s="188">
        <f t="shared" si="163"/>
        <v>0.01</v>
      </c>
      <c r="W272" s="188">
        <f t="shared" si="164"/>
        <v>1660.0000000000002</v>
      </c>
      <c r="X272" s="189"/>
      <c r="Y272" s="189" t="s">
        <v>1338</v>
      </c>
      <c r="Z272" s="189" t="s">
        <v>1339</v>
      </c>
      <c r="AA272" s="190">
        <v>-0.1</v>
      </c>
      <c r="AB272" s="186"/>
      <c r="AC272" s="344"/>
      <c r="AD272" s="186"/>
      <c r="AE272" s="186" t="s">
        <v>1340</v>
      </c>
      <c r="AF272" s="186"/>
      <c r="AG272" s="186" t="s">
        <v>1341</v>
      </c>
      <c r="AH272" s="186"/>
      <c r="AI272" s="191">
        <f t="shared" ref="AI272:AI277" si="165">-0.03*W272</f>
        <v>-49.800000000000004</v>
      </c>
      <c r="AJ272" s="191">
        <f t="shared" ref="AJ272" si="166">AI272*R272</f>
        <v>-149.4</v>
      </c>
      <c r="AK272" s="186"/>
      <c r="AL272" s="186"/>
      <c r="AM272" s="186" t="s">
        <v>571</v>
      </c>
      <c r="AN272" s="344" t="s">
        <v>97</v>
      </c>
      <c r="AO272" s="295">
        <v>44973</v>
      </c>
      <c r="AP272" s="193">
        <v>-0.11</v>
      </c>
      <c r="AQ272" s="193">
        <f t="shared" ref="AQ272:AQ277" si="167">IF(ISBLANK(AP272),,IF(U272="S",AA272-AP272,AP272-AA272))</f>
        <v>9.999999999999995E-3</v>
      </c>
      <c r="AR272" s="191">
        <f t="shared" ref="AR272:AR277" si="168">AS272*R272</f>
        <v>49.799999999999983</v>
      </c>
      <c r="AS272" s="194">
        <f t="shared" ref="AS272:AS277" si="169">IF(ISBLANK(AP272),,(AQ272*W272))</f>
        <v>16.599999999999994</v>
      </c>
      <c r="AT272" s="195" t="s">
        <v>77</v>
      </c>
      <c r="AU272" s="425" t="s">
        <v>1342</v>
      </c>
      <c r="AV272" s="425" t="s">
        <v>1343</v>
      </c>
      <c r="AW272" s="425"/>
      <c r="AX272" s="425"/>
      <c r="AY272" s="425"/>
      <c r="AZ272" s="425"/>
      <c r="BA272" s="425"/>
      <c r="BB272" s="425"/>
      <c r="BC272" s="440"/>
      <c r="BD272" s="404">
        <f>SUM($AS$4:AS272)</f>
        <v>2236.9849999999965</v>
      </c>
      <c r="BE272" s="405">
        <f>SUM($AR$4:AR272)</f>
        <v>3826.4599999999864</v>
      </c>
      <c r="BF272" s="330"/>
      <c r="BG272" s="330"/>
    </row>
    <row r="273" spans="1:59" ht="18" customHeight="1">
      <c r="A273" s="181" t="s">
        <v>1130</v>
      </c>
      <c r="B273" s="181">
        <v>44971</v>
      </c>
      <c r="C273" s="182" t="s">
        <v>1344</v>
      </c>
      <c r="D273" s="182" t="s">
        <v>128</v>
      </c>
      <c r="E273" s="299"/>
      <c r="F273" s="184"/>
      <c r="G273" s="298" t="s">
        <v>739</v>
      </c>
      <c r="H273" s="186"/>
      <c r="I273" s="186"/>
      <c r="J273" s="186"/>
      <c r="K273" s="187"/>
      <c r="L273" s="186">
        <v>1</v>
      </c>
      <c r="M273" s="186">
        <v>1</v>
      </c>
      <c r="N273" s="186"/>
      <c r="O273" s="187" t="s">
        <v>76</v>
      </c>
      <c r="P273" s="187" t="s">
        <v>77</v>
      </c>
      <c r="Q273" s="187" t="s">
        <v>78</v>
      </c>
      <c r="R273" s="187">
        <v>1</v>
      </c>
      <c r="S273" s="187">
        <v>1</v>
      </c>
      <c r="T273" s="187">
        <v>1</v>
      </c>
      <c r="U273" s="187" t="s">
        <v>78</v>
      </c>
      <c r="V273" s="188">
        <f t="shared" ref="V273:V274" si="170">IF(ISBLANK(O273),"",(IF(O273=UPPER("IB"),0.005,0.01)))</f>
        <v>0.01</v>
      </c>
      <c r="W273" s="188">
        <f t="shared" ref="W273:W274" si="171">IF(ISBLANK(O273),"",IF(O273=UPPER("IB"),8.63*200,16.6*100))</f>
        <v>1660.0000000000002</v>
      </c>
      <c r="X273" s="189" t="s">
        <v>1345</v>
      </c>
      <c r="Y273" s="189" t="s">
        <v>1346</v>
      </c>
      <c r="Z273" s="189" t="s">
        <v>1347</v>
      </c>
      <c r="AA273" s="190">
        <v>0.15</v>
      </c>
      <c r="AB273" s="186"/>
      <c r="AC273" s="344">
        <v>18</v>
      </c>
      <c r="AD273" s="186" t="s">
        <v>1348</v>
      </c>
      <c r="AE273" s="186" t="s">
        <v>1349</v>
      </c>
      <c r="AF273" s="186"/>
      <c r="AG273" s="186"/>
      <c r="AH273" s="186"/>
      <c r="AI273" s="191">
        <f t="shared" si="165"/>
        <v>-49.800000000000004</v>
      </c>
      <c r="AJ273" s="191">
        <f t="shared" ref="AJ273:AJ274" si="172">AI273*R273</f>
        <v>-49.800000000000004</v>
      </c>
      <c r="AK273" s="186"/>
      <c r="AL273" s="186"/>
      <c r="AM273" s="186"/>
      <c r="AN273" s="344" t="s">
        <v>376</v>
      </c>
      <c r="AO273" s="308">
        <v>44971</v>
      </c>
      <c r="AP273" s="193">
        <v>0.15</v>
      </c>
      <c r="AQ273" s="193">
        <f t="shared" si="167"/>
        <v>0</v>
      </c>
      <c r="AR273" s="191">
        <f t="shared" si="168"/>
        <v>0</v>
      </c>
      <c r="AS273" s="194">
        <f t="shared" si="169"/>
        <v>0</v>
      </c>
      <c r="AT273" s="195" t="s">
        <v>97</v>
      </c>
      <c r="AU273" s="425" t="s">
        <v>1350</v>
      </c>
      <c r="AV273" s="425"/>
      <c r="AW273" s="425"/>
      <c r="AX273" s="425"/>
      <c r="AY273" s="425"/>
      <c r="AZ273" s="425"/>
      <c r="BA273" s="425"/>
      <c r="BB273" s="425"/>
      <c r="BC273" s="440"/>
      <c r="BD273" s="404">
        <f>SUM($AS$4:AS273)</f>
        <v>2236.9849999999965</v>
      </c>
      <c r="BE273" s="405">
        <f>SUM($AR$4:AR273)</f>
        <v>3826.4599999999864</v>
      </c>
      <c r="BF273" s="330"/>
      <c r="BG273" s="330"/>
    </row>
    <row r="274" spans="1:59" ht="18" customHeight="1">
      <c r="A274" s="227" t="s">
        <v>1130</v>
      </c>
      <c r="B274" s="181">
        <v>44972</v>
      </c>
      <c r="C274" s="182" t="s">
        <v>1351</v>
      </c>
      <c r="D274" s="182" t="s">
        <v>133</v>
      </c>
      <c r="E274" s="300"/>
      <c r="F274" s="184"/>
      <c r="G274" s="297" t="s">
        <v>115</v>
      </c>
      <c r="H274" s="186"/>
      <c r="I274" s="186"/>
      <c r="J274" s="186"/>
      <c r="K274" s="187"/>
      <c r="L274" s="186">
        <v>1</v>
      </c>
      <c r="M274" s="186"/>
      <c r="N274" s="186"/>
      <c r="O274" s="187" t="s">
        <v>76</v>
      </c>
      <c r="P274" s="187" t="s">
        <v>77</v>
      </c>
      <c r="Q274" s="187" t="s">
        <v>78</v>
      </c>
      <c r="R274" s="187">
        <v>2</v>
      </c>
      <c r="S274" s="187">
        <v>2</v>
      </c>
      <c r="T274" s="187">
        <v>2</v>
      </c>
      <c r="U274" s="187" t="s">
        <v>78</v>
      </c>
      <c r="V274" s="188">
        <f t="shared" si="170"/>
        <v>0.01</v>
      </c>
      <c r="W274" s="188">
        <f t="shared" si="171"/>
        <v>1660.0000000000002</v>
      </c>
      <c r="X274" s="189"/>
      <c r="Y274" s="189"/>
      <c r="Z274" s="189" t="s">
        <v>1317</v>
      </c>
      <c r="AA274" s="190">
        <v>0</v>
      </c>
      <c r="AB274" s="186"/>
      <c r="AC274" s="344">
        <v>3</v>
      </c>
      <c r="AD274" s="186"/>
      <c r="AE274" s="186">
        <v>-2</v>
      </c>
      <c r="AF274" s="186" t="s">
        <v>1352</v>
      </c>
      <c r="AG274" s="186"/>
      <c r="AH274" s="186"/>
      <c r="AI274" s="191">
        <f t="shared" si="165"/>
        <v>-49.800000000000004</v>
      </c>
      <c r="AJ274" s="191">
        <f t="shared" si="172"/>
        <v>-99.600000000000009</v>
      </c>
      <c r="AK274" s="186"/>
      <c r="AL274" s="186"/>
      <c r="AM274" s="186" t="s">
        <v>752</v>
      </c>
      <c r="AN274" s="344" t="s">
        <v>97</v>
      </c>
      <c r="AO274" s="295">
        <v>44973</v>
      </c>
      <c r="AP274" s="193">
        <v>0</v>
      </c>
      <c r="AQ274" s="193">
        <f t="shared" si="167"/>
        <v>0</v>
      </c>
      <c r="AR274" s="191">
        <f t="shared" si="168"/>
        <v>0</v>
      </c>
      <c r="AS274" s="194">
        <f t="shared" si="169"/>
        <v>0</v>
      </c>
      <c r="AT274" s="195" t="s">
        <v>97</v>
      </c>
      <c r="AU274" s="425"/>
      <c r="AV274" s="425"/>
      <c r="AW274" s="425"/>
      <c r="AX274" s="425"/>
      <c r="AY274" s="425"/>
      <c r="AZ274" s="425"/>
      <c r="BA274" s="425"/>
      <c r="BB274" s="425"/>
      <c r="BC274" s="440"/>
      <c r="BD274" s="404">
        <f>SUM($AS$4:AS274)</f>
        <v>2236.9849999999965</v>
      </c>
      <c r="BE274" s="405">
        <f>SUM($AR$4:AR274)</f>
        <v>3826.4599999999864</v>
      </c>
      <c r="BF274" s="330"/>
      <c r="BG274" s="330"/>
    </row>
    <row r="275" spans="1:59" ht="18" customHeight="1">
      <c r="A275" s="181" t="s">
        <v>1130</v>
      </c>
      <c r="B275" s="181">
        <v>44972</v>
      </c>
      <c r="C275" s="182" t="s">
        <v>1353</v>
      </c>
      <c r="D275" s="182" t="s">
        <v>133</v>
      </c>
      <c r="E275" s="300"/>
      <c r="F275" s="184"/>
      <c r="G275" s="298" t="s">
        <v>262</v>
      </c>
      <c r="H275" s="186"/>
      <c r="I275" s="186"/>
      <c r="J275" s="186"/>
      <c r="K275" s="187"/>
      <c r="L275" s="186">
        <v>1</v>
      </c>
      <c r="M275" s="186"/>
      <c r="N275" s="186"/>
      <c r="O275" s="187" t="s">
        <v>76</v>
      </c>
      <c r="P275" s="187" t="s">
        <v>119</v>
      </c>
      <c r="Q275" s="187" t="s">
        <v>78</v>
      </c>
      <c r="R275" s="187">
        <v>3</v>
      </c>
      <c r="S275" s="187">
        <v>3</v>
      </c>
      <c r="T275" s="187">
        <v>2</v>
      </c>
      <c r="U275" s="187" t="s">
        <v>78</v>
      </c>
      <c r="V275" s="188">
        <f t="shared" ref="V275:V276" si="173">IF(ISBLANK(O275),"",(IF(O275=UPPER("IB"),0.005,0.01)))</f>
        <v>0.01</v>
      </c>
      <c r="W275" s="188">
        <f t="shared" ref="W275:W276" si="174">IF(ISBLANK(O275),"",IF(O275=UPPER("IB"),8.63*200,16.6*100))</f>
        <v>1660.0000000000002</v>
      </c>
      <c r="X275" s="189"/>
      <c r="Y275" s="189"/>
      <c r="Z275" s="189" t="s">
        <v>1339</v>
      </c>
      <c r="AA275" s="190">
        <v>-0.14000000000000001</v>
      </c>
      <c r="AB275" s="186"/>
      <c r="AC275" s="344"/>
      <c r="AD275" s="186"/>
      <c r="AE275" s="186"/>
      <c r="AF275" s="186"/>
      <c r="AG275" s="186"/>
      <c r="AH275" s="186"/>
      <c r="AI275" s="191">
        <f t="shared" si="165"/>
        <v>-49.800000000000004</v>
      </c>
      <c r="AJ275" s="191">
        <f t="shared" ref="AJ275:AJ276" si="175">AI275*R275</f>
        <v>-149.4</v>
      </c>
      <c r="AK275" s="186"/>
      <c r="AL275" s="186"/>
      <c r="AM275" s="186" t="s">
        <v>786</v>
      </c>
      <c r="AN275" s="344" t="s">
        <v>97</v>
      </c>
      <c r="AO275" s="295" t="s">
        <v>1354</v>
      </c>
      <c r="AP275" s="193">
        <v>-0.14000000000000001</v>
      </c>
      <c r="AQ275" s="193">
        <f t="shared" si="167"/>
        <v>0</v>
      </c>
      <c r="AR275" s="191">
        <f t="shared" si="168"/>
        <v>0</v>
      </c>
      <c r="AS275" s="194">
        <f t="shared" si="169"/>
        <v>0</v>
      </c>
      <c r="AT275" s="195" t="s">
        <v>97</v>
      </c>
      <c r="AU275" s="425" t="s">
        <v>1355</v>
      </c>
      <c r="AV275" s="425"/>
      <c r="AW275" s="425"/>
      <c r="AX275" s="425"/>
      <c r="AY275" s="425"/>
      <c r="AZ275" s="425"/>
      <c r="BA275" s="425"/>
      <c r="BB275" s="425"/>
      <c r="BC275" s="440"/>
      <c r="BD275" s="404">
        <f>SUM($AS$4:AS275)</f>
        <v>2236.9849999999965</v>
      </c>
      <c r="BE275" s="405">
        <f>SUM($AR$4:AR275)</f>
        <v>3826.4599999999864</v>
      </c>
      <c r="BF275" s="330"/>
      <c r="BG275" s="330"/>
    </row>
    <row r="276" spans="1:59" ht="18" customHeight="1">
      <c r="A276" s="181" t="s">
        <v>1130</v>
      </c>
      <c r="B276" s="181">
        <v>44972</v>
      </c>
      <c r="C276" s="182" t="s">
        <v>1351</v>
      </c>
      <c r="D276" s="182" t="s">
        <v>133</v>
      </c>
      <c r="E276" s="300"/>
      <c r="F276" s="184"/>
      <c r="G276" s="291" t="s">
        <v>115</v>
      </c>
      <c r="H276" s="186"/>
      <c r="I276" s="186"/>
      <c r="J276" s="186"/>
      <c r="K276" s="187"/>
      <c r="L276" s="186">
        <v>1</v>
      </c>
      <c r="M276" s="186"/>
      <c r="N276" s="186"/>
      <c r="O276" s="187" t="s">
        <v>76</v>
      </c>
      <c r="P276" s="187" t="s">
        <v>77</v>
      </c>
      <c r="Q276" s="187" t="s">
        <v>78</v>
      </c>
      <c r="R276" s="187">
        <v>3</v>
      </c>
      <c r="S276" s="187">
        <v>3</v>
      </c>
      <c r="T276" s="187">
        <v>2</v>
      </c>
      <c r="U276" s="187" t="s">
        <v>78</v>
      </c>
      <c r="V276" s="188">
        <f t="shared" si="173"/>
        <v>0.01</v>
      </c>
      <c r="W276" s="188">
        <f t="shared" si="174"/>
        <v>1660.0000000000002</v>
      </c>
      <c r="X276" s="189" t="s">
        <v>1356</v>
      </c>
      <c r="Y276" s="189"/>
      <c r="Z276" s="189" t="s">
        <v>1317</v>
      </c>
      <c r="AA276" s="190">
        <v>0.01</v>
      </c>
      <c r="AB276" s="186"/>
      <c r="AC276" s="344">
        <v>4</v>
      </c>
      <c r="AD276" s="186"/>
      <c r="AE276" s="186">
        <v>-3</v>
      </c>
      <c r="AF276" s="186" t="s">
        <v>1357</v>
      </c>
      <c r="AG276" s="186"/>
      <c r="AH276" s="186"/>
      <c r="AI276" s="191">
        <f t="shared" si="165"/>
        <v>-49.800000000000004</v>
      </c>
      <c r="AJ276" s="191">
        <f t="shared" si="175"/>
        <v>-149.4</v>
      </c>
      <c r="AK276" s="186"/>
      <c r="AL276" s="186"/>
      <c r="AM276" s="186" t="s">
        <v>752</v>
      </c>
      <c r="AN276" s="344" t="s">
        <v>97</v>
      </c>
      <c r="AO276" s="295">
        <v>44973</v>
      </c>
      <c r="AP276" s="193">
        <v>0</v>
      </c>
      <c r="AQ276" s="193">
        <f t="shared" si="167"/>
        <v>0.01</v>
      </c>
      <c r="AR276" s="191">
        <f t="shared" si="168"/>
        <v>49.800000000000004</v>
      </c>
      <c r="AS276" s="194">
        <f t="shared" si="169"/>
        <v>16.600000000000001</v>
      </c>
      <c r="AT276" s="195" t="s">
        <v>77</v>
      </c>
      <c r="AU276" s="425"/>
      <c r="AV276" s="425"/>
      <c r="AW276" s="425"/>
      <c r="AX276" s="425"/>
      <c r="AY276" s="425"/>
      <c r="AZ276" s="425"/>
      <c r="BA276" s="425"/>
      <c r="BB276" s="425"/>
      <c r="BC276" s="440"/>
      <c r="BD276" s="404">
        <f>SUM($AS$4:AS276)</f>
        <v>2253.5849999999964</v>
      </c>
      <c r="BE276" s="405">
        <f>SUM($AR$4:AR276)</f>
        <v>3876.2599999999866</v>
      </c>
      <c r="BF276" s="330"/>
      <c r="BG276" s="330"/>
    </row>
    <row r="277" spans="1:59" ht="18" customHeight="1">
      <c r="A277" s="227" t="s">
        <v>1130</v>
      </c>
      <c r="B277" s="181">
        <v>44972</v>
      </c>
      <c r="C277" s="182" t="s">
        <v>1358</v>
      </c>
      <c r="D277" s="182" t="s">
        <v>133</v>
      </c>
      <c r="E277" s="233"/>
      <c r="F277" s="184"/>
      <c r="G277" s="305" t="s">
        <v>115</v>
      </c>
      <c r="H277" s="186"/>
      <c r="I277" s="186"/>
      <c r="J277" s="186"/>
      <c r="K277" s="187"/>
      <c r="L277" s="186">
        <v>1</v>
      </c>
      <c r="M277" s="186"/>
      <c r="N277" s="186"/>
      <c r="O277" s="187" t="s">
        <v>76</v>
      </c>
      <c r="P277" s="187" t="s">
        <v>77</v>
      </c>
      <c r="Q277" s="187" t="s">
        <v>78</v>
      </c>
      <c r="R277" s="187">
        <v>3</v>
      </c>
      <c r="S277" s="187">
        <v>3</v>
      </c>
      <c r="T277" s="187">
        <v>3</v>
      </c>
      <c r="U277" s="187" t="s">
        <v>78</v>
      </c>
      <c r="V277" s="188">
        <f t="shared" ref="V277" si="176">IF(ISBLANK(O277),"",(IF(O277=UPPER("IB"),0.005,0.01)))</f>
        <v>0.01</v>
      </c>
      <c r="W277" s="188">
        <f t="shared" ref="W277" si="177">IF(ISBLANK(O277),"",IF(O277=UPPER("IB"),8.63*200,16.6*100))</f>
        <v>1660.0000000000002</v>
      </c>
      <c r="X277" s="189" t="s">
        <v>1356</v>
      </c>
      <c r="Y277" s="189"/>
      <c r="Z277" s="189" t="s">
        <v>1317</v>
      </c>
      <c r="AA277" s="190">
        <v>0.02</v>
      </c>
      <c r="AB277" s="186"/>
      <c r="AC277" s="344">
        <v>5</v>
      </c>
      <c r="AD277" s="186"/>
      <c r="AE277" s="186">
        <v>-3</v>
      </c>
      <c r="AF277" s="186" t="s">
        <v>1357</v>
      </c>
      <c r="AG277" s="186"/>
      <c r="AH277" s="186"/>
      <c r="AI277" s="191">
        <f t="shared" si="165"/>
        <v>-49.800000000000004</v>
      </c>
      <c r="AJ277" s="191">
        <f t="shared" ref="AJ277" si="178">AI277*R277</f>
        <v>-149.4</v>
      </c>
      <c r="AK277" s="186"/>
      <c r="AL277" s="186"/>
      <c r="AM277" s="186" t="s">
        <v>752</v>
      </c>
      <c r="AN277" s="344" t="s">
        <v>97</v>
      </c>
      <c r="AO277" s="295">
        <v>44973</v>
      </c>
      <c r="AP277" s="193">
        <v>0</v>
      </c>
      <c r="AQ277" s="193">
        <f t="shared" si="167"/>
        <v>0.02</v>
      </c>
      <c r="AR277" s="191">
        <f t="shared" si="168"/>
        <v>99.600000000000009</v>
      </c>
      <c r="AS277" s="194">
        <f t="shared" si="169"/>
        <v>33.200000000000003</v>
      </c>
      <c r="AT277" s="195" t="s">
        <v>77</v>
      </c>
      <c r="AU277" s="425" t="s">
        <v>1359</v>
      </c>
      <c r="AV277" s="425"/>
      <c r="AW277" s="425"/>
      <c r="AX277" s="425"/>
      <c r="AY277" s="425"/>
      <c r="AZ277" s="425"/>
      <c r="BA277" s="425"/>
      <c r="BB277" s="425"/>
      <c r="BC277" s="440"/>
      <c r="BD277" s="404">
        <f>SUM($AS$4:AS277)</f>
        <v>2286.7849999999962</v>
      </c>
      <c r="BE277" s="405">
        <f>SUM($AR$4:AR277)</f>
        <v>3975.8599999999865</v>
      </c>
      <c r="BF277" s="330"/>
      <c r="BG277" s="330"/>
    </row>
    <row r="278" spans="1:59" ht="18" customHeight="1">
      <c r="A278" s="181" t="s">
        <v>1130</v>
      </c>
      <c r="B278" s="181">
        <v>44972</v>
      </c>
      <c r="C278" s="182" t="s">
        <v>1325</v>
      </c>
      <c r="D278" s="182" t="s">
        <v>133</v>
      </c>
      <c r="E278" s="301" t="s">
        <v>1360</v>
      </c>
      <c r="F278" s="184" t="s">
        <v>1361</v>
      </c>
      <c r="G278" s="185"/>
      <c r="H278" s="186">
        <v>1</v>
      </c>
      <c r="I278" s="186"/>
      <c r="J278" s="186"/>
      <c r="K278" s="187" t="s">
        <v>87</v>
      </c>
      <c r="L278" s="186"/>
      <c r="M278" s="186"/>
      <c r="N278" s="186"/>
      <c r="O278" s="187"/>
      <c r="P278" s="187"/>
      <c r="Q278" s="187"/>
      <c r="R278" s="187"/>
      <c r="S278" s="187"/>
      <c r="T278" s="187"/>
      <c r="U278" s="187"/>
      <c r="V278" s="188" t="str">
        <f t="shared" ref="V278:V284" si="179">IF(ISBLANK(O278),"",(IF(O278=UPPER("IB"),0.005,0.01)))</f>
        <v/>
      </c>
      <c r="W278" s="188" t="str">
        <f t="shared" ref="W278:W284" si="180">IF(ISBLANK(O278),"",IF(O278=UPPER("IB"),8.63*200,16.6*100))</f>
        <v/>
      </c>
      <c r="X278" s="189"/>
      <c r="Y278" s="189"/>
      <c r="Z278" s="189"/>
      <c r="AA278" s="190"/>
      <c r="AB278" s="186"/>
      <c r="AC278" s="344"/>
      <c r="AD278" s="186"/>
      <c r="AE278" s="186"/>
      <c r="AF278" s="186"/>
      <c r="AG278" s="186"/>
      <c r="AH278" s="186"/>
      <c r="AI278" s="191"/>
      <c r="AJ278" s="191"/>
      <c r="AK278" s="186"/>
      <c r="AL278" s="186"/>
      <c r="AM278" s="186"/>
      <c r="AN278" s="344"/>
      <c r="AO278" s="186"/>
      <c r="AP278" s="193"/>
      <c r="AQ278" s="193"/>
      <c r="AR278" s="191"/>
      <c r="AS278" s="194"/>
      <c r="AT278" s="195"/>
      <c r="AU278" s="425"/>
      <c r="AV278" s="425"/>
      <c r="AW278" s="425"/>
      <c r="AX278" s="425"/>
      <c r="AY278" s="425"/>
      <c r="AZ278" s="425"/>
      <c r="BA278" s="425"/>
      <c r="BB278" s="425"/>
      <c r="BC278" s="440"/>
      <c r="BD278" s="404">
        <f>SUM($AS$4:AS278)</f>
        <v>2286.7849999999962</v>
      </c>
      <c r="BE278" s="405">
        <f>SUM($AR$4:AR278)</f>
        <v>3975.8599999999865</v>
      </c>
      <c r="BF278" s="330"/>
      <c r="BG278" s="330"/>
    </row>
    <row r="279" spans="1:59" ht="18" customHeight="1">
      <c r="A279" s="181" t="s">
        <v>1130</v>
      </c>
      <c r="B279" s="181"/>
      <c r="C279" s="182"/>
      <c r="D279" s="182"/>
      <c r="E279" s="301" t="s">
        <v>1362</v>
      </c>
      <c r="F279" s="301"/>
      <c r="G279" s="185"/>
      <c r="H279" s="186">
        <v>1</v>
      </c>
      <c r="I279" s="186"/>
      <c r="J279" s="186"/>
      <c r="K279" s="187" t="s">
        <v>87</v>
      </c>
      <c r="L279" s="186"/>
      <c r="M279" s="186"/>
      <c r="N279" s="186"/>
      <c r="O279" s="187"/>
      <c r="P279" s="187"/>
      <c r="Q279" s="187"/>
      <c r="R279" s="187"/>
      <c r="S279" s="187"/>
      <c r="T279" s="187"/>
      <c r="U279" s="187"/>
      <c r="V279" s="188" t="str">
        <f t="shared" si="179"/>
        <v/>
      </c>
      <c r="W279" s="188" t="str">
        <f t="shared" si="180"/>
        <v/>
      </c>
      <c r="X279" s="189"/>
      <c r="Y279" s="189"/>
      <c r="Z279" s="189"/>
      <c r="AA279" s="190"/>
      <c r="AB279" s="186"/>
      <c r="AC279" s="344"/>
      <c r="AD279" s="186"/>
      <c r="AE279" s="186"/>
      <c r="AF279" s="186"/>
      <c r="AG279" s="186"/>
      <c r="AH279" s="186"/>
      <c r="AI279" s="191"/>
      <c r="AJ279" s="191"/>
      <c r="AK279" s="186"/>
      <c r="AL279" s="186"/>
      <c r="AM279" s="186"/>
      <c r="AN279" s="344"/>
      <c r="AO279" s="186"/>
      <c r="AP279" s="193"/>
      <c r="AQ279" s="193"/>
      <c r="AR279" s="191"/>
      <c r="AS279" s="194"/>
      <c r="AT279" s="195"/>
      <c r="AU279" s="425"/>
      <c r="AV279" s="425"/>
      <c r="AW279" s="425"/>
      <c r="AX279" s="425"/>
      <c r="AY279" s="425"/>
      <c r="AZ279" s="425"/>
      <c r="BA279" s="425"/>
      <c r="BB279" s="425"/>
      <c r="BC279" s="440"/>
      <c r="BD279" s="404">
        <f>SUM($AS$4:AS279)</f>
        <v>2286.7849999999962</v>
      </c>
      <c r="BE279" s="405">
        <f>SUM($AR$4:AR279)</f>
        <v>3975.8599999999865</v>
      </c>
      <c r="BF279" s="330"/>
      <c r="BG279" s="330"/>
    </row>
    <row r="280" spans="1:59" ht="18" customHeight="1">
      <c r="A280" s="227" t="s">
        <v>1130</v>
      </c>
      <c r="B280" s="181">
        <v>44973</v>
      </c>
      <c r="C280" s="182" t="s">
        <v>1237</v>
      </c>
      <c r="D280" s="182" t="s">
        <v>74</v>
      </c>
      <c r="E280" s="299" t="s">
        <v>1363</v>
      </c>
      <c r="F280" s="306" t="s">
        <v>1364</v>
      </c>
      <c r="G280" s="185"/>
      <c r="H280" s="186"/>
      <c r="I280" s="186"/>
      <c r="J280" s="186">
        <v>1</v>
      </c>
      <c r="K280" s="187" t="s">
        <v>97</v>
      </c>
      <c r="L280" s="186"/>
      <c r="M280" s="186"/>
      <c r="N280" s="186"/>
      <c r="O280" s="187"/>
      <c r="P280" s="187"/>
      <c r="Q280" s="187"/>
      <c r="R280" s="187"/>
      <c r="S280" s="187"/>
      <c r="T280" s="187"/>
      <c r="U280" s="187"/>
      <c r="V280" s="188" t="str">
        <f t="shared" si="179"/>
        <v/>
      </c>
      <c r="W280" s="188" t="str">
        <f t="shared" si="180"/>
        <v/>
      </c>
      <c r="X280" s="189"/>
      <c r="Y280" s="189"/>
      <c r="Z280" s="189"/>
      <c r="AA280" s="190"/>
      <c r="AB280" s="186"/>
      <c r="AC280" s="344"/>
      <c r="AD280" s="186"/>
      <c r="AE280" s="186"/>
      <c r="AF280" s="186"/>
      <c r="AG280" s="186"/>
      <c r="AH280" s="186"/>
      <c r="AI280" s="191"/>
      <c r="AJ280" s="191"/>
      <c r="AK280" s="186"/>
      <c r="AL280" s="186"/>
      <c r="AM280" s="186"/>
      <c r="AN280" s="344"/>
      <c r="AO280" s="186"/>
      <c r="AP280" s="193"/>
      <c r="AQ280" s="193"/>
      <c r="AR280" s="191"/>
      <c r="AS280" s="194"/>
      <c r="AT280" s="195"/>
      <c r="AU280" s="425" t="s">
        <v>1365</v>
      </c>
      <c r="AV280" s="425" t="s">
        <v>1366</v>
      </c>
      <c r="AW280" s="425" t="s">
        <v>1367</v>
      </c>
      <c r="AX280" s="425" t="s">
        <v>1368</v>
      </c>
      <c r="AY280" s="425" t="s">
        <v>511</v>
      </c>
      <c r="AZ280" s="425"/>
      <c r="BA280" s="425"/>
      <c r="BB280" s="425"/>
      <c r="BC280" s="440"/>
      <c r="BD280" s="404">
        <f>SUM($AS$4:AS280)</f>
        <v>2286.7849999999962</v>
      </c>
      <c r="BE280" s="405">
        <f>SUM($AR$4:AR280)</f>
        <v>3975.8599999999865</v>
      </c>
      <c r="BF280" s="330"/>
      <c r="BG280" s="330"/>
    </row>
    <row r="281" spans="1:59" ht="18" customHeight="1">
      <c r="A281" s="181" t="s">
        <v>1130</v>
      </c>
      <c r="B281" s="181"/>
      <c r="C281" s="182"/>
      <c r="D281" s="182"/>
      <c r="E281" s="299" t="s">
        <v>1369</v>
      </c>
      <c r="F281" s="306" t="s">
        <v>1370</v>
      </c>
      <c r="G281" s="185"/>
      <c r="H281" s="186">
        <v>1</v>
      </c>
      <c r="I281" s="186"/>
      <c r="J281" s="186"/>
      <c r="K281" s="187" t="s">
        <v>97</v>
      </c>
      <c r="L281" s="186"/>
      <c r="M281" s="186"/>
      <c r="N281" s="186"/>
      <c r="O281" s="187"/>
      <c r="P281" s="187"/>
      <c r="Q281" s="187"/>
      <c r="R281" s="187"/>
      <c r="S281" s="187"/>
      <c r="T281" s="187"/>
      <c r="U281" s="187"/>
      <c r="V281" s="188" t="str">
        <f t="shared" si="179"/>
        <v/>
      </c>
      <c r="W281" s="188" t="str">
        <f t="shared" si="180"/>
        <v/>
      </c>
      <c r="X281" s="189"/>
      <c r="Y281" s="189"/>
      <c r="Z281" s="189"/>
      <c r="AA281" s="190"/>
      <c r="AB281" s="186"/>
      <c r="AC281" s="344"/>
      <c r="AD281" s="186"/>
      <c r="AE281" s="186"/>
      <c r="AF281" s="186"/>
      <c r="AG281" s="186"/>
      <c r="AH281" s="186"/>
      <c r="AI281" s="191"/>
      <c r="AJ281" s="191"/>
      <c r="AK281" s="186"/>
      <c r="AL281" s="186"/>
      <c r="AM281" s="186"/>
      <c r="AN281" s="344"/>
      <c r="AO281" s="186"/>
      <c r="AP281" s="193"/>
      <c r="AQ281" s="193"/>
      <c r="AR281" s="191"/>
      <c r="AS281" s="194"/>
      <c r="AT281" s="195"/>
      <c r="AU281" s="425" t="s">
        <v>1371</v>
      </c>
      <c r="AV281" s="425" t="s">
        <v>1372</v>
      </c>
      <c r="AW281" s="425"/>
      <c r="AX281" s="425"/>
      <c r="AY281" s="425"/>
      <c r="AZ281" s="425"/>
      <c r="BA281" s="425"/>
      <c r="BB281" s="425"/>
      <c r="BC281" s="440"/>
      <c r="BD281" s="404">
        <f>SUM($AS$4:AS281)</f>
        <v>2286.7849999999962</v>
      </c>
      <c r="BE281" s="405">
        <f>SUM($AR$4:AR281)</f>
        <v>3975.8599999999865</v>
      </c>
      <c r="BF281" s="330"/>
      <c r="BG281" s="330"/>
    </row>
    <row r="282" spans="1:59" ht="18" customHeight="1">
      <c r="A282" s="181" t="s">
        <v>1130</v>
      </c>
      <c r="B282" s="181">
        <v>44973</v>
      </c>
      <c r="C282" s="182" t="s">
        <v>664</v>
      </c>
      <c r="D282" s="182" t="s">
        <v>74</v>
      </c>
      <c r="E282" s="299"/>
      <c r="F282" s="306"/>
      <c r="G282" s="185" t="s">
        <v>1373</v>
      </c>
      <c r="H282" s="186"/>
      <c r="I282" s="186"/>
      <c r="J282" s="186"/>
      <c r="K282" s="187"/>
      <c r="L282" s="186">
        <v>2</v>
      </c>
      <c r="M282" s="186"/>
      <c r="N282" s="186"/>
      <c r="O282" s="187" t="s">
        <v>76</v>
      </c>
      <c r="P282" s="187" t="s">
        <v>119</v>
      </c>
      <c r="Q282" s="187" t="s">
        <v>666</v>
      </c>
      <c r="R282" s="187">
        <v>1</v>
      </c>
      <c r="S282" s="187">
        <v>1</v>
      </c>
      <c r="T282" s="187">
        <v>1</v>
      </c>
      <c r="U282" s="187" t="s">
        <v>22</v>
      </c>
      <c r="V282" s="188">
        <f t="shared" si="179"/>
        <v>0.01</v>
      </c>
      <c r="W282" s="188">
        <f t="shared" si="180"/>
        <v>1660.0000000000002</v>
      </c>
      <c r="X282" s="189" t="s">
        <v>1078</v>
      </c>
      <c r="Y282" s="189"/>
      <c r="Z282" s="189"/>
      <c r="AA282" s="190">
        <v>96.08</v>
      </c>
      <c r="AB282" s="186"/>
      <c r="AC282" s="344"/>
      <c r="AD282" s="186"/>
      <c r="AE282" s="186"/>
      <c r="AF282" s="186"/>
      <c r="AG282" s="186"/>
      <c r="AH282" s="186"/>
      <c r="AI282" s="191"/>
      <c r="AJ282" s="191"/>
      <c r="AK282" s="186"/>
      <c r="AL282" s="186"/>
      <c r="AM282" s="186" t="s">
        <v>1374</v>
      </c>
      <c r="AN282" s="344" t="s">
        <v>376</v>
      </c>
      <c r="AO282" s="186" t="s">
        <v>1375</v>
      </c>
      <c r="AP282" s="193">
        <v>96.13</v>
      </c>
      <c r="AQ282" s="193">
        <f t="shared" ref="AQ282:AQ291" si="181">IF(ISBLANK(AP282),,IF(U282="S",AA282-AP282,AP282-AA282))</f>
        <v>4.9999999999997158E-2</v>
      </c>
      <c r="AR282" s="191">
        <f t="shared" ref="AR282:AR291" si="182">AS282*R282</f>
        <v>82.999999999995296</v>
      </c>
      <c r="AS282" s="194">
        <f t="shared" ref="AS282:AS291" si="183">IF(ISBLANK(AP282),,(AQ282*W282))</f>
        <v>82.999999999995296</v>
      </c>
      <c r="AT282" s="195" t="s">
        <v>77</v>
      </c>
      <c r="AU282" s="425" t="s">
        <v>1376</v>
      </c>
      <c r="AV282" s="425"/>
      <c r="AW282" s="425"/>
      <c r="AX282" s="425"/>
      <c r="AY282" s="425"/>
      <c r="AZ282" s="425"/>
      <c r="BA282" s="425"/>
      <c r="BB282" s="425"/>
      <c r="BC282" s="440"/>
      <c r="BD282" s="404">
        <f>SUM($AS$4:AS282)</f>
        <v>2369.7849999999917</v>
      </c>
      <c r="BE282" s="405">
        <f>SUM($AR$4:AR282)</f>
        <v>4058.8599999999819</v>
      </c>
      <c r="BF282" s="330"/>
      <c r="BG282" s="330"/>
    </row>
    <row r="283" spans="1:59" ht="18" customHeight="1">
      <c r="A283" s="227" t="s">
        <v>1130</v>
      </c>
      <c r="B283" s="181">
        <v>44973</v>
      </c>
      <c r="C283" s="182" t="s">
        <v>664</v>
      </c>
      <c r="D283" s="182" t="s">
        <v>74</v>
      </c>
      <c r="E283" s="299"/>
      <c r="F283" s="306"/>
      <c r="G283" s="185" t="s">
        <v>1185</v>
      </c>
      <c r="H283" s="186"/>
      <c r="I283" s="186"/>
      <c r="J283" s="186"/>
      <c r="K283" s="187"/>
      <c r="L283" s="186">
        <v>2</v>
      </c>
      <c r="M283" s="186"/>
      <c r="N283" s="186"/>
      <c r="O283" s="187" t="s">
        <v>76</v>
      </c>
      <c r="P283" s="187" t="s">
        <v>119</v>
      </c>
      <c r="Q283" s="187" t="s">
        <v>666</v>
      </c>
      <c r="R283" s="187">
        <v>1</v>
      </c>
      <c r="S283" s="187">
        <v>1</v>
      </c>
      <c r="T283" s="187">
        <v>1</v>
      </c>
      <c r="U283" s="187" t="s">
        <v>22</v>
      </c>
      <c r="V283" s="188">
        <f t="shared" si="179"/>
        <v>0.01</v>
      </c>
      <c r="W283" s="188">
        <f t="shared" si="180"/>
        <v>1660.0000000000002</v>
      </c>
      <c r="X283" s="189" t="s">
        <v>1078</v>
      </c>
      <c r="Y283" s="189"/>
      <c r="Z283" s="189"/>
      <c r="AA283" s="190">
        <v>95.97</v>
      </c>
      <c r="AB283" s="186"/>
      <c r="AC283" s="344"/>
      <c r="AD283" s="186"/>
      <c r="AE283" s="186"/>
      <c r="AF283" s="186"/>
      <c r="AG283" s="186"/>
      <c r="AH283" s="186"/>
      <c r="AI283" s="191"/>
      <c r="AJ283" s="191"/>
      <c r="AK283" s="186"/>
      <c r="AL283" s="186"/>
      <c r="AM283" s="186" t="s">
        <v>1019</v>
      </c>
      <c r="AN283" s="344" t="s">
        <v>376</v>
      </c>
      <c r="AO283" s="186" t="s">
        <v>1377</v>
      </c>
      <c r="AP283" s="193">
        <v>96.02</v>
      </c>
      <c r="AQ283" s="193">
        <f t="shared" si="181"/>
        <v>4.9999999999997158E-2</v>
      </c>
      <c r="AR283" s="191">
        <f t="shared" si="182"/>
        <v>82.999999999995296</v>
      </c>
      <c r="AS283" s="194">
        <f t="shared" si="183"/>
        <v>82.999999999995296</v>
      </c>
      <c r="AT283" s="195" t="s">
        <v>77</v>
      </c>
      <c r="AU283" s="425" t="s">
        <v>1378</v>
      </c>
      <c r="AV283" s="425"/>
      <c r="AW283" s="425"/>
      <c r="AX283" s="425"/>
      <c r="AY283" s="425"/>
      <c r="AZ283" s="425"/>
      <c r="BA283" s="425"/>
      <c r="BB283" s="425"/>
      <c r="BC283" s="440"/>
      <c r="BD283" s="404">
        <f>SUM($AS$4:AS283)</f>
        <v>2452.7849999999871</v>
      </c>
      <c r="BE283" s="405">
        <f>SUM($AR$4:AR283)</f>
        <v>4141.8599999999769</v>
      </c>
      <c r="BF283" s="330"/>
      <c r="BG283" s="330"/>
    </row>
    <row r="284" spans="1:59" ht="18" customHeight="1">
      <c r="A284" s="181" t="s">
        <v>1130</v>
      </c>
      <c r="B284" s="181">
        <v>44973</v>
      </c>
      <c r="C284" s="182" t="s">
        <v>664</v>
      </c>
      <c r="D284" s="182" t="s">
        <v>74</v>
      </c>
      <c r="E284" s="299"/>
      <c r="F284" s="306"/>
      <c r="G284" s="298" t="s">
        <v>262</v>
      </c>
      <c r="H284" s="186"/>
      <c r="I284" s="186"/>
      <c r="J284" s="186"/>
      <c r="K284" s="187"/>
      <c r="L284" s="186">
        <v>1</v>
      </c>
      <c r="M284" s="186">
        <v>1</v>
      </c>
      <c r="N284" s="186"/>
      <c r="O284" s="187" t="s">
        <v>76</v>
      </c>
      <c r="P284" s="187" t="s">
        <v>119</v>
      </c>
      <c r="Q284" s="187" t="s">
        <v>78</v>
      </c>
      <c r="R284" s="187">
        <v>3</v>
      </c>
      <c r="S284" s="187">
        <v>3</v>
      </c>
      <c r="T284" s="187">
        <v>3</v>
      </c>
      <c r="U284" s="187" t="s">
        <v>78</v>
      </c>
      <c r="V284" s="188">
        <f t="shared" si="179"/>
        <v>0.01</v>
      </c>
      <c r="W284" s="188">
        <f t="shared" si="180"/>
        <v>1660.0000000000002</v>
      </c>
      <c r="X284" s="189"/>
      <c r="Y284" s="189"/>
      <c r="Z284" s="189" t="s">
        <v>1339</v>
      </c>
      <c r="AA284" s="190">
        <v>-0.13</v>
      </c>
      <c r="AB284" s="186"/>
      <c r="AC284" s="344"/>
      <c r="AD284" s="186"/>
      <c r="AE284" s="186"/>
      <c r="AF284" s="186"/>
      <c r="AG284" s="186"/>
      <c r="AH284" s="186"/>
      <c r="AI284" s="191">
        <f>-0.03*W284</f>
        <v>-49.800000000000004</v>
      </c>
      <c r="AJ284" s="191">
        <f t="shared" ref="AJ284" si="184">AI284*R284</f>
        <v>-149.4</v>
      </c>
      <c r="AK284" s="186"/>
      <c r="AL284" s="186"/>
      <c r="AM284" s="186" t="s">
        <v>1379</v>
      </c>
      <c r="AN284" s="344" t="s">
        <v>87</v>
      </c>
      <c r="AO284" s="186" t="s">
        <v>1380</v>
      </c>
      <c r="AP284" s="193">
        <v>-0.14000000000000001</v>
      </c>
      <c r="AQ284" s="193">
        <f t="shared" si="181"/>
        <v>1.0000000000000009E-2</v>
      </c>
      <c r="AR284" s="191">
        <f t="shared" si="182"/>
        <v>49.800000000000047</v>
      </c>
      <c r="AS284" s="194">
        <f t="shared" si="183"/>
        <v>16.600000000000016</v>
      </c>
      <c r="AT284" s="195" t="s">
        <v>77</v>
      </c>
      <c r="AU284" s="425" t="s">
        <v>1342</v>
      </c>
      <c r="AV284" s="425"/>
      <c r="AW284" s="425"/>
      <c r="AX284" s="425"/>
      <c r="AY284" s="425"/>
      <c r="AZ284" s="425"/>
      <c r="BA284" s="425"/>
      <c r="BB284" s="425"/>
      <c r="BC284" s="440"/>
      <c r="BD284" s="404">
        <f>SUM($AS$4:AS284)</f>
        <v>2469.384999999987</v>
      </c>
      <c r="BE284" s="405">
        <f>SUM($AR$4:AR284)</f>
        <v>4191.6599999999771</v>
      </c>
      <c r="BF284" s="330"/>
      <c r="BG284" s="330"/>
    </row>
    <row r="285" spans="1:59" ht="18" customHeight="1">
      <c r="A285" s="181" t="s">
        <v>1130</v>
      </c>
      <c r="B285" s="181">
        <v>44973</v>
      </c>
      <c r="C285" s="182" t="s">
        <v>1381</v>
      </c>
      <c r="D285" s="182" t="s">
        <v>74</v>
      </c>
      <c r="E285" s="299"/>
      <c r="F285" s="306"/>
      <c r="G285" s="185" t="s">
        <v>253</v>
      </c>
      <c r="H285" s="186"/>
      <c r="I285" s="186"/>
      <c r="J285" s="186"/>
      <c r="K285" s="187"/>
      <c r="L285" s="186">
        <v>1</v>
      </c>
      <c r="M285" s="186"/>
      <c r="N285" s="186"/>
      <c r="O285" s="187" t="s">
        <v>76</v>
      </c>
      <c r="P285" s="187" t="s">
        <v>119</v>
      </c>
      <c r="Q285" s="187" t="s">
        <v>78</v>
      </c>
      <c r="R285" s="187">
        <v>3</v>
      </c>
      <c r="S285" s="187">
        <v>3</v>
      </c>
      <c r="T285" s="187">
        <v>3</v>
      </c>
      <c r="U285" s="187" t="s">
        <v>78</v>
      </c>
      <c r="V285" s="188">
        <f t="shared" ref="V285" si="185">IF(ISBLANK(O285),"",(IF(O285=UPPER("IB"),0.005,0.01)))</f>
        <v>0.01</v>
      </c>
      <c r="W285" s="188">
        <f t="shared" ref="W285:W291" si="186">IF(ISBLANK(O285),"",IF(O285=UPPER("IB"),8.63*200,16.5*100))</f>
        <v>1650</v>
      </c>
      <c r="X285" s="189"/>
      <c r="Y285" s="189"/>
      <c r="Z285" s="189" t="s">
        <v>80</v>
      </c>
      <c r="AA285" s="190">
        <v>-0.14000000000000001</v>
      </c>
      <c r="AB285" s="186"/>
      <c r="AC285" s="344"/>
      <c r="AD285" s="186"/>
      <c r="AE285" s="186"/>
      <c r="AF285" s="186"/>
      <c r="AG285" s="186"/>
      <c r="AH285" s="186"/>
      <c r="AI285" s="191"/>
      <c r="AJ285" s="191"/>
      <c r="AK285" s="186"/>
      <c r="AL285" s="186"/>
      <c r="AM285" s="186"/>
      <c r="AN285" s="344" t="s">
        <v>87</v>
      </c>
      <c r="AO285" s="186" t="s">
        <v>1382</v>
      </c>
      <c r="AP285" s="193">
        <v>-0.14000000000000001</v>
      </c>
      <c r="AQ285" s="193">
        <f t="shared" si="181"/>
        <v>0</v>
      </c>
      <c r="AR285" s="191">
        <f t="shared" si="182"/>
        <v>0</v>
      </c>
      <c r="AS285" s="194">
        <f t="shared" si="183"/>
        <v>0</v>
      </c>
      <c r="AT285" s="195" t="s">
        <v>97</v>
      </c>
      <c r="AU285" s="425" t="s">
        <v>1383</v>
      </c>
      <c r="AV285" s="425" t="s">
        <v>511</v>
      </c>
      <c r="AW285" s="425"/>
      <c r="AX285" s="425"/>
      <c r="AY285" s="425"/>
      <c r="AZ285" s="425"/>
      <c r="BA285" s="425"/>
      <c r="BB285" s="425"/>
      <c r="BC285" s="440"/>
      <c r="BD285" s="404">
        <f>SUM($AS$4:AS285)</f>
        <v>2469.384999999987</v>
      </c>
      <c r="BE285" s="405">
        <f>SUM($AR$4:AR285)</f>
        <v>4191.6599999999771</v>
      </c>
      <c r="BF285" s="330"/>
      <c r="BG285" s="330"/>
    </row>
    <row r="286" spans="1:59" ht="18" customHeight="1">
      <c r="A286" s="227" t="s">
        <v>1130</v>
      </c>
      <c r="B286" s="181">
        <v>44974</v>
      </c>
      <c r="C286" s="182" t="s">
        <v>1384</v>
      </c>
      <c r="D286" s="182" t="s">
        <v>93</v>
      </c>
      <c r="E286" s="299"/>
      <c r="F286" s="306"/>
      <c r="G286" s="185" t="s">
        <v>417</v>
      </c>
      <c r="H286" s="186"/>
      <c r="I286" s="186"/>
      <c r="J286" s="186"/>
      <c r="K286" s="187"/>
      <c r="L286" s="186">
        <v>1</v>
      </c>
      <c r="M286" s="186"/>
      <c r="N286" s="186"/>
      <c r="O286" s="187" t="s">
        <v>76</v>
      </c>
      <c r="P286" s="187" t="s">
        <v>77</v>
      </c>
      <c r="Q286" s="187" t="s">
        <v>78</v>
      </c>
      <c r="R286" s="187">
        <v>1</v>
      </c>
      <c r="S286" s="187">
        <v>1</v>
      </c>
      <c r="T286" s="187">
        <v>1</v>
      </c>
      <c r="U286" s="187" t="s">
        <v>78</v>
      </c>
      <c r="V286" s="188">
        <f t="shared" ref="V286" si="187">IF(ISBLANK(O286),"",(IF(O286=UPPER("IB"),0.005,0.01)))</f>
        <v>0.01</v>
      </c>
      <c r="W286" s="188">
        <f t="shared" si="186"/>
        <v>1650</v>
      </c>
      <c r="X286" s="189" t="s">
        <v>1385</v>
      </c>
      <c r="Y286" s="189"/>
      <c r="Z286" s="189" t="s">
        <v>80</v>
      </c>
      <c r="AA286" s="190">
        <v>0.48</v>
      </c>
      <c r="AB286" s="186"/>
      <c r="AC286" s="344"/>
      <c r="AD286" s="186"/>
      <c r="AE286" s="186"/>
      <c r="AF286" s="186"/>
      <c r="AG286" s="186"/>
      <c r="AH286" s="186"/>
      <c r="AI286" s="191"/>
      <c r="AJ286" s="191"/>
      <c r="AK286" s="186"/>
      <c r="AL286" s="186"/>
      <c r="AM286" s="186" t="s">
        <v>1386</v>
      </c>
      <c r="AN286" s="344" t="s">
        <v>376</v>
      </c>
      <c r="AO286" s="186" t="s">
        <v>1387</v>
      </c>
      <c r="AP286" s="193">
        <v>0.47</v>
      </c>
      <c r="AQ286" s="193">
        <f t="shared" si="181"/>
        <v>1.0000000000000009E-2</v>
      </c>
      <c r="AR286" s="191">
        <f t="shared" si="182"/>
        <v>16.500000000000014</v>
      </c>
      <c r="AS286" s="194">
        <f t="shared" si="183"/>
        <v>16.500000000000014</v>
      </c>
      <c r="AT286" s="195" t="s">
        <v>77</v>
      </c>
      <c r="AU286" s="425" t="s">
        <v>1388</v>
      </c>
      <c r="AV286" s="425"/>
      <c r="AW286" s="425"/>
      <c r="AX286" s="425"/>
      <c r="AY286" s="425"/>
      <c r="AZ286" s="425"/>
      <c r="BA286" s="425"/>
      <c r="BB286" s="425"/>
      <c r="BC286" s="440"/>
      <c r="BD286" s="404">
        <f>SUM($AS$4:AS286)</f>
        <v>2485.884999999987</v>
      </c>
      <c r="BE286" s="405">
        <f>SUM($AR$4:AR286)</f>
        <v>4208.1599999999771</v>
      </c>
      <c r="BF286" s="330"/>
      <c r="BG286" s="330"/>
    </row>
    <row r="287" spans="1:59" ht="18" customHeight="1">
      <c r="A287" s="181" t="s">
        <v>1130</v>
      </c>
      <c r="B287" s="181">
        <v>44974</v>
      </c>
      <c r="C287" s="182" t="s">
        <v>1389</v>
      </c>
      <c r="D287" s="182" t="s">
        <v>93</v>
      </c>
      <c r="E287" s="299"/>
      <c r="F287" s="306"/>
      <c r="G287" s="291" t="s">
        <v>417</v>
      </c>
      <c r="H287" s="186"/>
      <c r="I287" s="186"/>
      <c r="J287" s="186"/>
      <c r="K287" s="187"/>
      <c r="L287" s="186">
        <v>1</v>
      </c>
      <c r="M287" s="186"/>
      <c r="N287" s="186"/>
      <c r="O287" s="187" t="s">
        <v>76</v>
      </c>
      <c r="P287" s="187" t="s">
        <v>77</v>
      </c>
      <c r="Q287" s="187" t="s">
        <v>78</v>
      </c>
      <c r="R287" s="187">
        <v>1</v>
      </c>
      <c r="S287" s="187">
        <v>1</v>
      </c>
      <c r="T287" s="187">
        <v>1</v>
      </c>
      <c r="U287" s="187" t="s">
        <v>78</v>
      </c>
      <c r="V287" s="188">
        <f t="shared" ref="V287" si="188">IF(ISBLANK(O287),"",(IF(O287=UPPER("IB"),0.005,0.01)))</f>
        <v>0.01</v>
      </c>
      <c r="W287" s="188">
        <f t="shared" si="186"/>
        <v>1650</v>
      </c>
      <c r="X287" s="189" t="s">
        <v>1390</v>
      </c>
      <c r="Y287" s="189"/>
      <c r="Z287" s="189"/>
      <c r="AA287" s="190">
        <v>0.52</v>
      </c>
      <c r="AB287" s="186"/>
      <c r="AC287" s="344">
        <v>0.56999999999999995</v>
      </c>
      <c r="AD287" s="186"/>
      <c r="AE287" s="186" t="s">
        <v>1391</v>
      </c>
      <c r="AF287" s="186" t="s">
        <v>1392</v>
      </c>
      <c r="AG287" s="186"/>
      <c r="AH287" s="186"/>
      <c r="AI287" s="191">
        <f>-0.03*W287</f>
        <v>-49.5</v>
      </c>
      <c r="AJ287" s="191">
        <f t="shared" ref="AJ287" si="189">AI287*R287</f>
        <v>-49.5</v>
      </c>
      <c r="AK287" s="186"/>
      <c r="AL287" s="186"/>
      <c r="AM287" s="186" t="s">
        <v>786</v>
      </c>
      <c r="AN287" s="344" t="s">
        <v>97</v>
      </c>
      <c r="AO287" s="186" t="s">
        <v>1393</v>
      </c>
      <c r="AP287" s="193">
        <v>0.5</v>
      </c>
      <c r="AQ287" s="193">
        <f t="shared" si="181"/>
        <v>2.0000000000000018E-2</v>
      </c>
      <c r="AR287" s="191">
        <f t="shared" si="182"/>
        <v>33.000000000000028</v>
      </c>
      <c r="AS287" s="194">
        <f t="shared" si="183"/>
        <v>33.000000000000028</v>
      </c>
      <c r="AT287" s="195" t="s">
        <v>77</v>
      </c>
      <c r="AU287" s="425"/>
      <c r="AV287" s="425"/>
      <c r="AW287" s="425"/>
      <c r="AX287" s="425"/>
      <c r="AY287" s="425"/>
      <c r="AZ287" s="425"/>
      <c r="BA287" s="425"/>
      <c r="BB287" s="425"/>
      <c r="BC287" s="440"/>
      <c r="BD287" s="404">
        <f>SUM($AS$4:AS287)</f>
        <v>2518.884999999987</v>
      </c>
      <c r="BE287" s="405">
        <f>SUM($AR$4:AR287)</f>
        <v>4241.1599999999771</v>
      </c>
      <c r="BF287" s="330"/>
      <c r="BG287" s="330"/>
    </row>
    <row r="288" spans="1:59" ht="18" customHeight="1">
      <c r="A288" s="181" t="s">
        <v>1130</v>
      </c>
      <c r="B288" s="181">
        <v>44977</v>
      </c>
      <c r="C288" s="182" t="s">
        <v>1394</v>
      </c>
      <c r="D288" s="182" t="s">
        <v>114</v>
      </c>
      <c r="E288" s="299"/>
      <c r="F288" s="306"/>
      <c r="G288" s="297" t="s">
        <v>115</v>
      </c>
      <c r="H288" s="186"/>
      <c r="I288" s="186"/>
      <c r="J288" s="186"/>
      <c r="K288" s="187"/>
      <c r="L288" s="186">
        <v>1</v>
      </c>
      <c r="M288" s="186"/>
      <c r="N288" s="186"/>
      <c r="O288" s="187" t="s">
        <v>76</v>
      </c>
      <c r="P288" s="187" t="s">
        <v>77</v>
      </c>
      <c r="Q288" s="187" t="s">
        <v>78</v>
      </c>
      <c r="R288" s="187">
        <v>4</v>
      </c>
      <c r="S288" s="187">
        <v>4</v>
      </c>
      <c r="T288" s="187">
        <v>4</v>
      </c>
      <c r="U288" s="187" t="s">
        <v>78</v>
      </c>
      <c r="V288" s="188">
        <f t="shared" ref="V288" si="190">IF(ISBLANK(O288),"",(IF(O288=UPPER("IB"),0.005,0.01)))</f>
        <v>0.01</v>
      </c>
      <c r="W288" s="188">
        <f t="shared" si="186"/>
        <v>1650</v>
      </c>
      <c r="X288" s="189"/>
      <c r="Y288" s="189"/>
      <c r="Z288" s="189" t="s">
        <v>80</v>
      </c>
      <c r="AA288" s="190">
        <v>0.01</v>
      </c>
      <c r="AB288" s="186"/>
      <c r="AC288" s="344">
        <v>4</v>
      </c>
      <c r="AD288" s="186"/>
      <c r="AE288" s="186">
        <v>0</v>
      </c>
      <c r="AF288" s="186"/>
      <c r="AG288" s="186"/>
      <c r="AH288" s="186"/>
      <c r="AI288" s="191">
        <f>-0.04*W288</f>
        <v>-66</v>
      </c>
      <c r="AJ288" s="191">
        <f t="shared" ref="AJ288" si="191">AI288*R288</f>
        <v>-264</v>
      </c>
      <c r="AK288" s="186"/>
      <c r="AL288" s="186"/>
      <c r="AM288" s="186" t="s">
        <v>786</v>
      </c>
      <c r="AN288" s="344" t="s">
        <v>97</v>
      </c>
      <c r="AO288" s="186" t="s">
        <v>1395</v>
      </c>
      <c r="AP288" s="193">
        <v>0.01</v>
      </c>
      <c r="AQ288" s="193">
        <f t="shared" si="181"/>
        <v>0</v>
      </c>
      <c r="AR288" s="191">
        <f t="shared" si="182"/>
        <v>0</v>
      </c>
      <c r="AS288" s="194">
        <f t="shared" si="183"/>
        <v>0</v>
      </c>
      <c r="AT288" s="195" t="s">
        <v>97</v>
      </c>
      <c r="AU288" s="425" t="s">
        <v>1396</v>
      </c>
      <c r="AV288" s="425" t="s">
        <v>1397</v>
      </c>
      <c r="AW288" s="425" t="s">
        <v>1398</v>
      </c>
      <c r="AX288" s="425"/>
      <c r="AY288" s="425" t="s">
        <v>511</v>
      </c>
      <c r="AZ288" s="425"/>
      <c r="BA288" s="425"/>
      <c r="BB288" s="425"/>
      <c r="BC288" s="440"/>
      <c r="BD288" s="404">
        <f>SUM($AS$4:AS288)</f>
        <v>2518.884999999987</v>
      </c>
      <c r="BE288" s="405">
        <f>SUM($AR$4:AR288)</f>
        <v>4241.1599999999771</v>
      </c>
      <c r="BF288" s="330"/>
      <c r="BG288" s="330"/>
    </row>
    <row r="289" spans="1:59" ht="18" customHeight="1">
      <c r="A289" s="227" t="s">
        <v>1130</v>
      </c>
      <c r="B289" s="181">
        <v>44977</v>
      </c>
      <c r="C289" s="182" t="s">
        <v>1399</v>
      </c>
      <c r="D289" s="182" t="s">
        <v>114</v>
      </c>
      <c r="E289" s="299"/>
      <c r="F289" s="306"/>
      <c r="G289" s="291" t="s">
        <v>535</v>
      </c>
      <c r="H289" s="186"/>
      <c r="I289" s="186"/>
      <c r="J289" s="186"/>
      <c r="K289" s="187"/>
      <c r="L289" s="186">
        <v>1</v>
      </c>
      <c r="M289" s="186"/>
      <c r="N289" s="186"/>
      <c r="O289" s="187" t="s">
        <v>76</v>
      </c>
      <c r="P289" s="187" t="s">
        <v>119</v>
      </c>
      <c r="Q289" s="187" t="s">
        <v>78</v>
      </c>
      <c r="R289" s="187">
        <v>7</v>
      </c>
      <c r="S289" s="187">
        <v>7</v>
      </c>
      <c r="T289" s="187">
        <v>5</v>
      </c>
      <c r="U289" s="187" t="s">
        <v>78</v>
      </c>
      <c r="V289" s="188">
        <f t="shared" ref="V289" si="192">IF(ISBLANK(O289),"",(IF(O289=UPPER("IB"),0.005,0.01)))</f>
        <v>0.01</v>
      </c>
      <c r="W289" s="188">
        <f>IF(ISBLANK(O289),"",IF(O289=UPPER("IB"),8.63*200,16.1*100))</f>
        <v>1610.0000000000002</v>
      </c>
      <c r="X289" s="189" t="s">
        <v>1400</v>
      </c>
      <c r="Y289" s="189"/>
      <c r="Z289" s="189" t="s">
        <v>80</v>
      </c>
      <c r="AA289" s="190">
        <v>-0.1</v>
      </c>
      <c r="AB289" s="186"/>
      <c r="AC289" s="344"/>
      <c r="AD289" s="186"/>
      <c r="AE289" s="186"/>
      <c r="AF289" s="186"/>
      <c r="AG289" s="186"/>
      <c r="AH289" s="186"/>
      <c r="AI289" s="191">
        <f>-0.03*W289</f>
        <v>-48.300000000000004</v>
      </c>
      <c r="AJ289" s="191">
        <f t="shared" ref="AJ289" si="193">AI289*R289</f>
        <v>-338.1</v>
      </c>
      <c r="AK289" s="186"/>
      <c r="AL289" s="186"/>
      <c r="AM289" s="186" t="s">
        <v>733</v>
      </c>
      <c r="AN289" s="344" t="s">
        <v>97</v>
      </c>
      <c r="AO289" s="186" t="s">
        <v>1401</v>
      </c>
      <c r="AP289" s="193">
        <f>(-0.1*4 + (-0.11)*3)/7</f>
        <v>-0.10428571428571429</v>
      </c>
      <c r="AQ289" s="193">
        <f t="shared" si="181"/>
        <v>4.2857142857142816E-3</v>
      </c>
      <c r="AR289" s="191">
        <f t="shared" si="182"/>
        <v>48.299999999999962</v>
      </c>
      <c r="AS289" s="194">
        <f t="shared" si="183"/>
        <v>6.8999999999999941</v>
      </c>
      <c r="AT289" s="195" t="s">
        <v>77</v>
      </c>
      <c r="AU289" s="425" t="s">
        <v>1402</v>
      </c>
      <c r="AV289" s="425" t="s">
        <v>1403</v>
      </c>
      <c r="AW289" s="425" t="s">
        <v>1404</v>
      </c>
      <c r="AX289" s="425"/>
      <c r="AY289" s="425"/>
      <c r="AZ289" s="425"/>
      <c r="BA289" s="425"/>
      <c r="BB289" s="425"/>
      <c r="BC289" s="440"/>
      <c r="BD289" s="404">
        <f>SUM($AS$4:AS289)</f>
        <v>2525.7849999999871</v>
      </c>
      <c r="BE289" s="405">
        <f>SUM($AR$4:AR289)</f>
        <v>4289.4599999999773</v>
      </c>
      <c r="BF289" s="330"/>
      <c r="BG289" s="330"/>
    </row>
    <row r="290" spans="1:59" ht="18" customHeight="1">
      <c r="A290" s="181" t="s">
        <v>1130</v>
      </c>
      <c r="B290" s="181">
        <v>44977</v>
      </c>
      <c r="C290" s="182" t="s">
        <v>1405</v>
      </c>
      <c r="D290" s="182" t="s">
        <v>114</v>
      </c>
      <c r="E290" s="299"/>
      <c r="F290" s="306"/>
      <c r="G290" s="309" t="s">
        <v>262</v>
      </c>
      <c r="H290" s="186"/>
      <c r="I290" s="186"/>
      <c r="J290" s="186"/>
      <c r="K290" s="187"/>
      <c r="L290" s="186">
        <v>1</v>
      </c>
      <c r="M290" s="186"/>
      <c r="N290" s="186"/>
      <c r="O290" s="187" t="s">
        <v>76</v>
      </c>
      <c r="P290" s="187" t="s">
        <v>119</v>
      </c>
      <c r="Q290" s="187" t="s">
        <v>78</v>
      </c>
      <c r="R290" s="187">
        <v>5</v>
      </c>
      <c r="S290" s="187">
        <v>5</v>
      </c>
      <c r="T290" s="187">
        <v>5</v>
      </c>
      <c r="U290" s="187" t="s">
        <v>78</v>
      </c>
      <c r="V290" s="188">
        <f t="shared" ref="V290" si="194">IF(ISBLANK(O290),"",(IF(O290=UPPER("IB"),0.005,0.01)))</f>
        <v>0.01</v>
      </c>
      <c r="W290" s="188">
        <f>IF(ISBLANK(O290),"",IF(O290=UPPER("IB"),8.63*200,16.4*100))</f>
        <v>1639.9999999999998</v>
      </c>
      <c r="X290" s="189" t="s">
        <v>1406</v>
      </c>
      <c r="Y290" s="189"/>
      <c r="Z290" s="189" t="s">
        <v>1407</v>
      </c>
      <c r="AA290" s="190">
        <v>-0.13</v>
      </c>
      <c r="AB290" s="186"/>
      <c r="AC290" s="344"/>
      <c r="AD290" s="186"/>
      <c r="AE290" s="186"/>
      <c r="AF290" s="186"/>
      <c r="AG290" s="186"/>
      <c r="AH290" s="186"/>
      <c r="AI290" s="191">
        <f>-0.03*W290</f>
        <v>-49.199999999999989</v>
      </c>
      <c r="AJ290" s="191">
        <f t="shared" ref="AJ290" si="195">AI290*R290</f>
        <v>-245.99999999999994</v>
      </c>
      <c r="AK290" s="186"/>
      <c r="AL290" s="186"/>
      <c r="AM290" s="186" t="s">
        <v>846</v>
      </c>
      <c r="AN290" s="344" t="s">
        <v>97</v>
      </c>
      <c r="AO290" s="186" t="s">
        <v>1408</v>
      </c>
      <c r="AP290" s="193">
        <v>-0.14000000000000001</v>
      </c>
      <c r="AQ290" s="193">
        <f t="shared" si="181"/>
        <v>1.0000000000000009E-2</v>
      </c>
      <c r="AR290" s="191">
        <f t="shared" si="182"/>
        <v>82.000000000000057</v>
      </c>
      <c r="AS290" s="194">
        <f t="shared" si="183"/>
        <v>16.400000000000013</v>
      </c>
      <c r="AT290" s="195" t="s">
        <v>77</v>
      </c>
      <c r="AU290" s="425" t="s">
        <v>1409</v>
      </c>
      <c r="AV290" s="425" t="s">
        <v>1410</v>
      </c>
      <c r="AW290" s="425" t="s">
        <v>1411</v>
      </c>
      <c r="AX290" s="425"/>
      <c r="AY290" s="425"/>
      <c r="AZ290" s="425"/>
      <c r="BA290" s="425"/>
      <c r="BB290" s="425"/>
      <c r="BC290" s="440"/>
      <c r="BD290" s="404">
        <f>SUM($AS$4:AS290)</f>
        <v>2542.1849999999872</v>
      </c>
      <c r="BE290" s="405">
        <f>SUM($AR$4:AR290)</f>
        <v>4371.4599999999773</v>
      </c>
      <c r="BF290" s="330"/>
      <c r="BG290" s="330"/>
    </row>
    <row r="291" spans="1:59" ht="18" customHeight="1">
      <c r="A291" s="181" t="s">
        <v>1130</v>
      </c>
      <c r="B291" s="181">
        <v>44978</v>
      </c>
      <c r="C291" s="182" t="s">
        <v>1412</v>
      </c>
      <c r="D291" s="182" t="s">
        <v>128</v>
      </c>
      <c r="E291" s="299"/>
      <c r="F291" s="306"/>
      <c r="G291" s="291" t="s">
        <v>115</v>
      </c>
      <c r="H291" s="186"/>
      <c r="I291" s="186"/>
      <c r="J291" s="186"/>
      <c r="K291" s="187"/>
      <c r="L291" s="186">
        <v>1</v>
      </c>
      <c r="M291" s="186"/>
      <c r="N291" s="186"/>
      <c r="O291" s="187" t="s">
        <v>76</v>
      </c>
      <c r="P291" s="187" t="s">
        <v>77</v>
      </c>
      <c r="Q291" s="187" t="s">
        <v>78</v>
      </c>
      <c r="R291" s="187">
        <v>5</v>
      </c>
      <c r="S291" s="187">
        <v>5</v>
      </c>
      <c r="T291" s="187">
        <v>5</v>
      </c>
      <c r="U291" s="187" t="s">
        <v>78</v>
      </c>
      <c r="V291" s="188">
        <f t="shared" ref="V291" si="196">IF(ISBLANK(O291),"",(IF(O291=UPPER("IB"),0.005,0.01)))</f>
        <v>0.01</v>
      </c>
      <c r="W291" s="188">
        <f t="shared" si="186"/>
        <v>1650</v>
      </c>
      <c r="X291" s="189" t="s">
        <v>1413</v>
      </c>
      <c r="Y291" s="189"/>
      <c r="Z291" s="189"/>
      <c r="AA291" s="190">
        <v>0.02</v>
      </c>
      <c r="AB291" s="186"/>
      <c r="AC291" s="344"/>
      <c r="AD291" s="186"/>
      <c r="AE291" s="186"/>
      <c r="AF291" s="186"/>
      <c r="AG291" s="186"/>
      <c r="AH291" s="186"/>
      <c r="AI291" s="191">
        <f>-0.03*W291</f>
        <v>-49.5</v>
      </c>
      <c r="AJ291" s="191">
        <f t="shared" ref="AJ291" si="197">AI291*R291</f>
        <v>-247.5</v>
      </c>
      <c r="AK291" s="186"/>
      <c r="AL291" s="186"/>
      <c r="AM291" s="186" t="s">
        <v>1414</v>
      </c>
      <c r="AN291" s="344" t="s">
        <v>87</v>
      </c>
      <c r="AO291" s="186" t="s">
        <v>1415</v>
      </c>
      <c r="AP291" s="193">
        <v>0.01</v>
      </c>
      <c r="AQ291" s="193">
        <f t="shared" si="181"/>
        <v>0.01</v>
      </c>
      <c r="AR291" s="191">
        <f t="shared" si="182"/>
        <v>82.5</v>
      </c>
      <c r="AS291" s="194">
        <f t="shared" si="183"/>
        <v>16.5</v>
      </c>
      <c r="AT291" s="195" t="s">
        <v>77</v>
      </c>
      <c r="AU291" s="425" t="s">
        <v>1416</v>
      </c>
      <c r="AV291" s="425"/>
      <c r="AW291" s="425"/>
      <c r="AX291" s="425"/>
      <c r="AY291" s="425"/>
      <c r="AZ291" s="425"/>
      <c r="BA291" s="425" t="s">
        <v>1417</v>
      </c>
      <c r="BB291" s="425"/>
      <c r="BC291" s="440"/>
      <c r="BD291" s="404">
        <f>SUM($AS$4:AS291)</f>
        <v>2558.6849999999872</v>
      </c>
      <c r="BE291" s="405">
        <f>SUM($AR$4:AR291)</f>
        <v>4453.9599999999773</v>
      </c>
      <c r="BF291" s="330"/>
      <c r="BG291" s="330"/>
    </row>
    <row r="292" spans="1:59" ht="18" customHeight="1">
      <c r="A292" s="227" t="s">
        <v>1130</v>
      </c>
      <c r="B292" s="181">
        <v>44978</v>
      </c>
      <c r="C292" s="182" t="s">
        <v>1418</v>
      </c>
      <c r="D292" s="182" t="s">
        <v>128</v>
      </c>
      <c r="E292" s="299" t="s">
        <v>1419</v>
      </c>
      <c r="F292" s="306" t="s">
        <v>1420</v>
      </c>
      <c r="G292" s="185"/>
      <c r="H292" s="186"/>
      <c r="I292" s="186"/>
      <c r="J292" s="186"/>
      <c r="K292" s="187"/>
      <c r="L292" s="186"/>
      <c r="M292" s="186"/>
      <c r="N292" s="186"/>
      <c r="O292" s="187"/>
      <c r="P292" s="187"/>
      <c r="Q292" s="187"/>
      <c r="R292" s="187"/>
      <c r="S292" s="187"/>
      <c r="T292" s="187"/>
      <c r="U292" s="187"/>
      <c r="V292" s="188" t="str">
        <f t="shared" ref="V292:V293" si="198">IF(ISBLANK(O292),"",(IF(O292=UPPER("IB"),0.005,0.01)))</f>
        <v/>
      </c>
      <c r="W292" s="188" t="str">
        <f t="shared" ref="W292" si="199">IF(ISBLANK(O292),"",IF(O292=UPPER("IB"),8.63*200,16.5*100))</f>
        <v/>
      </c>
      <c r="X292" s="189"/>
      <c r="Y292" s="189"/>
      <c r="Z292" s="189"/>
      <c r="AA292" s="190"/>
      <c r="AB292" s="186"/>
      <c r="AC292" s="344"/>
      <c r="AD292" s="186"/>
      <c r="AE292" s="186"/>
      <c r="AF292" s="186"/>
      <c r="AG292" s="186"/>
      <c r="AH292" s="186"/>
      <c r="AI292" s="191"/>
      <c r="AJ292" s="191"/>
      <c r="AK292" s="186"/>
      <c r="AL292" s="186"/>
      <c r="AM292" s="186"/>
      <c r="AN292" s="344"/>
      <c r="AO292" s="186"/>
      <c r="AP292" s="193"/>
      <c r="AQ292" s="193"/>
      <c r="AR292" s="191"/>
      <c r="AS292" s="194"/>
      <c r="AT292" s="195"/>
      <c r="AU292" s="425" t="s">
        <v>1421</v>
      </c>
      <c r="AV292" s="425" t="s">
        <v>1422</v>
      </c>
      <c r="AW292" s="425" t="s">
        <v>1423</v>
      </c>
      <c r="AX292" s="425" t="s">
        <v>1424</v>
      </c>
      <c r="AY292" s="425" t="s">
        <v>511</v>
      </c>
      <c r="AZ292" s="425"/>
      <c r="BA292" s="425"/>
      <c r="BB292" s="425"/>
      <c r="BC292" s="440"/>
      <c r="BD292" s="404">
        <f>SUM($AS$4:AS292)</f>
        <v>2558.6849999999872</v>
      </c>
      <c r="BE292" s="405">
        <f>SUM($AR$4:AR292)</f>
        <v>4453.9599999999773</v>
      </c>
      <c r="BF292" s="330"/>
      <c r="BG292" s="330"/>
    </row>
    <row r="293" spans="1:59" ht="18" customHeight="1">
      <c r="A293" s="181" t="s">
        <v>1130</v>
      </c>
      <c r="B293" s="181">
        <v>44979</v>
      </c>
      <c r="C293" s="182" t="s">
        <v>1425</v>
      </c>
      <c r="D293" s="182" t="s">
        <v>133</v>
      </c>
      <c r="E293" s="299"/>
      <c r="F293" s="306"/>
      <c r="G293" s="291" t="s">
        <v>115</v>
      </c>
      <c r="H293" s="186"/>
      <c r="I293" s="186"/>
      <c r="J293" s="186"/>
      <c r="K293" s="187"/>
      <c r="L293" s="186">
        <v>1</v>
      </c>
      <c r="M293" s="186"/>
      <c r="N293" s="186"/>
      <c r="O293" s="187" t="s">
        <v>76</v>
      </c>
      <c r="P293" s="187" t="s">
        <v>77</v>
      </c>
      <c r="Q293" s="187" t="s">
        <v>78</v>
      </c>
      <c r="R293" s="187">
        <v>4</v>
      </c>
      <c r="S293" s="187">
        <v>4</v>
      </c>
      <c r="T293" s="187">
        <v>4</v>
      </c>
      <c r="U293" s="187" t="s">
        <v>78</v>
      </c>
      <c r="V293" s="188">
        <f t="shared" si="198"/>
        <v>0.01</v>
      </c>
      <c r="W293" s="188">
        <f>IF(ISBLANK(O293),"",IF(O293=UPPER("IB"),8.63*200,16.4*100))</f>
        <v>1639.9999999999998</v>
      </c>
      <c r="X293" s="189" t="s">
        <v>1426</v>
      </c>
      <c r="Y293" s="189"/>
      <c r="Z293" s="189" t="s">
        <v>80</v>
      </c>
      <c r="AA293" s="190">
        <v>0.03</v>
      </c>
      <c r="AB293" s="186"/>
      <c r="AC293" s="344">
        <v>6</v>
      </c>
      <c r="AD293" s="186"/>
      <c r="AE293" s="186" t="s">
        <v>1427</v>
      </c>
      <c r="AF293" s="186" t="s">
        <v>1428</v>
      </c>
      <c r="AG293" s="186" t="s">
        <v>1429</v>
      </c>
      <c r="AH293" s="186" t="s">
        <v>511</v>
      </c>
      <c r="AI293" s="191">
        <f>-0.03*W293</f>
        <v>-49.199999999999989</v>
      </c>
      <c r="AJ293" s="191">
        <f t="shared" ref="AJ293" si="200">AI293*R293</f>
        <v>-196.79999999999995</v>
      </c>
      <c r="AK293" s="186"/>
      <c r="AL293" s="186"/>
      <c r="AM293" s="186" t="s">
        <v>375</v>
      </c>
      <c r="AN293" s="344" t="s">
        <v>376</v>
      </c>
      <c r="AO293" s="186" t="s">
        <v>664</v>
      </c>
      <c r="AP293" s="193">
        <v>0.02</v>
      </c>
      <c r="AQ293" s="193">
        <f>IF(ISBLANK(AP293),,IF(U293="S",AA293-AP293,AP293-AA293))</f>
        <v>9.9999999999999985E-3</v>
      </c>
      <c r="AR293" s="191">
        <f>AS293*R293</f>
        <v>65.59999999999998</v>
      </c>
      <c r="AS293" s="194">
        <f>IF(ISBLANK(AP293),,(AQ293*W293))</f>
        <v>16.399999999999995</v>
      </c>
      <c r="AT293" s="195" t="s">
        <v>77</v>
      </c>
      <c r="AU293" s="425" t="s">
        <v>1430</v>
      </c>
      <c r="AV293" s="425"/>
      <c r="AW293" s="425"/>
      <c r="AX293" s="425"/>
      <c r="AY293" s="425"/>
      <c r="AZ293" s="425"/>
      <c r="BA293" s="425"/>
      <c r="BB293" s="425"/>
      <c r="BC293" s="440"/>
      <c r="BD293" s="404">
        <f>SUM($AS$4:AS293)</f>
        <v>2575.0849999999873</v>
      </c>
      <c r="BE293" s="405">
        <f>SUM($AR$4:AR293)</f>
        <v>4519.5599999999777</v>
      </c>
      <c r="BF293" s="330"/>
      <c r="BG293" s="330"/>
    </row>
    <row r="294" spans="1:59" ht="18" customHeight="1">
      <c r="A294" s="181" t="s">
        <v>1130</v>
      </c>
      <c r="B294" s="181">
        <v>44979</v>
      </c>
      <c r="C294" s="182" t="s">
        <v>1418</v>
      </c>
      <c r="D294" s="182" t="s">
        <v>133</v>
      </c>
      <c r="E294" s="299" t="s">
        <v>1431</v>
      </c>
      <c r="F294" s="306" t="s">
        <v>1432</v>
      </c>
      <c r="G294" s="185"/>
      <c r="H294" s="186"/>
      <c r="I294" s="186"/>
      <c r="J294" s="186"/>
      <c r="K294" s="187" t="s">
        <v>97</v>
      </c>
      <c r="L294" s="186"/>
      <c r="M294" s="186"/>
      <c r="N294" s="186"/>
      <c r="O294" s="187"/>
      <c r="P294" s="187"/>
      <c r="Q294" s="187"/>
      <c r="R294" s="187"/>
      <c r="S294" s="187"/>
      <c r="T294" s="187"/>
      <c r="U294" s="187"/>
      <c r="V294" s="188" t="str">
        <f t="shared" ref="V294:V296" si="201">IF(ISBLANK(O294),"",(IF(O294=UPPER("IB"),0.005,0.01)))</f>
        <v/>
      </c>
      <c r="W294" s="188" t="str">
        <f t="shared" ref="W294" si="202">IF(ISBLANK(O294),"",IF(O294=UPPER("IB"),8.63*200,16.5*100))</f>
        <v/>
      </c>
      <c r="X294" s="189"/>
      <c r="Y294" s="189"/>
      <c r="Z294" s="189"/>
      <c r="AA294" s="190"/>
      <c r="AB294" s="186"/>
      <c r="AC294" s="344"/>
      <c r="AD294" s="186"/>
      <c r="AE294" s="186"/>
      <c r="AF294" s="186"/>
      <c r="AG294" s="186"/>
      <c r="AH294" s="186"/>
      <c r="AI294" s="191"/>
      <c r="AJ294" s="191"/>
      <c r="AK294" s="186"/>
      <c r="AL294" s="186"/>
      <c r="AM294" s="186"/>
      <c r="AN294" s="344"/>
      <c r="AO294" s="186"/>
      <c r="AP294" s="193"/>
      <c r="AQ294" s="193"/>
      <c r="AR294" s="191"/>
      <c r="AS294" s="194"/>
      <c r="AT294" s="195"/>
      <c r="AU294" s="425" t="s">
        <v>1433</v>
      </c>
      <c r="AV294" s="425" t="s">
        <v>1434</v>
      </c>
      <c r="AW294" s="425"/>
      <c r="AX294" s="425"/>
      <c r="AY294" s="425"/>
      <c r="AZ294" s="425"/>
      <c r="BA294" s="425"/>
      <c r="BB294" s="425"/>
      <c r="BC294" s="440"/>
      <c r="BD294" s="404">
        <f>SUM($AS$4:AS294)</f>
        <v>2575.0849999999873</v>
      </c>
      <c r="BE294" s="405">
        <f>SUM($AR$4:AR294)</f>
        <v>4519.5599999999777</v>
      </c>
      <c r="BF294" s="330"/>
      <c r="BG294" s="330"/>
    </row>
    <row r="295" spans="1:59" ht="18" customHeight="1">
      <c r="A295" s="227" t="s">
        <v>1130</v>
      </c>
      <c r="B295" s="181"/>
      <c r="C295" s="182"/>
      <c r="D295" s="182"/>
      <c r="E295" s="299" t="s">
        <v>1435</v>
      </c>
      <c r="F295" s="306"/>
      <c r="G295" s="185"/>
      <c r="H295" s="186"/>
      <c r="I295" s="186"/>
      <c r="J295" s="186"/>
      <c r="K295" s="187" t="s">
        <v>97</v>
      </c>
      <c r="L295" s="186"/>
      <c r="M295" s="186"/>
      <c r="N295" s="186"/>
      <c r="O295" s="187"/>
      <c r="P295" s="187"/>
      <c r="Q295" s="187"/>
      <c r="R295" s="187"/>
      <c r="S295" s="187"/>
      <c r="T295" s="187"/>
      <c r="U295" s="187"/>
      <c r="V295" s="282"/>
      <c r="W295" s="282"/>
      <c r="X295" s="189"/>
      <c r="Y295" s="189"/>
      <c r="Z295" s="189"/>
      <c r="AA295" s="190"/>
      <c r="AB295" s="186"/>
      <c r="AC295" s="344"/>
      <c r="AD295" s="186"/>
      <c r="AE295" s="186"/>
      <c r="AF295" s="186"/>
      <c r="AG295" s="186"/>
      <c r="AH295" s="186"/>
      <c r="AI295" s="191"/>
      <c r="AJ295" s="191"/>
      <c r="AK295" s="186"/>
      <c r="AL295" s="186"/>
      <c r="AM295" s="186"/>
      <c r="AN295" s="344"/>
      <c r="AO295" s="186"/>
      <c r="AP295" s="193"/>
      <c r="AQ295" s="193"/>
      <c r="AR295" s="191"/>
      <c r="AS295" s="194"/>
      <c r="AT295" s="195"/>
      <c r="AU295" s="425"/>
      <c r="AV295" s="425"/>
      <c r="AW295" s="425"/>
      <c r="AX295" s="425"/>
      <c r="AY295" s="425"/>
      <c r="AZ295" s="425"/>
      <c r="BA295" s="425"/>
      <c r="BB295" s="425"/>
      <c r="BC295" s="440"/>
      <c r="BD295" s="404">
        <f>SUM($AS$4:AS295)</f>
        <v>2575.0849999999873</v>
      </c>
      <c r="BE295" s="405">
        <f>SUM($AR$4:AR295)</f>
        <v>4519.5599999999777</v>
      </c>
      <c r="BF295" s="330"/>
      <c r="BG295" s="330"/>
    </row>
    <row r="296" spans="1:59" ht="18" customHeight="1">
      <c r="A296" s="181" t="s">
        <v>1130</v>
      </c>
      <c r="B296" s="181">
        <v>44979</v>
      </c>
      <c r="C296" s="182" t="s">
        <v>664</v>
      </c>
      <c r="D296" s="182" t="s">
        <v>133</v>
      </c>
      <c r="E296" s="299"/>
      <c r="F296" s="306"/>
      <c r="G296" s="185" t="s">
        <v>1185</v>
      </c>
      <c r="H296" s="186"/>
      <c r="I296" s="186"/>
      <c r="J296" s="186"/>
      <c r="K296" s="187"/>
      <c r="L296" s="186">
        <v>2</v>
      </c>
      <c r="M296" s="186"/>
      <c r="N296" s="186"/>
      <c r="O296" s="187" t="s">
        <v>76</v>
      </c>
      <c r="P296" s="187" t="s">
        <v>119</v>
      </c>
      <c r="Q296" s="187" t="s">
        <v>666</v>
      </c>
      <c r="R296" s="187">
        <v>1</v>
      </c>
      <c r="S296" s="187">
        <v>1</v>
      </c>
      <c r="T296" s="187">
        <v>1</v>
      </c>
      <c r="U296" s="187" t="s">
        <v>22</v>
      </c>
      <c r="V296" s="188">
        <f t="shared" si="201"/>
        <v>0.01</v>
      </c>
      <c r="W296" s="188">
        <f>IF(ISBLANK(O296),"",IF(O296=UPPER("IB"),8.63*200,16.4*100))</f>
        <v>1639.9999999999998</v>
      </c>
      <c r="X296" s="189" t="s">
        <v>1078</v>
      </c>
      <c r="Y296" s="189"/>
      <c r="Z296" s="189"/>
      <c r="AA296" s="190">
        <v>95.82</v>
      </c>
      <c r="AB296" s="186"/>
      <c r="AC296" s="344"/>
      <c r="AD296" s="186"/>
      <c r="AE296" s="186"/>
      <c r="AF296" s="186"/>
      <c r="AG296" s="186"/>
      <c r="AH296" s="186"/>
      <c r="AI296" s="191"/>
      <c r="AJ296" s="191"/>
      <c r="AK296" s="186"/>
      <c r="AL296" s="186"/>
      <c r="AM296" s="186" t="s">
        <v>1436</v>
      </c>
      <c r="AN296" s="344" t="s">
        <v>376</v>
      </c>
      <c r="AO296" s="186" t="s">
        <v>664</v>
      </c>
      <c r="AP296" s="193">
        <v>95.84</v>
      </c>
      <c r="AQ296" s="193">
        <f>IF(ISBLANK(AP296),,IF(U296="S",AA296-AP296,AP296-AA296))</f>
        <v>2.0000000000010232E-2</v>
      </c>
      <c r="AR296" s="191">
        <f>AS296*R296</f>
        <v>32.800000000016773</v>
      </c>
      <c r="AS296" s="194">
        <f>IF(ISBLANK(AP296),,(AQ296*W296))</f>
        <v>32.800000000016773</v>
      </c>
      <c r="AT296" s="195" t="s">
        <v>77</v>
      </c>
      <c r="AU296" s="425" t="s">
        <v>1437</v>
      </c>
      <c r="AV296" s="425" t="s">
        <v>1438</v>
      </c>
      <c r="AW296" s="425" t="s">
        <v>511</v>
      </c>
      <c r="AX296" s="425"/>
      <c r="AY296" s="425"/>
      <c r="AZ296" s="425"/>
      <c r="BA296" s="425"/>
      <c r="BB296" s="425"/>
      <c r="BC296" s="440"/>
      <c r="BD296" s="404">
        <f>SUM($AS$4:AS296)</f>
        <v>2607.8850000000039</v>
      </c>
      <c r="BE296" s="405">
        <f>SUM($AR$4:AR296)</f>
        <v>4552.3599999999942</v>
      </c>
      <c r="BF296" s="330"/>
      <c r="BG296" s="330"/>
    </row>
    <row r="297" spans="1:59" ht="18" customHeight="1">
      <c r="A297" s="181" t="s">
        <v>1130</v>
      </c>
      <c r="B297" s="181">
        <v>44979</v>
      </c>
      <c r="C297" s="182" t="s">
        <v>482</v>
      </c>
      <c r="D297" s="182" t="s">
        <v>133</v>
      </c>
      <c r="E297" s="299" t="s">
        <v>1439</v>
      </c>
      <c r="F297" s="306" t="s">
        <v>1440</v>
      </c>
      <c r="G297" s="185"/>
      <c r="H297" s="186"/>
      <c r="I297" s="186"/>
      <c r="J297" s="186"/>
      <c r="K297" s="187"/>
      <c r="L297" s="186"/>
      <c r="M297" s="186"/>
      <c r="N297" s="186"/>
      <c r="O297" s="187"/>
      <c r="P297" s="187"/>
      <c r="Q297" s="187"/>
      <c r="R297" s="187"/>
      <c r="S297" s="187"/>
      <c r="T297" s="187"/>
      <c r="U297" s="187"/>
      <c r="V297" s="188" t="str">
        <f t="shared" ref="V297:V298" si="203">IF(ISBLANK(O297),"",(IF(O297=UPPER("IB"),0.005,0.01)))</f>
        <v/>
      </c>
      <c r="W297" s="188" t="str">
        <f t="shared" ref="W297:W298" si="204">IF(ISBLANK(O297),"",IF(O297=UPPER("IB"),8.63*200,16.4*100))</f>
        <v/>
      </c>
      <c r="X297" s="189"/>
      <c r="Y297" s="189"/>
      <c r="Z297" s="189"/>
      <c r="AA297" s="190"/>
      <c r="AB297" s="186"/>
      <c r="AC297" s="344"/>
      <c r="AD297" s="186"/>
      <c r="AE297" s="186"/>
      <c r="AF297" s="186"/>
      <c r="AG297" s="186"/>
      <c r="AH297" s="186"/>
      <c r="AI297" s="191"/>
      <c r="AJ297" s="191"/>
      <c r="AK297" s="186"/>
      <c r="AL297" s="186"/>
      <c r="AM297" s="186"/>
      <c r="AN297" s="344"/>
      <c r="AO297" s="186"/>
      <c r="AP297" s="193"/>
      <c r="AQ297" s="193"/>
      <c r="AR297" s="191"/>
      <c r="AS297" s="194"/>
      <c r="AT297" s="195"/>
      <c r="AU297" s="425" t="s">
        <v>1441</v>
      </c>
      <c r="AV297" s="425" t="s">
        <v>1442</v>
      </c>
      <c r="AW297" s="425"/>
      <c r="AX297" s="425"/>
      <c r="AY297" s="425"/>
      <c r="AZ297" s="425"/>
      <c r="BA297" s="425"/>
      <c r="BB297" s="425"/>
      <c r="BC297" s="440"/>
      <c r="BD297" s="404">
        <f>SUM($AS$4:AS297)</f>
        <v>2607.8850000000039</v>
      </c>
      <c r="BE297" s="405">
        <f>SUM($AR$4:AR297)</f>
        <v>4552.3599999999942</v>
      </c>
      <c r="BF297" s="330"/>
      <c r="BG297" s="330"/>
    </row>
    <row r="298" spans="1:59" ht="18" customHeight="1">
      <c r="A298" s="227" t="s">
        <v>1130</v>
      </c>
      <c r="B298" s="181">
        <v>44979</v>
      </c>
      <c r="C298" s="182" t="s">
        <v>710</v>
      </c>
      <c r="D298" s="182" t="s">
        <v>133</v>
      </c>
      <c r="E298" s="299"/>
      <c r="F298" s="306"/>
      <c r="G298" s="291" t="s">
        <v>253</v>
      </c>
      <c r="H298" s="186"/>
      <c r="I298" s="186"/>
      <c r="J298" s="186"/>
      <c r="K298" s="187"/>
      <c r="L298" s="186">
        <v>1</v>
      </c>
      <c r="M298" s="186"/>
      <c r="N298" s="186"/>
      <c r="O298" s="187" t="s">
        <v>76</v>
      </c>
      <c r="P298" s="187" t="s">
        <v>119</v>
      </c>
      <c r="Q298" s="187" t="s">
        <v>78</v>
      </c>
      <c r="R298" s="187">
        <v>4</v>
      </c>
      <c r="S298" s="187">
        <v>4</v>
      </c>
      <c r="T298" s="187">
        <v>4</v>
      </c>
      <c r="U298" s="187" t="s">
        <v>78</v>
      </c>
      <c r="V298" s="188">
        <f t="shared" si="203"/>
        <v>0.01</v>
      </c>
      <c r="W298" s="188">
        <f t="shared" si="204"/>
        <v>1639.9999999999998</v>
      </c>
      <c r="X298" s="189" t="s">
        <v>1443</v>
      </c>
      <c r="Y298" s="189"/>
      <c r="Z298" s="189"/>
      <c r="AA298" s="190">
        <v>-0.14000000000000001</v>
      </c>
      <c r="AB298" s="186"/>
      <c r="AC298" s="344"/>
      <c r="AD298" s="186"/>
      <c r="AE298" s="186"/>
      <c r="AF298" s="186"/>
      <c r="AG298" s="186"/>
      <c r="AH298" s="186"/>
      <c r="AI298" s="191">
        <f t="shared" ref="AI298" si="205">-0.03*W298</f>
        <v>-49.199999999999989</v>
      </c>
      <c r="AJ298" s="191">
        <f t="shared" ref="AJ298" si="206">AI298*R298</f>
        <v>-196.79999999999995</v>
      </c>
      <c r="AK298" s="186"/>
      <c r="AL298" s="186"/>
      <c r="AM298" s="186" t="s">
        <v>1444</v>
      </c>
      <c r="AN298" s="344" t="s">
        <v>376</v>
      </c>
      <c r="AO298" s="186" t="s">
        <v>746</v>
      </c>
      <c r="AP298" s="193">
        <v>-0.15</v>
      </c>
      <c r="AQ298" s="193">
        <f>IF(ISBLANK(AP298),,IF(U298="S",AA298-AP298,AP298-AA298))</f>
        <v>9.9999999999999811E-3</v>
      </c>
      <c r="AR298" s="191">
        <f>AS298*R298</f>
        <v>65.599999999999866</v>
      </c>
      <c r="AS298" s="194">
        <f>IF(ISBLANK(AP298),,(AQ298*W298))</f>
        <v>16.399999999999967</v>
      </c>
      <c r="AT298" s="195" t="s">
        <v>77</v>
      </c>
      <c r="AU298" s="425"/>
      <c r="AV298" s="425"/>
      <c r="AW298" s="425"/>
      <c r="AX298" s="425"/>
      <c r="AY298" s="425"/>
      <c r="AZ298" s="425"/>
      <c r="BA298" s="425"/>
      <c r="BB298" s="425"/>
      <c r="BC298" s="440"/>
      <c r="BD298" s="404">
        <f>SUM($AS$4:AS298)</f>
        <v>2624.2850000000039</v>
      </c>
      <c r="BE298" s="405">
        <f>SUM($AR$4:AR298)</f>
        <v>4617.9599999999937</v>
      </c>
      <c r="BF298" s="330"/>
      <c r="BG298" s="330"/>
    </row>
    <row r="299" spans="1:59" ht="18" customHeight="1">
      <c r="A299" s="181" t="s">
        <v>1130</v>
      </c>
      <c r="B299" s="181">
        <v>44979</v>
      </c>
      <c r="C299" s="182" t="s">
        <v>1445</v>
      </c>
      <c r="D299" s="182" t="s">
        <v>133</v>
      </c>
      <c r="E299" s="299"/>
      <c r="F299" s="306"/>
      <c r="G299" s="291" t="s">
        <v>417</v>
      </c>
      <c r="H299" s="186"/>
      <c r="I299" s="186"/>
      <c r="J299" s="186"/>
      <c r="K299" s="187"/>
      <c r="L299" s="186">
        <v>1</v>
      </c>
      <c r="M299" s="186"/>
      <c r="N299" s="186"/>
      <c r="O299" s="187" t="s">
        <v>76</v>
      </c>
      <c r="P299" s="187" t="s">
        <v>77</v>
      </c>
      <c r="Q299" s="187" t="s">
        <v>78</v>
      </c>
      <c r="R299" s="187">
        <v>1</v>
      </c>
      <c r="S299" s="187">
        <v>1</v>
      </c>
      <c r="T299" s="187">
        <v>1</v>
      </c>
      <c r="U299" s="187" t="s">
        <v>22</v>
      </c>
      <c r="V299" s="188">
        <f t="shared" ref="V299" si="207">IF(ISBLANK(O299),"",(IF(O299=UPPER("IB"),0.005,0.01)))</f>
        <v>0.01</v>
      </c>
      <c r="W299" s="188">
        <f t="shared" ref="W299" si="208">IF(ISBLANK(O299),"",IF(O299=UPPER("IB"),8.63*200,16.4*100))</f>
        <v>1639.9999999999998</v>
      </c>
      <c r="X299" s="189" t="s">
        <v>1446</v>
      </c>
      <c r="Y299" s="189"/>
      <c r="Z299" s="189"/>
      <c r="AA299" s="190">
        <v>0.49</v>
      </c>
      <c r="AB299" s="186"/>
      <c r="AC299" s="344"/>
      <c r="AD299" s="186"/>
      <c r="AE299" s="186"/>
      <c r="AF299" s="186"/>
      <c r="AG299" s="186"/>
      <c r="AH299" s="186"/>
      <c r="AI299" s="191"/>
      <c r="AJ299" s="191"/>
      <c r="AK299" s="186"/>
      <c r="AL299" s="186"/>
      <c r="AM299" s="186" t="s">
        <v>820</v>
      </c>
      <c r="AN299" s="344" t="s">
        <v>87</v>
      </c>
      <c r="AO299" s="186" t="s">
        <v>1447</v>
      </c>
      <c r="AP299" s="193">
        <v>0.5</v>
      </c>
      <c r="AQ299" s="193">
        <f>IF(ISBLANK(AP299),,IF(U299="S",AA299-AP299,AP299-AA299))</f>
        <v>1.0000000000000009E-2</v>
      </c>
      <c r="AR299" s="191">
        <f>AS299*R299</f>
        <v>16.400000000000013</v>
      </c>
      <c r="AS299" s="194">
        <f>IF(ISBLANK(AP299),,(AQ299*W299))</f>
        <v>16.400000000000013</v>
      </c>
      <c r="AT299" s="195" t="s">
        <v>77</v>
      </c>
      <c r="AU299" s="425" t="s">
        <v>1448</v>
      </c>
      <c r="AV299" s="425" t="s">
        <v>1449</v>
      </c>
      <c r="AW299" s="425" t="s">
        <v>1450</v>
      </c>
      <c r="AX299" s="425" t="s">
        <v>1451</v>
      </c>
      <c r="AY299" s="425"/>
      <c r="AZ299" s="425" t="s">
        <v>511</v>
      </c>
      <c r="BA299" s="425" t="s">
        <v>1417</v>
      </c>
      <c r="BB299" s="425"/>
      <c r="BC299" s="440"/>
      <c r="BD299" s="404">
        <f>SUM($AS$4:AS299)</f>
        <v>2640.685000000004</v>
      </c>
      <c r="BE299" s="405">
        <f>SUM($AR$4:AR299)</f>
        <v>4634.3599999999933</v>
      </c>
      <c r="BF299" s="330"/>
      <c r="BG299" s="330"/>
    </row>
    <row r="300" spans="1:59" ht="18" customHeight="1">
      <c r="A300" s="181" t="s">
        <v>1130</v>
      </c>
      <c r="B300" s="204">
        <v>44980</v>
      </c>
      <c r="C300" s="182" t="s">
        <v>1325</v>
      </c>
      <c r="D300" s="182" t="s">
        <v>74</v>
      </c>
      <c r="E300" s="299" t="s">
        <v>1452</v>
      </c>
      <c r="F300" s="306" t="s">
        <v>1453</v>
      </c>
      <c r="G300" s="185"/>
      <c r="H300" s="186"/>
      <c r="I300" s="186"/>
      <c r="J300" s="186">
        <v>1</v>
      </c>
      <c r="K300" s="187" t="s">
        <v>97</v>
      </c>
      <c r="L300" s="186"/>
      <c r="M300" s="186"/>
      <c r="N300" s="186"/>
      <c r="O300" s="187"/>
      <c r="P300" s="187"/>
      <c r="Q300" s="187"/>
      <c r="R300" s="187"/>
      <c r="S300" s="187"/>
      <c r="T300" s="187"/>
      <c r="U300" s="187"/>
      <c r="V300" s="188" t="str">
        <f t="shared" ref="V300:V304" si="209">IF(ISBLANK(O300),"",(IF(O300=UPPER("IB"),0.005,0.01)))</f>
        <v/>
      </c>
      <c r="W300" s="188" t="str">
        <f t="shared" ref="W300:W301" si="210">IF(ISBLANK(O300),"",IF(O300=UPPER("IB"),8.63*200,16.4*100))</f>
        <v/>
      </c>
      <c r="X300" s="189"/>
      <c r="Y300" s="189"/>
      <c r="Z300" s="189"/>
      <c r="AA300" s="190"/>
      <c r="AB300" s="186"/>
      <c r="AC300" s="344"/>
      <c r="AD300" s="186"/>
      <c r="AE300" s="186"/>
      <c r="AF300" s="186"/>
      <c r="AG300" s="186"/>
      <c r="AH300" s="186"/>
      <c r="AI300" s="191"/>
      <c r="AJ300" s="191"/>
      <c r="AK300" s="186"/>
      <c r="AL300" s="186"/>
      <c r="AM300" s="186"/>
      <c r="AN300" s="344"/>
      <c r="AO300" s="186"/>
      <c r="AP300" s="193"/>
      <c r="AQ300" s="193"/>
      <c r="AR300" s="191"/>
      <c r="AS300" s="194"/>
      <c r="AT300" s="195"/>
      <c r="AU300" s="425"/>
      <c r="AV300" s="425"/>
      <c r="AW300" s="425"/>
      <c r="AX300" s="425"/>
      <c r="AY300" s="425"/>
      <c r="AZ300" s="425"/>
      <c r="BA300" s="425"/>
      <c r="BB300" s="425"/>
      <c r="BC300" s="440"/>
      <c r="BD300" s="404">
        <f>SUM($AS$4:AS300)</f>
        <v>2640.685000000004</v>
      </c>
      <c r="BE300" s="405">
        <f>SUM($AR$4:AR300)</f>
        <v>4634.3599999999933</v>
      </c>
      <c r="BF300" s="330"/>
      <c r="BG300" s="330"/>
    </row>
    <row r="301" spans="1:59" ht="18" customHeight="1">
      <c r="A301" s="181" t="s">
        <v>1130</v>
      </c>
      <c r="B301" s="181"/>
      <c r="C301" s="182"/>
      <c r="D301" s="182"/>
      <c r="E301" s="299" t="s">
        <v>1454</v>
      </c>
      <c r="F301" s="306"/>
      <c r="G301" s="185"/>
      <c r="H301" s="186"/>
      <c r="I301" s="186"/>
      <c r="J301" s="186">
        <v>1</v>
      </c>
      <c r="K301" s="187" t="s">
        <v>87</v>
      </c>
      <c r="L301" s="186"/>
      <c r="M301" s="186"/>
      <c r="N301" s="186"/>
      <c r="O301" s="187"/>
      <c r="P301" s="187"/>
      <c r="Q301" s="187"/>
      <c r="R301" s="187"/>
      <c r="S301" s="187"/>
      <c r="T301" s="187"/>
      <c r="U301" s="187"/>
      <c r="V301" s="188" t="str">
        <f t="shared" si="209"/>
        <v/>
      </c>
      <c r="W301" s="188" t="str">
        <f t="shared" si="210"/>
        <v/>
      </c>
      <c r="X301" s="189"/>
      <c r="Y301" s="189"/>
      <c r="Z301" s="189"/>
      <c r="AA301" s="190"/>
      <c r="AB301" s="186"/>
      <c r="AC301" s="344"/>
      <c r="AD301" s="186"/>
      <c r="AE301" s="186"/>
      <c r="AF301" s="186"/>
      <c r="AG301" s="186"/>
      <c r="AH301" s="186"/>
      <c r="AI301" s="191"/>
      <c r="AJ301" s="191"/>
      <c r="AK301" s="186"/>
      <c r="AL301" s="186"/>
      <c r="AM301" s="186"/>
      <c r="AN301" s="344"/>
      <c r="AO301" s="186"/>
      <c r="AP301" s="193"/>
      <c r="AQ301" s="193"/>
      <c r="AR301" s="191"/>
      <c r="AS301" s="194"/>
      <c r="AT301" s="195"/>
      <c r="AU301" s="425"/>
      <c r="AV301" s="425"/>
      <c r="AW301" s="425"/>
      <c r="AX301" s="425"/>
      <c r="AY301" s="425"/>
      <c r="AZ301" s="425"/>
      <c r="BA301" s="425"/>
      <c r="BB301" s="425"/>
      <c r="BC301" s="440"/>
      <c r="BD301" s="404">
        <f>SUM($AS$4:AS301)</f>
        <v>2640.685000000004</v>
      </c>
      <c r="BE301" s="405">
        <f>SUM($AR$4:AR301)</f>
        <v>4634.3599999999933</v>
      </c>
      <c r="BF301" s="330"/>
      <c r="BG301" s="330"/>
    </row>
    <row r="302" spans="1:59" ht="18" customHeight="1">
      <c r="A302" s="181" t="s">
        <v>1130</v>
      </c>
      <c r="B302" s="204">
        <v>44981</v>
      </c>
      <c r="C302" s="182" t="s">
        <v>1455</v>
      </c>
      <c r="D302" s="182" t="s">
        <v>93</v>
      </c>
      <c r="E302" s="299" t="s">
        <v>1456</v>
      </c>
      <c r="F302" s="306" t="s">
        <v>1457</v>
      </c>
      <c r="G302" s="185"/>
      <c r="H302" s="186">
        <v>1</v>
      </c>
      <c r="I302" s="186"/>
      <c r="J302" s="186"/>
      <c r="K302" s="187" t="s">
        <v>87</v>
      </c>
      <c r="L302" s="186"/>
      <c r="M302" s="186"/>
      <c r="N302" s="186"/>
      <c r="O302" s="187"/>
      <c r="P302" s="187"/>
      <c r="Q302" s="187"/>
      <c r="R302" s="187"/>
      <c r="S302" s="187"/>
      <c r="T302" s="187"/>
      <c r="U302" s="187"/>
      <c r="V302" s="282"/>
      <c r="W302" s="282"/>
      <c r="X302" s="189"/>
      <c r="Y302" s="189"/>
      <c r="Z302" s="189"/>
      <c r="AA302" s="190"/>
      <c r="AB302" s="186"/>
      <c r="AC302" s="344"/>
      <c r="AD302" s="186"/>
      <c r="AE302" s="186"/>
      <c r="AF302" s="186"/>
      <c r="AG302" s="186"/>
      <c r="AH302" s="186"/>
      <c r="AI302" s="191"/>
      <c r="AJ302" s="191"/>
      <c r="AK302" s="186"/>
      <c r="AL302" s="186"/>
      <c r="AM302" s="186"/>
      <c r="AN302" s="344"/>
      <c r="AO302" s="186"/>
      <c r="AP302" s="193"/>
      <c r="AQ302" s="193"/>
      <c r="AR302" s="191"/>
      <c r="AS302" s="194"/>
      <c r="AT302" s="195"/>
      <c r="AU302" s="425" t="s">
        <v>1458</v>
      </c>
      <c r="AV302" s="425" t="s">
        <v>1459</v>
      </c>
      <c r="AW302" s="425" t="s">
        <v>1460</v>
      </c>
      <c r="AX302" s="425" t="s">
        <v>511</v>
      </c>
      <c r="AY302" s="425"/>
      <c r="AZ302" s="425"/>
      <c r="BA302" s="425"/>
      <c r="BB302" s="425"/>
      <c r="BC302" s="440"/>
      <c r="BD302" s="404">
        <f>SUM($AS$4:AS302)</f>
        <v>2640.685000000004</v>
      </c>
      <c r="BE302" s="405">
        <f>SUM($AR$4:AR302)</f>
        <v>4634.3599999999933</v>
      </c>
      <c r="BF302" s="330"/>
      <c r="BG302" s="330"/>
    </row>
    <row r="303" spans="1:59" ht="18" customHeight="1">
      <c r="A303" s="181" t="s">
        <v>1130</v>
      </c>
      <c r="B303" s="204"/>
      <c r="C303" s="182"/>
      <c r="D303" s="182"/>
      <c r="E303" s="299" t="s">
        <v>1461</v>
      </c>
      <c r="F303" s="306"/>
      <c r="G303" s="185"/>
      <c r="H303" s="186">
        <v>1</v>
      </c>
      <c r="I303" s="186"/>
      <c r="J303" s="186"/>
      <c r="K303" s="187" t="s">
        <v>87</v>
      </c>
      <c r="L303" s="186"/>
      <c r="M303" s="186"/>
      <c r="N303" s="186"/>
      <c r="O303" s="187"/>
      <c r="P303" s="187"/>
      <c r="Q303" s="187"/>
      <c r="R303" s="187"/>
      <c r="S303" s="187"/>
      <c r="T303" s="187"/>
      <c r="U303" s="187"/>
      <c r="V303" s="282"/>
      <c r="W303" s="282"/>
      <c r="X303" s="189"/>
      <c r="Y303" s="189"/>
      <c r="Z303" s="189"/>
      <c r="AA303" s="190"/>
      <c r="AB303" s="186"/>
      <c r="AC303" s="344"/>
      <c r="AD303" s="186"/>
      <c r="AE303" s="186"/>
      <c r="AF303" s="186"/>
      <c r="AG303" s="186"/>
      <c r="AH303" s="186"/>
      <c r="AI303" s="191"/>
      <c r="AJ303" s="191"/>
      <c r="AK303" s="186"/>
      <c r="AL303" s="186"/>
      <c r="AM303" s="186"/>
      <c r="AN303" s="344"/>
      <c r="AO303" s="186"/>
      <c r="AP303" s="193"/>
      <c r="AQ303" s="193"/>
      <c r="AR303" s="191"/>
      <c r="AS303" s="194"/>
      <c r="AT303" s="195"/>
      <c r="AU303" s="425"/>
      <c r="AV303" s="425"/>
      <c r="AW303" s="425"/>
      <c r="AX303" s="425"/>
      <c r="AY303" s="425"/>
      <c r="AZ303" s="425"/>
      <c r="BA303" s="425"/>
      <c r="BB303" s="425"/>
      <c r="BC303" s="440"/>
      <c r="BD303" s="404">
        <f>SUM($AS$4:AS303)</f>
        <v>2640.685000000004</v>
      </c>
      <c r="BE303" s="405">
        <f>SUM($AR$4:AR303)</f>
        <v>4634.3599999999933</v>
      </c>
      <c r="BF303" s="330"/>
      <c r="BG303" s="330"/>
    </row>
    <row r="304" spans="1:59" ht="18" customHeight="1">
      <c r="A304" s="227" t="s">
        <v>1130</v>
      </c>
      <c r="B304" s="181">
        <v>44981</v>
      </c>
      <c r="C304" s="182" t="s">
        <v>1462</v>
      </c>
      <c r="D304" s="182" t="s">
        <v>93</v>
      </c>
      <c r="E304" s="299"/>
      <c r="F304" s="306"/>
      <c r="G304" s="291" t="s">
        <v>739</v>
      </c>
      <c r="H304" s="186"/>
      <c r="I304" s="186"/>
      <c r="J304" s="186"/>
      <c r="K304" s="187"/>
      <c r="L304" s="186">
        <v>1</v>
      </c>
      <c r="M304" s="186"/>
      <c r="N304" s="186"/>
      <c r="O304" s="187" t="s">
        <v>76</v>
      </c>
      <c r="P304" s="187" t="s">
        <v>77</v>
      </c>
      <c r="Q304" s="187" t="s">
        <v>78</v>
      </c>
      <c r="R304" s="187">
        <v>2</v>
      </c>
      <c r="S304" s="187">
        <v>2</v>
      </c>
      <c r="T304" s="187">
        <v>1</v>
      </c>
      <c r="U304" s="187" t="s">
        <v>78</v>
      </c>
      <c r="V304" s="188">
        <f t="shared" si="209"/>
        <v>0.01</v>
      </c>
      <c r="W304" s="188">
        <f>IF(ISBLANK(O304),"",IF(O304=UPPER("IB"),8.63*200,16.2*100))</f>
        <v>1620</v>
      </c>
      <c r="X304" s="189" t="s">
        <v>1463</v>
      </c>
      <c r="Y304" s="189" t="s">
        <v>511</v>
      </c>
      <c r="Z304" s="189"/>
      <c r="AA304" s="190">
        <v>0.23</v>
      </c>
      <c r="AB304" s="186"/>
      <c r="AC304" s="344"/>
      <c r="AD304" s="186">
        <v>28</v>
      </c>
      <c r="AE304" s="186" t="s">
        <v>1464</v>
      </c>
      <c r="AF304" s="186" t="s">
        <v>1465</v>
      </c>
      <c r="AG304" s="186" t="s">
        <v>1466</v>
      </c>
      <c r="AH304" s="186"/>
      <c r="AI304" s="191">
        <f>-0.05*W304</f>
        <v>-81</v>
      </c>
      <c r="AJ304" s="191">
        <f t="shared" ref="AJ304" si="211">AI304*R304</f>
        <v>-162</v>
      </c>
      <c r="AK304" s="186" t="s">
        <v>1467</v>
      </c>
      <c r="AL304" s="186" t="s">
        <v>1468</v>
      </c>
      <c r="AM304" s="186" t="s">
        <v>786</v>
      </c>
      <c r="AN304" s="344" t="s">
        <v>97</v>
      </c>
      <c r="AO304" s="186" t="s">
        <v>1469</v>
      </c>
      <c r="AP304" s="193">
        <v>0.23</v>
      </c>
      <c r="AQ304" s="193">
        <f>IF(ISBLANK(AP304),,IF(U304="S",AA304-AP304,AP304-AA304))</f>
        <v>0</v>
      </c>
      <c r="AR304" s="191">
        <f>AS304*R304</f>
        <v>0</v>
      </c>
      <c r="AS304" s="194">
        <f>IF(ISBLANK(AP304),,(AQ304*W304))</f>
        <v>0</v>
      </c>
      <c r="AT304" s="195" t="s">
        <v>97</v>
      </c>
      <c r="AU304" s="425" t="s">
        <v>1470</v>
      </c>
      <c r="AV304" s="425" t="s">
        <v>1471</v>
      </c>
      <c r="AW304" s="425" t="s">
        <v>1472</v>
      </c>
      <c r="AX304" s="425" t="s">
        <v>969</v>
      </c>
      <c r="AY304" s="425"/>
      <c r="AZ304" s="425"/>
      <c r="BA304" s="425" t="s">
        <v>1473</v>
      </c>
      <c r="BB304" s="425" t="s">
        <v>1474</v>
      </c>
      <c r="BC304" s="440" t="s">
        <v>511</v>
      </c>
      <c r="BD304" s="404">
        <f>SUM($AS$4:AS304)</f>
        <v>2640.685000000004</v>
      </c>
      <c r="BE304" s="405">
        <f>SUM($AR$4:AR304)</f>
        <v>4634.3599999999933</v>
      </c>
      <c r="BF304" s="330"/>
      <c r="BG304" s="330"/>
    </row>
    <row r="305" spans="1:59" ht="18" customHeight="1">
      <c r="A305" s="227" t="s">
        <v>1130</v>
      </c>
      <c r="B305" s="204">
        <v>44985</v>
      </c>
      <c r="C305" s="182" t="s">
        <v>1237</v>
      </c>
      <c r="D305" s="182" t="s">
        <v>128</v>
      </c>
      <c r="E305" s="299" t="s">
        <v>1475</v>
      </c>
      <c r="F305" s="306" t="s">
        <v>1476</v>
      </c>
      <c r="G305" s="185"/>
      <c r="H305" s="186">
        <v>1</v>
      </c>
      <c r="I305" s="186"/>
      <c r="J305" s="186"/>
      <c r="K305" s="187" t="s">
        <v>87</v>
      </c>
      <c r="L305" s="186"/>
      <c r="M305" s="186"/>
      <c r="N305" s="186"/>
      <c r="O305" s="187"/>
      <c r="P305" s="187"/>
      <c r="Q305" s="187"/>
      <c r="R305" s="187"/>
      <c r="S305" s="187"/>
      <c r="T305" s="187"/>
      <c r="U305" s="187"/>
      <c r="V305" s="188" t="str">
        <f t="shared" ref="V305:V306" si="212">IF(ISBLANK(O305),"",(IF(O305=UPPER("IB"),0.005,0.01)))</f>
        <v/>
      </c>
      <c r="W305" s="188" t="str">
        <f t="shared" ref="W305" si="213">IF(ISBLANK(O305),"",IF(O305=UPPER("IB"),8.63*200,16.4*100))</f>
        <v/>
      </c>
      <c r="X305" s="189"/>
      <c r="Y305" s="189"/>
      <c r="Z305" s="189"/>
      <c r="AA305" s="190"/>
      <c r="AB305" s="186"/>
      <c r="AC305" s="344"/>
      <c r="AD305" s="186"/>
      <c r="AE305" s="186"/>
      <c r="AF305" s="186"/>
      <c r="AG305" s="186"/>
      <c r="AH305" s="186"/>
      <c r="AI305" s="191"/>
      <c r="AJ305" s="191"/>
      <c r="AK305" s="186"/>
      <c r="AL305" s="186"/>
      <c r="AM305" s="186"/>
      <c r="AN305" s="344"/>
      <c r="AO305" s="186"/>
      <c r="AP305" s="193"/>
      <c r="AQ305" s="193"/>
      <c r="AR305" s="191"/>
      <c r="AS305" s="194"/>
      <c r="AT305" s="195"/>
      <c r="AU305" s="425"/>
      <c r="AV305" s="425"/>
      <c r="AW305" s="425"/>
      <c r="AX305" s="425"/>
      <c r="AY305" s="425"/>
      <c r="AZ305" s="425"/>
      <c r="BA305" s="425"/>
      <c r="BB305" s="425"/>
      <c r="BC305" s="440"/>
      <c r="BD305" s="404">
        <f>SUM($AS$4:AS305)</f>
        <v>2640.685000000004</v>
      </c>
      <c r="BE305" s="405">
        <f>SUM($AR$4:AR305)</f>
        <v>4634.3599999999933</v>
      </c>
      <c r="BF305" s="330"/>
      <c r="BG305" s="330"/>
    </row>
    <row r="306" spans="1:59" ht="18" customHeight="1">
      <c r="A306" s="227" t="s">
        <v>1130</v>
      </c>
      <c r="B306" s="204">
        <v>44985</v>
      </c>
      <c r="C306" s="182" t="s">
        <v>664</v>
      </c>
      <c r="D306" s="182"/>
      <c r="E306" s="299"/>
      <c r="F306" s="306"/>
      <c r="G306" s="185" t="s">
        <v>1373</v>
      </c>
      <c r="H306" s="186"/>
      <c r="I306" s="186"/>
      <c r="J306" s="186"/>
      <c r="K306" s="187"/>
      <c r="L306" s="186">
        <v>1</v>
      </c>
      <c r="M306" s="186"/>
      <c r="N306" s="186"/>
      <c r="O306" s="187" t="s">
        <v>76</v>
      </c>
      <c r="P306" s="187" t="s">
        <v>119</v>
      </c>
      <c r="Q306" s="187" t="s">
        <v>666</v>
      </c>
      <c r="R306" s="187">
        <v>2</v>
      </c>
      <c r="S306" s="187">
        <v>2</v>
      </c>
      <c r="T306" s="187">
        <v>2</v>
      </c>
      <c r="U306" s="187" t="s">
        <v>78</v>
      </c>
      <c r="V306" s="188">
        <f t="shared" si="212"/>
        <v>0.01</v>
      </c>
      <c r="W306" s="188">
        <f>IF(ISBLANK(O306),"",IF(O306=UPPER("IB"),8.63*200,16.2*100))</f>
        <v>1620</v>
      </c>
      <c r="X306" s="189" t="s">
        <v>1078</v>
      </c>
      <c r="Y306" s="189"/>
      <c r="Z306" s="189"/>
      <c r="AA306" s="190">
        <v>95.92</v>
      </c>
      <c r="AB306" s="186"/>
      <c r="AC306" s="344"/>
      <c r="AD306" s="186"/>
      <c r="AE306" s="186"/>
      <c r="AF306" s="186"/>
      <c r="AG306" s="186"/>
      <c r="AH306" s="186"/>
      <c r="AI306" s="191">
        <f>-0.03*W306</f>
        <v>-48.6</v>
      </c>
      <c r="AJ306" s="191">
        <f t="shared" ref="AJ306" si="214">AI306*R306</f>
        <v>-97.2</v>
      </c>
      <c r="AK306" s="186"/>
      <c r="AL306" s="186"/>
      <c r="AM306" s="186" t="s">
        <v>1477</v>
      </c>
      <c r="AN306" s="344" t="s">
        <v>376</v>
      </c>
      <c r="AO306" s="186" t="s">
        <v>664</v>
      </c>
      <c r="AP306" s="193">
        <v>95.94</v>
      </c>
      <c r="AQ306" s="193">
        <f>IF(ISBLANK(AP306),,IF(U306="S",AA306-AP306,AP306-AA306))</f>
        <v>-1.9999999999996021E-2</v>
      </c>
      <c r="AR306" s="191">
        <f>AS306*R306</f>
        <v>-64.799999999987108</v>
      </c>
      <c r="AS306" s="194">
        <f>IF(ISBLANK(AP306),,(AQ306*W306))</f>
        <v>-32.399999999993554</v>
      </c>
      <c r="AT306" s="195" t="s">
        <v>211</v>
      </c>
      <c r="AU306" s="425" t="s">
        <v>1478</v>
      </c>
      <c r="AV306" s="425" t="s">
        <v>1479</v>
      </c>
      <c r="AW306" s="425"/>
      <c r="AX306" s="425" t="s">
        <v>1480</v>
      </c>
      <c r="AY306" s="425" t="s">
        <v>1481</v>
      </c>
      <c r="AZ306" s="425" t="s">
        <v>511</v>
      </c>
      <c r="BA306" s="425" t="s">
        <v>1482</v>
      </c>
      <c r="BB306" s="425" t="s">
        <v>1483</v>
      </c>
      <c r="BC306" s="440" t="s">
        <v>511</v>
      </c>
      <c r="BD306" s="404">
        <f>SUM($AS$4:AS306)</f>
        <v>2608.2850000000103</v>
      </c>
      <c r="BE306" s="405">
        <f>SUM($AR$4:AR306)</f>
        <v>4569.5600000000059</v>
      </c>
      <c r="BF306" s="330"/>
      <c r="BG306" s="330"/>
    </row>
    <row r="307" spans="1:59" ht="18" customHeight="1">
      <c r="A307" s="181" t="s">
        <v>1130</v>
      </c>
      <c r="B307" s="181">
        <v>44985</v>
      </c>
      <c r="C307" s="182" t="s">
        <v>611</v>
      </c>
      <c r="D307" s="182" t="s">
        <v>128</v>
      </c>
      <c r="E307" s="299"/>
      <c r="F307" s="306"/>
      <c r="G307" s="291" t="s">
        <v>115</v>
      </c>
      <c r="H307" s="186"/>
      <c r="I307" s="186"/>
      <c r="J307" s="186"/>
      <c r="K307" s="187"/>
      <c r="L307" s="186">
        <v>1</v>
      </c>
      <c r="M307" s="186"/>
      <c r="N307" s="186"/>
      <c r="O307" s="187" t="s">
        <v>76</v>
      </c>
      <c r="P307" s="187" t="s">
        <v>77</v>
      </c>
      <c r="Q307" s="187" t="s">
        <v>78</v>
      </c>
      <c r="R307" s="187">
        <v>3</v>
      </c>
      <c r="S307" s="187">
        <v>3</v>
      </c>
      <c r="T307" s="187">
        <v>3</v>
      </c>
      <c r="U307" s="187" t="s">
        <v>22</v>
      </c>
      <c r="V307" s="188">
        <f t="shared" ref="V307" si="215">IF(ISBLANK(O307),"",(IF(O307=UPPER("IB"),0.005,0.01)))</f>
        <v>0.01</v>
      </c>
      <c r="W307" s="188">
        <f>IF(ISBLANK(O307),"",IF(O307=UPPER("IB"),8.63*200,16.2*100))</f>
        <v>1620</v>
      </c>
      <c r="X307" s="189"/>
      <c r="Y307" s="189"/>
      <c r="Z307" s="189" t="s">
        <v>1484</v>
      </c>
      <c r="AA307" s="190">
        <v>0.01</v>
      </c>
      <c r="AB307" s="186"/>
      <c r="AC307" s="344"/>
      <c r="AD307" s="186"/>
      <c r="AE307" s="186" t="s">
        <v>1485</v>
      </c>
      <c r="AF307" s="186" t="s">
        <v>1486</v>
      </c>
      <c r="AG307" s="186"/>
      <c r="AH307" s="186"/>
      <c r="AI307" s="191">
        <f>-0.03*W307</f>
        <v>-48.6</v>
      </c>
      <c r="AJ307" s="191">
        <f t="shared" ref="AJ307" si="216">AI307*R307</f>
        <v>-145.80000000000001</v>
      </c>
      <c r="AK307" s="186"/>
      <c r="AL307" s="186"/>
      <c r="AM307" s="186" t="s">
        <v>752</v>
      </c>
      <c r="AN307" s="344" t="s">
        <v>97</v>
      </c>
      <c r="AO307" s="186" t="s">
        <v>1487</v>
      </c>
      <c r="AP307" s="193">
        <v>0.01</v>
      </c>
      <c r="AQ307" s="193">
        <f>IF(ISBLANK(AP307),,IF(U307="S",AA307-AP307,AP307-AA307))</f>
        <v>0</v>
      </c>
      <c r="AR307" s="191">
        <f>AS307*R307</f>
        <v>0</v>
      </c>
      <c r="AS307" s="194">
        <f>IF(ISBLANK(AP307),,(AQ307*W307))</f>
        <v>0</v>
      </c>
      <c r="AT307" s="195" t="s">
        <v>97</v>
      </c>
      <c r="AU307" s="425" t="s">
        <v>1488</v>
      </c>
      <c r="AV307" s="425"/>
      <c r="AW307" s="425"/>
      <c r="AX307" s="425"/>
      <c r="AY307" s="425"/>
      <c r="AZ307" s="425"/>
      <c r="BA307" s="425"/>
      <c r="BB307" s="425"/>
      <c r="BC307" s="440"/>
      <c r="BD307" s="404">
        <f>SUM($AS$4:AS307)</f>
        <v>2608.2850000000103</v>
      </c>
      <c r="BE307" s="405">
        <f>SUM($AR$4:AR307)</f>
        <v>4569.5600000000059</v>
      </c>
      <c r="BF307" s="330"/>
      <c r="BG307" s="330"/>
    </row>
    <row r="308" spans="1:59" ht="18" customHeight="1">
      <c r="A308" s="181" t="s">
        <v>1130</v>
      </c>
      <c r="B308" s="181">
        <v>44985</v>
      </c>
      <c r="C308" s="182" t="s">
        <v>1489</v>
      </c>
      <c r="D308" s="182" t="s">
        <v>128</v>
      </c>
      <c r="E308" s="299"/>
      <c r="F308" s="306"/>
      <c r="G308" s="291" t="s">
        <v>535</v>
      </c>
      <c r="H308" s="186"/>
      <c r="I308" s="186"/>
      <c r="J308" s="186"/>
      <c r="K308" s="187"/>
      <c r="L308" s="186">
        <v>1</v>
      </c>
      <c r="M308" s="186"/>
      <c r="N308" s="186"/>
      <c r="O308" s="187" t="s">
        <v>76</v>
      </c>
      <c r="P308" s="187" t="s">
        <v>119</v>
      </c>
      <c r="Q308" s="187" t="s">
        <v>78</v>
      </c>
      <c r="R308" s="187">
        <v>7</v>
      </c>
      <c r="S308" s="187">
        <v>7</v>
      </c>
      <c r="T308" s="187">
        <v>7</v>
      </c>
      <c r="U308" s="187" t="s">
        <v>78</v>
      </c>
      <c r="V308" s="188">
        <f t="shared" ref="V308" si="217">IF(ISBLANK(O308),"",(IF(O308=UPPER("IB"),0.005,0.01)))</f>
        <v>0.01</v>
      </c>
      <c r="W308" s="188">
        <f>IF(ISBLANK(O308),"",IF(O308=UPPER("IB"),8.63*200,16.2*100))</f>
        <v>1620</v>
      </c>
      <c r="X308" s="189" t="s">
        <v>1400</v>
      </c>
      <c r="Y308" s="189"/>
      <c r="Z308" s="189" t="s">
        <v>1490</v>
      </c>
      <c r="AA308" s="190">
        <v>-0.1</v>
      </c>
      <c r="AB308" s="186"/>
      <c r="AC308" s="344">
        <v>-7</v>
      </c>
      <c r="AD308" s="186"/>
      <c r="AE308" s="186" t="s">
        <v>1491</v>
      </c>
      <c r="AF308" s="186" t="s">
        <v>1492</v>
      </c>
      <c r="AG308" s="186" t="s">
        <v>511</v>
      </c>
      <c r="AH308" s="186"/>
      <c r="AI308" s="191">
        <f>-0.03*W308</f>
        <v>-48.6</v>
      </c>
      <c r="AJ308" s="191">
        <f t="shared" ref="AJ308" si="218">AI308*R308</f>
        <v>-340.2</v>
      </c>
      <c r="AK308" s="209" t="s">
        <v>1493</v>
      </c>
      <c r="AL308" s="209" t="s">
        <v>1494</v>
      </c>
      <c r="AM308" s="186" t="s">
        <v>884</v>
      </c>
      <c r="AN308" s="344" t="s">
        <v>77</v>
      </c>
      <c r="AO308" s="186" t="s">
        <v>1495</v>
      </c>
      <c r="AP308" s="193">
        <v>-0.08</v>
      </c>
      <c r="AQ308" s="193">
        <f>IF(ISBLANK(AP308),,IF(U308="S",AA308-AP308,AP308-AA308))</f>
        <v>-2.0000000000000004E-2</v>
      </c>
      <c r="AR308" s="191">
        <f>AS308*R308</f>
        <v>-226.80000000000004</v>
      </c>
      <c r="AS308" s="194">
        <f>IF(ISBLANK(AP308),,(AQ308*W308))</f>
        <v>-32.400000000000006</v>
      </c>
      <c r="AT308" s="195" t="s">
        <v>211</v>
      </c>
      <c r="AU308" s="431" t="s">
        <v>1496</v>
      </c>
      <c r="AV308" s="425"/>
      <c r="AW308" s="431"/>
      <c r="AX308" s="425"/>
      <c r="AY308" s="425"/>
      <c r="AZ308" s="425"/>
      <c r="BA308" s="425"/>
      <c r="BB308" s="425"/>
      <c r="BC308" s="440"/>
      <c r="BD308" s="404">
        <f>SUM($AS$4:AS308)</f>
        <v>2575.8850000000102</v>
      </c>
      <c r="BE308" s="405">
        <f>SUM($AR$4:AR308)</f>
        <v>4342.7600000000057</v>
      </c>
      <c r="BF308" s="330"/>
      <c r="BG308" s="330"/>
    </row>
    <row r="309" spans="1:59" ht="18" customHeight="1">
      <c r="A309" s="181" t="s">
        <v>1130</v>
      </c>
      <c r="B309" s="204"/>
      <c r="C309" s="182"/>
      <c r="D309" s="182"/>
      <c r="E309" s="299"/>
      <c r="F309" s="306"/>
      <c r="G309" s="185"/>
      <c r="H309" s="186"/>
      <c r="I309" s="186"/>
      <c r="J309" s="186"/>
      <c r="K309" s="187"/>
      <c r="L309" s="186"/>
      <c r="M309" s="186"/>
      <c r="N309" s="186"/>
      <c r="O309" s="187"/>
      <c r="P309" s="187"/>
      <c r="Q309" s="187"/>
      <c r="R309" s="187"/>
      <c r="S309" s="187"/>
      <c r="T309" s="187"/>
      <c r="U309" s="187"/>
      <c r="V309" s="188" t="str">
        <f t="shared" ref="V309:V314" si="219">IF(ISBLANK(O309),"",(IF(O309=UPPER("IB"),0.005,0.01)))</f>
        <v/>
      </c>
      <c r="W309" s="188" t="str">
        <f t="shared" ref="W309:W314" si="220">IF(ISBLANK(O309),"",IF(O309=UPPER("IB"),8.63*200,16.2*100))</f>
        <v/>
      </c>
      <c r="X309" s="189"/>
      <c r="Y309" s="189"/>
      <c r="Z309" s="189"/>
      <c r="AA309" s="190"/>
      <c r="AB309" s="186"/>
      <c r="AC309" s="344"/>
      <c r="AD309" s="186"/>
      <c r="AE309" s="186"/>
      <c r="AF309" s="186"/>
      <c r="AG309" s="186"/>
      <c r="AH309" s="186"/>
      <c r="AI309" s="191"/>
      <c r="AJ309" s="191"/>
      <c r="AK309" s="186"/>
      <c r="AL309" s="186"/>
      <c r="AM309" s="186"/>
      <c r="AN309" s="344"/>
      <c r="AO309" s="186"/>
      <c r="AP309" s="193"/>
      <c r="AQ309" s="193"/>
      <c r="AR309" s="191"/>
      <c r="AS309" s="194"/>
      <c r="AT309" s="195"/>
      <c r="AU309" s="425"/>
      <c r="AV309" s="425"/>
      <c r="AW309" s="425"/>
      <c r="AX309" s="425"/>
      <c r="AY309" s="425"/>
      <c r="AZ309" s="425"/>
      <c r="BA309" s="425"/>
      <c r="BB309" s="425"/>
      <c r="BC309" s="440"/>
      <c r="BD309" s="404">
        <f>SUM($AS$4:AS309)</f>
        <v>2575.8850000000102</v>
      </c>
      <c r="BE309" s="405">
        <f>SUM($AR$4:AR309)</f>
        <v>4342.7600000000057</v>
      </c>
      <c r="BF309" s="330"/>
      <c r="BG309" s="330"/>
    </row>
    <row r="310" spans="1:59" ht="18" customHeight="1">
      <c r="A310" s="181" t="s">
        <v>1130</v>
      </c>
      <c r="B310" s="204"/>
      <c r="C310" s="205"/>
      <c r="D310" s="182"/>
      <c r="E310" s="254"/>
      <c r="F310" s="207"/>
      <c r="G310" s="208"/>
      <c r="H310" s="209"/>
      <c r="I310" s="209"/>
      <c r="J310" s="209"/>
      <c r="K310" s="210"/>
      <c r="L310" s="209"/>
      <c r="M310" s="209"/>
      <c r="N310" s="209"/>
      <c r="O310" s="210"/>
      <c r="P310" s="210"/>
      <c r="Q310" s="210"/>
      <c r="R310" s="210"/>
      <c r="S310" s="210"/>
      <c r="T310" s="210"/>
      <c r="U310" s="210"/>
      <c r="V310" s="188" t="str">
        <f t="shared" si="219"/>
        <v/>
      </c>
      <c r="W310" s="188" t="str">
        <f t="shared" si="220"/>
        <v/>
      </c>
      <c r="X310" s="212"/>
      <c r="Y310" s="212"/>
      <c r="Z310" s="212"/>
      <c r="AA310" s="213"/>
      <c r="AB310" s="209"/>
      <c r="AC310" s="345"/>
      <c r="AD310" s="209"/>
      <c r="AE310" s="209"/>
      <c r="AF310" s="209"/>
      <c r="AG310" s="209"/>
      <c r="AH310" s="209"/>
      <c r="AI310" s="191"/>
      <c r="AJ310" s="191"/>
      <c r="AK310" s="209"/>
      <c r="AL310" s="209"/>
      <c r="AM310" s="209"/>
      <c r="AN310" s="345"/>
      <c r="AO310" s="209"/>
      <c r="AP310" s="215"/>
      <c r="AQ310" s="193"/>
      <c r="AR310" s="191"/>
      <c r="AS310" s="194"/>
      <c r="AT310" s="217"/>
      <c r="AU310" s="435" t="s">
        <v>1497</v>
      </c>
      <c r="AV310" s="435" t="s">
        <v>1498</v>
      </c>
      <c r="AW310" s="435" t="s">
        <v>1499</v>
      </c>
      <c r="AX310" s="435" t="s">
        <v>1500</v>
      </c>
      <c r="AY310" s="435" t="s">
        <v>1501</v>
      </c>
      <c r="AZ310" s="435" t="s">
        <v>1502</v>
      </c>
      <c r="BA310" s="431" t="s">
        <v>511</v>
      </c>
      <c r="BB310" s="431"/>
      <c r="BC310" s="445"/>
      <c r="BD310" s="404">
        <f>SUM($AS$4:AS310)</f>
        <v>2575.8850000000102</v>
      </c>
      <c r="BE310" s="405">
        <f>SUM($AR$4:AR310)</f>
        <v>4342.7600000000057</v>
      </c>
      <c r="BF310" s="330"/>
      <c r="BG310" s="330"/>
    </row>
    <row r="311" spans="1:59" ht="18" customHeight="1">
      <c r="A311" s="281" t="s">
        <v>1503</v>
      </c>
      <c r="B311" s="281"/>
      <c r="C311" s="218"/>
      <c r="D311" s="218"/>
      <c r="E311" s="219"/>
      <c r="F311" s="220"/>
      <c r="G311" s="218"/>
      <c r="H311" s="218"/>
      <c r="I311" s="218"/>
      <c r="J311" s="218"/>
      <c r="K311" s="221"/>
      <c r="L311" s="218"/>
      <c r="M311" s="218"/>
      <c r="N311" s="218"/>
      <c r="O311" s="221"/>
      <c r="P311" s="221"/>
      <c r="Q311" s="221"/>
      <c r="R311" s="221"/>
      <c r="S311" s="221"/>
      <c r="T311" s="221"/>
      <c r="U311" s="221"/>
      <c r="V311" s="222" t="str">
        <f t="shared" si="219"/>
        <v/>
      </c>
      <c r="W311" s="222" t="str">
        <f t="shared" si="220"/>
        <v/>
      </c>
      <c r="X311" s="222"/>
      <c r="Y311" s="222"/>
      <c r="Z311" s="222"/>
      <c r="AA311" s="223"/>
      <c r="AB311" s="218"/>
      <c r="AC311" s="346"/>
      <c r="AD311" s="218"/>
      <c r="AE311" s="218"/>
      <c r="AF311" s="218"/>
      <c r="AG311" s="218"/>
      <c r="AH311" s="218"/>
      <c r="AI311" s="218"/>
      <c r="AJ311" s="218"/>
      <c r="AK311" s="218"/>
      <c r="AL311" s="218"/>
      <c r="AM311" s="218"/>
      <c r="AN311" s="346"/>
      <c r="AO311" s="218"/>
      <c r="AP311" s="225"/>
      <c r="AQ311" s="225"/>
      <c r="AR311" s="225"/>
      <c r="AS311" s="225"/>
      <c r="AT311" s="226"/>
      <c r="AU311" s="432"/>
      <c r="AV311" s="432"/>
      <c r="AW311" s="432"/>
      <c r="AX311" s="432"/>
      <c r="AY311" s="432"/>
      <c r="AZ311" s="432"/>
      <c r="BA311" s="432"/>
      <c r="BB311" s="432"/>
      <c r="BC311" s="432"/>
      <c r="BD311" s="404">
        <f>SUM($AS$4:AS311)</f>
        <v>2575.8850000000102</v>
      </c>
      <c r="BE311" s="405">
        <f>SUM($AR$4:AR311)</f>
        <v>4342.7600000000057</v>
      </c>
      <c r="BF311" s="330"/>
      <c r="BG311" s="330"/>
    </row>
    <row r="312" spans="1:59" ht="18" customHeight="1">
      <c r="A312" s="227" t="s">
        <v>1504</v>
      </c>
      <c r="B312" s="227">
        <v>44986</v>
      </c>
      <c r="C312" s="229" t="s">
        <v>1418</v>
      </c>
      <c r="D312" s="229" t="s">
        <v>133</v>
      </c>
      <c r="E312" s="299" t="s">
        <v>1505</v>
      </c>
      <c r="F312" s="231" t="s">
        <v>1506</v>
      </c>
      <c r="G312" s="232"/>
      <c r="H312" s="169"/>
      <c r="I312" s="169"/>
      <c r="J312" s="169"/>
      <c r="K312" s="172" t="s">
        <v>97</v>
      </c>
      <c r="L312" s="169"/>
      <c r="M312" s="169"/>
      <c r="N312" s="169"/>
      <c r="O312" s="172"/>
      <c r="P312" s="172"/>
      <c r="Q312" s="172"/>
      <c r="R312" s="172"/>
      <c r="S312" s="172"/>
      <c r="T312" s="172"/>
      <c r="U312" s="172"/>
      <c r="V312" s="188" t="str">
        <f t="shared" si="219"/>
        <v/>
      </c>
      <c r="W312" s="188" t="str">
        <f t="shared" si="220"/>
        <v/>
      </c>
      <c r="X312" s="175"/>
      <c r="Y312" s="175"/>
      <c r="Z312" s="175"/>
      <c r="AA312" s="176"/>
      <c r="AB312" s="169"/>
      <c r="AC312" s="343"/>
      <c r="AD312" s="169"/>
      <c r="AE312" s="169"/>
      <c r="AF312" s="169"/>
      <c r="AG312" s="169"/>
      <c r="AH312" s="169"/>
      <c r="AI312" s="191"/>
      <c r="AJ312" s="191"/>
      <c r="AK312" s="169"/>
      <c r="AL312" s="169"/>
      <c r="AM312" s="169"/>
      <c r="AN312" s="343"/>
      <c r="AO312" s="169"/>
      <c r="AP312" s="178"/>
      <c r="AQ312" s="193"/>
      <c r="AR312" s="191"/>
      <c r="AS312" s="194"/>
      <c r="AT312" s="180"/>
      <c r="AU312" s="429" t="s">
        <v>1507</v>
      </c>
      <c r="AV312" s="429" t="s">
        <v>511</v>
      </c>
      <c r="AW312" s="429"/>
      <c r="AX312" s="429"/>
      <c r="AY312" s="429"/>
      <c r="AZ312" s="429"/>
      <c r="BA312" s="429"/>
      <c r="BB312" s="429"/>
      <c r="BC312" s="439"/>
      <c r="BD312" s="404">
        <f>SUM($AS$4:AS312)</f>
        <v>2575.8850000000102</v>
      </c>
      <c r="BE312" s="405">
        <f>SUM($AR$4:AR312)</f>
        <v>4342.7600000000057</v>
      </c>
      <c r="BF312" s="330"/>
      <c r="BG312" s="330"/>
    </row>
    <row r="313" spans="1:59" ht="18" customHeight="1">
      <c r="A313" s="227" t="s">
        <v>1504</v>
      </c>
      <c r="B313" s="204"/>
      <c r="C313" s="182"/>
      <c r="D313" s="182"/>
      <c r="E313" s="299" t="s">
        <v>1508</v>
      </c>
      <c r="F313" s="184" t="s">
        <v>1509</v>
      </c>
      <c r="G313" s="185"/>
      <c r="H313" s="186"/>
      <c r="I313" s="186"/>
      <c r="J313" s="186"/>
      <c r="K313" s="187" t="s">
        <v>97</v>
      </c>
      <c r="L313" s="186"/>
      <c r="M313" s="186"/>
      <c r="N313" s="186"/>
      <c r="O313" s="187"/>
      <c r="P313" s="187"/>
      <c r="Q313" s="187"/>
      <c r="R313" s="187"/>
      <c r="S313" s="187"/>
      <c r="T313" s="187"/>
      <c r="U313" s="187"/>
      <c r="V313" s="188" t="str">
        <f t="shared" si="219"/>
        <v/>
      </c>
      <c r="W313" s="188" t="str">
        <f t="shared" si="220"/>
        <v/>
      </c>
      <c r="X313" s="189"/>
      <c r="Y313" s="189"/>
      <c r="Z313" s="189"/>
      <c r="AA313" s="190"/>
      <c r="AB313" s="186"/>
      <c r="AC313" s="344"/>
      <c r="AD313" s="186"/>
      <c r="AE313" s="186"/>
      <c r="AF313" s="186"/>
      <c r="AG313" s="186"/>
      <c r="AH313" s="186"/>
      <c r="AI313" s="191"/>
      <c r="AJ313" s="191"/>
      <c r="AK313" s="186"/>
      <c r="AL313" s="186"/>
      <c r="AM313" s="186"/>
      <c r="AN313" s="344"/>
      <c r="AO313" s="186"/>
      <c r="AP313" s="193"/>
      <c r="AQ313" s="193"/>
      <c r="AR313" s="191"/>
      <c r="AS313" s="194"/>
      <c r="AT313" s="195"/>
      <c r="AU313" s="425"/>
      <c r="AV313" s="425"/>
      <c r="AW313" s="425"/>
      <c r="AX313" s="425"/>
      <c r="AY313" s="425"/>
      <c r="AZ313" s="425"/>
      <c r="BA313" s="425"/>
      <c r="BB313" s="425"/>
      <c r="BC313" s="440"/>
      <c r="BD313" s="404">
        <f>SUM($AS$4:AS313)</f>
        <v>2575.8850000000102</v>
      </c>
      <c r="BE313" s="405">
        <f>SUM($AR$4:AR313)</f>
        <v>4342.7600000000057</v>
      </c>
      <c r="BF313" s="330"/>
      <c r="BG313" s="330"/>
    </row>
    <row r="314" spans="1:59" ht="15">
      <c r="A314" s="227" t="s">
        <v>1504</v>
      </c>
      <c r="B314" s="204">
        <v>44986</v>
      </c>
      <c r="C314" s="205" t="s">
        <v>664</v>
      </c>
      <c r="D314" s="229" t="s">
        <v>133</v>
      </c>
      <c r="E314" s="480"/>
      <c r="F314" s="207"/>
      <c r="G314" s="208" t="s">
        <v>1510</v>
      </c>
      <c r="H314" s="209"/>
      <c r="I314" s="209"/>
      <c r="J314" s="209"/>
      <c r="K314" s="210"/>
      <c r="L314" s="209">
        <v>2</v>
      </c>
      <c r="M314" s="209"/>
      <c r="N314" s="209"/>
      <c r="O314" s="210" t="s">
        <v>76</v>
      </c>
      <c r="P314" s="210" t="s">
        <v>77</v>
      </c>
      <c r="Q314" s="210" t="s">
        <v>666</v>
      </c>
      <c r="R314" s="210">
        <v>1</v>
      </c>
      <c r="S314" s="210">
        <v>1</v>
      </c>
      <c r="T314" s="210">
        <v>1</v>
      </c>
      <c r="U314" s="210" t="s">
        <v>22</v>
      </c>
      <c r="V314" s="188">
        <f t="shared" si="219"/>
        <v>0.01</v>
      </c>
      <c r="W314" s="188">
        <f t="shared" si="220"/>
        <v>1620</v>
      </c>
      <c r="X314" s="212" t="s">
        <v>1511</v>
      </c>
      <c r="Y314" s="212" t="s">
        <v>511</v>
      </c>
      <c r="Z314" s="212"/>
      <c r="AA314" s="213">
        <v>95.6</v>
      </c>
      <c r="AB314" s="209"/>
      <c r="AC314" s="345"/>
      <c r="AD314" s="209"/>
      <c r="AE314" s="209"/>
      <c r="AF314" s="209"/>
      <c r="AG314" s="209"/>
      <c r="AH314" s="209"/>
      <c r="AI314" s="191"/>
      <c r="AJ314" s="191"/>
      <c r="AK314" s="209"/>
      <c r="AL314" s="209"/>
      <c r="AM314" s="209" t="s">
        <v>1512</v>
      </c>
      <c r="AN314" s="345" t="s">
        <v>376</v>
      </c>
      <c r="AO314" s="209" t="s">
        <v>664</v>
      </c>
      <c r="AP314" s="215">
        <v>95.68</v>
      </c>
      <c r="AQ314" s="193">
        <f t="shared" ref="AQ314" si="221">IF(ISBLANK(AP314),,IF(U314="S",AA314-AP314,AP314-AA314))</f>
        <v>8.0000000000012506E-2</v>
      </c>
      <c r="AR314" s="191">
        <f t="shared" ref="AR314" si="222">AS314*R314</f>
        <v>129.60000000002026</v>
      </c>
      <c r="AS314" s="194">
        <f t="shared" ref="AS314" si="223">IF(ISBLANK(AP314),,(AQ314*W314))</f>
        <v>129.60000000002026</v>
      </c>
      <c r="AT314" s="217" t="s">
        <v>77</v>
      </c>
      <c r="AU314" s="481" t="s">
        <v>1513</v>
      </c>
      <c r="AV314" s="481" t="s">
        <v>1514</v>
      </c>
      <c r="AW314" s="481" t="s">
        <v>511</v>
      </c>
      <c r="AX314" s="481"/>
      <c r="AY314" s="481"/>
      <c r="AZ314" s="481"/>
      <c r="BA314" s="481"/>
      <c r="BB314" s="481"/>
      <c r="BC314" s="482"/>
      <c r="BD314" s="404">
        <f>SUM($AS$4:AS314)</f>
        <v>2705.4850000000306</v>
      </c>
      <c r="BE314" s="405">
        <f>SUM($AR$4:AR314)</f>
        <v>4472.360000000026</v>
      </c>
      <c r="BF314" s="330"/>
      <c r="BG314" s="330"/>
    </row>
    <row r="315" spans="1:59" ht="15">
      <c r="A315" s="227" t="s">
        <v>1504</v>
      </c>
      <c r="B315" s="204" t="s">
        <v>1515</v>
      </c>
      <c r="C315" s="205" t="s">
        <v>1516</v>
      </c>
      <c r="D315" s="229" t="s">
        <v>133</v>
      </c>
      <c r="E315" s="254"/>
      <c r="F315" s="207"/>
      <c r="G315" s="185" t="s">
        <v>535</v>
      </c>
      <c r="H315" s="209"/>
      <c r="I315" s="209"/>
      <c r="J315" s="209"/>
      <c r="K315" s="210"/>
      <c r="L315" s="209"/>
      <c r="M315" s="209"/>
      <c r="N315" s="209"/>
      <c r="O315" s="210"/>
      <c r="P315" s="210"/>
      <c r="Q315" s="210"/>
      <c r="R315" s="210"/>
      <c r="S315" s="210"/>
      <c r="T315" s="210"/>
      <c r="U315" s="210"/>
      <c r="V315" s="188"/>
      <c r="W315" s="188"/>
      <c r="X315" s="212"/>
      <c r="Y315" s="315"/>
      <c r="Z315" s="212"/>
      <c r="AA315" s="213"/>
      <c r="AB315" s="209"/>
      <c r="AC315" s="345"/>
      <c r="AD315" s="209"/>
      <c r="AE315" s="209"/>
      <c r="AF315" s="209"/>
      <c r="AG315" s="209"/>
      <c r="AH315" s="209"/>
      <c r="AI315" s="191"/>
      <c r="AJ315" s="191"/>
      <c r="AK315" s="209"/>
      <c r="AL315" s="209"/>
      <c r="AM315" s="209"/>
      <c r="AN315" s="345"/>
      <c r="AO315" s="209"/>
      <c r="AP315" s="215"/>
      <c r="AQ315" s="193"/>
      <c r="AR315" s="191"/>
      <c r="AS315" s="194"/>
      <c r="AT315" s="217"/>
      <c r="AU315" s="431" t="s">
        <v>1496</v>
      </c>
      <c r="AV315" s="431" t="s">
        <v>1517</v>
      </c>
      <c r="AW315" s="431"/>
      <c r="AX315" s="431"/>
      <c r="AY315" s="431"/>
      <c r="AZ315" s="431"/>
      <c r="BA315" s="431"/>
      <c r="BB315" s="431"/>
      <c r="BC315" s="445"/>
      <c r="BD315" s="404">
        <f>SUM($AS$4:AS315)</f>
        <v>2705.4850000000306</v>
      </c>
      <c r="BE315" s="405">
        <f>SUM($AR$4:AR315)</f>
        <v>4472.360000000026</v>
      </c>
      <c r="BF315" s="330"/>
      <c r="BG315" s="330"/>
    </row>
    <row r="316" spans="1:59" ht="15">
      <c r="A316" s="227" t="s">
        <v>1504</v>
      </c>
      <c r="B316" s="204">
        <v>44986</v>
      </c>
      <c r="C316" s="205" t="s">
        <v>664</v>
      </c>
      <c r="D316" s="229" t="s">
        <v>133</v>
      </c>
      <c r="E316" s="480"/>
      <c r="F316" s="207"/>
      <c r="G316" s="327" t="s">
        <v>253</v>
      </c>
      <c r="H316" s="209"/>
      <c r="I316" s="209"/>
      <c r="J316" s="209"/>
      <c r="K316" s="210"/>
      <c r="L316" s="209">
        <v>1</v>
      </c>
      <c r="M316" s="209"/>
      <c r="N316" s="209"/>
      <c r="O316" s="210" t="s">
        <v>76</v>
      </c>
      <c r="P316" s="210" t="s">
        <v>119</v>
      </c>
      <c r="Q316" s="210" t="s">
        <v>78</v>
      </c>
      <c r="R316" s="210">
        <v>7</v>
      </c>
      <c r="S316" s="210">
        <v>7</v>
      </c>
      <c r="T316" s="210">
        <v>7</v>
      </c>
      <c r="U316" s="210" t="s">
        <v>78</v>
      </c>
      <c r="V316" s="188">
        <f t="shared" ref="V316" si="224">IF(ISBLANK(O316),"",(IF(O316=UPPER("IB"),0.005,0.01)))</f>
        <v>0.01</v>
      </c>
      <c r="W316" s="188">
        <f t="shared" ref="W316:W321" si="225">IF(ISBLANK(O316),"",IF(O316=UPPER("IB"),8.63*200,16.1*100))</f>
        <v>1610.0000000000002</v>
      </c>
      <c r="X316" s="212" t="s">
        <v>1518</v>
      </c>
      <c r="Y316" s="212" t="s">
        <v>1519</v>
      </c>
      <c r="Z316" s="212" t="s">
        <v>1520</v>
      </c>
      <c r="AA316" s="213">
        <v>-0.14000000000000001</v>
      </c>
      <c r="AB316" s="209"/>
      <c r="AC316" s="345">
        <v>-10</v>
      </c>
      <c r="AD316" s="209"/>
      <c r="AE316" s="209">
        <v>-15</v>
      </c>
      <c r="AF316" s="209" t="s">
        <v>1521</v>
      </c>
      <c r="AG316" s="209" t="s">
        <v>511</v>
      </c>
      <c r="AH316" s="209"/>
      <c r="AI316" s="191">
        <f>-0.04*W316</f>
        <v>-64.400000000000006</v>
      </c>
      <c r="AJ316" s="191">
        <f t="shared" ref="AJ316:AJ317" si="226">AI316*R316</f>
        <v>-450.80000000000007</v>
      </c>
      <c r="AK316" s="209" t="s">
        <v>1467</v>
      </c>
      <c r="AL316" s="209" t="s">
        <v>1522</v>
      </c>
      <c r="AM316" s="209" t="s">
        <v>571</v>
      </c>
      <c r="AN316" s="345" t="s">
        <v>97</v>
      </c>
      <c r="AO316" s="209" t="s">
        <v>1523</v>
      </c>
      <c r="AP316" s="215">
        <v>-0.1</v>
      </c>
      <c r="AQ316" s="193">
        <f t="shared" ref="AQ316:AQ317" si="227">IF(ISBLANK(AP316),,IF(U316="S",AA316-AP316,AP316-AA316))</f>
        <v>-4.0000000000000008E-2</v>
      </c>
      <c r="AR316" s="191">
        <f t="shared" ref="AR316:AR317" si="228">AS316*R316</f>
        <v>-450.80000000000013</v>
      </c>
      <c r="AS316" s="194">
        <f t="shared" ref="AS316:AS317" si="229">IF(ISBLANK(AP316),,(AQ316*W316))</f>
        <v>-64.40000000000002</v>
      </c>
      <c r="AT316" s="217" t="s">
        <v>211</v>
      </c>
      <c r="AU316" s="481" t="s">
        <v>1524</v>
      </c>
      <c r="AV316" s="481" t="s">
        <v>1525</v>
      </c>
      <c r="AW316" s="481" t="s">
        <v>1526</v>
      </c>
      <c r="AX316" s="481" t="s">
        <v>1527</v>
      </c>
      <c r="AY316" s="481" t="s">
        <v>1528</v>
      </c>
      <c r="AZ316" s="481" t="s">
        <v>1529</v>
      </c>
      <c r="BA316" s="481" t="s">
        <v>1530</v>
      </c>
      <c r="BB316" s="481" t="s">
        <v>1531</v>
      </c>
      <c r="BC316" s="482" t="s">
        <v>1532</v>
      </c>
      <c r="BD316" s="404">
        <f>SUM($AS$4:AS316)</f>
        <v>2641.0850000000305</v>
      </c>
      <c r="BE316" s="405">
        <f>SUM($AR$4:AR316)</f>
        <v>4021.5600000000259</v>
      </c>
      <c r="BF316" s="330"/>
      <c r="BG316" s="330"/>
    </row>
    <row r="317" spans="1:59" ht="15">
      <c r="A317" s="227" t="s">
        <v>1504</v>
      </c>
      <c r="B317" s="204">
        <v>44986</v>
      </c>
      <c r="C317" s="205" t="s">
        <v>664</v>
      </c>
      <c r="D317" s="229" t="s">
        <v>133</v>
      </c>
      <c r="E317" s="254"/>
      <c r="F317" s="207"/>
      <c r="G317" s="326" t="s">
        <v>417</v>
      </c>
      <c r="H317" s="209"/>
      <c r="I317" s="209"/>
      <c r="J317" s="209"/>
      <c r="K317" s="210"/>
      <c r="L317" s="209">
        <v>1</v>
      </c>
      <c r="M317" s="209"/>
      <c r="N317" s="209"/>
      <c r="O317" s="210" t="s">
        <v>76</v>
      </c>
      <c r="P317" s="210" t="s">
        <v>77</v>
      </c>
      <c r="Q317" s="210" t="s">
        <v>78</v>
      </c>
      <c r="R317" s="210">
        <v>1</v>
      </c>
      <c r="S317" s="210">
        <v>1</v>
      </c>
      <c r="T317" s="210">
        <v>1</v>
      </c>
      <c r="U317" s="210" t="s">
        <v>22</v>
      </c>
      <c r="V317" s="188">
        <f t="shared" ref="V317" si="230">IF(ISBLANK(O317),"",(IF(O317=UPPER("IB"),0.005,0.01)))</f>
        <v>0.01</v>
      </c>
      <c r="W317" s="188">
        <f t="shared" si="225"/>
        <v>1610.0000000000002</v>
      </c>
      <c r="X317" s="212" t="s">
        <v>1533</v>
      </c>
      <c r="Y317" s="212"/>
      <c r="Z317" s="212"/>
      <c r="AA317" s="213">
        <v>0.49</v>
      </c>
      <c r="AB317" s="209"/>
      <c r="AC317" s="345"/>
      <c r="AD317" s="209"/>
      <c r="AE317" s="209">
        <v>53</v>
      </c>
      <c r="AF317" s="209" t="s">
        <v>1534</v>
      </c>
      <c r="AG317" s="209" t="s">
        <v>511</v>
      </c>
      <c r="AH317" s="209"/>
      <c r="AI317" s="191">
        <f>-0.03*W317</f>
        <v>-48.300000000000004</v>
      </c>
      <c r="AJ317" s="191">
        <f t="shared" si="226"/>
        <v>-48.300000000000004</v>
      </c>
      <c r="AK317" s="209"/>
      <c r="AL317" s="209"/>
      <c r="AM317" s="209" t="s">
        <v>1535</v>
      </c>
      <c r="AN317" s="345" t="s">
        <v>87</v>
      </c>
      <c r="AO317" s="209" t="s">
        <v>1536</v>
      </c>
      <c r="AP317" s="215">
        <v>0.49</v>
      </c>
      <c r="AQ317" s="193">
        <f t="shared" si="227"/>
        <v>0</v>
      </c>
      <c r="AR317" s="191">
        <f t="shared" si="228"/>
        <v>0</v>
      </c>
      <c r="AS317" s="194">
        <f t="shared" si="229"/>
        <v>0</v>
      </c>
      <c r="AT317" s="217" t="s">
        <v>97</v>
      </c>
      <c r="AU317" s="431" t="s">
        <v>1537</v>
      </c>
      <c r="AV317" s="431" t="s">
        <v>1538</v>
      </c>
      <c r="AW317" s="431" t="s">
        <v>1539</v>
      </c>
      <c r="AX317" s="431"/>
      <c r="AY317" s="431"/>
      <c r="AZ317" s="431"/>
      <c r="BA317" s="431"/>
      <c r="BB317" s="431"/>
      <c r="BC317" s="445"/>
      <c r="BD317" s="404">
        <f>SUM($AS$4:AS317)</f>
        <v>2641.0850000000305</v>
      </c>
      <c r="BE317" s="405">
        <f>SUM($AR$4:AR317)</f>
        <v>4021.5600000000259</v>
      </c>
      <c r="BF317" s="330"/>
      <c r="BG317" s="330"/>
    </row>
    <row r="318" spans="1:59" ht="15">
      <c r="A318" s="227" t="s">
        <v>1504</v>
      </c>
      <c r="B318" s="204">
        <v>44986</v>
      </c>
      <c r="C318" s="205" t="s">
        <v>1540</v>
      </c>
      <c r="D318" s="205" t="s">
        <v>133</v>
      </c>
      <c r="E318" s="480"/>
      <c r="F318" s="207"/>
      <c r="G318" s="327" t="s">
        <v>262</v>
      </c>
      <c r="H318" s="209"/>
      <c r="I318" s="209"/>
      <c r="J318" s="209"/>
      <c r="K318" s="210"/>
      <c r="L318" s="209">
        <v>1</v>
      </c>
      <c r="M318" s="209"/>
      <c r="N318" s="209"/>
      <c r="O318" s="210" t="s">
        <v>76</v>
      </c>
      <c r="P318" s="210" t="s">
        <v>119</v>
      </c>
      <c r="Q318" s="210" t="s">
        <v>78</v>
      </c>
      <c r="R318" s="210">
        <v>7</v>
      </c>
      <c r="S318" s="210">
        <v>7</v>
      </c>
      <c r="T318" s="210">
        <v>7</v>
      </c>
      <c r="U318" s="210" t="s">
        <v>78</v>
      </c>
      <c r="V318" s="188">
        <f t="shared" ref="V318" si="231">IF(ISBLANK(O318),"",(IF(O318=UPPER("IB"),0.005,0.01)))</f>
        <v>0.01</v>
      </c>
      <c r="W318" s="188">
        <f t="shared" si="225"/>
        <v>1610.0000000000002</v>
      </c>
      <c r="X318" s="212" t="s">
        <v>1541</v>
      </c>
      <c r="Y318" s="212" t="s">
        <v>1519</v>
      </c>
      <c r="Z318" s="212" t="s">
        <v>1542</v>
      </c>
      <c r="AA318" s="213">
        <v>-0.13</v>
      </c>
      <c r="AB318" s="209"/>
      <c r="AC318" s="345">
        <v>-10</v>
      </c>
      <c r="AD318" s="209"/>
      <c r="AE318" s="209">
        <v>-13</v>
      </c>
      <c r="AF318" s="209" t="s">
        <v>1543</v>
      </c>
      <c r="AG318" s="209" t="s">
        <v>511</v>
      </c>
      <c r="AH318" s="209"/>
      <c r="AI318" s="191">
        <f>-0.03*W318</f>
        <v>-48.300000000000004</v>
      </c>
      <c r="AJ318" s="191">
        <f t="shared" ref="AJ318" si="232">AI318*R318</f>
        <v>-338.1</v>
      </c>
      <c r="AK318" s="209" t="s">
        <v>1467</v>
      </c>
      <c r="AL318" s="209" t="s">
        <v>1522</v>
      </c>
      <c r="AM318" s="209" t="s">
        <v>571</v>
      </c>
      <c r="AN318" s="345" t="s">
        <v>97</v>
      </c>
      <c r="AO318" s="209" t="s">
        <v>1544</v>
      </c>
      <c r="AP318" s="215">
        <v>-0.09</v>
      </c>
      <c r="AQ318" s="193">
        <f t="shared" ref="AQ318:AQ321" si="233">IF(ISBLANK(AP318),,IF(U318="S",AA318-AP318,AP318-AA318))</f>
        <v>-4.0000000000000008E-2</v>
      </c>
      <c r="AR318" s="191">
        <f t="shared" ref="AR318:AR321" si="234">AS318*R318</f>
        <v>-450.80000000000013</v>
      </c>
      <c r="AS318" s="194">
        <f t="shared" ref="AS318:AS321" si="235">IF(ISBLANK(AP318),,(AQ318*W318))</f>
        <v>-64.40000000000002</v>
      </c>
      <c r="AT318" s="217" t="s">
        <v>211</v>
      </c>
      <c r="AU318" s="481" t="s">
        <v>1245</v>
      </c>
      <c r="AV318" s="481" t="s">
        <v>1545</v>
      </c>
      <c r="AW318" s="481" t="s">
        <v>1526</v>
      </c>
      <c r="AX318" s="481" t="s">
        <v>1546</v>
      </c>
      <c r="AY318" s="481" t="s">
        <v>1547</v>
      </c>
      <c r="AZ318" s="481" t="s">
        <v>1548</v>
      </c>
      <c r="BA318" s="481" t="s">
        <v>1549</v>
      </c>
      <c r="BB318" s="481" t="s">
        <v>1550</v>
      </c>
      <c r="BC318" s="482" t="s">
        <v>511</v>
      </c>
      <c r="BD318" s="404">
        <f>SUM($AS$4:AS318)</f>
        <v>2576.6850000000304</v>
      </c>
      <c r="BE318" s="405">
        <f>SUM($AR$4:AR318)</f>
        <v>3570.7600000000257</v>
      </c>
      <c r="BF318" s="330"/>
      <c r="BG318" s="330"/>
    </row>
    <row r="319" spans="1:59" ht="12.75">
      <c r="A319" s="227" t="s">
        <v>1504</v>
      </c>
      <c r="B319" s="204">
        <v>44987</v>
      </c>
      <c r="C319" s="182"/>
      <c r="D319" s="182" t="s">
        <v>133</v>
      </c>
      <c r="E319" s="483" t="s">
        <v>1551</v>
      </c>
      <c r="F319" s="184" t="s">
        <v>511</v>
      </c>
      <c r="G319" s="185"/>
      <c r="H319" s="186"/>
      <c r="I319" s="186"/>
      <c r="J319" s="186"/>
      <c r="K319" s="187"/>
      <c r="L319" s="186"/>
      <c r="M319" s="186"/>
      <c r="N319" s="186"/>
      <c r="O319" s="187"/>
      <c r="P319" s="187"/>
      <c r="Q319" s="187"/>
      <c r="R319" s="187"/>
      <c r="S319" s="187"/>
      <c r="T319" s="187"/>
      <c r="U319" s="187"/>
      <c r="V319" s="282"/>
      <c r="W319" s="282"/>
      <c r="X319" s="189"/>
      <c r="Y319" s="189"/>
      <c r="Z319" s="189"/>
      <c r="AA319" s="190"/>
      <c r="AB319" s="186"/>
      <c r="AC319" s="344"/>
      <c r="AD319" s="186"/>
      <c r="AE319" s="186"/>
      <c r="AF319" s="186"/>
      <c r="AG319" s="186"/>
      <c r="AH319" s="186"/>
      <c r="AI319" s="191"/>
      <c r="AJ319" s="191"/>
      <c r="AK319" s="186"/>
      <c r="AL319" s="186"/>
      <c r="AM319" s="186"/>
      <c r="AN319" s="344"/>
      <c r="AO319" s="186"/>
      <c r="AP319" s="193"/>
      <c r="AQ319" s="193"/>
      <c r="AR319" s="191"/>
      <c r="AS319" s="194"/>
      <c r="AT319" s="195"/>
      <c r="AU319" s="484"/>
      <c r="AV319" s="484"/>
      <c r="AW319" s="484"/>
      <c r="AX319" s="484"/>
      <c r="AY319" s="484"/>
      <c r="AZ319" s="484"/>
      <c r="BA319" s="484"/>
      <c r="BB319" s="484"/>
      <c r="BC319" s="485"/>
      <c r="BD319" s="404">
        <f>SUM($AS$4:AS319)</f>
        <v>2576.6850000000304</v>
      </c>
      <c r="BE319" s="405">
        <f>SUM($AR$4:AR319)</f>
        <v>3570.7600000000257</v>
      </c>
      <c r="BF319" s="330"/>
      <c r="BG319" s="330"/>
    </row>
    <row r="320" spans="1:59" ht="15">
      <c r="A320" s="227" t="s">
        <v>1504</v>
      </c>
      <c r="B320" s="204">
        <v>44987</v>
      </c>
      <c r="C320" s="205" t="s">
        <v>1552</v>
      </c>
      <c r="D320" s="205" t="s">
        <v>74</v>
      </c>
      <c r="E320" s="480"/>
      <c r="F320" s="207"/>
      <c r="G320" s="327" t="s">
        <v>262</v>
      </c>
      <c r="H320" s="209"/>
      <c r="I320" s="209"/>
      <c r="J320" s="209"/>
      <c r="K320" s="210"/>
      <c r="L320" s="209">
        <v>1</v>
      </c>
      <c r="M320" s="209"/>
      <c r="N320" s="209"/>
      <c r="O320" s="210" t="s">
        <v>76</v>
      </c>
      <c r="P320" s="210" t="s">
        <v>119</v>
      </c>
      <c r="Q320" s="210" t="s">
        <v>78</v>
      </c>
      <c r="R320" s="210">
        <v>10</v>
      </c>
      <c r="S320" s="210">
        <v>10</v>
      </c>
      <c r="T320" s="210">
        <v>10</v>
      </c>
      <c r="U320" s="210" t="s">
        <v>78</v>
      </c>
      <c r="V320" s="188">
        <f t="shared" ref="V320" si="236">IF(ISBLANK(O320),"",(IF(O320=UPPER("IB"),0.005,0.01)))</f>
        <v>0.01</v>
      </c>
      <c r="W320" s="188">
        <f t="shared" si="225"/>
        <v>1610.0000000000002</v>
      </c>
      <c r="X320" s="212" t="s">
        <v>1541</v>
      </c>
      <c r="Y320" s="315" t="s">
        <v>1519</v>
      </c>
      <c r="Z320" s="212" t="s">
        <v>1542</v>
      </c>
      <c r="AA320" s="213">
        <v>-0.12</v>
      </c>
      <c r="AB320" s="209"/>
      <c r="AC320" s="345">
        <v>-9</v>
      </c>
      <c r="AD320" s="209"/>
      <c r="AE320" s="209" t="s">
        <v>1553</v>
      </c>
      <c r="AF320" s="209" t="s">
        <v>1554</v>
      </c>
      <c r="AG320" s="209" t="s">
        <v>511</v>
      </c>
      <c r="AH320" s="209"/>
      <c r="AI320" s="191">
        <f>-0.02*W320</f>
        <v>-32.200000000000003</v>
      </c>
      <c r="AJ320" s="191">
        <f t="shared" ref="AJ320" si="237">AI320*R320</f>
        <v>-322</v>
      </c>
      <c r="AK320" s="209" t="s">
        <v>1467</v>
      </c>
      <c r="AL320" s="209" t="s">
        <v>1522</v>
      </c>
      <c r="AM320" s="209" t="s">
        <v>571</v>
      </c>
      <c r="AN320" s="345" t="s">
        <v>97</v>
      </c>
      <c r="AO320" s="209" t="s">
        <v>1555</v>
      </c>
      <c r="AP320" s="215">
        <v>-0.12</v>
      </c>
      <c r="AQ320" s="193">
        <f t="shared" si="233"/>
        <v>0</v>
      </c>
      <c r="AR320" s="191">
        <f t="shared" si="234"/>
        <v>0</v>
      </c>
      <c r="AS320" s="194">
        <f t="shared" si="235"/>
        <v>0</v>
      </c>
      <c r="AT320" s="217" t="s">
        <v>97</v>
      </c>
      <c r="AU320" s="481" t="s">
        <v>1556</v>
      </c>
      <c r="AV320" s="481"/>
      <c r="AW320" s="481" t="s">
        <v>1539</v>
      </c>
      <c r="AX320" s="481" t="s">
        <v>1557</v>
      </c>
      <c r="AY320" s="481" t="s">
        <v>1558</v>
      </c>
      <c r="AZ320" s="481" t="s">
        <v>511</v>
      </c>
      <c r="BA320" s="481"/>
      <c r="BB320" s="481"/>
      <c r="BC320" s="482"/>
      <c r="BD320" s="404">
        <f>SUM($AS$4:AS320)</f>
        <v>2576.6850000000304</v>
      </c>
      <c r="BE320" s="405">
        <f>SUM($AR$4:AR320)</f>
        <v>3570.7600000000257</v>
      </c>
      <c r="BF320" s="330"/>
      <c r="BG320" s="330"/>
    </row>
    <row r="321" spans="1:59" ht="15">
      <c r="A321" s="227" t="s">
        <v>1504</v>
      </c>
      <c r="B321" s="204">
        <v>44987</v>
      </c>
      <c r="C321" s="205" t="s">
        <v>73</v>
      </c>
      <c r="D321" s="205" t="s">
        <v>74</v>
      </c>
      <c r="E321" s="480"/>
      <c r="F321" s="207"/>
      <c r="G321" s="326" t="s">
        <v>115</v>
      </c>
      <c r="H321" s="209"/>
      <c r="I321" s="209"/>
      <c r="J321" s="209"/>
      <c r="K321" s="210"/>
      <c r="L321" s="209">
        <v>1</v>
      </c>
      <c r="M321" s="209"/>
      <c r="N321" s="209"/>
      <c r="O321" s="210" t="s">
        <v>76</v>
      </c>
      <c r="P321" s="210" t="s">
        <v>77</v>
      </c>
      <c r="Q321" s="210" t="s">
        <v>78</v>
      </c>
      <c r="R321" s="210">
        <v>1</v>
      </c>
      <c r="S321" s="210">
        <v>1</v>
      </c>
      <c r="T321" s="210">
        <v>1</v>
      </c>
      <c r="U321" s="210" t="s">
        <v>78</v>
      </c>
      <c r="V321" s="188">
        <f t="shared" ref="V321" si="238">IF(ISBLANK(O321),"",(IF(O321=UPPER("IB"),0.005,0.01)))</f>
        <v>0.01</v>
      </c>
      <c r="W321" s="188">
        <f t="shared" si="225"/>
        <v>1610.0000000000002</v>
      </c>
      <c r="X321" s="212"/>
      <c r="Y321" s="212"/>
      <c r="Z321" s="212" t="s">
        <v>80</v>
      </c>
      <c r="AA321" s="213">
        <v>0.03</v>
      </c>
      <c r="AB321" s="209"/>
      <c r="AC321" s="345"/>
      <c r="AD321" s="209"/>
      <c r="AE321" s="209"/>
      <c r="AF321" s="209"/>
      <c r="AG321" s="209"/>
      <c r="AH321" s="209"/>
      <c r="AI321" s="191">
        <f>-0.03*W321</f>
        <v>-48.300000000000004</v>
      </c>
      <c r="AJ321" s="191">
        <f t="shared" ref="AJ321" si="239">AI321*R321</f>
        <v>-48.300000000000004</v>
      </c>
      <c r="AK321" s="209"/>
      <c r="AL321" s="209"/>
      <c r="AM321" s="209" t="s">
        <v>1559</v>
      </c>
      <c r="AN321" s="345" t="s">
        <v>87</v>
      </c>
      <c r="AO321" s="209" t="s">
        <v>1560</v>
      </c>
      <c r="AP321" s="215">
        <v>0.02</v>
      </c>
      <c r="AQ321" s="193">
        <f t="shared" si="233"/>
        <v>9.9999999999999985E-3</v>
      </c>
      <c r="AR321" s="191">
        <f t="shared" si="234"/>
        <v>16.100000000000001</v>
      </c>
      <c r="AS321" s="194">
        <f t="shared" si="235"/>
        <v>16.100000000000001</v>
      </c>
      <c r="AT321" s="217" t="s">
        <v>77</v>
      </c>
      <c r="AU321" s="481" t="s">
        <v>1561</v>
      </c>
      <c r="AV321" s="481"/>
      <c r="AW321" s="481"/>
      <c r="AX321" s="481"/>
      <c r="AY321" s="481"/>
      <c r="AZ321" s="481"/>
      <c r="BA321" s="481"/>
      <c r="BB321" s="481"/>
      <c r="BC321" s="482"/>
      <c r="BD321" s="404">
        <f>SUM($AS$4:AS321)</f>
        <v>2592.7850000000303</v>
      </c>
      <c r="BE321" s="405">
        <f>SUM($AR$4:AR321)</f>
        <v>3586.8600000000256</v>
      </c>
      <c r="BF321" s="330"/>
      <c r="BG321" s="330"/>
    </row>
    <row r="322" spans="1:59" ht="15">
      <c r="A322" s="227" t="s">
        <v>1504</v>
      </c>
      <c r="B322" s="204">
        <v>44987</v>
      </c>
      <c r="C322" s="205" t="s">
        <v>1562</v>
      </c>
      <c r="D322" s="205" t="s">
        <v>74</v>
      </c>
      <c r="E322" s="480"/>
      <c r="F322" s="207"/>
      <c r="G322" s="326" t="s">
        <v>115</v>
      </c>
      <c r="H322" s="209"/>
      <c r="I322" s="209"/>
      <c r="J322" s="209"/>
      <c r="K322" s="210"/>
      <c r="L322" s="209">
        <v>1</v>
      </c>
      <c r="M322" s="209"/>
      <c r="N322" s="209"/>
      <c r="O322" s="210" t="s">
        <v>76</v>
      </c>
      <c r="P322" s="210" t="s">
        <v>77</v>
      </c>
      <c r="Q322" s="210" t="s">
        <v>78</v>
      </c>
      <c r="R322" s="210">
        <v>1</v>
      </c>
      <c r="S322" s="210">
        <v>1</v>
      </c>
      <c r="T322" s="210">
        <v>1</v>
      </c>
      <c r="U322" s="210" t="s">
        <v>78</v>
      </c>
      <c r="V322" s="188">
        <f t="shared" ref="V322" si="240">IF(ISBLANK(O322),"",(IF(O322=UPPER("IB"),0.005,0.01)))</f>
        <v>0.01</v>
      </c>
      <c r="W322" s="188">
        <f>IF(ISBLANK(O322),"",IF(O322=UPPER("IB"),8.63*200,16.1*100))</f>
        <v>1610.0000000000002</v>
      </c>
      <c r="X322" s="212"/>
      <c r="Y322" s="212"/>
      <c r="Z322" s="212" t="s">
        <v>80</v>
      </c>
      <c r="AA322" s="213">
        <v>0.03</v>
      </c>
      <c r="AB322" s="209"/>
      <c r="AC322" s="345"/>
      <c r="AD322" s="209"/>
      <c r="AE322" s="209"/>
      <c r="AF322" s="209"/>
      <c r="AG322" s="209"/>
      <c r="AH322" s="209"/>
      <c r="AI322" s="191">
        <f t="shared" ref="AI322" si="241">-0.03*W322</f>
        <v>-48.300000000000004</v>
      </c>
      <c r="AJ322" s="191">
        <f t="shared" ref="AJ322" si="242">AI322*R322</f>
        <v>-48.300000000000004</v>
      </c>
      <c r="AK322" s="209"/>
      <c r="AL322" s="209"/>
      <c r="AM322" s="209" t="s">
        <v>1535</v>
      </c>
      <c r="AN322" s="345" t="s">
        <v>87</v>
      </c>
      <c r="AO322" s="209" t="s">
        <v>1563</v>
      </c>
      <c r="AP322" s="215">
        <v>0.02</v>
      </c>
      <c r="AQ322" s="193">
        <f t="shared" ref="AQ322" si="243">IF(ISBLANK(AP322),,IF(U322="S",AA322-AP322,AP322-AA322))</f>
        <v>9.9999999999999985E-3</v>
      </c>
      <c r="AR322" s="191">
        <f t="shared" ref="AR322" si="244">AS322*R322</f>
        <v>16.100000000000001</v>
      </c>
      <c r="AS322" s="194">
        <f t="shared" ref="AS322" si="245">IF(ISBLANK(AP322),,(AQ322*W322))</f>
        <v>16.100000000000001</v>
      </c>
      <c r="AT322" s="217" t="s">
        <v>77</v>
      </c>
      <c r="AU322" s="481" t="s">
        <v>1561</v>
      </c>
      <c r="AV322" s="481"/>
      <c r="AW322" s="481"/>
      <c r="AX322" s="481"/>
      <c r="AY322" s="481"/>
      <c r="AZ322" s="481"/>
      <c r="BA322" s="481"/>
      <c r="BB322" s="481"/>
      <c r="BC322" s="482"/>
      <c r="BD322" s="404">
        <f>SUM($AS$4:AS322)</f>
        <v>2608.8850000000302</v>
      </c>
      <c r="BE322" s="405">
        <f>SUM($AR$4:AR322)</f>
        <v>3602.9600000000255</v>
      </c>
      <c r="BF322" s="330"/>
      <c r="BG322" s="330"/>
    </row>
    <row r="323" spans="1:59" ht="15">
      <c r="A323" s="227" t="s">
        <v>1504</v>
      </c>
      <c r="B323" s="204">
        <v>44988</v>
      </c>
      <c r="C323" s="205" t="s">
        <v>1564</v>
      </c>
      <c r="D323" s="205" t="s">
        <v>93</v>
      </c>
      <c r="E323" s="480"/>
      <c r="F323" s="207"/>
      <c r="G323" s="328" t="s">
        <v>253</v>
      </c>
      <c r="H323" s="209"/>
      <c r="I323" s="209"/>
      <c r="J323" s="209"/>
      <c r="K323" s="210"/>
      <c r="L323" s="209">
        <v>1</v>
      </c>
      <c r="M323" s="209"/>
      <c r="N323" s="209"/>
      <c r="O323" s="210" t="s">
        <v>76</v>
      </c>
      <c r="P323" s="210" t="s">
        <v>119</v>
      </c>
      <c r="Q323" s="210" t="s">
        <v>78</v>
      </c>
      <c r="R323" s="210">
        <v>10</v>
      </c>
      <c r="S323" s="210">
        <v>10</v>
      </c>
      <c r="T323" s="210">
        <v>10</v>
      </c>
      <c r="U323" s="210" t="s">
        <v>78</v>
      </c>
      <c r="V323" s="188">
        <f t="shared" ref="V323:V324" si="246">IF(ISBLANK(O323),"",(IF(O323=UPPER("IB"),0.005,0.01)))</f>
        <v>0.01</v>
      </c>
      <c r="W323" s="188">
        <f t="shared" ref="W323:W324" si="247">IF(ISBLANK(O323),"",IF(O323=UPPER("IB"),8.63*200,16.1*100))</f>
        <v>1610.0000000000002</v>
      </c>
      <c r="X323" s="212" t="s">
        <v>1565</v>
      </c>
      <c r="Y323" s="212"/>
      <c r="Z323" s="212"/>
      <c r="AA323" s="213">
        <v>-0.11</v>
      </c>
      <c r="AB323" s="209"/>
      <c r="AC323" s="345" t="s">
        <v>1359</v>
      </c>
      <c r="AD323" s="209"/>
      <c r="AE323" s="209">
        <v>-14</v>
      </c>
      <c r="AF323" s="209"/>
      <c r="AG323" s="209"/>
      <c r="AH323" s="209"/>
      <c r="AI323" s="191">
        <f>-0.03*W323</f>
        <v>-48.300000000000004</v>
      </c>
      <c r="AJ323" s="191">
        <f t="shared" ref="AJ323:AJ324" si="248">AI323*R323</f>
        <v>-483.00000000000006</v>
      </c>
      <c r="AK323" s="209" t="s">
        <v>1467</v>
      </c>
      <c r="AL323" s="209" t="s">
        <v>1493</v>
      </c>
      <c r="AM323" s="209" t="s">
        <v>1566</v>
      </c>
      <c r="AN323" s="345" t="s">
        <v>87</v>
      </c>
      <c r="AO323" s="209" t="s">
        <v>1567</v>
      </c>
      <c r="AP323" s="215">
        <v>-0.12</v>
      </c>
      <c r="AQ323" s="193">
        <f t="shared" ref="AQ323" si="249">IF(ISBLANK(AP323),,IF(U323="S",AA323-AP323,AP323-AA323))</f>
        <v>9.999999999999995E-3</v>
      </c>
      <c r="AR323" s="191">
        <f t="shared" ref="AR323" si="250">AS323*R323</f>
        <v>160.99999999999994</v>
      </c>
      <c r="AS323" s="194">
        <f t="shared" ref="AS323" si="251">IF(ISBLANK(AP323),,(AQ323*W323))</f>
        <v>16.099999999999994</v>
      </c>
      <c r="AT323" s="217" t="s">
        <v>77</v>
      </c>
      <c r="AU323" s="481"/>
      <c r="AV323" s="481" t="s">
        <v>1568</v>
      </c>
      <c r="AW323" s="481" t="s">
        <v>1539</v>
      </c>
      <c r="AX323" s="481"/>
      <c r="AY323" s="481"/>
      <c r="AZ323" s="481"/>
      <c r="BA323" s="481"/>
      <c r="BB323" s="481"/>
      <c r="BC323" s="482"/>
      <c r="BD323" s="404">
        <f>SUM($AS$4:AS323)</f>
        <v>2624.9850000000301</v>
      </c>
      <c r="BE323" s="405">
        <f>SUM($AR$4:AR323)</f>
        <v>3763.9600000000255</v>
      </c>
      <c r="BF323" s="330"/>
      <c r="BG323" s="330"/>
    </row>
    <row r="324" spans="1:59" ht="15">
      <c r="A324" s="227" t="s">
        <v>1504</v>
      </c>
      <c r="B324" s="204">
        <v>44988</v>
      </c>
      <c r="C324" s="205" t="s">
        <v>1351</v>
      </c>
      <c r="D324" s="205" t="s">
        <v>93</v>
      </c>
      <c r="E324" s="480"/>
      <c r="F324" s="207"/>
      <c r="G324" s="326" t="s">
        <v>115</v>
      </c>
      <c r="H324" s="209"/>
      <c r="I324" s="209"/>
      <c r="J324" s="209"/>
      <c r="K324" s="210"/>
      <c r="L324" s="209">
        <v>1</v>
      </c>
      <c r="M324" s="209"/>
      <c r="N324" s="209"/>
      <c r="O324" s="210" t="s">
        <v>76</v>
      </c>
      <c r="P324" s="210" t="s">
        <v>77</v>
      </c>
      <c r="Q324" s="210" t="s">
        <v>78</v>
      </c>
      <c r="R324" s="210">
        <v>3</v>
      </c>
      <c r="S324" s="210">
        <v>3</v>
      </c>
      <c r="T324" s="210">
        <v>3</v>
      </c>
      <c r="U324" s="210" t="s">
        <v>78</v>
      </c>
      <c r="V324" s="188">
        <f t="shared" si="246"/>
        <v>0.01</v>
      </c>
      <c r="W324" s="188">
        <f t="shared" si="247"/>
        <v>1610.0000000000002</v>
      </c>
      <c r="X324" s="212"/>
      <c r="Y324" s="212"/>
      <c r="Z324" s="212" t="s">
        <v>80</v>
      </c>
      <c r="AA324" s="213">
        <v>0.03</v>
      </c>
      <c r="AB324" s="209"/>
      <c r="AC324" s="345"/>
      <c r="AD324" s="209"/>
      <c r="AE324" s="209"/>
      <c r="AF324" s="209"/>
      <c r="AG324" s="209"/>
      <c r="AH324" s="209"/>
      <c r="AI324" s="191">
        <f t="shared" ref="AI324" si="252">-0.03*W324</f>
        <v>-48.300000000000004</v>
      </c>
      <c r="AJ324" s="191">
        <f t="shared" si="248"/>
        <v>-144.9</v>
      </c>
      <c r="AK324" s="209"/>
      <c r="AL324" s="209"/>
      <c r="AM324" s="209" t="s">
        <v>1569</v>
      </c>
      <c r="AN324" s="345" t="s">
        <v>376</v>
      </c>
      <c r="AO324" s="209" t="s">
        <v>1570</v>
      </c>
      <c r="AP324" s="215">
        <v>0.02</v>
      </c>
      <c r="AQ324" s="193">
        <f t="shared" ref="AQ324" si="253">IF(ISBLANK(AP324),,IF(U324="S",AA324-AP324,AP324-AA324))</f>
        <v>9.9999999999999985E-3</v>
      </c>
      <c r="AR324" s="191">
        <f t="shared" ref="AR324" si="254">AS324*R324</f>
        <v>48.300000000000004</v>
      </c>
      <c r="AS324" s="194">
        <f t="shared" ref="AS324" si="255">IF(ISBLANK(AP324),,(AQ324*W324))</f>
        <v>16.100000000000001</v>
      </c>
      <c r="AT324" s="217" t="s">
        <v>77</v>
      </c>
      <c r="AU324" s="481" t="s">
        <v>922</v>
      </c>
      <c r="AV324" s="481"/>
      <c r="AW324" s="481"/>
      <c r="AX324" s="481"/>
      <c r="AY324" s="481"/>
      <c r="AZ324" s="481"/>
      <c r="BA324" s="481"/>
      <c r="BB324" s="481"/>
      <c r="BC324" s="482"/>
      <c r="BD324" s="404">
        <f>SUM($AS$4:AS324)</f>
        <v>2641.08500000003</v>
      </c>
      <c r="BE324" s="405">
        <f>SUM($AR$4:AR324)</f>
        <v>3812.2600000000257</v>
      </c>
      <c r="BF324" s="330"/>
      <c r="BG324" s="330"/>
    </row>
    <row r="325" spans="1:59" ht="15">
      <c r="A325" s="227" t="s">
        <v>1504</v>
      </c>
      <c r="B325" s="204">
        <v>44988</v>
      </c>
      <c r="C325" s="205" t="s">
        <v>1570</v>
      </c>
      <c r="D325" s="205" t="s">
        <v>93</v>
      </c>
      <c r="E325" s="480"/>
      <c r="F325" s="207"/>
      <c r="G325" s="326" t="s">
        <v>115</v>
      </c>
      <c r="H325" s="209"/>
      <c r="I325" s="209"/>
      <c r="J325" s="209"/>
      <c r="K325" s="210"/>
      <c r="L325" s="209">
        <v>1</v>
      </c>
      <c r="M325" s="209"/>
      <c r="N325" s="209"/>
      <c r="O325" s="210" t="s">
        <v>76</v>
      </c>
      <c r="P325" s="210" t="s">
        <v>77</v>
      </c>
      <c r="Q325" s="210" t="s">
        <v>78</v>
      </c>
      <c r="R325" s="210">
        <v>4</v>
      </c>
      <c r="S325" s="210">
        <v>4</v>
      </c>
      <c r="T325" s="210">
        <v>4</v>
      </c>
      <c r="U325" s="210" t="s">
        <v>78</v>
      </c>
      <c r="V325" s="188">
        <f t="shared" ref="V325" si="256">IF(ISBLANK(O325),"",(IF(O325=UPPER("IB"),0.005,0.01)))</f>
        <v>0.01</v>
      </c>
      <c r="W325" s="188">
        <f>IF(ISBLANK(O325),"",IF(O325=UPPER("IB"),8.63*200,16.2*100))</f>
        <v>1620</v>
      </c>
      <c r="X325" s="212"/>
      <c r="Y325" s="212"/>
      <c r="Z325" s="212" t="s">
        <v>80</v>
      </c>
      <c r="AA325" s="213">
        <v>0.03</v>
      </c>
      <c r="AB325" s="209"/>
      <c r="AC325" s="345"/>
      <c r="AD325" s="209"/>
      <c r="AE325" s="209">
        <v>6</v>
      </c>
      <c r="AF325" s="209"/>
      <c r="AG325" s="209"/>
      <c r="AH325" s="209"/>
      <c r="AI325" s="191">
        <f t="shared" ref="AI325" si="257">-0.03*W325</f>
        <v>-48.6</v>
      </c>
      <c r="AJ325" s="191">
        <f t="shared" ref="AJ325" si="258">AI325*R325</f>
        <v>-194.4</v>
      </c>
      <c r="AK325" s="209"/>
      <c r="AL325" s="209" t="s">
        <v>1571</v>
      </c>
      <c r="AM325" s="209" t="s">
        <v>786</v>
      </c>
      <c r="AN325" s="345" t="s">
        <v>97</v>
      </c>
      <c r="AO325" s="209" t="s">
        <v>1572</v>
      </c>
      <c r="AP325" s="215">
        <v>0.03</v>
      </c>
      <c r="AQ325" s="193">
        <f t="shared" ref="AQ325" si="259">IF(ISBLANK(AP325),,IF(U325="S",AA325-AP325,AP325-AA325))</f>
        <v>0</v>
      </c>
      <c r="AR325" s="191">
        <f t="shared" ref="AR325" si="260">AS325*R325</f>
        <v>0</v>
      </c>
      <c r="AS325" s="194">
        <f t="shared" ref="AS325" si="261">IF(ISBLANK(AP325),,(AQ325*W325))</f>
        <v>0</v>
      </c>
      <c r="AT325" s="217" t="s">
        <v>97</v>
      </c>
      <c r="AU325" s="481"/>
      <c r="AV325" s="481"/>
      <c r="AW325" s="481"/>
      <c r="AX325" s="481"/>
      <c r="AY325" s="481"/>
      <c r="AZ325" s="481"/>
      <c r="BA325" s="481"/>
      <c r="BB325" s="481"/>
      <c r="BC325" s="482"/>
      <c r="BD325" s="404">
        <f>SUM($AS$4:AS325)</f>
        <v>2641.08500000003</v>
      </c>
      <c r="BE325" s="405">
        <f>SUM($AR$4:AR325)</f>
        <v>3812.2600000000257</v>
      </c>
      <c r="BF325" s="330"/>
      <c r="BG325" s="330"/>
    </row>
    <row r="326" spans="1:59" ht="15">
      <c r="A326" s="227" t="s">
        <v>1504</v>
      </c>
      <c r="B326" s="204">
        <v>44988</v>
      </c>
      <c r="C326" s="205" t="s">
        <v>1570</v>
      </c>
      <c r="D326" s="205" t="s">
        <v>93</v>
      </c>
      <c r="E326" s="480"/>
      <c r="F326" s="207"/>
      <c r="G326" s="326" t="s">
        <v>115</v>
      </c>
      <c r="H326" s="209"/>
      <c r="I326" s="209"/>
      <c r="J326" s="209"/>
      <c r="K326" s="210"/>
      <c r="L326" s="209">
        <v>1</v>
      </c>
      <c r="M326" s="209"/>
      <c r="N326" s="209"/>
      <c r="O326" s="210" t="s">
        <v>76</v>
      </c>
      <c r="P326" s="210" t="s">
        <v>77</v>
      </c>
      <c r="Q326" s="210" t="s">
        <v>78</v>
      </c>
      <c r="R326" s="210">
        <v>5</v>
      </c>
      <c r="S326" s="210">
        <v>5</v>
      </c>
      <c r="T326" s="210">
        <v>5</v>
      </c>
      <c r="U326" s="210" t="s">
        <v>78</v>
      </c>
      <c r="V326" s="188">
        <f t="shared" ref="V326" si="262">IF(ISBLANK(O326),"",(IF(O326=UPPER("IB"),0.005,0.01)))</f>
        <v>0.01</v>
      </c>
      <c r="W326" s="188">
        <f>IF(ISBLANK(O326),"",IF(O326=UPPER("IB"),8.63*200,16.2*100))</f>
        <v>1620</v>
      </c>
      <c r="X326" s="212"/>
      <c r="Y326" s="212" t="s">
        <v>1573</v>
      </c>
      <c r="Z326" s="212" t="s">
        <v>511</v>
      </c>
      <c r="AA326" s="213">
        <v>0.04</v>
      </c>
      <c r="AB326" s="209"/>
      <c r="AC326" s="345"/>
      <c r="AD326" s="209"/>
      <c r="AE326" s="209">
        <v>6</v>
      </c>
      <c r="AF326" s="209"/>
      <c r="AG326" s="209"/>
      <c r="AH326" s="209"/>
      <c r="AI326" s="191">
        <f>-0.03*W326</f>
        <v>-48.6</v>
      </c>
      <c r="AJ326" s="191">
        <f t="shared" ref="AJ326" si="263">AI326*R326</f>
        <v>-243</v>
      </c>
      <c r="AK326" s="209"/>
      <c r="AL326" s="209" t="s">
        <v>1574</v>
      </c>
      <c r="AM326" s="209" t="s">
        <v>786</v>
      </c>
      <c r="AN326" s="345" t="s">
        <v>97</v>
      </c>
      <c r="AO326" s="209" t="s">
        <v>1572</v>
      </c>
      <c r="AP326" s="215">
        <v>0.03</v>
      </c>
      <c r="AQ326" s="193">
        <f t="shared" ref="AQ326" si="264">IF(ISBLANK(AP326),,IF(U326="S",AA326-AP326,AP326-AA326))</f>
        <v>1.0000000000000002E-2</v>
      </c>
      <c r="AR326" s="191">
        <f t="shared" ref="AR326" si="265">AS326*R326</f>
        <v>81.000000000000014</v>
      </c>
      <c r="AS326" s="194">
        <f t="shared" ref="AS326" si="266">IF(ISBLANK(AP326),,(AQ326*W326))</f>
        <v>16.200000000000003</v>
      </c>
      <c r="AT326" s="217" t="s">
        <v>77</v>
      </c>
      <c r="AU326" s="481" t="s">
        <v>1119</v>
      </c>
      <c r="AV326" s="481"/>
      <c r="AW326" s="481"/>
      <c r="AX326" s="481" t="s">
        <v>1575</v>
      </c>
      <c r="AY326" s="481" t="s">
        <v>1576</v>
      </c>
      <c r="AZ326" s="481" t="s">
        <v>1577</v>
      </c>
      <c r="BA326" s="481" t="s">
        <v>1578</v>
      </c>
      <c r="BB326" s="481" t="s">
        <v>511</v>
      </c>
      <c r="BC326" s="482"/>
      <c r="BD326" s="404">
        <f>SUM($AS$4:AS326)</f>
        <v>2657.2850000000299</v>
      </c>
      <c r="BE326" s="405">
        <f>SUM($AR$4:AR326)</f>
        <v>3893.2600000000257</v>
      </c>
      <c r="BF326" s="330"/>
      <c r="BG326" s="330"/>
    </row>
    <row r="327" spans="1:59" ht="15">
      <c r="A327" s="227" t="s">
        <v>1504</v>
      </c>
      <c r="B327" s="204"/>
      <c r="C327" s="205"/>
      <c r="D327" s="205"/>
      <c r="E327" s="480"/>
      <c r="F327" s="207"/>
      <c r="G327" s="208"/>
      <c r="H327" s="209"/>
      <c r="I327" s="209"/>
      <c r="J327" s="209"/>
      <c r="K327" s="210"/>
      <c r="L327" s="209"/>
      <c r="M327" s="209"/>
      <c r="N327" s="209"/>
      <c r="O327" s="210"/>
      <c r="P327" s="210"/>
      <c r="Q327" s="210"/>
      <c r="R327" s="210"/>
      <c r="S327" s="210"/>
      <c r="T327" s="210"/>
      <c r="U327" s="210"/>
      <c r="V327" s="188"/>
      <c r="W327" s="188"/>
      <c r="X327" s="212"/>
      <c r="Y327" s="212"/>
      <c r="Z327" s="212"/>
      <c r="AA327" s="213"/>
      <c r="AB327" s="209"/>
      <c r="AC327" s="345"/>
      <c r="AD327" s="209"/>
      <c r="AE327" s="209"/>
      <c r="AF327" s="209"/>
      <c r="AG327" s="209"/>
      <c r="AH327" s="209"/>
      <c r="AI327" s="191"/>
      <c r="AJ327" s="191"/>
      <c r="AK327" s="209"/>
      <c r="AL327" s="209"/>
      <c r="AM327" s="209"/>
      <c r="AN327" s="345"/>
      <c r="AO327" s="209"/>
      <c r="AP327" s="215"/>
      <c r="AQ327" s="193"/>
      <c r="AR327" s="191"/>
      <c r="AS327" s="194"/>
      <c r="AT327" s="217"/>
      <c r="AU327" s="481" t="s">
        <v>543</v>
      </c>
      <c r="AV327" s="481" t="s">
        <v>1579</v>
      </c>
      <c r="AW327" s="481" t="s">
        <v>1580</v>
      </c>
      <c r="AX327" s="481" t="s">
        <v>1581</v>
      </c>
      <c r="AY327" s="481" t="s">
        <v>1582</v>
      </c>
      <c r="AZ327" s="481" t="s">
        <v>1583</v>
      </c>
      <c r="BA327" s="481" t="s">
        <v>1584</v>
      </c>
      <c r="BB327" s="481" t="s">
        <v>1585</v>
      </c>
      <c r="BC327" s="482" t="s">
        <v>511</v>
      </c>
      <c r="BD327" s="404">
        <f>SUM($AS$4:AS327)</f>
        <v>2657.2850000000299</v>
      </c>
      <c r="BE327" s="405">
        <f>SUM($AR$4:AR327)</f>
        <v>3893.2600000000257</v>
      </c>
      <c r="BF327" s="330"/>
      <c r="BG327" s="330"/>
    </row>
    <row r="328" spans="1:59" ht="12.75">
      <c r="A328" s="227" t="s">
        <v>1504</v>
      </c>
      <c r="B328" s="204"/>
      <c r="C328" s="205"/>
      <c r="D328" s="205"/>
      <c r="E328" s="480"/>
      <c r="F328" s="207"/>
      <c r="G328" s="208"/>
      <c r="H328" s="209"/>
      <c r="I328" s="209"/>
      <c r="J328" s="209"/>
      <c r="K328" s="210"/>
      <c r="L328" s="209"/>
      <c r="M328" s="209"/>
      <c r="N328" s="209"/>
      <c r="O328" s="210"/>
      <c r="P328" s="210"/>
      <c r="Q328" s="210"/>
      <c r="R328" s="210"/>
      <c r="S328" s="210"/>
      <c r="T328" s="210"/>
      <c r="U328" s="210"/>
      <c r="V328" s="210"/>
      <c r="W328" s="210"/>
      <c r="X328" s="212"/>
      <c r="Y328" s="212"/>
      <c r="Z328" s="212"/>
      <c r="AA328" s="213"/>
      <c r="AB328" s="209"/>
      <c r="AC328" s="345"/>
      <c r="AD328" s="209"/>
      <c r="AE328" s="209"/>
      <c r="AF328" s="209"/>
      <c r="AG328" s="209"/>
      <c r="AH328" s="209"/>
      <c r="AI328" s="214"/>
      <c r="AJ328" s="210"/>
      <c r="AK328" s="209"/>
      <c r="AL328" s="209"/>
      <c r="AM328" s="209"/>
      <c r="AN328" s="345"/>
      <c r="AO328" s="209"/>
      <c r="AP328" s="215"/>
      <c r="AQ328" s="193"/>
      <c r="AR328" s="191"/>
      <c r="AS328" s="194"/>
      <c r="AT328" s="217"/>
      <c r="AU328" s="481" t="s">
        <v>1586</v>
      </c>
      <c r="AV328" s="481" t="s">
        <v>1587</v>
      </c>
      <c r="AW328" s="486" t="s">
        <v>1588</v>
      </c>
      <c r="AX328" s="486" t="s">
        <v>1589</v>
      </c>
      <c r="AY328" s="481" t="s">
        <v>1590</v>
      </c>
      <c r="AZ328" s="481" t="s">
        <v>1591</v>
      </c>
      <c r="BA328" s="481" t="s">
        <v>1592</v>
      </c>
      <c r="BB328" s="481" t="s">
        <v>511</v>
      </c>
      <c r="BC328" s="482"/>
      <c r="BD328" s="404">
        <f>SUM($AS$4:AS328)</f>
        <v>2657.2850000000299</v>
      </c>
      <c r="BE328" s="405">
        <f>SUM($AR$4:AR328)</f>
        <v>3893.2600000000257</v>
      </c>
      <c r="BF328" s="330"/>
      <c r="BG328" s="330"/>
    </row>
    <row r="329" spans="1:59" ht="15">
      <c r="A329" s="227" t="s">
        <v>1504</v>
      </c>
      <c r="B329" s="204">
        <v>44992</v>
      </c>
      <c r="C329" s="205" t="s">
        <v>1593</v>
      </c>
      <c r="D329" s="205" t="s">
        <v>128</v>
      </c>
      <c r="E329" s="480"/>
      <c r="F329" s="207"/>
      <c r="G329" s="326" t="s">
        <v>1594</v>
      </c>
      <c r="H329" s="209"/>
      <c r="I329" s="209"/>
      <c r="J329" s="209"/>
      <c r="K329" s="210"/>
      <c r="L329" s="209">
        <v>1</v>
      </c>
      <c r="M329" s="209">
        <v>2</v>
      </c>
      <c r="N329" s="209"/>
      <c r="O329" s="210" t="s">
        <v>76</v>
      </c>
      <c r="P329" s="210" t="s">
        <v>119</v>
      </c>
      <c r="Q329" s="210" t="s">
        <v>238</v>
      </c>
      <c r="R329" s="210">
        <v>10</v>
      </c>
      <c r="S329" s="210">
        <v>10</v>
      </c>
      <c r="T329" s="210">
        <v>10</v>
      </c>
      <c r="U329" s="210" t="s">
        <v>78</v>
      </c>
      <c r="V329" s="188">
        <f t="shared" ref="V329" si="267">IF(ISBLANK(O329),"",(IF(O329=UPPER("IB"),0.005,0.01)))</f>
        <v>0.01</v>
      </c>
      <c r="W329" s="188">
        <f>IF(ISBLANK(O329),"",IF(O329=UPPER("IB"),8.63*200,16.2*100))</f>
        <v>1620</v>
      </c>
      <c r="X329" s="212"/>
      <c r="Y329" s="212"/>
      <c r="Z329" s="212" t="s">
        <v>1595</v>
      </c>
      <c r="AA329" s="213">
        <v>-0.01</v>
      </c>
      <c r="AB329" s="209"/>
      <c r="AC329" s="345">
        <v>2</v>
      </c>
      <c r="AD329" s="209"/>
      <c r="AE329" s="209" t="s">
        <v>1596</v>
      </c>
      <c r="AF329" s="209" t="s">
        <v>1597</v>
      </c>
      <c r="AG329" s="209" t="s">
        <v>1598</v>
      </c>
      <c r="AH329" s="209" t="s">
        <v>511</v>
      </c>
      <c r="AI329" s="191">
        <f>-0.03*W329</f>
        <v>-48.6</v>
      </c>
      <c r="AJ329" s="191">
        <f t="shared" ref="AJ329" si="268">AI329*R329</f>
        <v>-486</v>
      </c>
      <c r="AK329" s="209" t="s">
        <v>1599</v>
      </c>
      <c r="AL329" s="209" t="s">
        <v>1600</v>
      </c>
      <c r="AM329" s="209" t="s">
        <v>907</v>
      </c>
      <c r="AN329" s="345" t="s">
        <v>77</v>
      </c>
      <c r="AO329" s="209" t="s">
        <v>1601</v>
      </c>
      <c r="AP329" s="215">
        <v>7.0000000000000007E-2</v>
      </c>
      <c r="AQ329" s="193">
        <f t="shared" ref="AQ329:AQ336" si="269">IF(ISBLANK(AP329),,IF(U329="S",AA329-AP329,AP329-AA329))</f>
        <v>-0.08</v>
      </c>
      <c r="AR329" s="191">
        <f t="shared" ref="AR329:AR336" si="270">AS329*R329</f>
        <v>-1296</v>
      </c>
      <c r="AS329" s="194">
        <f t="shared" ref="AS329:AS336" si="271">IF(ISBLANK(AP329),,(AQ329*W329))</f>
        <v>-129.6</v>
      </c>
      <c r="AT329" s="217" t="s">
        <v>211</v>
      </c>
      <c r="AU329" s="481" t="s">
        <v>1602</v>
      </c>
      <c r="AV329" s="481" t="s">
        <v>1603</v>
      </c>
      <c r="AW329" s="481" t="s">
        <v>1604</v>
      </c>
      <c r="AX329" s="481" t="s">
        <v>1605</v>
      </c>
      <c r="AY329" s="481" t="s">
        <v>1606</v>
      </c>
      <c r="AZ329" s="481" t="s">
        <v>1607</v>
      </c>
      <c r="BA329" s="481"/>
      <c r="BB329" s="481"/>
      <c r="BC329" s="482" t="s">
        <v>511</v>
      </c>
      <c r="BD329" s="404">
        <f>SUM($AS$4:AS329)</f>
        <v>2527.68500000003</v>
      </c>
      <c r="BE329" s="405">
        <f>SUM($AR$4:AR329)</f>
        <v>2597.2600000000257</v>
      </c>
      <c r="BF329" s="330"/>
      <c r="BG329" s="330"/>
    </row>
    <row r="330" spans="1:59" ht="15">
      <c r="A330" s="227" t="s">
        <v>1504</v>
      </c>
      <c r="B330" s="204">
        <v>44992</v>
      </c>
      <c r="C330" s="205" t="s">
        <v>1418</v>
      </c>
      <c r="D330" s="205" t="s">
        <v>128</v>
      </c>
      <c r="E330" s="480" t="s">
        <v>1608</v>
      </c>
      <c r="F330" s="207" t="s">
        <v>1609</v>
      </c>
      <c r="G330" s="208"/>
      <c r="H330" s="209"/>
      <c r="I330" s="209">
        <v>1</v>
      </c>
      <c r="J330" s="209"/>
      <c r="K330" s="210"/>
      <c r="L330" s="209"/>
      <c r="M330" s="209"/>
      <c r="N330" s="209"/>
      <c r="O330" s="210"/>
      <c r="P330" s="210"/>
      <c r="Q330" s="210"/>
      <c r="R330" s="210"/>
      <c r="S330" s="210"/>
      <c r="T330" s="210"/>
      <c r="U330" s="210"/>
      <c r="V330" s="188" t="str">
        <f t="shared" ref="V330:V335" si="272">IF(ISBLANK(O330),"",(IF(O330=UPPER("IB"),0.005,0.01)))</f>
        <v/>
      </c>
      <c r="W330" s="188" t="str">
        <f t="shared" ref="W330:W334" si="273">IF(ISBLANK(O330),"",IF(O330=UPPER("IB"),8.63*200,16.2*100))</f>
        <v/>
      </c>
      <c r="X330" s="212"/>
      <c r="Y330" s="212"/>
      <c r="Z330" s="212"/>
      <c r="AA330" s="213"/>
      <c r="AB330" s="209"/>
      <c r="AC330" s="345"/>
      <c r="AD330" s="209"/>
      <c r="AE330" s="209"/>
      <c r="AF330" s="209"/>
      <c r="AG330" s="209"/>
      <c r="AH330" s="209"/>
      <c r="AI330" s="191"/>
      <c r="AJ330" s="191"/>
      <c r="AK330" s="209"/>
      <c r="AL330" s="209"/>
      <c r="AM330" s="209"/>
      <c r="AN330" s="345"/>
      <c r="AO330" s="209"/>
      <c r="AP330" s="215"/>
      <c r="AQ330" s="193"/>
      <c r="AR330" s="191"/>
      <c r="AS330" s="194"/>
      <c r="AT330" s="217"/>
      <c r="AU330" s="481"/>
      <c r="AV330" s="481"/>
      <c r="AW330" s="481"/>
      <c r="AX330" s="481"/>
      <c r="AY330" s="481"/>
      <c r="AZ330" s="481"/>
      <c r="BA330" s="481"/>
      <c r="BB330" s="481"/>
      <c r="BC330" s="482"/>
      <c r="BD330" s="404">
        <f>SUM($AS$4:AS330)</f>
        <v>2527.68500000003</v>
      </c>
      <c r="BE330" s="405">
        <f>SUM($AR$4:AR330)</f>
        <v>2597.2600000000257</v>
      </c>
      <c r="BF330" s="330"/>
      <c r="BG330" s="330"/>
    </row>
    <row r="331" spans="1:59" ht="15">
      <c r="A331" s="227" t="s">
        <v>1504</v>
      </c>
      <c r="B331" s="204">
        <v>44992</v>
      </c>
      <c r="C331" s="205" t="s">
        <v>1610</v>
      </c>
      <c r="D331" s="205" t="s">
        <v>128</v>
      </c>
      <c r="E331" s="480" t="s">
        <v>1611</v>
      </c>
      <c r="F331" s="207" t="s">
        <v>1612</v>
      </c>
      <c r="G331" s="208"/>
      <c r="H331" s="209"/>
      <c r="I331" s="209">
        <v>1</v>
      </c>
      <c r="J331" s="209"/>
      <c r="K331" s="210" t="s">
        <v>97</v>
      </c>
      <c r="L331" s="209"/>
      <c r="M331" s="209"/>
      <c r="N331" s="209"/>
      <c r="O331" s="210"/>
      <c r="P331" s="210"/>
      <c r="Q331" s="210"/>
      <c r="R331" s="210"/>
      <c r="S331" s="210"/>
      <c r="T331" s="210"/>
      <c r="U331" s="210"/>
      <c r="V331" s="188" t="str">
        <f t="shared" si="272"/>
        <v/>
      </c>
      <c r="W331" s="188" t="str">
        <f t="shared" si="273"/>
        <v/>
      </c>
      <c r="X331" s="212"/>
      <c r="Y331" s="212"/>
      <c r="Z331" s="212"/>
      <c r="AA331" s="213"/>
      <c r="AB331" s="209"/>
      <c r="AC331" s="345"/>
      <c r="AD331" s="209"/>
      <c r="AE331" s="209"/>
      <c r="AF331" s="209"/>
      <c r="AG331" s="209"/>
      <c r="AH331" s="209"/>
      <c r="AI331" s="191"/>
      <c r="AJ331" s="191"/>
      <c r="AK331" s="209"/>
      <c r="AL331" s="209"/>
      <c r="AM331" s="209"/>
      <c r="AN331" s="345"/>
      <c r="AO331" s="209"/>
      <c r="AP331" s="215"/>
      <c r="AQ331" s="193"/>
      <c r="AR331" s="191"/>
      <c r="AS331" s="194"/>
      <c r="AT331" s="217"/>
      <c r="AU331" s="481"/>
      <c r="AV331" s="481"/>
      <c r="AW331" s="481"/>
      <c r="AX331" s="481"/>
      <c r="AY331" s="481"/>
      <c r="AZ331" s="481"/>
      <c r="BA331" s="481"/>
      <c r="BB331" s="481"/>
      <c r="BC331" s="482"/>
      <c r="BD331" s="404">
        <f>SUM($AS$4:AS331)</f>
        <v>2527.68500000003</v>
      </c>
      <c r="BE331" s="405">
        <f>SUM($AR$4:AR331)</f>
        <v>2597.2600000000257</v>
      </c>
      <c r="BF331" s="330"/>
      <c r="BG331" s="330"/>
    </row>
    <row r="332" spans="1:59" ht="15">
      <c r="A332" s="227" t="s">
        <v>1504</v>
      </c>
      <c r="B332" s="204"/>
      <c r="C332" s="205"/>
      <c r="D332" s="205"/>
      <c r="E332" s="480" t="s">
        <v>1613</v>
      </c>
      <c r="F332" s="207"/>
      <c r="G332" s="208"/>
      <c r="H332" s="209"/>
      <c r="I332" s="209"/>
      <c r="J332" s="209"/>
      <c r="K332" s="210"/>
      <c r="L332" s="209"/>
      <c r="M332" s="209"/>
      <c r="N332" s="209"/>
      <c r="O332" s="210"/>
      <c r="P332" s="210"/>
      <c r="Q332" s="210"/>
      <c r="R332" s="210"/>
      <c r="S332" s="210"/>
      <c r="T332" s="210"/>
      <c r="U332" s="210"/>
      <c r="V332" s="188" t="str">
        <f t="shared" si="272"/>
        <v/>
      </c>
      <c r="W332" s="188" t="str">
        <f t="shared" si="273"/>
        <v/>
      </c>
      <c r="X332" s="212"/>
      <c r="Y332" s="212"/>
      <c r="Z332" s="212"/>
      <c r="AA332" s="213"/>
      <c r="AB332" s="209"/>
      <c r="AC332" s="345"/>
      <c r="AD332" s="209"/>
      <c r="AE332" s="209"/>
      <c r="AF332" s="209"/>
      <c r="AG332" s="209"/>
      <c r="AH332" s="209"/>
      <c r="AI332" s="191"/>
      <c r="AJ332" s="191"/>
      <c r="AK332" s="209"/>
      <c r="AL332" s="209"/>
      <c r="AM332" s="209"/>
      <c r="AN332" s="345"/>
      <c r="AO332" s="209"/>
      <c r="AP332" s="215"/>
      <c r="AQ332" s="193"/>
      <c r="AR332" s="191"/>
      <c r="AS332" s="194"/>
      <c r="AT332" s="217"/>
      <c r="AU332" s="481"/>
      <c r="AV332" s="481"/>
      <c r="AW332" s="481"/>
      <c r="AX332" s="481"/>
      <c r="AY332" s="481"/>
      <c r="AZ332" s="481"/>
      <c r="BA332" s="481"/>
      <c r="BB332" s="481"/>
      <c r="BC332" s="482"/>
      <c r="BD332" s="404">
        <f>SUM($AS$4:AS332)</f>
        <v>2527.68500000003</v>
      </c>
      <c r="BE332" s="405">
        <f>SUM($AR$4:AR332)</f>
        <v>2597.2600000000257</v>
      </c>
      <c r="BF332" s="330"/>
      <c r="BG332" s="330"/>
    </row>
    <row r="333" spans="1:59" ht="15">
      <c r="A333" s="227" t="s">
        <v>1504</v>
      </c>
      <c r="B333" s="204">
        <v>44993</v>
      </c>
      <c r="C333" s="205" t="s">
        <v>1614</v>
      </c>
      <c r="D333" s="205" t="s">
        <v>133</v>
      </c>
      <c r="E333" s="480" t="s">
        <v>1615</v>
      </c>
      <c r="F333" s="207"/>
      <c r="G333" s="208"/>
      <c r="H333" s="209"/>
      <c r="I333" s="209"/>
      <c r="J333" s="209"/>
      <c r="K333" s="210"/>
      <c r="L333" s="209"/>
      <c r="M333" s="209"/>
      <c r="N333" s="209"/>
      <c r="O333" s="210"/>
      <c r="P333" s="210"/>
      <c r="Q333" s="210"/>
      <c r="R333" s="210"/>
      <c r="S333" s="210"/>
      <c r="T333" s="210"/>
      <c r="U333" s="210"/>
      <c r="V333" s="188" t="str">
        <f t="shared" si="272"/>
        <v/>
      </c>
      <c r="W333" s="188" t="str">
        <f t="shared" si="273"/>
        <v/>
      </c>
      <c r="X333" s="212"/>
      <c r="Y333" s="212"/>
      <c r="Z333" s="212"/>
      <c r="AA333" s="213"/>
      <c r="AB333" s="209"/>
      <c r="AC333" s="345"/>
      <c r="AD333" s="209"/>
      <c r="AE333" s="209"/>
      <c r="AF333" s="209"/>
      <c r="AG333" s="209"/>
      <c r="AH333" s="209"/>
      <c r="AI333" s="191"/>
      <c r="AJ333" s="191"/>
      <c r="AK333" s="209"/>
      <c r="AL333" s="209"/>
      <c r="AM333" s="209"/>
      <c r="AN333" s="345"/>
      <c r="AO333" s="209"/>
      <c r="AP333" s="215"/>
      <c r="AQ333" s="193"/>
      <c r="AR333" s="191"/>
      <c r="AS333" s="194"/>
      <c r="AT333" s="217"/>
      <c r="AU333" s="481"/>
      <c r="AV333" s="481"/>
      <c r="AW333" s="481"/>
      <c r="AX333" s="481"/>
      <c r="AY333" s="481"/>
      <c r="AZ333" s="481"/>
      <c r="BA333" s="481"/>
      <c r="BB333" s="481"/>
      <c r="BC333" s="482"/>
      <c r="BD333" s="404">
        <f>SUM($AS$4:AS333)</f>
        <v>2527.68500000003</v>
      </c>
      <c r="BE333" s="405">
        <f>SUM($AR$4:AR333)</f>
        <v>2597.2600000000257</v>
      </c>
      <c r="BF333" s="330"/>
      <c r="BG333" s="330"/>
    </row>
    <row r="334" spans="1:59" ht="15">
      <c r="A334" s="227" t="s">
        <v>1504</v>
      </c>
      <c r="B334" s="204">
        <v>44993</v>
      </c>
      <c r="C334" s="205" t="s">
        <v>1616</v>
      </c>
      <c r="D334" s="205" t="s">
        <v>133</v>
      </c>
      <c r="E334" s="480" t="s">
        <v>1617</v>
      </c>
      <c r="F334" s="207" t="s">
        <v>1609</v>
      </c>
      <c r="G334" s="208"/>
      <c r="H334" s="209">
        <v>1</v>
      </c>
      <c r="I334" s="209"/>
      <c r="J334" s="209"/>
      <c r="K334" s="210" t="s">
        <v>87</v>
      </c>
      <c r="L334" s="209"/>
      <c r="M334" s="209"/>
      <c r="N334" s="209"/>
      <c r="O334" s="210"/>
      <c r="P334" s="210"/>
      <c r="Q334" s="210"/>
      <c r="R334" s="210"/>
      <c r="S334" s="210"/>
      <c r="T334" s="210"/>
      <c r="U334" s="210"/>
      <c r="V334" s="188" t="str">
        <f t="shared" si="272"/>
        <v/>
      </c>
      <c r="W334" s="188" t="str">
        <f t="shared" si="273"/>
        <v/>
      </c>
      <c r="X334" s="212"/>
      <c r="Y334" s="212"/>
      <c r="Z334" s="212"/>
      <c r="AA334" s="213"/>
      <c r="AB334" s="209"/>
      <c r="AC334" s="345"/>
      <c r="AD334" s="209"/>
      <c r="AE334" s="209"/>
      <c r="AF334" s="209"/>
      <c r="AG334" s="209"/>
      <c r="AH334" s="209"/>
      <c r="AI334" s="191"/>
      <c r="AJ334" s="191"/>
      <c r="AK334" s="209"/>
      <c r="AL334" s="209"/>
      <c r="AM334" s="209"/>
      <c r="AN334" s="345"/>
      <c r="AO334" s="209"/>
      <c r="AP334" s="215"/>
      <c r="AQ334" s="193"/>
      <c r="AR334" s="191"/>
      <c r="AS334" s="194"/>
      <c r="AT334" s="217"/>
      <c r="AU334" s="481"/>
      <c r="AV334" s="481"/>
      <c r="AW334" s="481"/>
      <c r="AX334" s="481"/>
      <c r="AY334" s="481"/>
      <c r="AZ334" s="481"/>
      <c r="BA334" s="481"/>
      <c r="BB334" s="481"/>
      <c r="BC334" s="482"/>
      <c r="BD334" s="404">
        <f>SUM($AS$4:AS334)</f>
        <v>2527.68500000003</v>
      </c>
      <c r="BE334" s="405">
        <f>SUM($AR$4:AR334)</f>
        <v>2597.2600000000257</v>
      </c>
      <c r="BF334" s="330"/>
      <c r="BG334" s="330"/>
    </row>
    <row r="335" spans="1:59" ht="15">
      <c r="A335" s="227" t="s">
        <v>1504</v>
      </c>
      <c r="B335" s="204">
        <v>44995</v>
      </c>
      <c r="C335" s="182" t="s">
        <v>1618</v>
      </c>
      <c r="D335" s="182" t="s">
        <v>93</v>
      </c>
      <c r="E335" s="240"/>
      <c r="F335" s="184"/>
      <c r="G335" s="291" t="s">
        <v>253</v>
      </c>
      <c r="H335" s="186"/>
      <c r="I335" s="186"/>
      <c r="J335" s="186"/>
      <c r="K335" s="187"/>
      <c r="L335" s="186">
        <v>3</v>
      </c>
      <c r="M335" s="186">
        <v>2</v>
      </c>
      <c r="N335" s="186"/>
      <c r="O335" s="187" t="s">
        <v>76</v>
      </c>
      <c r="P335" s="187" t="s">
        <v>119</v>
      </c>
      <c r="Q335" s="187" t="s">
        <v>78</v>
      </c>
      <c r="R335" s="187">
        <v>7</v>
      </c>
      <c r="S335" s="187">
        <v>7</v>
      </c>
      <c r="T335" s="187">
        <v>7</v>
      </c>
      <c r="U335" s="187" t="s">
        <v>22</v>
      </c>
      <c r="V335" s="188">
        <f t="shared" si="272"/>
        <v>0.01</v>
      </c>
      <c r="W335" s="188">
        <f>IF(ISBLANK(O335),"",IF(O335=UPPER("IB"),8.63*200,15.8*100))</f>
        <v>1580</v>
      </c>
      <c r="X335" s="189"/>
      <c r="Y335" s="189"/>
      <c r="Z335" s="189" t="s">
        <v>80</v>
      </c>
      <c r="AA335" s="190">
        <v>-0.11</v>
      </c>
      <c r="AB335" s="186"/>
      <c r="AC335" s="344">
        <v>-14</v>
      </c>
      <c r="AD335" s="186"/>
      <c r="AE335" s="186">
        <v>-10</v>
      </c>
      <c r="AF335" s="186"/>
      <c r="AG335" s="186" t="s">
        <v>1619</v>
      </c>
      <c r="AH335" s="186" t="s">
        <v>511</v>
      </c>
      <c r="AI335" s="191">
        <f>-0.02*W335</f>
        <v>-31.6</v>
      </c>
      <c r="AJ335" s="191">
        <f t="shared" ref="AJ335" si="274">AI335*R335</f>
        <v>-221.20000000000002</v>
      </c>
      <c r="AK335" s="186"/>
      <c r="AL335" s="186"/>
      <c r="AM335" s="186" t="s">
        <v>1620</v>
      </c>
      <c r="AN335" s="344" t="s">
        <v>87</v>
      </c>
      <c r="AO335" s="186" t="s">
        <v>1621</v>
      </c>
      <c r="AP335" s="193">
        <v>-0.11</v>
      </c>
      <c r="AQ335" s="193">
        <f t="shared" si="269"/>
        <v>0</v>
      </c>
      <c r="AR335" s="191">
        <f t="shared" si="270"/>
        <v>0</v>
      </c>
      <c r="AS335" s="194">
        <f t="shared" si="271"/>
        <v>0</v>
      </c>
      <c r="AT335" s="195" t="s">
        <v>97</v>
      </c>
      <c r="AU335" s="484" t="s">
        <v>1622</v>
      </c>
      <c r="AV335" s="484" t="s">
        <v>1623</v>
      </c>
      <c r="AW335" s="484"/>
      <c r="AX335" s="484"/>
      <c r="AY335" s="484"/>
      <c r="AZ335" s="484"/>
      <c r="BA335" s="484"/>
      <c r="BB335" s="484"/>
      <c r="BC335" s="485"/>
      <c r="BD335" s="404">
        <f>SUM($AS$4:AS335)</f>
        <v>2527.68500000003</v>
      </c>
      <c r="BE335" s="405">
        <f>SUM($AR$4:AR335)</f>
        <v>2597.2600000000257</v>
      </c>
      <c r="BF335" s="330"/>
      <c r="BG335" s="330"/>
    </row>
    <row r="336" spans="1:59" ht="15">
      <c r="A336" s="227" t="s">
        <v>1504</v>
      </c>
      <c r="B336" s="204">
        <v>44995</v>
      </c>
      <c r="C336" s="205" t="s">
        <v>1624</v>
      </c>
      <c r="D336" s="205" t="s">
        <v>93</v>
      </c>
      <c r="E336" s="480"/>
      <c r="F336" s="207"/>
      <c r="G336" s="326" t="s">
        <v>347</v>
      </c>
      <c r="H336" s="209"/>
      <c r="I336" s="209"/>
      <c r="J336" s="209"/>
      <c r="K336" s="210"/>
      <c r="L336" s="209">
        <v>3</v>
      </c>
      <c r="M336" s="209">
        <v>2</v>
      </c>
      <c r="N336" s="209"/>
      <c r="O336" s="210" t="s">
        <v>76</v>
      </c>
      <c r="P336" s="210" t="s">
        <v>77</v>
      </c>
      <c r="Q336" s="210" t="s">
        <v>78</v>
      </c>
      <c r="R336" s="210">
        <v>8</v>
      </c>
      <c r="S336" s="210">
        <v>8</v>
      </c>
      <c r="T336" s="210">
        <v>8</v>
      </c>
      <c r="U336" s="210" t="s">
        <v>22</v>
      </c>
      <c r="V336" s="188">
        <f t="shared" ref="V336" si="275">IF(ISBLANK(O336),"",(IF(O336=UPPER("IB"),0.005,0.01)))</f>
        <v>0.01</v>
      </c>
      <c r="W336" s="188">
        <f>IF(ISBLANK(O336),"",IF(O336=UPPER("IB"),8.63*200,15.8*100))</f>
        <v>1580</v>
      </c>
      <c r="X336" s="212"/>
      <c r="Y336" s="212" t="s">
        <v>1625</v>
      </c>
      <c r="Z336" s="189" t="s">
        <v>80</v>
      </c>
      <c r="AA336" s="213">
        <v>-0.08</v>
      </c>
      <c r="AB336" s="209"/>
      <c r="AC336" s="345"/>
      <c r="AD336" s="209"/>
      <c r="AE336" s="209"/>
      <c r="AF336" s="209"/>
      <c r="AG336" s="209"/>
      <c r="AH336" s="209"/>
      <c r="AI336" s="191"/>
      <c r="AJ336" s="191"/>
      <c r="AK336" s="209"/>
      <c r="AL336" s="209"/>
      <c r="AM336" s="209" t="s">
        <v>1626</v>
      </c>
      <c r="AN336" s="345" t="s">
        <v>376</v>
      </c>
      <c r="AO336" s="209" t="s">
        <v>1627</v>
      </c>
      <c r="AP336" s="215">
        <v>-7.0000000000000007E-2</v>
      </c>
      <c r="AQ336" s="193">
        <f t="shared" si="269"/>
        <v>9.999999999999995E-3</v>
      </c>
      <c r="AR336" s="191">
        <f t="shared" si="270"/>
        <v>126.39999999999993</v>
      </c>
      <c r="AS336" s="194">
        <f t="shared" si="271"/>
        <v>15.799999999999992</v>
      </c>
      <c r="AT336" s="217" t="s">
        <v>77</v>
      </c>
      <c r="AU336" s="481" t="s">
        <v>1119</v>
      </c>
      <c r="AV336" s="481" t="s">
        <v>1628</v>
      </c>
      <c r="AW336" s="481"/>
      <c r="AX336" s="481" t="s">
        <v>1629</v>
      </c>
      <c r="AY336" s="481" t="s">
        <v>1630</v>
      </c>
      <c r="AZ336" s="481" t="s">
        <v>1631</v>
      </c>
      <c r="BA336" s="481" t="s">
        <v>511</v>
      </c>
      <c r="BB336" s="481"/>
      <c r="BC336" s="482"/>
      <c r="BD336" s="404">
        <f>SUM($AS$4:AS336)</f>
        <v>2543.4850000000301</v>
      </c>
      <c r="BE336" s="405">
        <f>SUM($AR$4:AR336)</f>
        <v>2723.6600000000258</v>
      </c>
      <c r="BF336" s="330"/>
      <c r="BG336" s="330"/>
    </row>
    <row r="337" spans="1:59" ht="15.75" customHeight="1">
      <c r="A337" s="227" t="s">
        <v>1504</v>
      </c>
      <c r="B337" s="204">
        <v>44995</v>
      </c>
      <c r="C337" s="205" t="s">
        <v>1632</v>
      </c>
      <c r="D337" s="205" t="s">
        <v>93</v>
      </c>
      <c r="E337" s="480"/>
      <c r="F337" s="207"/>
      <c r="G337" s="326" t="s">
        <v>347</v>
      </c>
      <c r="H337" s="209"/>
      <c r="I337" s="209"/>
      <c r="J337" s="209"/>
      <c r="K337" s="210"/>
      <c r="L337" s="209">
        <v>3</v>
      </c>
      <c r="M337" s="209">
        <v>2</v>
      </c>
      <c r="N337" s="209"/>
      <c r="O337" s="210" t="s">
        <v>76</v>
      </c>
      <c r="P337" s="210" t="s">
        <v>77</v>
      </c>
      <c r="Q337" s="210" t="s">
        <v>78</v>
      </c>
      <c r="R337" s="210">
        <v>8</v>
      </c>
      <c r="S337" s="210">
        <v>8</v>
      </c>
      <c r="T337" s="210">
        <v>8</v>
      </c>
      <c r="U337" s="210" t="s">
        <v>22</v>
      </c>
      <c r="V337" s="188">
        <f t="shared" ref="V337" si="276">IF(ISBLANK(O337),"",(IF(O337=UPPER("IB"),0.005,0.01)))</f>
        <v>0.01</v>
      </c>
      <c r="W337" s="188">
        <f>IF(ISBLANK(O337),"",IF(O337=UPPER("IB"),8.63*200,15.8*100))</f>
        <v>1580</v>
      </c>
      <c r="X337" s="212"/>
      <c r="Y337" s="212" t="s">
        <v>1625</v>
      </c>
      <c r="Z337" s="189" t="s">
        <v>80</v>
      </c>
      <c r="AA337" s="213">
        <v>-0.08</v>
      </c>
      <c r="AB337" s="209"/>
      <c r="AC337" s="345"/>
      <c r="AD337" s="209"/>
      <c r="AE337" s="209"/>
      <c r="AF337" s="209"/>
      <c r="AG337" s="209" t="s">
        <v>1633</v>
      </c>
      <c r="AH337" s="209"/>
      <c r="AI337" s="191"/>
      <c r="AJ337" s="191"/>
      <c r="AK337" s="209"/>
      <c r="AL337" s="209"/>
      <c r="AM337" s="209" t="s">
        <v>946</v>
      </c>
      <c r="AN337" s="345" t="s">
        <v>87</v>
      </c>
      <c r="AO337" s="209" t="s">
        <v>1634</v>
      </c>
      <c r="AP337" s="215">
        <v>-7.0000000000000007E-2</v>
      </c>
      <c r="AQ337" s="193">
        <f t="shared" ref="AQ337" si="277">IF(ISBLANK(AP337),,IF(U337="S",AA337-AP337,AP337-AA337))</f>
        <v>9.999999999999995E-3</v>
      </c>
      <c r="AR337" s="191">
        <f t="shared" ref="AR337" si="278">AS337*R337</f>
        <v>126.39999999999993</v>
      </c>
      <c r="AS337" s="194">
        <f t="shared" ref="AS337" si="279">IF(ISBLANK(AP337),,(AQ337*W337))</f>
        <v>15.799999999999992</v>
      </c>
      <c r="AT337" s="217" t="s">
        <v>77</v>
      </c>
      <c r="AU337" s="481" t="s">
        <v>1119</v>
      </c>
      <c r="AV337" s="481"/>
      <c r="AW337" s="481"/>
      <c r="AX337" s="481"/>
      <c r="AY337" s="481"/>
      <c r="AZ337" s="481"/>
      <c r="BA337" s="481"/>
      <c r="BB337" s="481"/>
      <c r="BC337" s="482"/>
      <c r="BD337" s="404">
        <f>SUM($AS$4:AS337)</f>
        <v>2559.2850000000303</v>
      </c>
      <c r="BE337" s="405">
        <f>SUM($AR$4:AR337)</f>
        <v>2850.0600000000259</v>
      </c>
      <c r="BF337" s="330"/>
      <c r="BG337" s="330"/>
    </row>
    <row r="338" spans="1:59" ht="15.75" customHeight="1">
      <c r="A338" s="227" t="s">
        <v>1504</v>
      </c>
      <c r="B338" s="204">
        <v>44995</v>
      </c>
      <c r="C338" s="205" t="s">
        <v>1455</v>
      </c>
      <c r="D338" s="205" t="s">
        <v>93</v>
      </c>
      <c r="E338" s="254" t="s">
        <v>1635</v>
      </c>
      <c r="F338" s="207" t="s">
        <v>1636</v>
      </c>
      <c r="G338" s="208"/>
      <c r="H338" s="209">
        <v>1</v>
      </c>
      <c r="I338" s="209"/>
      <c r="J338" s="209"/>
      <c r="K338" s="210" t="s">
        <v>87</v>
      </c>
      <c r="L338" s="209"/>
      <c r="M338" s="209"/>
      <c r="N338" s="209"/>
      <c r="O338" s="210"/>
      <c r="P338" s="210"/>
      <c r="Q338" s="210"/>
      <c r="R338" s="210"/>
      <c r="S338" s="210"/>
      <c r="T338" s="210"/>
      <c r="U338" s="210"/>
      <c r="V338" s="188"/>
      <c r="W338" s="188"/>
      <c r="X338" s="212"/>
      <c r="Y338" s="212"/>
      <c r="Z338" s="189"/>
      <c r="AA338" s="213"/>
      <c r="AB338" s="209"/>
      <c r="AC338" s="345"/>
      <c r="AD338" s="209"/>
      <c r="AE338" s="209"/>
      <c r="AF338" s="209"/>
      <c r="AG338" s="209"/>
      <c r="AH338" s="209"/>
      <c r="AI338" s="191"/>
      <c r="AJ338" s="191"/>
      <c r="AK338" s="209"/>
      <c r="AL338" s="209"/>
      <c r="AM338" s="209"/>
      <c r="AN338" s="345"/>
      <c r="AO338" s="209"/>
      <c r="AP338" s="215"/>
      <c r="AQ338" s="193"/>
      <c r="AR338" s="191"/>
      <c r="AS338" s="194"/>
      <c r="AT338" s="217"/>
      <c r="AU338" s="431"/>
      <c r="AV338" s="431"/>
      <c r="AW338" s="431"/>
      <c r="AX338" s="431"/>
      <c r="AY338" s="431"/>
      <c r="AZ338" s="431"/>
      <c r="BA338" s="431"/>
      <c r="BB338" s="431"/>
      <c r="BC338" s="445"/>
      <c r="BD338" s="404">
        <f>SUM($AS$4:AS338)</f>
        <v>2559.2850000000303</v>
      </c>
      <c r="BE338" s="405">
        <f>SUM($AR$4:AR338)</f>
        <v>2850.0600000000259</v>
      </c>
      <c r="BF338" s="330"/>
      <c r="BG338" s="330"/>
    </row>
    <row r="339" spans="1:59" ht="15.75" customHeight="1">
      <c r="A339" s="227" t="s">
        <v>1504</v>
      </c>
      <c r="B339" s="204"/>
      <c r="C339" s="205"/>
      <c r="D339" s="205"/>
      <c r="E339" s="254" t="s">
        <v>1637</v>
      </c>
      <c r="F339" s="207" t="s">
        <v>1638</v>
      </c>
      <c r="G339" s="208"/>
      <c r="H339" s="209">
        <v>1</v>
      </c>
      <c r="I339" s="209"/>
      <c r="J339" s="209"/>
      <c r="K339" s="210" t="s">
        <v>97</v>
      </c>
      <c r="L339" s="209"/>
      <c r="M339" s="209"/>
      <c r="N339" s="209"/>
      <c r="O339" s="210"/>
      <c r="P339" s="210"/>
      <c r="Q339" s="210"/>
      <c r="R339" s="210"/>
      <c r="S339" s="210"/>
      <c r="T339" s="210"/>
      <c r="U339" s="210"/>
      <c r="V339" s="188"/>
      <c r="W339" s="188"/>
      <c r="X339" s="212"/>
      <c r="Y339" s="212"/>
      <c r="Z339" s="189"/>
      <c r="AA339" s="213"/>
      <c r="AB339" s="209"/>
      <c r="AC339" s="345"/>
      <c r="AD339" s="209"/>
      <c r="AE339" s="209"/>
      <c r="AF339" s="209"/>
      <c r="AG339" s="209"/>
      <c r="AH339" s="209"/>
      <c r="AI339" s="191"/>
      <c r="AJ339" s="191"/>
      <c r="AK339" s="209"/>
      <c r="AL339" s="209"/>
      <c r="AM339" s="209"/>
      <c r="AN339" s="345"/>
      <c r="AO339" s="209"/>
      <c r="AP339" s="215"/>
      <c r="AQ339" s="193"/>
      <c r="AR339" s="191"/>
      <c r="AS339" s="194"/>
      <c r="AT339" s="217"/>
      <c r="AU339" s="431"/>
      <c r="AV339" s="431"/>
      <c r="AW339" s="431"/>
      <c r="AX339" s="431"/>
      <c r="AY339" s="431"/>
      <c r="AZ339" s="431"/>
      <c r="BA339" s="431"/>
      <c r="BB339" s="431"/>
      <c r="BC339" s="445"/>
      <c r="BD339" s="404">
        <f>SUM($AS$4:AS339)</f>
        <v>2559.2850000000303</v>
      </c>
      <c r="BE339" s="405">
        <f>SUM($AR$4:AR339)</f>
        <v>2850.0600000000259</v>
      </c>
      <c r="BF339" s="330"/>
      <c r="BG339" s="330"/>
    </row>
    <row r="340" spans="1:59" ht="15.75" customHeight="1">
      <c r="A340" s="227" t="s">
        <v>1504</v>
      </c>
      <c r="B340" s="204"/>
      <c r="C340" s="182"/>
      <c r="D340" s="182"/>
      <c r="E340" s="254" t="s">
        <v>1639</v>
      </c>
      <c r="F340" s="184" t="s">
        <v>1640</v>
      </c>
      <c r="G340" s="185"/>
      <c r="H340" s="186"/>
      <c r="I340" s="186"/>
      <c r="J340" s="186"/>
      <c r="K340" s="187"/>
      <c r="L340" s="186"/>
      <c r="M340" s="186"/>
      <c r="N340" s="186"/>
      <c r="O340" s="187"/>
      <c r="P340" s="187"/>
      <c r="Q340" s="187"/>
      <c r="R340" s="187"/>
      <c r="S340" s="187"/>
      <c r="T340" s="187"/>
      <c r="U340" s="187"/>
      <c r="V340" s="282"/>
      <c r="W340" s="282"/>
      <c r="X340" s="189"/>
      <c r="Y340" s="189"/>
      <c r="Z340" s="189"/>
      <c r="AA340" s="190"/>
      <c r="AB340" s="186"/>
      <c r="AC340" s="344"/>
      <c r="AD340" s="186"/>
      <c r="AE340" s="186"/>
      <c r="AF340" s="186"/>
      <c r="AG340" s="186"/>
      <c r="AH340" s="186"/>
      <c r="AI340" s="191"/>
      <c r="AJ340" s="191"/>
      <c r="AK340" s="186"/>
      <c r="AL340" s="186"/>
      <c r="AM340" s="186"/>
      <c r="AN340" s="344"/>
      <c r="AO340" s="186"/>
      <c r="AP340" s="193"/>
      <c r="AQ340" s="193"/>
      <c r="AR340" s="191"/>
      <c r="AS340" s="194"/>
      <c r="AT340" s="195"/>
      <c r="AU340" s="425" t="s">
        <v>1641</v>
      </c>
      <c r="AV340" s="425"/>
      <c r="AW340" s="425"/>
      <c r="AX340" s="425"/>
      <c r="AY340" s="425"/>
      <c r="AZ340" s="425"/>
      <c r="BA340" s="425"/>
      <c r="BB340" s="425"/>
      <c r="BC340" s="440"/>
      <c r="BD340" s="404">
        <f>SUM($AS$4:AS340)</f>
        <v>2559.2850000000303</v>
      </c>
      <c r="BE340" s="405">
        <f>SUM($AR$4:AR340)</f>
        <v>2850.0600000000259</v>
      </c>
      <c r="BF340" s="330"/>
      <c r="BG340" s="330"/>
    </row>
    <row r="341" spans="1:59" ht="15.75" customHeight="1">
      <c r="A341" s="227" t="s">
        <v>1504</v>
      </c>
      <c r="B341" s="204">
        <v>44995</v>
      </c>
      <c r="C341" s="205" t="s">
        <v>664</v>
      </c>
      <c r="D341" s="205" t="s">
        <v>93</v>
      </c>
      <c r="E341" s="254"/>
      <c r="F341" s="207"/>
      <c r="G341" s="185" t="s">
        <v>347</v>
      </c>
      <c r="H341" s="209"/>
      <c r="I341" s="209"/>
      <c r="J341" s="209"/>
      <c r="K341" s="210"/>
      <c r="L341" s="209"/>
      <c r="M341" s="209"/>
      <c r="N341" s="209"/>
      <c r="O341" s="210"/>
      <c r="P341" s="210"/>
      <c r="Q341" s="210"/>
      <c r="R341" s="210"/>
      <c r="S341" s="210"/>
      <c r="T341" s="210"/>
      <c r="U341" s="210"/>
      <c r="V341" s="188"/>
      <c r="W341" s="188"/>
      <c r="X341" s="212"/>
      <c r="Y341" s="212"/>
      <c r="Z341" s="189"/>
      <c r="AA341" s="213"/>
      <c r="AB341" s="209"/>
      <c r="AC341" s="345"/>
      <c r="AD341" s="209"/>
      <c r="AE341" s="209"/>
      <c r="AF341" s="209"/>
      <c r="AG341" s="209"/>
      <c r="AH341" s="209"/>
      <c r="AI341" s="191"/>
      <c r="AJ341" s="191"/>
      <c r="AK341" s="209"/>
      <c r="AL341" s="209"/>
      <c r="AM341" s="209"/>
      <c r="AN341" s="345"/>
      <c r="AO341" s="209"/>
      <c r="AP341" s="215"/>
      <c r="AQ341" s="193"/>
      <c r="AR341" s="191"/>
      <c r="AS341" s="194"/>
      <c r="AT341" s="217"/>
      <c r="AU341" s="431" t="s">
        <v>1642</v>
      </c>
      <c r="AV341" s="431"/>
      <c r="AW341" s="431"/>
      <c r="AX341" s="431" t="s">
        <v>1643</v>
      </c>
      <c r="AY341" s="431" t="s">
        <v>511</v>
      </c>
      <c r="AZ341" s="431"/>
      <c r="BA341" s="431"/>
      <c r="BB341" s="431"/>
      <c r="BC341" s="445"/>
      <c r="BD341" s="404">
        <f>SUM($AS$4:AS341)</f>
        <v>2559.2850000000303</v>
      </c>
      <c r="BE341" s="405">
        <f>SUM($AR$4:AR341)</f>
        <v>2850.0600000000259</v>
      </c>
      <c r="BF341" s="330"/>
      <c r="BG341" s="330"/>
    </row>
    <row r="342" spans="1:59" ht="15.75" customHeight="1">
      <c r="A342" s="227" t="s">
        <v>1504</v>
      </c>
      <c r="B342" s="204">
        <v>44995</v>
      </c>
      <c r="C342" s="205" t="s">
        <v>1644</v>
      </c>
      <c r="D342" s="205" t="s">
        <v>93</v>
      </c>
      <c r="E342" s="254"/>
      <c r="F342" s="207"/>
      <c r="G342" s="326" t="s">
        <v>1645</v>
      </c>
      <c r="H342" s="209"/>
      <c r="I342" s="209"/>
      <c r="J342" s="209"/>
      <c r="K342" s="210"/>
      <c r="L342" s="209">
        <v>3</v>
      </c>
      <c r="M342" s="209">
        <v>3</v>
      </c>
      <c r="N342" s="209"/>
      <c r="O342" s="210" t="s">
        <v>76</v>
      </c>
      <c r="P342" s="210" t="s">
        <v>77</v>
      </c>
      <c r="Q342" s="210" t="s">
        <v>238</v>
      </c>
      <c r="R342" s="210">
        <v>5</v>
      </c>
      <c r="S342" s="210">
        <v>5</v>
      </c>
      <c r="T342" s="210">
        <v>5</v>
      </c>
      <c r="U342" s="210" t="s">
        <v>22</v>
      </c>
      <c r="V342" s="188">
        <f t="shared" ref="V342" si="280">IF(ISBLANK(O342),"",(IF(O342=UPPER("IB"),0.005,0.01)))</f>
        <v>0.01</v>
      </c>
      <c r="W342" s="188">
        <f>IF(ISBLANK(O342),"",IF(O342=UPPER("IB"),8.63*200,15.8*100))</f>
        <v>1580</v>
      </c>
      <c r="X342" s="212"/>
      <c r="Y342" s="212"/>
      <c r="Z342" s="189" t="s">
        <v>1646</v>
      </c>
      <c r="AA342" s="213">
        <v>0.03</v>
      </c>
      <c r="AB342" s="209"/>
      <c r="AC342" s="345">
        <v>-1</v>
      </c>
      <c r="AD342" s="209" t="s">
        <v>1647</v>
      </c>
      <c r="AE342" s="209" t="s">
        <v>1648</v>
      </c>
      <c r="AF342" s="209" t="s">
        <v>1649</v>
      </c>
      <c r="AG342" s="209" t="s">
        <v>1650</v>
      </c>
      <c r="AH342" s="209"/>
      <c r="AI342" s="191">
        <f>-0.04*W342</f>
        <v>-63.2</v>
      </c>
      <c r="AJ342" s="191">
        <f t="shared" ref="AJ342" si="281">AI342*R342</f>
        <v>-316</v>
      </c>
      <c r="AK342" s="209"/>
      <c r="AL342" s="209"/>
      <c r="AM342" s="209" t="s">
        <v>786</v>
      </c>
      <c r="AN342" s="345" t="s">
        <v>97</v>
      </c>
      <c r="AO342" s="209" t="s">
        <v>1651</v>
      </c>
      <c r="AP342" s="215">
        <v>-0.04</v>
      </c>
      <c r="AQ342" s="193">
        <f t="shared" ref="AQ342:AQ343" si="282">IF(ISBLANK(AP342),,IF(U342="S",AA342-AP342,AP342-AA342))</f>
        <v>-7.0000000000000007E-2</v>
      </c>
      <c r="AR342" s="191">
        <f t="shared" ref="AR342:AR343" si="283">AS342*R342</f>
        <v>-553</v>
      </c>
      <c r="AS342" s="194">
        <f t="shared" ref="AS342:AS343" si="284">IF(ISBLANK(AP342),,(AQ342*W342))</f>
        <v>-110.60000000000001</v>
      </c>
      <c r="AT342" s="217" t="s">
        <v>211</v>
      </c>
      <c r="AU342" s="431" t="s">
        <v>1652</v>
      </c>
      <c r="AV342" s="431" t="s">
        <v>1653</v>
      </c>
      <c r="AW342" s="431"/>
      <c r="AX342" s="431" t="s">
        <v>1654</v>
      </c>
      <c r="AY342" s="431" t="s">
        <v>1607</v>
      </c>
      <c r="AZ342" s="431" t="s">
        <v>1655</v>
      </c>
      <c r="BA342" s="431" t="s">
        <v>511</v>
      </c>
      <c r="BB342" s="431"/>
      <c r="BC342" s="445"/>
      <c r="BD342" s="404">
        <f>SUM($AS$4:AS342)</f>
        <v>2448.6850000000304</v>
      </c>
      <c r="BE342" s="405">
        <f>SUM($AR$4:AR342)</f>
        <v>2297.0600000000259</v>
      </c>
      <c r="BF342" s="330"/>
      <c r="BG342" s="330"/>
    </row>
    <row r="343" spans="1:59" ht="15.75" customHeight="1">
      <c r="A343" s="227" t="s">
        <v>1504</v>
      </c>
      <c r="B343" s="204">
        <v>44996</v>
      </c>
      <c r="C343" s="205" t="s">
        <v>1656</v>
      </c>
      <c r="D343" s="205" t="s">
        <v>1657</v>
      </c>
      <c r="E343" s="254"/>
      <c r="F343" s="207"/>
      <c r="G343" s="326" t="s">
        <v>115</v>
      </c>
      <c r="H343" s="209"/>
      <c r="I343" s="209"/>
      <c r="J343" s="209"/>
      <c r="K343" s="210"/>
      <c r="L343" s="209">
        <v>1</v>
      </c>
      <c r="M343" s="209"/>
      <c r="N343" s="209"/>
      <c r="O343" s="210" t="s">
        <v>76</v>
      </c>
      <c r="P343" s="210" t="s">
        <v>77</v>
      </c>
      <c r="Q343" s="210" t="s">
        <v>78</v>
      </c>
      <c r="R343" s="210">
        <v>7</v>
      </c>
      <c r="S343" s="210">
        <v>7</v>
      </c>
      <c r="T343" s="210">
        <v>7</v>
      </c>
      <c r="U343" s="210" t="s">
        <v>22</v>
      </c>
      <c r="V343" s="188">
        <f t="shared" ref="V343" si="285">IF(ISBLANK(O343),"",(IF(O343=UPPER("IB"),0.005,0.01)))</f>
        <v>0.01</v>
      </c>
      <c r="W343" s="188">
        <f>IF(ISBLANK(O343),"",IF(O343=UPPER("IB"),8.63*200,15.8*100))</f>
        <v>1580</v>
      </c>
      <c r="X343" s="212" t="s">
        <v>1533</v>
      </c>
      <c r="Y343" s="212"/>
      <c r="Z343" s="212"/>
      <c r="AA343" s="213">
        <v>-0.04</v>
      </c>
      <c r="AB343" s="209"/>
      <c r="AC343" s="345">
        <v>-7.0000000000000007E-2</v>
      </c>
      <c r="AD343" s="209" t="s">
        <v>1658</v>
      </c>
      <c r="AE343" s="209" t="s">
        <v>1659</v>
      </c>
      <c r="AF343" s="209" t="s">
        <v>1533</v>
      </c>
      <c r="AG343" s="209"/>
      <c r="AH343" s="209"/>
      <c r="AI343" s="191">
        <f t="shared" ref="AI343" si="286">-0.04*W343</f>
        <v>-63.2</v>
      </c>
      <c r="AJ343" s="191">
        <f t="shared" ref="AJ343:AJ345" si="287">AI343*R343</f>
        <v>-442.40000000000003</v>
      </c>
      <c r="AK343" s="209"/>
      <c r="AL343" s="209"/>
      <c r="AM343" s="209" t="s">
        <v>949</v>
      </c>
      <c r="AN343" s="345" t="s">
        <v>87</v>
      </c>
      <c r="AO343" s="209" t="s">
        <v>1660</v>
      </c>
      <c r="AP343" s="215">
        <v>-0.04</v>
      </c>
      <c r="AQ343" s="193">
        <f t="shared" si="282"/>
        <v>0</v>
      </c>
      <c r="AR343" s="191">
        <f t="shared" si="283"/>
        <v>0</v>
      </c>
      <c r="AS343" s="194">
        <f t="shared" si="284"/>
        <v>0</v>
      </c>
      <c r="AT343" s="217" t="s">
        <v>97</v>
      </c>
      <c r="AU343" s="431" t="s">
        <v>1661</v>
      </c>
      <c r="AV343" s="431" t="s">
        <v>1662</v>
      </c>
      <c r="AW343" s="431"/>
      <c r="AX343" s="431"/>
      <c r="AY343" s="431"/>
      <c r="AZ343" s="431"/>
      <c r="BA343" s="431"/>
      <c r="BB343" s="431"/>
      <c r="BC343" s="445"/>
      <c r="BD343" s="404">
        <f>SUM($AS$4:AS343)</f>
        <v>2448.6850000000304</v>
      </c>
      <c r="BE343" s="405">
        <f>SUM($AR$4:AR343)</f>
        <v>2297.0600000000259</v>
      </c>
      <c r="BF343" s="330"/>
      <c r="BG343" s="330"/>
    </row>
    <row r="344" spans="1:59" ht="15.75" customHeight="1">
      <c r="A344" s="227" t="s">
        <v>1504</v>
      </c>
      <c r="B344" s="204">
        <v>44996</v>
      </c>
      <c r="C344" s="205" t="s">
        <v>1624</v>
      </c>
      <c r="D344" s="205" t="s">
        <v>1657</v>
      </c>
      <c r="E344" s="254"/>
      <c r="F344" s="207"/>
      <c r="G344" s="326" t="s">
        <v>347</v>
      </c>
      <c r="H344" s="209"/>
      <c r="I344" s="209"/>
      <c r="J344" s="209"/>
      <c r="K344" s="210"/>
      <c r="L344" s="209">
        <v>2</v>
      </c>
      <c r="M344" s="209">
        <v>2</v>
      </c>
      <c r="N344" s="209"/>
      <c r="O344" s="210" t="s">
        <v>76</v>
      </c>
      <c r="P344" s="210" t="s">
        <v>77</v>
      </c>
      <c r="Q344" s="210" t="s">
        <v>78</v>
      </c>
      <c r="R344" s="210">
        <v>8</v>
      </c>
      <c r="S344" s="210">
        <v>8</v>
      </c>
      <c r="T344" s="210">
        <v>8</v>
      </c>
      <c r="U344" s="210" t="s">
        <v>22</v>
      </c>
      <c r="V344" s="188">
        <f t="shared" ref="V344:V345" si="288">IF(ISBLANK(O344),"",(IF(O344=UPPER("IB"),0.005,0.01)))</f>
        <v>0.01</v>
      </c>
      <c r="W344" s="188">
        <f>IF(ISBLANK(O344),"",IF(O344=UPPER("IB"),8.63*200,15.8*100))</f>
        <v>1580</v>
      </c>
      <c r="X344" s="212"/>
      <c r="Y344" s="212"/>
      <c r="Z344" s="212"/>
      <c r="AA344" s="213">
        <v>-0.09</v>
      </c>
      <c r="AB344" s="209"/>
      <c r="AC344" s="345"/>
      <c r="AD344" s="209"/>
      <c r="AE344" s="209"/>
      <c r="AF344" s="209"/>
      <c r="AG344" s="209"/>
      <c r="AH344" s="209"/>
      <c r="AI344" s="191"/>
      <c r="AJ344" s="191"/>
      <c r="AK344" s="209"/>
      <c r="AL344" s="209"/>
      <c r="AM344" s="209" t="s">
        <v>949</v>
      </c>
      <c r="AN344" s="345" t="s">
        <v>87</v>
      </c>
      <c r="AO344" s="209" t="s">
        <v>1663</v>
      </c>
      <c r="AP344" s="215">
        <v>-0.08</v>
      </c>
      <c r="AQ344" s="193">
        <f t="shared" ref="AQ344" si="289">IF(ISBLANK(AP344),,IF(U344="S",AA344-AP344,AP344-AA344))</f>
        <v>9.999999999999995E-3</v>
      </c>
      <c r="AR344" s="191">
        <f t="shared" ref="AR344" si="290">AS344*R344</f>
        <v>126.39999999999993</v>
      </c>
      <c r="AS344" s="194">
        <f t="shared" ref="AS344" si="291">IF(ISBLANK(AP344),,(AQ344*W344))</f>
        <v>15.799999999999992</v>
      </c>
      <c r="AT344" s="217" t="s">
        <v>77</v>
      </c>
      <c r="AU344" s="431" t="s">
        <v>1664</v>
      </c>
      <c r="AV344" s="431" t="s">
        <v>1665</v>
      </c>
      <c r="AW344" s="431"/>
      <c r="AX344" s="431"/>
      <c r="AY344" s="431"/>
      <c r="AZ344" s="431"/>
      <c r="BA344" s="431"/>
      <c r="BB344" s="431"/>
      <c r="BC344" s="445"/>
      <c r="BD344" s="404">
        <f>SUM($AS$4:AS344)</f>
        <v>2464.4850000000306</v>
      </c>
      <c r="BE344" s="405">
        <f>SUM($AR$4:AR344)</f>
        <v>2423.460000000026</v>
      </c>
      <c r="BF344" s="330"/>
      <c r="BG344" s="330"/>
    </row>
    <row r="345" spans="1:59" ht="15.75" customHeight="1">
      <c r="A345" s="227" t="s">
        <v>1504</v>
      </c>
      <c r="B345" s="204">
        <v>44998</v>
      </c>
      <c r="C345" s="205" t="s">
        <v>184</v>
      </c>
      <c r="D345" s="205" t="s">
        <v>114</v>
      </c>
      <c r="E345" s="254"/>
      <c r="F345" s="207"/>
      <c r="G345" s="326" t="s">
        <v>1666</v>
      </c>
      <c r="H345" s="209"/>
      <c r="I345" s="209"/>
      <c r="J345" s="209"/>
      <c r="K345" s="210"/>
      <c r="L345" s="209">
        <v>3</v>
      </c>
      <c r="M345" s="209">
        <v>3</v>
      </c>
      <c r="N345" s="209"/>
      <c r="O345" s="210" t="s">
        <v>76</v>
      </c>
      <c r="P345" s="210" t="s">
        <v>77</v>
      </c>
      <c r="Q345" s="210" t="s">
        <v>238</v>
      </c>
      <c r="R345" s="210">
        <v>10</v>
      </c>
      <c r="S345" s="210">
        <v>10</v>
      </c>
      <c r="T345" s="210">
        <v>5</v>
      </c>
      <c r="U345" s="210" t="s">
        <v>22</v>
      </c>
      <c r="V345" s="188">
        <f t="shared" si="288"/>
        <v>0.01</v>
      </c>
      <c r="W345" s="188">
        <f>IF(ISBLANK(O345),"",IF(O345=UPPER("IB"),8.63*200,15.8*100))</f>
        <v>1580</v>
      </c>
      <c r="X345" s="212"/>
      <c r="Y345" s="212"/>
      <c r="Z345" s="189" t="s">
        <v>1646</v>
      </c>
      <c r="AA345" s="213">
        <v>0.02</v>
      </c>
      <c r="AB345" s="209"/>
      <c r="AC345" s="345"/>
      <c r="AD345" s="209"/>
      <c r="AE345" s="209"/>
      <c r="AF345" s="209"/>
      <c r="AG345" s="209"/>
      <c r="AH345" s="209"/>
      <c r="AI345" s="191">
        <f>-0.04*W345</f>
        <v>-63.2</v>
      </c>
      <c r="AJ345" s="191">
        <f t="shared" si="287"/>
        <v>-632</v>
      </c>
      <c r="AK345" s="209"/>
      <c r="AL345" s="209"/>
      <c r="AM345" s="209" t="s">
        <v>752</v>
      </c>
      <c r="AN345" s="345" t="s">
        <v>97</v>
      </c>
      <c r="AO345" s="209" t="s">
        <v>1322</v>
      </c>
      <c r="AP345" s="215">
        <v>-0.02</v>
      </c>
      <c r="AQ345" s="193">
        <f t="shared" ref="AQ345" si="292">IF(ISBLANK(AP345),,IF(U345="S",AA345-AP345,AP345-AA345))</f>
        <v>-0.04</v>
      </c>
      <c r="AR345" s="191">
        <f t="shared" ref="AR345" si="293">AS345*R345</f>
        <v>-632</v>
      </c>
      <c r="AS345" s="194">
        <f t="shared" ref="AS345" si="294">IF(ISBLANK(AP345),,(AQ345*W345))</f>
        <v>-63.2</v>
      </c>
      <c r="AT345" s="217" t="s">
        <v>211</v>
      </c>
      <c r="AU345" s="431" t="s">
        <v>1667</v>
      </c>
      <c r="AV345" s="431" t="s">
        <v>1668</v>
      </c>
      <c r="AW345" s="431" t="s">
        <v>1669</v>
      </c>
      <c r="AX345" s="431" t="s">
        <v>1670</v>
      </c>
      <c r="AY345" s="431" t="s">
        <v>1671</v>
      </c>
      <c r="AZ345" s="431" t="s">
        <v>1672</v>
      </c>
      <c r="BA345" s="431" t="s">
        <v>511</v>
      </c>
      <c r="BB345" s="431"/>
      <c r="BC345" s="445"/>
      <c r="BD345" s="404">
        <f>SUM($AS$4:AS345)</f>
        <v>2401.2850000000308</v>
      </c>
      <c r="BE345" s="405">
        <f>SUM($AR$4:AR345)</f>
        <v>1791.460000000026</v>
      </c>
      <c r="BF345" s="330"/>
      <c r="BG345" s="330"/>
    </row>
    <row r="346" spans="1:59" ht="15.75" customHeight="1">
      <c r="A346" s="227" t="s">
        <v>1504</v>
      </c>
      <c r="B346" s="204"/>
      <c r="C346" s="205"/>
      <c r="D346" s="205"/>
      <c r="E346" s="254"/>
      <c r="F346" s="207"/>
      <c r="G346" s="208"/>
      <c r="H346" s="209"/>
      <c r="I346" s="209"/>
      <c r="J346" s="209"/>
      <c r="K346" s="210"/>
      <c r="L346" s="209"/>
      <c r="M346" s="209"/>
      <c r="N346" s="209"/>
      <c r="O346" s="210"/>
      <c r="P346" s="210"/>
      <c r="Q346" s="210"/>
      <c r="R346" s="210"/>
      <c r="S346" s="210"/>
      <c r="T346" s="210"/>
      <c r="U346" s="210"/>
      <c r="V346" s="188" t="str">
        <f t="shared" ref="V346:V348" si="295">IF(ISBLANK(O346),"",(IF(O346=UPPER("IB"),0.005,0.01)))</f>
        <v/>
      </c>
      <c r="W346" s="188" t="str">
        <f t="shared" ref="W346:W347" si="296">IF(ISBLANK(O346),"",IF(O346=UPPER("IB"),8.63*200,15.8*100))</f>
        <v/>
      </c>
      <c r="X346" s="212"/>
      <c r="Y346" s="212"/>
      <c r="Z346" s="212"/>
      <c r="AA346" s="213"/>
      <c r="AB346" s="209"/>
      <c r="AC346" s="345"/>
      <c r="AD346" s="209"/>
      <c r="AE346" s="209"/>
      <c r="AF346" s="209"/>
      <c r="AG346" s="209"/>
      <c r="AH346" s="209"/>
      <c r="AI346" s="191"/>
      <c r="AJ346" s="191"/>
      <c r="AK346" s="209"/>
      <c r="AL346" s="209"/>
      <c r="AM346" s="209"/>
      <c r="AN346" s="345"/>
      <c r="AO346" s="209"/>
      <c r="AP346" s="215"/>
      <c r="AQ346" s="193"/>
      <c r="AR346" s="191"/>
      <c r="AS346" s="194"/>
      <c r="AT346" s="217"/>
      <c r="AU346" s="431" t="s">
        <v>1673</v>
      </c>
      <c r="AV346" s="431" t="s">
        <v>511</v>
      </c>
      <c r="AW346" s="431"/>
      <c r="AX346" s="431"/>
      <c r="AY346" s="431"/>
      <c r="AZ346" s="431"/>
      <c r="BA346" s="431"/>
      <c r="BB346" s="431"/>
      <c r="BC346" s="445"/>
      <c r="BD346" s="404">
        <f>SUM($AS$4:AS346)</f>
        <v>2401.2850000000308</v>
      </c>
      <c r="BE346" s="405">
        <f>SUM($AR$4:AR346)</f>
        <v>1791.460000000026</v>
      </c>
      <c r="BF346" s="330"/>
      <c r="BG346" s="330"/>
    </row>
    <row r="347" spans="1:59" ht="15.75" customHeight="1">
      <c r="A347" s="227" t="s">
        <v>1504</v>
      </c>
      <c r="B347" s="204">
        <v>44998</v>
      </c>
      <c r="C347" s="205" t="s">
        <v>1674</v>
      </c>
      <c r="D347" s="205" t="s">
        <v>114</v>
      </c>
      <c r="E347" s="254"/>
      <c r="F347" s="207"/>
      <c r="G347" s="208" t="s">
        <v>1675</v>
      </c>
      <c r="H347" s="209"/>
      <c r="I347" s="209"/>
      <c r="J347" s="209"/>
      <c r="K347" s="210"/>
      <c r="L347" s="209">
        <v>1</v>
      </c>
      <c r="M347" s="209"/>
      <c r="N347" s="209"/>
      <c r="O347" s="210" t="s">
        <v>76</v>
      </c>
      <c r="P347" s="210" t="s">
        <v>119</v>
      </c>
      <c r="Q347" s="210" t="s">
        <v>666</v>
      </c>
      <c r="R347" s="210">
        <v>1</v>
      </c>
      <c r="S347" s="210">
        <v>1</v>
      </c>
      <c r="T347" s="210">
        <v>1</v>
      </c>
      <c r="U347" s="210" t="s">
        <v>22</v>
      </c>
      <c r="V347" s="188">
        <f t="shared" si="295"/>
        <v>0.01</v>
      </c>
      <c r="W347" s="188">
        <f t="shared" si="296"/>
        <v>1580</v>
      </c>
      <c r="X347" s="212" t="s">
        <v>1676</v>
      </c>
      <c r="Y347" s="212"/>
      <c r="Z347" s="212"/>
      <c r="AA347" s="213">
        <v>96.49</v>
      </c>
      <c r="AB347" s="209"/>
      <c r="AC347" s="345"/>
      <c r="AD347" s="209"/>
      <c r="AE347" s="209"/>
      <c r="AF347" s="209"/>
      <c r="AG347" s="209"/>
      <c r="AH347" s="209"/>
      <c r="AI347" s="214"/>
      <c r="AJ347" s="210"/>
      <c r="AK347" s="209"/>
      <c r="AL347" s="209"/>
      <c r="AM347" s="209" t="s">
        <v>779</v>
      </c>
      <c r="AN347" s="345" t="s">
        <v>376</v>
      </c>
      <c r="AO347" s="209" t="s">
        <v>1677</v>
      </c>
      <c r="AP347" s="215">
        <v>96.46</v>
      </c>
      <c r="AQ347" s="193">
        <f t="shared" ref="AQ347:AQ348" si="297">IF(ISBLANK(AP347),,IF(U347="S",AA347-AP347,AP347-AA347))</f>
        <v>-3.0000000000001137E-2</v>
      </c>
      <c r="AR347" s="191">
        <f t="shared" ref="AR347:AR348" si="298">AS347*R347</f>
        <v>-47.400000000001796</v>
      </c>
      <c r="AS347" s="194">
        <f t="shared" ref="AS347:AS348" si="299">IF(ISBLANK(AP347),,(AQ347*W347))</f>
        <v>-47.400000000001796</v>
      </c>
      <c r="AT347" s="217" t="s">
        <v>211</v>
      </c>
      <c r="AU347" s="431" t="s">
        <v>1678</v>
      </c>
      <c r="AV347" s="431"/>
      <c r="AW347" s="431"/>
      <c r="AX347" s="431"/>
      <c r="AY347" s="431"/>
      <c r="AZ347" s="431"/>
      <c r="BA347" s="431"/>
      <c r="BB347" s="431"/>
      <c r="BC347" s="445"/>
      <c r="BD347" s="404">
        <f>SUM($AS$4:AS347)</f>
        <v>2353.8850000000289</v>
      </c>
      <c r="BE347" s="405">
        <f>SUM($AR$4:AR347)</f>
        <v>1744.060000000024</v>
      </c>
      <c r="BF347" s="330"/>
      <c r="BG347" s="330"/>
    </row>
    <row r="348" spans="1:59" ht="15.75" customHeight="1">
      <c r="A348" s="227" t="s">
        <v>1504</v>
      </c>
      <c r="B348" s="204">
        <v>44998</v>
      </c>
      <c r="C348" s="205" t="s">
        <v>1679</v>
      </c>
      <c r="D348" s="205" t="s">
        <v>114</v>
      </c>
      <c r="E348" s="254"/>
      <c r="F348" s="207"/>
      <c r="G348" s="326" t="s">
        <v>1594</v>
      </c>
      <c r="H348" s="209"/>
      <c r="I348" s="209"/>
      <c r="J348" s="209"/>
      <c r="K348" s="210"/>
      <c r="L348" s="209">
        <v>3</v>
      </c>
      <c r="M348" s="209">
        <v>3</v>
      </c>
      <c r="N348" s="209"/>
      <c r="O348" s="210" t="s">
        <v>76</v>
      </c>
      <c r="P348" s="210" t="s">
        <v>119</v>
      </c>
      <c r="Q348" s="210" t="s">
        <v>238</v>
      </c>
      <c r="R348" s="210">
        <v>5</v>
      </c>
      <c r="S348" s="210">
        <v>5</v>
      </c>
      <c r="T348" s="210">
        <v>5</v>
      </c>
      <c r="U348" s="210" t="s">
        <v>78</v>
      </c>
      <c r="V348" s="188">
        <f t="shared" si="295"/>
        <v>0.01</v>
      </c>
      <c r="W348" s="188">
        <f>IF(ISBLANK(O348),"",IF(O348=UPPER("IB"),8.63*200,16.2*100))</f>
        <v>1620</v>
      </c>
      <c r="X348" s="212"/>
      <c r="Y348" s="212"/>
      <c r="Z348" s="212" t="s">
        <v>1595</v>
      </c>
      <c r="AA348" s="213">
        <v>0.01</v>
      </c>
      <c r="AB348" s="209"/>
      <c r="AC348" s="345">
        <v>5</v>
      </c>
      <c r="AD348" s="209"/>
      <c r="AE348" s="209" t="s">
        <v>1596</v>
      </c>
      <c r="AF348" s="209" t="s">
        <v>1597</v>
      </c>
      <c r="AG348" s="209" t="s">
        <v>1598</v>
      </c>
      <c r="AH348" s="209" t="s">
        <v>511</v>
      </c>
      <c r="AI348" s="191">
        <f>-0.04*W348</f>
        <v>-64.8</v>
      </c>
      <c r="AJ348" s="191">
        <f t="shared" ref="AJ348" si="300">AI348*R348</f>
        <v>-324</v>
      </c>
      <c r="AK348" s="209" t="s">
        <v>1599</v>
      </c>
      <c r="AL348" s="209" t="s">
        <v>1600</v>
      </c>
      <c r="AM348" s="209" t="s">
        <v>1620</v>
      </c>
      <c r="AN348" s="345" t="s">
        <v>87</v>
      </c>
      <c r="AO348" s="209" t="s">
        <v>272</v>
      </c>
      <c r="AP348" s="215">
        <v>0.04</v>
      </c>
      <c r="AQ348" s="193">
        <f t="shared" si="297"/>
        <v>-0.03</v>
      </c>
      <c r="AR348" s="191">
        <f t="shared" si="298"/>
        <v>-243</v>
      </c>
      <c r="AS348" s="194">
        <f t="shared" si="299"/>
        <v>-48.6</v>
      </c>
      <c r="AT348" s="217" t="s">
        <v>211</v>
      </c>
      <c r="AU348" s="431" t="s">
        <v>1602</v>
      </c>
      <c r="AV348" s="431"/>
      <c r="AW348" s="431"/>
      <c r="AX348" s="431"/>
      <c r="AY348" s="431" t="s">
        <v>511</v>
      </c>
      <c r="AZ348" s="431"/>
      <c r="BA348" s="431" t="s">
        <v>1680</v>
      </c>
      <c r="BB348" s="431" t="s">
        <v>511</v>
      </c>
      <c r="BC348" s="445" t="s">
        <v>511</v>
      </c>
      <c r="BD348" s="404">
        <f>SUM($AS$4:AS348)</f>
        <v>2305.285000000029</v>
      </c>
      <c r="BE348" s="405">
        <f>SUM($AR$4:AR348)</f>
        <v>1501.060000000024</v>
      </c>
      <c r="BF348" s="330"/>
      <c r="BG348" s="330"/>
    </row>
    <row r="349" spans="1:59" ht="15.75" customHeight="1">
      <c r="A349" s="227" t="s">
        <v>1504</v>
      </c>
      <c r="B349" s="204">
        <v>44998</v>
      </c>
      <c r="C349" s="205" t="s">
        <v>550</v>
      </c>
      <c r="D349" s="205" t="s">
        <v>114</v>
      </c>
      <c r="E349" s="254"/>
      <c r="F349" s="207"/>
      <c r="G349" s="326" t="s">
        <v>1594</v>
      </c>
      <c r="H349" s="209"/>
      <c r="I349" s="209"/>
      <c r="J349" s="209"/>
      <c r="K349" s="210"/>
      <c r="L349" s="209">
        <v>3</v>
      </c>
      <c r="M349" s="209">
        <v>3</v>
      </c>
      <c r="N349" s="209"/>
      <c r="O349" s="210" t="s">
        <v>76</v>
      </c>
      <c r="P349" s="210" t="s">
        <v>119</v>
      </c>
      <c r="Q349" s="210" t="s">
        <v>238</v>
      </c>
      <c r="R349" s="210">
        <v>5</v>
      </c>
      <c r="S349" s="210">
        <v>5</v>
      </c>
      <c r="T349" s="210">
        <v>5</v>
      </c>
      <c r="U349" s="210" t="s">
        <v>78</v>
      </c>
      <c r="V349" s="188">
        <f t="shared" ref="V349" si="301">IF(ISBLANK(O349),"",(IF(O349=UPPER("IB"),0.005,0.01)))</f>
        <v>0.01</v>
      </c>
      <c r="W349" s="188">
        <f>IF(ISBLANK(O349),"",IF(O349=UPPER("IB"),8.63*200,16.2*100))</f>
        <v>1620</v>
      </c>
      <c r="X349" s="212"/>
      <c r="Y349" s="212"/>
      <c r="Z349" s="212" t="s">
        <v>1595</v>
      </c>
      <c r="AA349" s="213">
        <v>0.04</v>
      </c>
      <c r="AB349" s="209"/>
      <c r="AC349" s="345">
        <v>7</v>
      </c>
      <c r="AD349" s="209"/>
      <c r="AE349" s="209" t="s">
        <v>1596</v>
      </c>
      <c r="AF349" s="209" t="s">
        <v>1597</v>
      </c>
      <c r="AG349" s="209" t="s">
        <v>1598</v>
      </c>
      <c r="AH349" s="209" t="s">
        <v>511</v>
      </c>
      <c r="AI349" s="191">
        <f>-0.03*W349</f>
        <v>-48.6</v>
      </c>
      <c r="AJ349" s="191">
        <f t="shared" ref="AJ349" si="302">AI349*R349</f>
        <v>-243</v>
      </c>
      <c r="AK349" s="209" t="s">
        <v>1599</v>
      </c>
      <c r="AL349" s="209" t="s">
        <v>1600</v>
      </c>
      <c r="AM349" s="209" t="s">
        <v>1681</v>
      </c>
      <c r="AN349" s="345" t="s">
        <v>87</v>
      </c>
      <c r="AO349" s="209" t="s">
        <v>1682</v>
      </c>
      <c r="AP349" s="215">
        <v>0.08</v>
      </c>
      <c r="AQ349" s="193">
        <f t="shared" ref="AQ349" si="303">IF(ISBLANK(AP349),,IF(U349="S",AA349-AP349,AP349-AA349))</f>
        <v>-0.04</v>
      </c>
      <c r="AR349" s="191">
        <f t="shared" ref="AR349" si="304">AS349*R349</f>
        <v>-324</v>
      </c>
      <c r="AS349" s="194">
        <f t="shared" ref="AS349" si="305">IF(ISBLANK(AP349),,(AQ349*W349))</f>
        <v>-64.8</v>
      </c>
      <c r="AT349" s="217" t="s">
        <v>211</v>
      </c>
      <c r="AU349" s="431" t="s">
        <v>1602</v>
      </c>
      <c r="AV349" s="431"/>
      <c r="AW349" s="431"/>
      <c r="AX349" s="431"/>
      <c r="AY349" s="431"/>
      <c r="AZ349" s="431"/>
      <c r="BA349" s="431" t="s">
        <v>1683</v>
      </c>
      <c r="BB349" s="431" t="s">
        <v>1684</v>
      </c>
      <c r="BC349" s="445" t="s">
        <v>511</v>
      </c>
      <c r="BD349" s="404">
        <f>SUM($AS$4:AS349)</f>
        <v>2240.4850000000288</v>
      </c>
      <c r="BE349" s="405">
        <f>SUM($AR$4:AR349)</f>
        <v>1177.060000000024</v>
      </c>
      <c r="BF349" s="330"/>
      <c r="BG349" s="330"/>
    </row>
    <row r="350" spans="1:59" ht="15.75" customHeight="1">
      <c r="A350" s="227" t="s">
        <v>1504</v>
      </c>
      <c r="B350" s="204"/>
      <c r="C350" s="205"/>
      <c r="D350" s="205"/>
      <c r="E350" s="254"/>
      <c r="F350" s="207"/>
      <c r="G350" s="208"/>
      <c r="H350" s="209"/>
      <c r="I350" s="209"/>
      <c r="J350" s="209"/>
      <c r="K350" s="210"/>
      <c r="L350" s="209"/>
      <c r="M350" s="209"/>
      <c r="N350" s="209"/>
      <c r="O350" s="210"/>
      <c r="P350" s="210"/>
      <c r="Q350" s="210"/>
      <c r="R350" s="210"/>
      <c r="S350" s="210"/>
      <c r="T350" s="210"/>
      <c r="U350" s="210"/>
      <c r="V350" s="188" t="str">
        <f t="shared" ref="V350:V354" si="306">IF(ISBLANK(O350),"",(IF(O350=UPPER("IB"),0.005,0.01)))</f>
        <v/>
      </c>
      <c r="W350" s="188" t="str">
        <f t="shared" ref="W350:W354" si="307">IF(ISBLANK(O350),"",IF(O350=UPPER("IB"),8.63*200,16.2*100))</f>
        <v/>
      </c>
      <c r="X350" s="212"/>
      <c r="Y350" s="212"/>
      <c r="Z350" s="212"/>
      <c r="AA350" s="213"/>
      <c r="AB350" s="209"/>
      <c r="AC350" s="345"/>
      <c r="AD350" s="209"/>
      <c r="AE350" s="209"/>
      <c r="AF350" s="209"/>
      <c r="AG350" s="209"/>
      <c r="AH350" s="209"/>
      <c r="AI350" s="191"/>
      <c r="AJ350" s="191"/>
      <c r="AK350" s="209"/>
      <c r="AL350" s="209"/>
      <c r="AM350" s="209"/>
      <c r="AN350" s="345"/>
      <c r="AO350" s="209"/>
      <c r="AP350" s="215"/>
      <c r="AQ350" s="193"/>
      <c r="AR350" s="191"/>
      <c r="AS350" s="194"/>
      <c r="AT350" s="217"/>
      <c r="AU350" s="431" t="s">
        <v>1685</v>
      </c>
      <c r="AV350" s="431" t="s">
        <v>1686</v>
      </c>
      <c r="AW350" s="431" t="s">
        <v>511</v>
      </c>
      <c r="AX350" s="431" t="s">
        <v>1687</v>
      </c>
      <c r="AY350" s="431" t="s">
        <v>1688</v>
      </c>
      <c r="AZ350" s="431" t="s">
        <v>1689</v>
      </c>
      <c r="BA350" s="431" t="s">
        <v>1690</v>
      </c>
      <c r="BB350" s="450" t="s">
        <v>511</v>
      </c>
      <c r="BC350" s="445"/>
      <c r="BD350" s="404">
        <f>SUM($AS$4:AS350)</f>
        <v>2240.4850000000288</v>
      </c>
      <c r="BE350" s="405">
        <f>SUM($AR$4:AR350)</f>
        <v>1177.060000000024</v>
      </c>
      <c r="BF350" s="330"/>
      <c r="BG350" s="330"/>
    </row>
    <row r="351" spans="1:59" ht="15.75" customHeight="1">
      <c r="A351" s="227" t="s">
        <v>1504</v>
      </c>
      <c r="B351" s="204"/>
      <c r="C351" s="205"/>
      <c r="D351" s="205"/>
      <c r="E351" s="254"/>
      <c r="F351" s="207"/>
      <c r="G351" s="208"/>
      <c r="H351" s="209"/>
      <c r="I351" s="209"/>
      <c r="J351" s="209"/>
      <c r="K351" s="210"/>
      <c r="L351" s="209"/>
      <c r="M351" s="209"/>
      <c r="N351" s="209"/>
      <c r="O351" s="210"/>
      <c r="P351" s="210"/>
      <c r="Q351" s="210"/>
      <c r="R351" s="210"/>
      <c r="S351" s="210"/>
      <c r="T351" s="210"/>
      <c r="U351" s="210"/>
      <c r="V351" s="188" t="str">
        <f t="shared" si="306"/>
        <v/>
      </c>
      <c r="W351" s="188" t="str">
        <f t="shared" si="307"/>
        <v/>
      </c>
      <c r="X351" s="212"/>
      <c r="Y351" s="212"/>
      <c r="Z351" s="212"/>
      <c r="AA351" s="213"/>
      <c r="AB351" s="209"/>
      <c r="AC351" s="345"/>
      <c r="AD351" s="209"/>
      <c r="AE351" s="209"/>
      <c r="AF351" s="209"/>
      <c r="AG351" s="209"/>
      <c r="AH351" s="209"/>
      <c r="AI351" s="191"/>
      <c r="AJ351" s="191"/>
      <c r="AK351" s="209"/>
      <c r="AL351" s="209"/>
      <c r="AM351" s="209"/>
      <c r="AN351" s="345"/>
      <c r="AO351" s="209"/>
      <c r="AP351" s="215"/>
      <c r="AQ351" s="193"/>
      <c r="AR351" s="191"/>
      <c r="AS351" s="194"/>
      <c r="AT351" s="217"/>
      <c r="AU351" s="431"/>
      <c r="AV351" s="431"/>
      <c r="AW351" s="431"/>
      <c r="AX351" s="431" t="s">
        <v>1691</v>
      </c>
      <c r="AY351" s="431" t="s">
        <v>1692</v>
      </c>
      <c r="AZ351" s="431" t="s">
        <v>1693</v>
      </c>
      <c r="BA351" s="431" t="s">
        <v>1694</v>
      </c>
      <c r="BB351" s="431" t="s">
        <v>511</v>
      </c>
      <c r="BC351" s="445"/>
      <c r="BD351" s="404">
        <f>SUM($AS$4:AS351)</f>
        <v>2240.4850000000288</v>
      </c>
      <c r="BE351" s="405">
        <f>SUM($AR$4:AR351)</f>
        <v>1177.060000000024</v>
      </c>
      <c r="BF351" s="330"/>
      <c r="BG351" s="330"/>
    </row>
    <row r="352" spans="1:59" ht="15.75" customHeight="1">
      <c r="A352" s="227" t="s">
        <v>1504</v>
      </c>
      <c r="B352" s="204">
        <v>44999</v>
      </c>
      <c r="C352" s="205" t="s">
        <v>1695</v>
      </c>
      <c r="D352" s="205" t="s">
        <v>128</v>
      </c>
      <c r="E352" s="254" t="s">
        <v>1696</v>
      </c>
      <c r="F352" s="207" t="s">
        <v>1697</v>
      </c>
      <c r="G352" s="208"/>
      <c r="H352" s="209">
        <v>1</v>
      </c>
      <c r="I352" s="209"/>
      <c r="J352" s="209"/>
      <c r="K352" s="210" t="s">
        <v>87</v>
      </c>
      <c r="L352" s="209"/>
      <c r="M352" s="209"/>
      <c r="N352" s="209"/>
      <c r="O352" s="210"/>
      <c r="P352" s="210"/>
      <c r="Q352" s="210"/>
      <c r="R352" s="210"/>
      <c r="S352" s="210"/>
      <c r="T352" s="210"/>
      <c r="U352" s="210"/>
      <c r="V352" s="188" t="str">
        <f t="shared" si="306"/>
        <v/>
      </c>
      <c r="W352" s="188" t="str">
        <f t="shared" si="307"/>
        <v/>
      </c>
      <c r="X352" s="212"/>
      <c r="Y352" s="212"/>
      <c r="Z352" s="212"/>
      <c r="AA352" s="213"/>
      <c r="AB352" s="209"/>
      <c r="AC352" s="345"/>
      <c r="AD352" s="209"/>
      <c r="AE352" s="209"/>
      <c r="AF352" s="209"/>
      <c r="AG352" s="209"/>
      <c r="AH352" s="209"/>
      <c r="AI352" s="191"/>
      <c r="AJ352" s="191"/>
      <c r="AK352" s="209"/>
      <c r="AL352" s="209"/>
      <c r="AM352" s="209"/>
      <c r="AN352" s="345"/>
      <c r="AO352" s="209"/>
      <c r="AP352" s="215"/>
      <c r="AQ352" s="193"/>
      <c r="AR352" s="191"/>
      <c r="AS352" s="194"/>
      <c r="AT352" s="217"/>
      <c r="AU352" s="431"/>
      <c r="AV352" s="431"/>
      <c r="AW352" s="431"/>
      <c r="AX352" s="431" t="s">
        <v>1698</v>
      </c>
      <c r="AY352" s="431" t="s">
        <v>511</v>
      </c>
      <c r="AZ352" s="431"/>
      <c r="BA352" s="431"/>
      <c r="BB352" s="431"/>
      <c r="BC352" s="445"/>
      <c r="BD352" s="404">
        <f>SUM($AS$4:AS352)</f>
        <v>2240.4850000000288</v>
      </c>
      <c r="BE352" s="405">
        <f>SUM($AR$4:AR352)</f>
        <v>1177.060000000024</v>
      </c>
      <c r="BF352" s="330"/>
      <c r="BG352" s="330"/>
    </row>
    <row r="353" spans="1:59" ht="15.75" customHeight="1">
      <c r="A353" s="227" t="s">
        <v>1504</v>
      </c>
      <c r="B353" s="204"/>
      <c r="C353" s="205"/>
      <c r="D353" s="205"/>
      <c r="E353" s="254" t="s">
        <v>1699</v>
      </c>
      <c r="F353" s="207"/>
      <c r="G353" s="208"/>
      <c r="H353" s="209"/>
      <c r="I353" s="209">
        <v>1</v>
      </c>
      <c r="J353" s="209"/>
      <c r="K353" s="210"/>
      <c r="L353" s="209"/>
      <c r="M353" s="209"/>
      <c r="N353" s="209"/>
      <c r="O353" s="210"/>
      <c r="P353" s="210"/>
      <c r="Q353" s="210"/>
      <c r="R353" s="210"/>
      <c r="S353" s="210"/>
      <c r="T353" s="210"/>
      <c r="U353" s="210"/>
      <c r="V353" s="188" t="str">
        <f t="shared" si="306"/>
        <v/>
      </c>
      <c r="W353" s="188" t="str">
        <f t="shared" si="307"/>
        <v/>
      </c>
      <c r="X353" s="212"/>
      <c r="Y353" s="212"/>
      <c r="Z353" s="212"/>
      <c r="AA353" s="213"/>
      <c r="AB353" s="209"/>
      <c r="AC353" s="345"/>
      <c r="AD353" s="209"/>
      <c r="AE353" s="209"/>
      <c r="AF353" s="209"/>
      <c r="AG353" s="209"/>
      <c r="AH353" s="209"/>
      <c r="AI353" s="191"/>
      <c r="AJ353" s="191"/>
      <c r="AK353" s="209"/>
      <c r="AL353" s="209"/>
      <c r="AM353" s="209"/>
      <c r="AN353" s="345"/>
      <c r="AO353" s="209"/>
      <c r="AP353" s="215"/>
      <c r="AQ353" s="193"/>
      <c r="AR353" s="191"/>
      <c r="AS353" s="194"/>
      <c r="AT353" s="217"/>
      <c r="AU353" s="431"/>
      <c r="AV353" s="431"/>
      <c r="AW353" s="431"/>
      <c r="AX353" s="431"/>
      <c r="AY353" s="431"/>
      <c r="AZ353" s="431"/>
      <c r="BA353" s="431"/>
      <c r="BB353" s="431"/>
      <c r="BC353" s="445"/>
      <c r="BD353" s="404">
        <f>SUM($AS$4:AS353)</f>
        <v>2240.4850000000288</v>
      </c>
      <c r="BE353" s="405">
        <f>SUM($AR$4:AR353)</f>
        <v>1177.060000000024</v>
      </c>
      <c r="BF353" s="330"/>
      <c r="BG353" s="330"/>
    </row>
    <row r="354" spans="1:59" ht="15.75" customHeight="1">
      <c r="A354" s="227" t="s">
        <v>1504</v>
      </c>
      <c r="B354" s="204"/>
      <c r="C354" s="205"/>
      <c r="D354" s="205"/>
      <c r="E354" s="254" t="s">
        <v>1700</v>
      </c>
      <c r="F354" s="207"/>
      <c r="G354" s="208"/>
      <c r="H354" s="209"/>
      <c r="I354" s="209">
        <v>1</v>
      </c>
      <c r="J354" s="209"/>
      <c r="K354" s="210"/>
      <c r="L354" s="209"/>
      <c r="M354" s="209"/>
      <c r="N354" s="209"/>
      <c r="O354" s="210"/>
      <c r="P354" s="210"/>
      <c r="Q354" s="210"/>
      <c r="R354" s="210"/>
      <c r="S354" s="210"/>
      <c r="T354" s="210"/>
      <c r="U354" s="210"/>
      <c r="V354" s="188" t="str">
        <f t="shared" si="306"/>
        <v/>
      </c>
      <c r="W354" s="188" t="str">
        <f t="shared" si="307"/>
        <v/>
      </c>
      <c r="X354" s="212"/>
      <c r="Y354" s="212"/>
      <c r="Z354" s="212"/>
      <c r="AA354" s="213"/>
      <c r="AB354" s="209"/>
      <c r="AC354" s="345"/>
      <c r="AD354" s="209"/>
      <c r="AE354" s="209"/>
      <c r="AF354" s="209"/>
      <c r="AG354" s="209"/>
      <c r="AH354" s="209"/>
      <c r="AI354" s="191"/>
      <c r="AJ354" s="191"/>
      <c r="AK354" s="209"/>
      <c r="AL354" s="209"/>
      <c r="AM354" s="209"/>
      <c r="AN354" s="345"/>
      <c r="AO354" s="209"/>
      <c r="AP354" s="215"/>
      <c r="AQ354" s="193"/>
      <c r="AR354" s="191"/>
      <c r="AS354" s="194"/>
      <c r="AT354" s="217"/>
      <c r="AU354" s="431"/>
      <c r="AV354" s="431"/>
      <c r="AW354" s="431"/>
      <c r="AX354" s="431"/>
      <c r="AY354" s="431"/>
      <c r="AZ354" s="431"/>
      <c r="BA354" s="431"/>
      <c r="BB354" s="431"/>
      <c r="BC354" s="445"/>
      <c r="BD354" s="404">
        <f>SUM($AS$4:AS354)</f>
        <v>2240.4850000000288</v>
      </c>
      <c r="BE354" s="405">
        <f>SUM($AR$4:AR354)</f>
        <v>1177.060000000024</v>
      </c>
      <c r="BF354" s="330"/>
      <c r="BG354" s="330"/>
    </row>
    <row r="355" spans="1:59" ht="15.75" customHeight="1">
      <c r="A355" s="227" t="s">
        <v>1701</v>
      </c>
      <c r="B355" s="204">
        <v>45000</v>
      </c>
      <c r="C355" s="205" t="s">
        <v>364</v>
      </c>
      <c r="D355" s="205" t="s">
        <v>133</v>
      </c>
      <c r="E355" s="254"/>
      <c r="F355" s="207"/>
      <c r="G355" s="326" t="s">
        <v>253</v>
      </c>
      <c r="H355" s="209"/>
      <c r="I355" s="209"/>
      <c r="J355" s="209"/>
      <c r="K355" s="210"/>
      <c r="L355" s="209">
        <v>1</v>
      </c>
      <c r="M355" s="209"/>
      <c r="N355" s="209"/>
      <c r="O355" s="210" t="s">
        <v>76</v>
      </c>
      <c r="P355" s="210" t="s">
        <v>77</v>
      </c>
      <c r="Q355" s="210" t="s">
        <v>78</v>
      </c>
      <c r="R355" s="210">
        <v>1</v>
      </c>
      <c r="S355" s="210">
        <v>1</v>
      </c>
      <c r="T355" s="210">
        <v>1</v>
      </c>
      <c r="U355" s="210" t="s">
        <v>78</v>
      </c>
      <c r="V355" s="188">
        <f>IF(ISBLANK(O355),"",(IF(O355=UPPER("IB"),0.005,0.01)))</f>
        <v>0.01</v>
      </c>
      <c r="W355" s="188">
        <f>IF(ISBLANK(O355),"",IF(O355=UPPER("IB"),8.63*200,16*100))</f>
        <v>1600</v>
      </c>
      <c r="X355" s="212" t="s">
        <v>1702</v>
      </c>
      <c r="Y355" s="212"/>
      <c r="Z355" s="212"/>
      <c r="AA355" s="213">
        <v>0</v>
      </c>
      <c r="AB355" s="209"/>
      <c r="AC355" s="345"/>
      <c r="AD355" s="209"/>
      <c r="AE355" s="209"/>
      <c r="AF355" s="209"/>
      <c r="AG355" s="209"/>
      <c r="AH355" s="209"/>
      <c r="AI355" s="191"/>
      <c r="AJ355" s="191"/>
      <c r="AK355" s="209"/>
      <c r="AL355" s="209"/>
      <c r="AM355" s="209" t="s">
        <v>949</v>
      </c>
      <c r="AN355" s="345" t="s">
        <v>87</v>
      </c>
      <c r="AO355" s="209" t="s">
        <v>1703</v>
      </c>
      <c r="AP355" s="215">
        <v>-0.01</v>
      </c>
      <c r="AQ355" s="193">
        <f t="shared" ref="AQ355" si="308">IF(ISBLANK(AP355),,IF(U355="S",AA355-AP355,AP355-AA355))</f>
        <v>0.01</v>
      </c>
      <c r="AR355" s="191">
        <f t="shared" ref="AR355" si="309">AS355*R355</f>
        <v>16</v>
      </c>
      <c r="AS355" s="194">
        <f t="shared" ref="AS355" si="310">IF(ISBLANK(AP355),,(AQ355*W355))</f>
        <v>16</v>
      </c>
      <c r="AT355" s="217" t="s">
        <v>77</v>
      </c>
      <c r="AU355" s="431" t="s">
        <v>1704</v>
      </c>
      <c r="AV355" s="431" t="s">
        <v>1705</v>
      </c>
      <c r="AW355" s="431"/>
      <c r="AX355" s="431"/>
      <c r="AY355" s="431"/>
      <c r="AZ355" s="431"/>
      <c r="BA355" s="431"/>
      <c r="BB355" s="431"/>
      <c r="BC355" s="445"/>
      <c r="BD355" s="404">
        <f>SUM($AS$4:AS355)</f>
        <v>2256.4850000000288</v>
      </c>
      <c r="BE355" s="405">
        <f>SUM($AR$4:AR355)</f>
        <v>1193.060000000024</v>
      </c>
      <c r="BF355" s="330"/>
      <c r="BG355" s="330"/>
    </row>
    <row r="356" spans="1:59" ht="15.75" customHeight="1">
      <c r="A356" s="227" t="s">
        <v>1701</v>
      </c>
      <c r="B356" s="204">
        <v>45000</v>
      </c>
      <c r="C356" s="205" t="s">
        <v>1706</v>
      </c>
      <c r="D356" s="205" t="s">
        <v>133</v>
      </c>
      <c r="E356" s="254"/>
      <c r="F356" s="207"/>
      <c r="G356" s="326" t="s">
        <v>262</v>
      </c>
      <c r="H356" s="209"/>
      <c r="I356" s="209"/>
      <c r="J356" s="209"/>
      <c r="K356" s="210"/>
      <c r="L356" s="209">
        <v>1</v>
      </c>
      <c r="M356" s="209"/>
      <c r="N356" s="209"/>
      <c r="O356" s="210" t="s">
        <v>76</v>
      </c>
      <c r="P356" s="210" t="s">
        <v>119</v>
      </c>
      <c r="Q356" s="210" t="s">
        <v>78</v>
      </c>
      <c r="R356" s="210">
        <v>1</v>
      </c>
      <c r="S356" s="210">
        <v>1</v>
      </c>
      <c r="T356" s="210">
        <v>1</v>
      </c>
      <c r="U356" s="210" t="s">
        <v>22</v>
      </c>
      <c r="V356" s="188">
        <f>IF(ISBLANK(O356),"",(IF(O356=UPPER("IB"),0.005,0.01)))</f>
        <v>0.01</v>
      </c>
      <c r="W356" s="188">
        <f>IF(ISBLANK(O356),"",IF(O356=UPPER("IB"),8.63*200,16*100))</f>
        <v>1600</v>
      </c>
      <c r="X356" s="212" t="s">
        <v>1702</v>
      </c>
      <c r="Y356" s="212"/>
      <c r="Z356" s="212"/>
      <c r="AA356" s="213">
        <v>-0.04</v>
      </c>
      <c r="AB356" s="209"/>
      <c r="AC356" s="345"/>
      <c r="AD356" s="209"/>
      <c r="AE356" s="209"/>
      <c r="AF356" s="209"/>
      <c r="AG356" s="209"/>
      <c r="AH356" s="209"/>
      <c r="AI356" s="191"/>
      <c r="AJ356" s="191"/>
      <c r="AK356" s="209"/>
      <c r="AL356" s="209"/>
      <c r="AM356" s="209" t="s">
        <v>1620</v>
      </c>
      <c r="AN356" s="345" t="s">
        <v>87</v>
      </c>
      <c r="AO356" s="209" t="s">
        <v>611</v>
      </c>
      <c r="AP356" s="215">
        <v>-0.04</v>
      </c>
      <c r="AQ356" s="193">
        <f t="shared" ref="AQ356:AQ357" si="311">IF(ISBLANK(AP356),,IF(U356="S",AA356-AP356,AP356-AA356))</f>
        <v>0</v>
      </c>
      <c r="AR356" s="191">
        <f t="shared" ref="AR356:AR357" si="312">AS356*R356</f>
        <v>0</v>
      </c>
      <c r="AS356" s="194">
        <f t="shared" ref="AS356:AS357" si="313">IF(ISBLANK(AP356),,(AQ356*W356))</f>
        <v>0</v>
      </c>
      <c r="AT356" s="217" t="s">
        <v>97</v>
      </c>
      <c r="AU356" s="431"/>
      <c r="AV356" s="431"/>
      <c r="AW356" s="431"/>
      <c r="AX356" s="431"/>
      <c r="AY356" s="431"/>
      <c r="AZ356" s="431"/>
      <c r="BA356" s="431"/>
      <c r="BB356" s="431"/>
      <c r="BC356" s="445"/>
      <c r="BD356" s="404">
        <f>SUM($AS$4:AS356)</f>
        <v>2256.4850000000288</v>
      </c>
      <c r="BE356" s="405">
        <f>SUM($AR$4:AR356)</f>
        <v>1193.060000000024</v>
      </c>
      <c r="BF356" s="330"/>
      <c r="BG356" s="330"/>
    </row>
    <row r="357" spans="1:59" ht="15.75" customHeight="1">
      <c r="A357" s="227" t="s">
        <v>1701</v>
      </c>
      <c r="B357" s="204">
        <v>45000</v>
      </c>
      <c r="C357" s="205" t="s">
        <v>1707</v>
      </c>
      <c r="D357" s="205" t="s">
        <v>133</v>
      </c>
      <c r="E357" s="254"/>
      <c r="F357" s="207"/>
      <c r="G357" s="326" t="s">
        <v>253</v>
      </c>
      <c r="H357" s="209"/>
      <c r="I357" s="209"/>
      <c r="J357" s="209"/>
      <c r="K357" s="210"/>
      <c r="L357" s="209">
        <v>1</v>
      </c>
      <c r="M357" s="209"/>
      <c r="N357" s="209"/>
      <c r="O357" s="210" t="s">
        <v>76</v>
      </c>
      <c r="P357" s="210" t="s">
        <v>77</v>
      </c>
      <c r="Q357" s="210" t="s">
        <v>78</v>
      </c>
      <c r="R357" s="210">
        <v>1</v>
      </c>
      <c r="S357" s="210">
        <v>1</v>
      </c>
      <c r="T357" s="210">
        <v>1</v>
      </c>
      <c r="U357" s="210" t="s">
        <v>78</v>
      </c>
      <c r="V357" s="188">
        <f>IF(ISBLANK(O357),"",(IF(O357=UPPER("IB"),0.005,0.01)))</f>
        <v>0.01</v>
      </c>
      <c r="W357" s="188">
        <f>IF(ISBLANK(O357),"",IF(O357=UPPER("IB"),8.63*200,16*100))</f>
        <v>1600</v>
      </c>
      <c r="X357" s="212" t="s">
        <v>1702</v>
      </c>
      <c r="Y357" s="212"/>
      <c r="Z357" s="212"/>
      <c r="AA357" s="213">
        <v>0</v>
      </c>
      <c r="AB357" s="209"/>
      <c r="AC357" s="345"/>
      <c r="AD357" s="209"/>
      <c r="AE357" s="209"/>
      <c r="AF357" s="209"/>
      <c r="AG357" s="209"/>
      <c r="AH357" s="209"/>
      <c r="AI357" s="191"/>
      <c r="AJ357" s="191"/>
      <c r="AK357" s="209"/>
      <c r="AL357" s="209"/>
      <c r="AM357" s="209" t="s">
        <v>1708</v>
      </c>
      <c r="AN357" s="345" t="s">
        <v>87</v>
      </c>
      <c r="AO357" s="209" t="s">
        <v>1709</v>
      </c>
      <c r="AP357" s="215">
        <v>-0.01</v>
      </c>
      <c r="AQ357" s="193">
        <f t="shared" si="311"/>
        <v>0.01</v>
      </c>
      <c r="AR357" s="191">
        <f t="shared" si="312"/>
        <v>16</v>
      </c>
      <c r="AS357" s="194">
        <f t="shared" si="313"/>
        <v>16</v>
      </c>
      <c r="AT357" s="217" t="s">
        <v>77</v>
      </c>
      <c r="AU357" s="431" t="s">
        <v>1710</v>
      </c>
      <c r="AV357" s="431"/>
      <c r="AW357" s="431"/>
      <c r="AX357" s="431"/>
      <c r="AY357" s="431"/>
      <c r="AZ357" s="431"/>
      <c r="BA357" s="431"/>
      <c r="BB357" s="431"/>
      <c r="BC357" s="445"/>
      <c r="BD357" s="404">
        <f>SUM($AS$4:AS357)</f>
        <v>2272.4850000000288</v>
      </c>
      <c r="BE357" s="405">
        <f>SUM($AR$4:AR357)</f>
        <v>1209.060000000024</v>
      </c>
      <c r="BF357" s="330"/>
      <c r="BG357" s="330"/>
    </row>
    <row r="358" spans="1:59" ht="15.75" customHeight="1">
      <c r="A358" s="227" t="s">
        <v>1701</v>
      </c>
      <c r="B358" s="204">
        <v>45000</v>
      </c>
      <c r="C358" s="205" t="s">
        <v>1695</v>
      </c>
      <c r="D358" s="205" t="s">
        <v>133</v>
      </c>
      <c r="E358" s="254" t="s">
        <v>1711</v>
      </c>
      <c r="F358" s="207" t="s">
        <v>1712</v>
      </c>
      <c r="G358" s="208"/>
      <c r="H358" s="209"/>
      <c r="I358" s="209">
        <v>1</v>
      </c>
      <c r="J358" s="209"/>
      <c r="K358" s="210"/>
      <c r="L358" s="209"/>
      <c r="M358" s="209"/>
      <c r="N358" s="209"/>
      <c r="O358" s="210"/>
      <c r="P358" s="210"/>
      <c r="Q358" s="210"/>
      <c r="R358" s="210"/>
      <c r="S358" s="210"/>
      <c r="T358" s="210"/>
      <c r="U358" s="210"/>
      <c r="V358" s="188" t="str">
        <f t="shared" ref="V358:V363" si="314">IF(ISBLANK(O358),"",(IF(O358=UPPER("IB"),0.005,0.01)))</f>
        <v/>
      </c>
      <c r="W358" s="188" t="str">
        <f t="shared" ref="W358:W363" si="315">IF(ISBLANK(O358),"",IF(O358=UPPER("IB"),8.63*200,16*100))</f>
        <v/>
      </c>
      <c r="X358" s="212"/>
      <c r="Y358" s="212"/>
      <c r="Z358" s="212"/>
      <c r="AA358" s="213"/>
      <c r="AB358" s="209"/>
      <c r="AC358" s="345"/>
      <c r="AD358" s="209"/>
      <c r="AE358" s="209"/>
      <c r="AF358" s="209"/>
      <c r="AG358" s="209"/>
      <c r="AH358" s="209"/>
      <c r="AI358" s="191"/>
      <c r="AJ358" s="191"/>
      <c r="AK358" s="209"/>
      <c r="AL358" s="209"/>
      <c r="AM358" s="209"/>
      <c r="AN358" s="345"/>
      <c r="AO358" s="209"/>
      <c r="AP358" s="215"/>
      <c r="AQ358" s="193"/>
      <c r="AR358" s="191"/>
      <c r="AS358" s="194"/>
      <c r="AT358" s="217"/>
      <c r="AU358" s="431"/>
      <c r="AV358" s="431"/>
      <c r="AW358" s="431"/>
      <c r="AX358" s="431"/>
      <c r="AY358" s="431"/>
      <c r="AZ358" s="431"/>
      <c r="BA358" s="431"/>
      <c r="BB358" s="431"/>
      <c r="BC358" s="445"/>
      <c r="BD358" s="404">
        <f>SUM($AS$4:AS358)</f>
        <v>2272.4850000000288</v>
      </c>
      <c r="BE358" s="405">
        <f>SUM($AR$4:AR358)</f>
        <v>1209.060000000024</v>
      </c>
      <c r="BF358" s="330"/>
      <c r="BG358" s="330"/>
    </row>
    <row r="359" spans="1:59" ht="15.75" customHeight="1">
      <c r="A359" s="227" t="s">
        <v>1701</v>
      </c>
      <c r="B359" s="204"/>
      <c r="C359" s="205"/>
      <c r="D359" s="205"/>
      <c r="E359" s="254" t="s">
        <v>1713</v>
      </c>
      <c r="F359" s="207" t="s">
        <v>1714</v>
      </c>
      <c r="G359" s="208"/>
      <c r="H359" s="209"/>
      <c r="I359" s="209"/>
      <c r="J359" s="209">
        <v>1</v>
      </c>
      <c r="K359" s="210" t="s">
        <v>97</v>
      </c>
      <c r="L359" s="209"/>
      <c r="M359" s="209"/>
      <c r="N359" s="209"/>
      <c r="O359" s="210"/>
      <c r="P359" s="210"/>
      <c r="Q359" s="210"/>
      <c r="R359" s="210"/>
      <c r="S359" s="210"/>
      <c r="T359" s="210"/>
      <c r="U359" s="210"/>
      <c r="V359" s="188" t="str">
        <f t="shared" si="314"/>
        <v/>
      </c>
      <c r="W359" s="188" t="str">
        <f t="shared" si="315"/>
        <v/>
      </c>
      <c r="X359" s="212"/>
      <c r="Y359" s="212"/>
      <c r="Z359" s="212"/>
      <c r="AA359" s="213"/>
      <c r="AB359" s="209"/>
      <c r="AC359" s="345"/>
      <c r="AD359" s="209"/>
      <c r="AE359" s="209"/>
      <c r="AF359" s="209"/>
      <c r="AG359" s="209"/>
      <c r="AH359" s="209"/>
      <c r="AI359" s="191"/>
      <c r="AJ359" s="191"/>
      <c r="AK359" s="209"/>
      <c r="AL359" s="209"/>
      <c r="AM359" s="209"/>
      <c r="AN359" s="345"/>
      <c r="AO359" s="209"/>
      <c r="AP359" s="215"/>
      <c r="AQ359" s="193"/>
      <c r="AR359" s="191"/>
      <c r="AS359" s="194"/>
      <c r="AT359" s="217"/>
      <c r="AU359" s="431" t="s">
        <v>1715</v>
      </c>
      <c r="AV359" s="431" t="s">
        <v>1716</v>
      </c>
      <c r="AW359" s="431" t="s">
        <v>511</v>
      </c>
      <c r="AX359" s="431"/>
      <c r="AY359" s="431"/>
      <c r="AZ359" s="431"/>
      <c r="BA359" s="431"/>
      <c r="BB359" s="431"/>
      <c r="BC359" s="445"/>
      <c r="BD359" s="404">
        <f>SUM($AS$4:AS359)</f>
        <v>2272.4850000000288</v>
      </c>
      <c r="BE359" s="405">
        <f>SUM($AR$4:AR359)</f>
        <v>1209.060000000024</v>
      </c>
      <c r="BF359" s="330"/>
      <c r="BG359" s="330"/>
    </row>
    <row r="360" spans="1:59" ht="15.75" customHeight="1">
      <c r="A360" s="227" t="s">
        <v>1701</v>
      </c>
      <c r="B360" s="204"/>
      <c r="C360" s="205"/>
      <c r="D360" s="205"/>
      <c r="E360" s="254" t="s">
        <v>1717</v>
      </c>
      <c r="F360" s="207" t="s">
        <v>1718</v>
      </c>
      <c r="G360" s="208"/>
      <c r="H360" s="209"/>
      <c r="I360" s="209"/>
      <c r="J360" s="209">
        <v>1</v>
      </c>
      <c r="K360" s="210" t="s">
        <v>97</v>
      </c>
      <c r="L360" s="209"/>
      <c r="M360" s="209"/>
      <c r="N360" s="209"/>
      <c r="O360" s="210"/>
      <c r="P360" s="210"/>
      <c r="Q360" s="210"/>
      <c r="R360" s="210"/>
      <c r="S360" s="210"/>
      <c r="T360" s="210"/>
      <c r="U360" s="210"/>
      <c r="V360" s="188" t="str">
        <f t="shared" si="314"/>
        <v/>
      </c>
      <c r="W360" s="188" t="str">
        <f t="shared" si="315"/>
        <v/>
      </c>
      <c r="X360" s="212"/>
      <c r="Y360" s="212"/>
      <c r="Z360" s="212"/>
      <c r="AA360" s="213"/>
      <c r="AB360" s="209"/>
      <c r="AC360" s="345"/>
      <c r="AD360" s="209"/>
      <c r="AE360" s="209"/>
      <c r="AF360" s="209"/>
      <c r="AG360" s="209"/>
      <c r="AH360" s="209"/>
      <c r="AI360" s="191"/>
      <c r="AJ360" s="191"/>
      <c r="AK360" s="209"/>
      <c r="AL360" s="209"/>
      <c r="AM360" s="209"/>
      <c r="AN360" s="345"/>
      <c r="AO360" s="209"/>
      <c r="AP360" s="215"/>
      <c r="AQ360" s="193"/>
      <c r="AR360" s="191"/>
      <c r="AS360" s="194"/>
      <c r="AT360" s="217"/>
      <c r="AU360" s="431"/>
      <c r="AV360" s="431"/>
      <c r="AW360" s="431"/>
      <c r="AX360" s="431"/>
      <c r="AY360" s="431"/>
      <c r="AZ360" s="431"/>
      <c r="BA360" s="431"/>
      <c r="BB360" s="431"/>
      <c r="BC360" s="445"/>
      <c r="BD360" s="404">
        <f>SUM($AS$4:AS360)</f>
        <v>2272.4850000000288</v>
      </c>
      <c r="BE360" s="405">
        <f>SUM($AR$4:AR360)</f>
        <v>1209.060000000024</v>
      </c>
      <c r="BF360" s="330"/>
      <c r="BG360" s="330"/>
    </row>
    <row r="361" spans="1:59" ht="15.75" customHeight="1">
      <c r="A361" s="227" t="s">
        <v>1701</v>
      </c>
      <c r="B361" s="204">
        <v>45001</v>
      </c>
      <c r="C361" s="205" t="s">
        <v>1237</v>
      </c>
      <c r="D361" s="205" t="s">
        <v>74</v>
      </c>
      <c r="E361" s="254" t="s">
        <v>1719</v>
      </c>
      <c r="F361" s="207"/>
      <c r="G361" s="208"/>
      <c r="H361" s="209"/>
      <c r="I361" s="209"/>
      <c r="J361" s="209"/>
      <c r="K361" s="210"/>
      <c r="L361" s="209"/>
      <c r="M361" s="209"/>
      <c r="N361" s="209"/>
      <c r="O361" s="210"/>
      <c r="P361" s="210"/>
      <c r="Q361" s="210"/>
      <c r="R361" s="210"/>
      <c r="S361" s="210"/>
      <c r="T361" s="210"/>
      <c r="U361" s="210"/>
      <c r="V361" s="188" t="str">
        <f t="shared" si="314"/>
        <v/>
      </c>
      <c r="W361" s="188" t="str">
        <f t="shared" si="315"/>
        <v/>
      </c>
      <c r="X361" s="212"/>
      <c r="Y361" s="212"/>
      <c r="Z361" s="212"/>
      <c r="AA361" s="213"/>
      <c r="AB361" s="209"/>
      <c r="AC361" s="345"/>
      <c r="AD361" s="209"/>
      <c r="AE361" s="209"/>
      <c r="AF361" s="209"/>
      <c r="AG361" s="209"/>
      <c r="AH361" s="209"/>
      <c r="AI361" s="191"/>
      <c r="AJ361" s="191"/>
      <c r="AK361" s="209"/>
      <c r="AL361" s="209"/>
      <c r="AM361" s="209"/>
      <c r="AN361" s="345"/>
      <c r="AO361" s="209"/>
      <c r="AP361" s="215"/>
      <c r="AQ361" s="193"/>
      <c r="AR361" s="191"/>
      <c r="AS361" s="194"/>
      <c r="AT361" s="217"/>
      <c r="AU361" s="431"/>
      <c r="AV361" s="431"/>
      <c r="AW361" s="431"/>
      <c r="AX361" s="431"/>
      <c r="AY361" s="431"/>
      <c r="AZ361" s="431"/>
      <c r="BA361" s="431"/>
      <c r="BB361" s="431"/>
      <c r="BC361" s="445"/>
      <c r="BD361" s="404">
        <f>SUM($AS$4:AS361)</f>
        <v>2272.4850000000288</v>
      </c>
      <c r="BE361" s="405">
        <f>SUM($AR$4:AR361)</f>
        <v>1209.060000000024</v>
      </c>
      <c r="BF361" s="330"/>
      <c r="BG361" s="330"/>
    </row>
    <row r="362" spans="1:59" ht="15.75" customHeight="1">
      <c r="A362" s="227" t="s">
        <v>1701</v>
      </c>
      <c r="B362" s="204"/>
      <c r="C362" s="205"/>
      <c r="D362" s="205"/>
      <c r="E362" s="254" t="s">
        <v>1720</v>
      </c>
      <c r="F362" s="207"/>
      <c r="G362" s="208"/>
      <c r="H362" s="209"/>
      <c r="I362" s="209"/>
      <c r="J362" s="209"/>
      <c r="K362" s="210"/>
      <c r="L362" s="209"/>
      <c r="M362" s="209"/>
      <c r="N362" s="209"/>
      <c r="O362" s="210"/>
      <c r="P362" s="210"/>
      <c r="Q362" s="210"/>
      <c r="R362" s="210"/>
      <c r="S362" s="210"/>
      <c r="T362" s="210"/>
      <c r="U362" s="210"/>
      <c r="V362" s="188" t="str">
        <f t="shared" si="314"/>
        <v/>
      </c>
      <c r="W362" s="188" t="str">
        <f t="shared" si="315"/>
        <v/>
      </c>
      <c r="X362" s="212"/>
      <c r="Y362" s="212"/>
      <c r="Z362" s="212"/>
      <c r="AA362" s="213"/>
      <c r="AB362" s="209"/>
      <c r="AC362" s="345"/>
      <c r="AD362" s="209"/>
      <c r="AE362" s="209"/>
      <c r="AF362" s="209"/>
      <c r="AG362" s="209"/>
      <c r="AH362" s="209"/>
      <c r="AI362" s="191"/>
      <c r="AJ362" s="191"/>
      <c r="AK362" s="209"/>
      <c r="AL362" s="209"/>
      <c r="AM362" s="209"/>
      <c r="AN362" s="345"/>
      <c r="AO362" s="209"/>
      <c r="AP362" s="215"/>
      <c r="AQ362" s="193"/>
      <c r="AR362" s="191"/>
      <c r="AS362" s="194"/>
      <c r="AT362" s="217"/>
      <c r="AU362" s="431"/>
      <c r="AV362" s="431"/>
      <c r="AW362" s="431"/>
      <c r="AX362" s="431"/>
      <c r="AY362" s="431"/>
      <c r="AZ362" s="431"/>
      <c r="BA362" s="431"/>
      <c r="BB362" s="431"/>
      <c r="BC362" s="445"/>
      <c r="BD362" s="404">
        <f>SUM($AS$4:AS362)</f>
        <v>2272.4850000000288</v>
      </c>
      <c r="BE362" s="405">
        <f>SUM($AR$4:AR362)</f>
        <v>1209.060000000024</v>
      </c>
      <c r="BF362" s="330"/>
      <c r="BG362" s="330"/>
    </row>
    <row r="363" spans="1:59" ht="15.75" customHeight="1">
      <c r="A363" s="227" t="s">
        <v>1701</v>
      </c>
      <c r="B363" s="204">
        <v>45001</v>
      </c>
      <c r="C363" s="205" t="s">
        <v>1237</v>
      </c>
      <c r="D363" s="205" t="s">
        <v>74</v>
      </c>
      <c r="E363" s="254"/>
      <c r="F363" s="207"/>
      <c r="G363" s="208" t="s">
        <v>965</v>
      </c>
      <c r="H363" s="209"/>
      <c r="I363" s="209"/>
      <c r="J363" s="209"/>
      <c r="K363" s="210"/>
      <c r="L363" s="209">
        <v>2</v>
      </c>
      <c r="M363" s="209"/>
      <c r="N363" s="209"/>
      <c r="O363" s="210" t="s">
        <v>76</v>
      </c>
      <c r="P363" s="210" t="s">
        <v>77</v>
      </c>
      <c r="Q363" s="210" t="s">
        <v>666</v>
      </c>
      <c r="R363" s="210">
        <v>2</v>
      </c>
      <c r="S363" s="210">
        <v>2</v>
      </c>
      <c r="T363" s="210">
        <v>2</v>
      </c>
      <c r="U363" s="210" t="s">
        <v>78</v>
      </c>
      <c r="V363" s="188">
        <f t="shared" si="314"/>
        <v>0.01</v>
      </c>
      <c r="W363" s="188">
        <f t="shared" si="315"/>
        <v>1600</v>
      </c>
      <c r="X363" s="212" t="s">
        <v>1078</v>
      </c>
      <c r="Y363" s="212"/>
      <c r="Z363" s="212"/>
      <c r="AA363" s="213">
        <v>96.59</v>
      </c>
      <c r="AB363" s="209"/>
      <c r="AC363" s="345"/>
      <c r="AD363" s="209"/>
      <c r="AE363" s="209"/>
      <c r="AF363" s="209"/>
      <c r="AG363" s="209"/>
      <c r="AH363" s="209"/>
      <c r="AI363" s="191"/>
      <c r="AJ363" s="191"/>
      <c r="AK363" s="209"/>
      <c r="AL363" s="209"/>
      <c r="AM363" s="209" t="s">
        <v>1721</v>
      </c>
      <c r="AN363" s="345" t="s">
        <v>376</v>
      </c>
      <c r="AO363" s="209" t="s">
        <v>1722</v>
      </c>
      <c r="AP363" s="215">
        <v>96.64</v>
      </c>
      <c r="AQ363" s="193">
        <f t="shared" ref="AQ363" si="316">IF(ISBLANK(AP363),,IF(U363="S",AA363-AP363,AP363-AA363))</f>
        <v>-4.9999999999997158E-2</v>
      </c>
      <c r="AR363" s="191">
        <f t="shared" ref="AR363" si="317">AS363*R363</f>
        <v>-159.99999999999091</v>
      </c>
      <c r="AS363" s="194">
        <f t="shared" ref="AS363" si="318">IF(ISBLANK(AP363),,(AQ363*W363))</f>
        <v>-79.999999999995453</v>
      </c>
      <c r="AT363" s="217" t="s">
        <v>211</v>
      </c>
      <c r="AU363" s="431" t="s">
        <v>1723</v>
      </c>
      <c r="AV363" s="431" t="s">
        <v>1724</v>
      </c>
      <c r="AW363" s="431" t="s">
        <v>511</v>
      </c>
      <c r="AX363" s="431"/>
      <c r="AY363" s="431"/>
      <c r="AZ363" s="431"/>
      <c r="BA363" s="431"/>
      <c r="BB363" s="431"/>
      <c r="BC363" s="445"/>
      <c r="BD363" s="404">
        <f>SUM($AS$4:AS363)</f>
        <v>2192.4850000000333</v>
      </c>
      <c r="BE363" s="405">
        <f>SUM($AR$4:AR363)</f>
        <v>1049.0600000000331</v>
      </c>
      <c r="BF363" s="330"/>
      <c r="BG363" s="330"/>
    </row>
    <row r="364" spans="1:59" ht="15.75" customHeight="1">
      <c r="A364" s="227" t="s">
        <v>1701</v>
      </c>
      <c r="B364" s="204">
        <v>45001</v>
      </c>
      <c r="C364" s="205" t="s">
        <v>1237</v>
      </c>
      <c r="D364" s="205" t="s">
        <v>74</v>
      </c>
      <c r="E364" s="254"/>
      <c r="F364" s="207"/>
      <c r="G364" s="208" t="s">
        <v>1725</v>
      </c>
      <c r="H364" s="209"/>
      <c r="I364" s="209"/>
      <c r="J364" s="209"/>
      <c r="K364" s="210"/>
      <c r="L364" s="209">
        <v>2</v>
      </c>
      <c r="M364" s="209"/>
      <c r="N364" s="209"/>
      <c r="O364" s="210" t="s">
        <v>76</v>
      </c>
      <c r="P364" s="210" t="s">
        <v>77</v>
      </c>
      <c r="Q364" s="210" t="s">
        <v>666</v>
      </c>
      <c r="R364" s="210">
        <v>2</v>
      </c>
      <c r="S364" s="210">
        <v>2</v>
      </c>
      <c r="T364" s="210">
        <v>2</v>
      </c>
      <c r="U364" s="210" t="s">
        <v>78</v>
      </c>
      <c r="V364" s="188">
        <f t="shared" ref="V364:V365" si="319">IF(ISBLANK(O364),"",(IF(O364=UPPER("IB"),0.005,0.01)))</f>
        <v>0.01</v>
      </c>
      <c r="W364" s="188">
        <f t="shared" ref="W364:W365" si="320">IF(ISBLANK(O364),"",IF(O364=UPPER("IB"),8.63*200,16*100))</f>
        <v>1600</v>
      </c>
      <c r="X364" s="212" t="s">
        <v>1078</v>
      </c>
      <c r="Y364" s="212"/>
      <c r="Z364" s="212"/>
      <c r="AA364" s="213">
        <v>96.59</v>
      </c>
      <c r="AB364" s="209"/>
      <c r="AC364" s="345"/>
      <c r="AD364" s="209"/>
      <c r="AE364" s="209"/>
      <c r="AF364" s="209"/>
      <c r="AG364" s="209"/>
      <c r="AH364" s="209"/>
      <c r="AI364" s="191"/>
      <c r="AJ364" s="191"/>
      <c r="AK364" s="209"/>
      <c r="AL364" s="209"/>
      <c r="AM364" s="209" t="s">
        <v>1726</v>
      </c>
      <c r="AN364" s="345" t="s">
        <v>376</v>
      </c>
      <c r="AO364" s="209" t="s">
        <v>1727</v>
      </c>
      <c r="AP364" s="215">
        <v>96.59</v>
      </c>
      <c r="AQ364" s="193">
        <f t="shared" ref="AQ364:AQ365" si="321">IF(ISBLANK(AP364),,IF(U364="S",AA364-AP364,AP364-AA364))</f>
        <v>0</v>
      </c>
      <c r="AR364" s="191">
        <f t="shared" ref="AR364:AR365" si="322">AS364*R364</f>
        <v>0</v>
      </c>
      <c r="AS364" s="194">
        <f t="shared" ref="AS364:AS365" si="323">IF(ISBLANK(AP364),,(AQ364*W364))</f>
        <v>0</v>
      </c>
      <c r="AT364" s="217" t="s">
        <v>97</v>
      </c>
      <c r="AU364" s="431"/>
      <c r="AV364" s="431"/>
      <c r="AW364" s="431"/>
      <c r="AX364" s="431"/>
      <c r="AY364" s="431"/>
      <c r="AZ364" s="431"/>
      <c r="BA364" s="431"/>
      <c r="BB364" s="431"/>
      <c r="BC364" s="445"/>
      <c r="BD364" s="404">
        <f>SUM($AS$4:AS364)</f>
        <v>2192.4850000000333</v>
      </c>
      <c r="BE364" s="405">
        <f>SUM($AR$4:AR364)</f>
        <v>1049.0600000000331</v>
      </c>
      <c r="BF364" s="330"/>
      <c r="BG364" s="330"/>
    </row>
    <row r="365" spans="1:59" ht="15.75" customHeight="1">
      <c r="A365" s="227" t="s">
        <v>1701</v>
      </c>
      <c r="B365" s="204">
        <v>45001</v>
      </c>
      <c r="C365" s="205" t="s">
        <v>1728</v>
      </c>
      <c r="D365" s="205" t="s">
        <v>74</v>
      </c>
      <c r="E365" s="254"/>
      <c r="F365" s="207"/>
      <c r="G365" s="208" t="s">
        <v>965</v>
      </c>
      <c r="H365" s="209"/>
      <c r="I365" s="209"/>
      <c r="J365" s="209"/>
      <c r="K365" s="210"/>
      <c r="L365" s="209">
        <v>2</v>
      </c>
      <c r="M365" s="209"/>
      <c r="N365" s="209"/>
      <c r="O365" s="210" t="s">
        <v>76</v>
      </c>
      <c r="P365" s="210" t="s">
        <v>77</v>
      </c>
      <c r="Q365" s="210" t="s">
        <v>666</v>
      </c>
      <c r="R365" s="210">
        <v>3</v>
      </c>
      <c r="S365" s="210">
        <v>3</v>
      </c>
      <c r="T365" s="210">
        <v>3</v>
      </c>
      <c r="U365" s="210" t="s">
        <v>78</v>
      </c>
      <c r="V365" s="188">
        <f t="shared" si="319"/>
        <v>0.01</v>
      </c>
      <c r="W365" s="188">
        <f t="shared" si="320"/>
        <v>1600</v>
      </c>
      <c r="X365" s="212" t="s">
        <v>1078</v>
      </c>
      <c r="Y365" s="212"/>
      <c r="Z365" s="212"/>
      <c r="AA365" s="213">
        <v>96.6</v>
      </c>
      <c r="AB365" s="209"/>
      <c r="AC365" s="345"/>
      <c r="AD365" s="209"/>
      <c r="AE365" s="209"/>
      <c r="AF365" s="209"/>
      <c r="AG365" s="209"/>
      <c r="AH365" s="209"/>
      <c r="AI365" s="191"/>
      <c r="AJ365" s="191"/>
      <c r="AK365" s="209"/>
      <c r="AL365" s="209"/>
      <c r="AM365" s="209" t="s">
        <v>1189</v>
      </c>
      <c r="AN365" s="345" t="s">
        <v>376</v>
      </c>
      <c r="AO365" s="209" t="s">
        <v>1729</v>
      </c>
      <c r="AP365" s="215">
        <v>96.63</v>
      </c>
      <c r="AQ365" s="193">
        <f t="shared" si="321"/>
        <v>-3.0000000000001137E-2</v>
      </c>
      <c r="AR365" s="191">
        <f t="shared" si="322"/>
        <v>-144.00000000000546</v>
      </c>
      <c r="AS365" s="194">
        <f t="shared" si="323"/>
        <v>-48.000000000001819</v>
      </c>
      <c r="AT365" s="217" t="s">
        <v>211</v>
      </c>
      <c r="AU365" s="431"/>
      <c r="AV365" s="431"/>
      <c r="AW365" s="431" t="s">
        <v>511</v>
      </c>
      <c r="AX365" s="431"/>
      <c r="AY365" s="431"/>
      <c r="AZ365" s="431"/>
      <c r="BA365" s="431"/>
      <c r="BB365" s="431"/>
      <c r="BC365" s="445"/>
      <c r="BD365" s="404">
        <f>SUM($AS$4:AS365)</f>
        <v>2144.4850000000315</v>
      </c>
      <c r="BE365" s="405">
        <f>SUM($AR$4:AR365)</f>
        <v>905.06000000002769</v>
      </c>
      <c r="BF365" s="330"/>
      <c r="BG365" s="330"/>
    </row>
    <row r="366" spans="1:59" ht="15.75" customHeight="1">
      <c r="A366" s="227" t="s">
        <v>1701</v>
      </c>
      <c r="B366" s="204">
        <v>45001</v>
      </c>
      <c r="C366" s="205" t="s">
        <v>1730</v>
      </c>
      <c r="D366" s="205" t="s">
        <v>74</v>
      </c>
      <c r="E366" s="254"/>
      <c r="F366" s="207"/>
      <c r="G366" s="208" t="s">
        <v>813</v>
      </c>
      <c r="H366" s="209"/>
      <c r="I366" s="209"/>
      <c r="J366" s="209"/>
      <c r="K366" s="210"/>
      <c r="L366" s="209">
        <v>2</v>
      </c>
      <c r="M366" s="209"/>
      <c r="N366" s="209"/>
      <c r="O366" s="210" t="s">
        <v>76</v>
      </c>
      <c r="P366" s="210" t="s">
        <v>77</v>
      </c>
      <c r="Q366" s="210" t="s">
        <v>666</v>
      </c>
      <c r="R366" s="210">
        <v>3</v>
      </c>
      <c r="S366" s="210">
        <v>3</v>
      </c>
      <c r="T366" s="210">
        <v>3</v>
      </c>
      <c r="U366" s="210" t="s">
        <v>22</v>
      </c>
      <c r="V366" s="188">
        <f t="shared" ref="V366:V367" si="324">IF(ISBLANK(O366),"",(IF(O366=UPPER("IB"),0.005,0.01)))</f>
        <v>0.01</v>
      </c>
      <c r="W366" s="188">
        <f t="shared" ref="W366:W367" si="325">IF(ISBLANK(O366),"",IF(O366=UPPER("IB"),8.63*200,16*100))</f>
        <v>1600</v>
      </c>
      <c r="X366" s="212" t="s">
        <v>1078</v>
      </c>
      <c r="Y366" s="212"/>
      <c r="Z366" s="212"/>
      <c r="AA366" s="213">
        <v>96.62</v>
      </c>
      <c r="AB366" s="209"/>
      <c r="AC366" s="345"/>
      <c r="AD366" s="209"/>
      <c r="AE366" s="209"/>
      <c r="AF366" s="209"/>
      <c r="AG366" s="209"/>
      <c r="AH366" s="209"/>
      <c r="AI366" s="191"/>
      <c r="AJ366" s="191"/>
      <c r="AK366" s="209"/>
      <c r="AL366" s="209"/>
      <c r="AM366" s="209" t="s">
        <v>1731</v>
      </c>
      <c r="AN366" s="345" t="s">
        <v>376</v>
      </c>
      <c r="AO366" s="209" t="s">
        <v>1730</v>
      </c>
      <c r="AP366" s="215">
        <v>96.63</v>
      </c>
      <c r="AQ366" s="193">
        <f t="shared" ref="AQ366:AQ367" si="326">IF(ISBLANK(AP366),,IF(U366="S",AA366-AP366,AP366-AA366))</f>
        <v>9.9999999999909051E-3</v>
      </c>
      <c r="AR366" s="191">
        <f t="shared" ref="AR366:AR367" si="327">AS366*R366</f>
        <v>47.999999999956344</v>
      </c>
      <c r="AS366" s="194">
        <f t="shared" ref="AS366:AS367" si="328">IF(ISBLANK(AP366),,(AQ366*W366))</f>
        <v>15.999999999985448</v>
      </c>
      <c r="AT366" s="217" t="s">
        <v>77</v>
      </c>
      <c r="AU366" s="431"/>
      <c r="AV366" s="431"/>
      <c r="AW366" s="431" t="s">
        <v>511</v>
      </c>
      <c r="AX366" s="431"/>
      <c r="AY366" s="431"/>
      <c r="AZ366" s="431"/>
      <c r="BA366" s="431"/>
      <c r="BB366" s="431"/>
      <c r="BC366" s="445"/>
      <c r="BD366" s="404">
        <f>SUM($AS$4:AS366)</f>
        <v>2160.485000000017</v>
      </c>
      <c r="BE366" s="405">
        <f>SUM($AR$4:AR366)</f>
        <v>953.05999999998403</v>
      </c>
      <c r="BF366" s="330"/>
      <c r="BG366" s="330"/>
    </row>
    <row r="367" spans="1:59" ht="15.75" customHeight="1">
      <c r="A367" s="227" t="s">
        <v>1701</v>
      </c>
      <c r="B367" s="204">
        <v>45001</v>
      </c>
      <c r="C367" s="205" t="s">
        <v>1732</v>
      </c>
      <c r="D367" s="205" t="s">
        <v>74</v>
      </c>
      <c r="E367" s="254"/>
      <c r="F367" s="207"/>
      <c r="G367" s="208" t="s">
        <v>1725</v>
      </c>
      <c r="H367" s="209"/>
      <c r="I367" s="209"/>
      <c r="J367" s="209"/>
      <c r="K367" s="210"/>
      <c r="L367" s="209">
        <v>2</v>
      </c>
      <c r="M367" s="209"/>
      <c r="N367" s="209"/>
      <c r="O367" s="210" t="s">
        <v>76</v>
      </c>
      <c r="P367" s="210" t="s">
        <v>77</v>
      </c>
      <c r="Q367" s="210" t="s">
        <v>666</v>
      </c>
      <c r="R367" s="210">
        <v>2</v>
      </c>
      <c r="S367" s="210">
        <v>2</v>
      </c>
      <c r="T367" s="210">
        <v>2</v>
      </c>
      <c r="U367" s="210" t="s">
        <v>22</v>
      </c>
      <c r="V367" s="188">
        <f t="shared" si="324"/>
        <v>0.01</v>
      </c>
      <c r="W367" s="188">
        <f t="shared" si="325"/>
        <v>1600</v>
      </c>
      <c r="X367" s="212" t="s">
        <v>1078</v>
      </c>
      <c r="Y367" s="212"/>
      <c r="Z367" s="212"/>
      <c r="AA367" s="213">
        <v>96.53</v>
      </c>
      <c r="AB367" s="209"/>
      <c r="AC367" s="345"/>
      <c r="AD367" s="209"/>
      <c r="AE367" s="209"/>
      <c r="AF367" s="209"/>
      <c r="AG367" s="209"/>
      <c r="AH367" s="209"/>
      <c r="AI367" s="191"/>
      <c r="AJ367" s="191"/>
      <c r="AK367" s="209"/>
      <c r="AL367" s="209"/>
      <c r="AM367" s="209" t="s">
        <v>1733</v>
      </c>
      <c r="AN367" s="345" t="s">
        <v>376</v>
      </c>
      <c r="AO367" s="209" t="s">
        <v>1734</v>
      </c>
      <c r="AP367" s="215">
        <v>96.53</v>
      </c>
      <c r="AQ367" s="193">
        <f t="shared" si="326"/>
        <v>0</v>
      </c>
      <c r="AR367" s="191">
        <f t="shared" si="327"/>
        <v>0</v>
      </c>
      <c r="AS367" s="194">
        <f t="shared" si="328"/>
        <v>0</v>
      </c>
      <c r="AT367" s="217" t="s">
        <v>97</v>
      </c>
      <c r="AU367" s="431"/>
      <c r="AV367" s="431"/>
      <c r="AW367" s="431"/>
      <c r="AX367" s="431" t="s">
        <v>1735</v>
      </c>
      <c r="AY367" s="431" t="s">
        <v>511</v>
      </c>
      <c r="AZ367" s="431"/>
      <c r="BA367" s="431"/>
      <c r="BB367" s="431"/>
      <c r="BC367" s="445"/>
      <c r="BD367" s="404">
        <f>SUM($AS$4:AS367)</f>
        <v>2160.485000000017</v>
      </c>
      <c r="BE367" s="405">
        <f>SUM($AR$4:AR367)</f>
        <v>953.05999999998403</v>
      </c>
      <c r="BF367" s="330"/>
      <c r="BG367" s="330"/>
    </row>
    <row r="368" spans="1:59" ht="15.75" customHeight="1">
      <c r="A368" s="227" t="s">
        <v>1701</v>
      </c>
      <c r="B368" s="204">
        <v>45001</v>
      </c>
      <c r="C368" s="205" t="s">
        <v>1736</v>
      </c>
      <c r="D368" s="205" t="s">
        <v>74</v>
      </c>
      <c r="E368" s="254"/>
      <c r="F368" s="207"/>
      <c r="G368" s="326" t="s">
        <v>253</v>
      </c>
      <c r="H368" s="209"/>
      <c r="I368" s="209"/>
      <c r="J368" s="209"/>
      <c r="K368" s="210"/>
      <c r="L368" s="209">
        <v>1</v>
      </c>
      <c r="M368" s="209"/>
      <c r="N368" s="209"/>
      <c r="O368" s="210" t="s">
        <v>76</v>
      </c>
      <c r="P368" s="210" t="s">
        <v>77</v>
      </c>
      <c r="Q368" s="210" t="s">
        <v>78</v>
      </c>
      <c r="R368" s="210">
        <v>10</v>
      </c>
      <c r="S368" s="210">
        <v>10</v>
      </c>
      <c r="T368" s="210">
        <v>10</v>
      </c>
      <c r="U368" s="210" t="s">
        <v>78</v>
      </c>
      <c r="V368" s="188">
        <f t="shared" ref="V368" si="329">IF(ISBLANK(O368),"",(IF(O368=UPPER("IB"),0.005,0.01)))</f>
        <v>0.01</v>
      </c>
      <c r="W368" s="188">
        <f t="shared" ref="W368" si="330">IF(ISBLANK(O368),"",IF(O368=UPPER("IB"),8.63*200,16*100))</f>
        <v>1600</v>
      </c>
      <c r="X368" s="212"/>
      <c r="Y368" s="212"/>
      <c r="Z368" s="212" t="s">
        <v>1737</v>
      </c>
      <c r="AA368" s="213">
        <v>0.02</v>
      </c>
      <c r="AB368" s="209"/>
      <c r="AC368" s="345"/>
      <c r="AD368" s="209"/>
      <c r="AE368" s="209"/>
      <c r="AF368" s="209"/>
      <c r="AG368" s="209"/>
      <c r="AH368" s="209"/>
      <c r="AI368" s="191"/>
      <c r="AJ368" s="191"/>
      <c r="AK368" s="209"/>
      <c r="AL368" s="209"/>
      <c r="AM368" s="209" t="s">
        <v>949</v>
      </c>
      <c r="AN368" s="345" t="s">
        <v>87</v>
      </c>
      <c r="AO368" s="209" t="s">
        <v>746</v>
      </c>
      <c r="AP368" s="215">
        <v>0.02</v>
      </c>
      <c r="AQ368" s="193">
        <f t="shared" ref="AQ368" si="331">IF(ISBLANK(AP368),,IF(U368="S",AA368-AP368,AP368-AA368))</f>
        <v>0</v>
      </c>
      <c r="AR368" s="191">
        <f t="shared" ref="AR368" si="332">AS368*R368</f>
        <v>0</v>
      </c>
      <c r="AS368" s="194">
        <f t="shared" ref="AS368" si="333">IF(ISBLANK(AP368),,(AQ368*W368))</f>
        <v>0</v>
      </c>
      <c r="AT368" s="217" t="s">
        <v>97</v>
      </c>
      <c r="AU368" s="431" t="s">
        <v>1738</v>
      </c>
      <c r="AV368" s="431" t="s">
        <v>1739</v>
      </c>
      <c r="AW368" s="431"/>
      <c r="AX368" s="431"/>
      <c r="AY368" s="431"/>
      <c r="AZ368" s="431"/>
      <c r="BA368" s="431"/>
      <c r="BB368" s="431"/>
      <c r="BC368" s="445"/>
      <c r="BD368" s="404">
        <f>SUM($AS$4:AS368)</f>
        <v>2160.485000000017</v>
      </c>
      <c r="BE368" s="405">
        <f>SUM($AR$4:AR368)</f>
        <v>953.05999999998403</v>
      </c>
      <c r="BF368" s="330"/>
      <c r="BG368" s="330"/>
    </row>
    <row r="369" spans="1:59" ht="15.75" customHeight="1">
      <c r="A369" s="227" t="s">
        <v>1701</v>
      </c>
      <c r="B369" s="204"/>
      <c r="C369" s="205"/>
      <c r="D369" s="205"/>
      <c r="E369" s="254"/>
      <c r="F369" s="207"/>
      <c r="G369" s="208"/>
      <c r="H369" s="209"/>
      <c r="I369" s="209"/>
      <c r="J369" s="209"/>
      <c r="K369" s="210"/>
      <c r="L369" s="209"/>
      <c r="M369" s="209"/>
      <c r="N369" s="209"/>
      <c r="O369" s="210"/>
      <c r="P369" s="210"/>
      <c r="Q369" s="210"/>
      <c r="R369" s="210"/>
      <c r="S369" s="210"/>
      <c r="T369" s="210"/>
      <c r="U369" s="210"/>
      <c r="V369" s="188" t="str">
        <f t="shared" ref="V369:V371" si="334">IF(ISBLANK(O369),"",(IF(O369=UPPER("IB"),0.005,0.01)))</f>
        <v/>
      </c>
      <c r="W369" s="188" t="str">
        <f t="shared" ref="W369:W371" si="335">IF(ISBLANK(O369),"",IF(O369=UPPER("IB"),8.63*200,16*100))</f>
        <v/>
      </c>
      <c r="X369" s="212"/>
      <c r="Y369" s="212"/>
      <c r="Z369" s="212"/>
      <c r="AA369" s="213"/>
      <c r="AB369" s="209"/>
      <c r="AC369" s="345"/>
      <c r="AD369" s="209"/>
      <c r="AE369" s="209"/>
      <c r="AF369" s="209"/>
      <c r="AG369" s="209"/>
      <c r="AH369" s="209"/>
      <c r="AI369" s="191"/>
      <c r="AJ369" s="191"/>
      <c r="AK369" s="209"/>
      <c r="AL369" s="209"/>
      <c r="AM369" s="209"/>
      <c r="AN369" s="345"/>
      <c r="AO369" s="209"/>
      <c r="AP369" s="215"/>
      <c r="AQ369" s="193"/>
      <c r="AR369" s="191"/>
      <c r="AS369" s="194"/>
      <c r="AT369" s="217"/>
      <c r="AU369" s="431" t="s">
        <v>1740</v>
      </c>
      <c r="AV369" s="431" t="s">
        <v>1741</v>
      </c>
      <c r="AW369" s="431" t="s">
        <v>1742</v>
      </c>
      <c r="AX369" s="431" t="s">
        <v>1743</v>
      </c>
      <c r="AY369" s="431" t="s">
        <v>1744</v>
      </c>
      <c r="AZ369" s="431" t="s">
        <v>1745</v>
      </c>
      <c r="BA369" s="431" t="s">
        <v>1746</v>
      </c>
      <c r="BB369" s="431" t="s">
        <v>1747</v>
      </c>
      <c r="BC369" s="445" t="s">
        <v>1748</v>
      </c>
      <c r="BD369" s="404">
        <f>SUM($AS$4:AS369)</f>
        <v>2160.485000000017</v>
      </c>
      <c r="BE369" s="405">
        <f>SUM($AR$4:AR369)</f>
        <v>953.05999999998403</v>
      </c>
      <c r="BF369" s="330"/>
      <c r="BG369" s="330"/>
    </row>
    <row r="370" spans="1:59" ht="15.75" customHeight="1">
      <c r="A370" s="227" t="s">
        <v>1701</v>
      </c>
      <c r="B370" s="204"/>
      <c r="C370" s="205"/>
      <c r="D370" s="205"/>
      <c r="E370" s="254"/>
      <c r="F370" s="207"/>
      <c r="G370" s="208"/>
      <c r="H370" s="209"/>
      <c r="I370" s="209"/>
      <c r="J370" s="209"/>
      <c r="K370" s="210"/>
      <c r="L370" s="209"/>
      <c r="M370" s="209"/>
      <c r="N370" s="209"/>
      <c r="O370" s="210"/>
      <c r="P370" s="210"/>
      <c r="Q370" s="210"/>
      <c r="R370" s="210"/>
      <c r="S370" s="210"/>
      <c r="T370" s="210"/>
      <c r="U370" s="210"/>
      <c r="V370" s="188" t="str">
        <f t="shared" si="334"/>
        <v/>
      </c>
      <c r="W370" s="188" t="str">
        <f t="shared" si="335"/>
        <v/>
      </c>
      <c r="X370" s="212"/>
      <c r="Y370" s="212"/>
      <c r="Z370" s="212"/>
      <c r="AA370" s="213"/>
      <c r="AB370" s="209"/>
      <c r="AC370" s="345"/>
      <c r="AD370" s="209"/>
      <c r="AE370" s="209"/>
      <c r="AF370" s="209"/>
      <c r="AG370" s="209"/>
      <c r="AH370" s="209"/>
      <c r="AI370" s="191"/>
      <c r="AJ370" s="191"/>
      <c r="AK370" s="209"/>
      <c r="AL370" s="209"/>
      <c r="AM370" s="209"/>
      <c r="AN370" s="345"/>
      <c r="AO370" s="209"/>
      <c r="AP370" s="215"/>
      <c r="AQ370" s="193"/>
      <c r="AR370" s="191"/>
      <c r="AS370" s="194"/>
      <c r="AT370" s="217"/>
      <c r="AU370" s="451" t="s">
        <v>1749</v>
      </c>
      <c r="AV370" s="451" t="s">
        <v>1750</v>
      </c>
      <c r="AW370" s="431" t="s">
        <v>1751</v>
      </c>
      <c r="AX370" s="431" t="s">
        <v>511</v>
      </c>
      <c r="AY370" s="431"/>
      <c r="AZ370" s="431"/>
      <c r="BA370" s="431"/>
      <c r="BB370" s="431"/>
      <c r="BC370" s="445"/>
      <c r="BD370" s="404">
        <f>SUM($AS$4:AS370)</f>
        <v>2160.485000000017</v>
      </c>
      <c r="BE370" s="405">
        <f>SUM($AR$4:AR370)</f>
        <v>953.05999999998403</v>
      </c>
      <c r="BF370" s="330"/>
      <c r="BG370" s="330"/>
    </row>
    <row r="371" spans="1:59" ht="15.75" customHeight="1">
      <c r="A371" s="227" t="s">
        <v>1701</v>
      </c>
      <c r="B371" s="204">
        <v>45001</v>
      </c>
      <c r="C371" s="205" t="s">
        <v>1752</v>
      </c>
      <c r="D371" s="205" t="s">
        <v>74</v>
      </c>
      <c r="E371" s="254"/>
      <c r="F371" s="207"/>
      <c r="G371" s="208" t="s">
        <v>115</v>
      </c>
      <c r="H371" s="209"/>
      <c r="I371" s="209"/>
      <c r="J371" s="209"/>
      <c r="K371" s="210"/>
      <c r="L371" s="209">
        <v>1</v>
      </c>
      <c r="M371" s="209"/>
      <c r="N371" s="209"/>
      <c r="O371" s="210" t="s">
        <v>76</v>
      </c>
      <c r="P371" s="210" t="s">
        <v>77</v>
      </c>
      <c r="Q371" s="210" t="s">
        <v>78</v>
      </c>
      <c r="R371" s="210">
        <v>1</v>
      </c>
      <c r="S371" s="210">
        <v>1</v>
      </c>
      <c r="T371" s="210">
        <v>1</v>
      </c>
      <c r="U371" s="210" t="s">
        <v>78</v>
      </c>
      <c r="V371" s="188">
        <f t="shared" si="334"/>
        <v>0.01</v>
      </c>
      <c r="W371" s="188">
        <f t="shared" si="335"/>
        <v>1600</v>
      </c>
      <c r="X371" s="212" t="s">
        <v>1702</v>
      </c>
      <c r="Y371" s="212"/>
      <c r="Z371" s="212"/>
      <c r="AA371" s="213">
        <v>0</v>
      </c>
      <c r="AB371" s="209"/>
      <c r="AC371" s="345"/>
      <c r="AD371" s="209"/>
      <c r="AE371" s="209"/>
      <c r="AF371" s="209"/>
      <c r="AG371" s="209"/>
      <c r="AH371" s="209"/>
      <c r="AI371" s="191"/>
      <c r="AJ371" s="191"/>
      <c r="AK371" s="209"/>
      <c r="AL371" s="209"/>
      <c r="AM371" s="209" t="s">
        <v>1753</v>
      </c>
      <c r="AN371" s="345" t="s">
        <v>376</v>
      </c>
      <c r="AO371" s="209" t="s">
        <v>1754</v>
      </c>
      <c r="AP371" s="215">
        <v>-0.01</v>
      </c>
      <c r="AQ371" s="193">
        <f t="shared" ref="AQ371" si="336">IF(ISBLANK(AP371),,IF(U371="S",AA371-AP371,AP371-AA371))</f>
        <v>0.01</v>
      </c>
      <c r="AR371" s="191">
        <f t="shared" ref="AR371" si="337">AS371*R371</f>
        <v>16</v>
      </c>
      <c r="AS371" s="194">
        <f t="shared" ref="AS371" si="338">IF(ISBLANK(AP371),,(AQ371*W371))</f>
        <v>16</v>
      </c>
      <c r="AT371" s="217" t="s">
        <v>77</v>
      </c>
      <c r="AU371" s="431" t="s">
        <v>1755</v>
      </c>
      <c r="AV371" s="431"/>
      <c r="AW371" s="431"/>
      <c r="AX371" s="431"/>
      <c r="AY371" s="431"/>
      <c r="AZ371" s="431"/>
      <c r="BA371" s="431"/>
      <c r="BB371" s="431"/>
      <c r="BC371" s="445"/>
      <c r="BD371" s="404">
        <f>SUM($AS$4:AS371)</f>
        <v>2176.485000000017</v>
      </c>
      <c r="BE371" s="405">
        <f>SUM($AR$4:AR371)</f>
        <v>969.05999999998403</v>
      </c>
      <c r="BF371" s="330"/>
      <c r="BG371" s="330"/>
    </row>
    <row r="372" spans="1:59" ht="15.75" customHeight="1">
      <c r="A372" s="227" t="s">
        <v>1701</v>
      </c>
      <c r="B372" s="204">
        <v>45001</v>
      </c>
      <c r="C372" s="205" t="s">
        <v>1756</v>
      </c>
      <c r="D372" s="205" t="s">
        <v>74</v>
      </c>
      <c r="E372" s="254"/>
      <c r="F372" s="207"/>
      <c r="G372" s="208" t="s">
        <v>347</v>
      </c>
      <c r="H372" s="209"/>
      <c r="I372" s="209"/>
      <c r="J372" s="209"/>
      <c r="K372" s="210"/>
      <c r="L372" s="209">
        <v>1</v>
      </c>
      <c r="M372" s="209"/>
      <c r="N372" s="209"/>
      <c r="O372" s="210" t="s">
        <v>76</v>
      </c>
      <c r="P372" s="210" t="s">
        <v>77</v>
      </c>
      <c r="Q372" s="210" t="s">
        <v>78</v>
      </c>
      <c r="R372" s="210">
        <v>1</v>
      </c>
      <c r="S372" s="210">
        <v>1</v>
      </c>
      <c r="T372" s="210">
        <v>1</v>
      </c>
      <c r="U372" s="210" t="s">
        <v>78</v>
      </c>
      <c r="V372" s="188">
        <f t="shared" ref="V372" si="339">IF(ISBLANK(O372),"",(IF(O372=UPPER("IB"),0.005,0.01)))</f>
        <v>0.01</v>
      </c>
      <c r="W372" s="188">
        <f t="shared" ref="W372" si="340">IF(ISBLANK(O372),"",IF(O372=UPPER("IB"),8.63*200,16*100))</f>
        <v>1600</v>
      </c>
      <c r="X372" s="212" t="s">
        <v>1702</v>
      </c>
      <c r="Y372" s="212"/>
      <c r="Z372" s="212"/>
      <c r="AA372" s="213">
        <v>0</v>
      </c>
      <c r="AB372" s="209"/>
      <c r="AC372" s="345"/>
      <c r="AD372" s="209"/>
      <c r="AE372" s="209"/>
      <c r="AF372" s="209"/>
      <c r="AG372" s="209"/>
      <c r="AH372" s="209"/>
      <c r="AI372" s="191"/>
      <c r="AJ372" s="191"/>
      <c r="AK372" s="209"/>
      <c r="AL372" s="209"/>
      <c r="AM372" s="209" t="s">
        <v>1757</v>
      </c>
      <c r="AN372" s="345" t="s">
        <v>376</v>
      </c>
      <c r="AO372" s="209" t="s">
        <v>1758</v>
      </c>
      <c r="AP372" s="215">
        <v>0.03</v>
      </c>
      <c r="AQ372" s="193">
        <f t="shared" ref="AQ372" si="341">IF(ISBLANK(AP372),,IF(U372="S",AA372-AP372,AP372-AA372))</f>
        <v>-0.03</v>
      </c>
      <c r="AR372" s="191">
        <f t="shared" ref="AR372" si="342">AS372*R372</f>
        <v>-48</v>
      </c>
      <c r="AS372" s="194">
        <f t="shared" ref="AS372" si="343">IF(ISBLANK(AP372),,(AQ372*W372))</f>
        <v>-48</v>
      </c>
      <c r="AT372" s="217" t="s">
        <v>211</v>
      </c>
      <c r="AU372" s="431" t="s">
        <v>1755</v>
      </c>
      <c r="AV372" s="431" t="s">
        <v>1759</v>
      </c>
      <c r="AW372" s="431" t="s">
        <v>1760</v>
      </c>
      <c r="AX372" s="431"/>
      <c r="AY372" s="431"/>
      <c r="AZ372" s="431"/>
      <c r="BA372" s="431"/>
      <c r="BB372" s="431"/>
      <c r="BC372" s="445"/>
      <c r="BD372" s="404">
        <f>SUM($AS$4:AS372)</f>
        <v>2128.485000000017</v>
      </c>
      <c r="BE372" s="405">
        <f>SUM($AR$4:AR372)</f>
        <v>921.05999999998403</v>
      </c>
      <c r="BF372" s="330"/>
      <c r="BG372" s="330"/>
    </row>
    <row r="373" spans="1:59" ht="15.75" customHeight="1">
      <c r="A373" s="227" t="s">
        <v>1701</v>
      </c>
      <c r="B373" s="204">
        <v>45001</v>
      </c>
      <c r="C373" s="205" t="s">
        <v>1761</v>
      </c>
      <c r="D373" s="205" t="s">
        <v>74</v>
      </c>
      <c r="E373" s="254"/>
      <c r="F373" s="207"/>
      <c r="G373" s="208" t="s">
        <v>347</v>
      </c>
      <c r="H373" s="209"/>
      <c r="I373" s="209"/>
      <c r="J373" s="209"/>
      <c r="K373" s="210"/>
      <c r="L373" s="209">
        <v>1</v>
      </c>
      <c r="M373" s="209"/>
      <c r="N373" s="209"/>
      <c r="O373" s="210" t="s">
        <v>76</v>
      </c>
      <c r="P373" s="210" t="s">
        <v>77</v>
      </c>
      <c r="Q373" s="210" t="s">
        <v>78</v>
      </c>
      <c r="R373" s="210">
        <v>1</v>
      </c>
      <c r="S373" s="210">
        <v>1</v>
      </c>
      <c r="T373" s="210">
        <v>1</v>
      </c>
      <c r="U373" s="210" t="s">
        <v>78</v>
      </c>
      <c r="V373" s="188">
        <f t="shared" ref="V373" si="344">IF(ISBLANK(O373),"",(IF(O373=UPPER("IB"),0.005,0.01)))</f>
        <v>0.01</v>
      </c>
      <c r="W373" s="188">
        <f t="shared" ref="W373" si="345">IF(ISBLANK(O373),"",IF(O373=UPPER("IB"),8.63*200,16*100))</f>
        <v>1600</v>
      </c>
      <c r="X373" s="212" t="s">
        <v>1702</v>
      </c>
      <c r="Y373" s="212"/>
      <c r="Z373" s="212"/>
      <c r="AA373" s="213">
        <v>0.01</v>
      </c>
      <c r="AB373" s="209"/>
      <c r="AC373" s="345"/>
      <c r="AD373" s="209"/>
      <c r="AE373" s="209"/>
      <c r="AF373" s="209"/>
      <c r="AG373" s="209"/>
      <c r="AH373" s="209"/>
      <c r="AI373" s="191"/>
      <c r="AJ373" s="191"/>
      <c r="AK373" s="209"/>
      <c r="AL373" s="209"/>
      <c r="AM373" s="209" t="s">
        <v>1374</v>
      </c>
      <c r="AN373" s="345" t="s">
        <v>376</v>
      </c>
      <c r="AO373" s="209" t="s">
        <v>1762</v>
      </c>
      <c r="AP373" s="215">
        <v>0.03</v>
      </c>
      <c r="AQ373" s="193">
        <f t="shared" ref="AQ373" si="346">IF(ISBLANK(AP373),,IF(U373="S",AA373-AP373,AP373-AA373))</f>
        <v>-1.9999999999999997E-2</v>
      </c>
      <c r="AR373" s="191">
        <f t="shared" ref="AR373" si="347">AS373*R373</f>
        <v>-31.999999999999996</v>
      </c>
      <c r="AS373" s="194">
        <f t="shared" ref="AS373" si="348">IF(ISBLANK(AP373),,(AQ373*W373))</f>
        <v>-31.999999999999996</v>
      </c>
      <c r="AT373" s="217" t="s">
        <v>211</v>
      </c>
      <c r="AU373" s="431"/>
      <c r="AV373" s="431"/>
      <c r="AW373" s="431"/>
      <c r="AX373" s="431"/>
      <c r="AY373" s="431"/>
      <c r="AZ373" s="431"/>
      <c r="BA373" s="431"/>
      <c r="BB373" s="431"/>
      <c r="BC373" s="445"/>
      <c r="BD373" s="404">
        <f>SUM($AS$4:AS373)</f>
        <v>2096.485000000017</v>
      </c>
      <c r="BE373" s="405">
        <f>SUM($AR$4:AR373)</f>
        <v>889.05999999998403</v>
      </c>
      <c r="BF373" s="330"/>
      <c r="BG373" s="330"/>
    </row>
    <row r="374" spans="1:59" ht="15.75" customHeight="1">
      <c r="A374" s="227" t="s">
        <v>1701</v>
      </c>
      <c r="B374" s="204">
        <v>45001</v>
      </c>
      <c r="C374" s="205" t="s">
        <v>1761</v>
      </c>
      <c r="D374" s="205" t="s">
        <v>74</v>
      </c>
      <c r="E374" s="254"/>
      <c r="F374" s="207"/>
      <c r="G374" s="208" t="s">
        <v>253</v>
      </c>
      <c r="H374" s="209"/>
      <c r="I374" s="209"/>
      <c r="J374" s="209"/>
      <c r="K374" s="210"/>
      <c r="L374" s="209">
        <v>1</v>
      </c>
      <c r="M374" s="209"/>
      <c r="N374" s="209"/>
      <c r="O374" s="210" t="s">
        <v>76</v>
      </c>
      <c r="P374" s="210" t="s">
        <v>77</v>
      </c>
      <c r="Q374" s="210" t="s">
        <v>78</v>
      </c>
      <c r="R374" s="210">
        <v>1</v>
      </c>
      <c r="S374" s="210">
        <v>1</v>
      </c>
      <c r="T374" s="210">
        <v>1</v>
      </c>
      <c r="U374" s="210" t="s">
        <v>22</v>
      </c>
      <c r="V374" s="188">
        <f t="shared" ref="V374" si="349">IF(ISBLANK(O374),"",(IF(O374=UPPER("IB"),0.005,0.01)))</f>
        <v>0.01</v>
      </c>
      <c r="W374" s="188">
        <f t="shared" ref="W374" si="350">IF(ISBLANK(O374),"",IF(O374=UPPER("IB"),8.63*200,16*100))</f>
        <v>1600</v>
      </c>
      <c r="X374" s="212" t="s">
        <v>1702</v>
      </c>
      <c r="Y374" s="212"/>
      <c r="Z374" s="212"/>
      <c r="AA374" s="213">
        <v>0.02</v>
      </c>
      <c r="AB374" s="209"/>
      <c r="AC374" s="345"/>
      <c r="AD374" s="209"/>
      <c r="AE374" s="209"/>
      <c r="AF374" s="209"/>
      <c r="AG374" s="209"/>
      <c r="AH374" s="209"/>
      <c r="AI374" s="191"/>
      <c r="AJ374" s="191"/>
      <c r="AK374" s="209"/>
      <c r="AL374" s="209"/>
      <c r="AM374" s="209" t="s">
        <v>1763</v>
      </c>
      <c r="AN374" s="345" t="s">
        <v>87</v>
      </c>
      <c r="AO374" s="209" t="s">
        <v>1695</v>
      </c>
      <c r="AP374" s="215">
        <v>0.03</v>
      </c>
      <c r="AQ374" s="193">
        <f t="shared" ref="AQ374" si="351">IF(ISBLANK(AP374),,IF(U374="S",AA374-AP374,AP374-AA374))</f>
        <v>9.9999999999999985E-3</v>
      </c>
      <c r="AR374" s="191">
        <f t="shared" ref="AR374" si="352">AS374*R374</f>
        <v>15.999999999999998</v>
      </c>
      <c r="AS374" s="194">
        <f t="shared" ref="AS374" si="353">IF(ISBLANK(AP374),,(AQ374*W374))</f>
        <v>15.999999999999998</v>
      </c>
      <c r="AT374" s="217" t="s">
        <v>77</v>
      </c>
      <c r="AU374" s="431"/>
      <c r="AV374" s="431"/>
      <c r="AW374" s="431"/>
      <c r="AX374" s="431"/>
      <c r="AY374" s="431"/>
      <c r="AZ374" s="431"/>
      <c r="BA374" s="431"/>
      <c r="BB374" s="431"/>
      <c r="BC374" s="445"/>
      <c r="BD374" s="404">
        <f>SUM($AS$4:AS374)</f>
        <v>2112.485000000017</v>
      </c>
      <c r="BE374" s="405">
        <f>SUM($AR$4:AR374)</f>
        <v>905.05999999998403</v>
      </c>
      <c r="BF374" s="330"/>
      <c r="BG374" s="330"/>
    </row>
    <row r="375" spans="1:59" ht="15.75" customHeight="1">
      <c r="A375" s="227" t="s">
        <v>1701</v>
      </c>
      <c r="B375" s="204">
        <v>45001</v>
      </c>
      <c r="C375" s="205" t="s">
        <v>1764</v>
      </c>
      <c r="D375" s="205" t="s">
        <v>74</v>
      </c>
      <c r="E375" s="254"/>
      <c r="F375" s="207"/>
      <c r="G375" s="208" t="s">
        <v>262</v>
      </c>
      <c r="H375" s="209"/>
      <c r="I375" s="209"/>
      <c r="J375" s="209"/>
      <c r="K375" s="210"/>
      <c r="L375" s="209">
        <v>1</v>
      </c>
      <c r="M375" s="209"/>
      <c r="N375" s="209"/>
      <c r="O375" s="210" t="s">
        <v>76</v>
      </c>
      <c r="P375" s="210" t="s">
        <v>77</v>
      </c>
      <c r="Q375" s="210" t="s">
        <v>78</v>
      </c>
      <c r="R375" s="210">
        <v>1</v>
      </c>
      <c r="S375" s="210">
        <v>1</v>
      </c>
      <c r="T375" s="210">
        <v>1</v>
      </c>
      <c r="U375" s="210" t="s">
        <v>22</v>
      </c>
      <c r="V375" s="188">
        <f t="shared" ref="V375:V376" si="354">IF(ISBLANK(O375),"",(IF(O375=UPPER("IB"),0.005,0.01)))</f>
        <v>0.01</v>
      </c>
      <c r="W375" s="188">
        <f t="shared" ref="W375:W376" si="355">IF(ISBLANK(O375),"",IF(O375=UPPER("IB"),8.63*200,16*100))</f>
        <v>1600</v>
      </c>
      <c r="X375" s="212" t="s">
        <v>1702</v>
      </c>
      <c r="Y375" s="212"/>
      <c r="Z375" s="212"/>
      <c r="AA375" s="213">
        <v>0</v>
      </c>
      <c r="AB375" s="209"/>
      <c r="AC375" s="345"/>
      <c r="AD375" s="209"/>
      <c r="AE375" s="209"/>
      <c r="AF375" s="209"/>
      <c r="AG375" s="209"/>
      <c r="AH375" s="209"/>
      <c r="AI375" s="191"/>
      <c r="AJ375" s="191"/>
      <c r="AK375" s="209"/>
      <c r="AL375" s="209"/>
      <c r="AM375" s="209" t="s">
        <v>1765</v>
      </c>
      <c r="AN375" s="345" t="s">
        <v>376</v>
      </c>
      <c r="AO375" s="209" t="s">
        <v>1766</v>
      </c>
      <c r="AP375" s="215">
        <v>0.01</v>
      </c>
      <c r="AQ375" s="193">
        <f t="shared" ref="AQ375:AQ376" si="356">IF(ISBLANK(AP375),,IF(U375="S",AA375-AP375,AP375-AA375))</f>
        <v>0.01</v>
      </c>
      <c r="AR375" s="191">
        <f t="shared" ref="AR375:AR376" si="357">AS375*R375</f>
        <v>16</v>
      </c>
      <c r="AS375" s="194">
        <f t="shared" ref="AS375:AS376" si="358">IF(ISBLANK(AP375),,(AQ375*W375))</f>
        <v>16</v>
      </c>
      <c r="AT375" s="217" t="s">
        <v>77</v>
      </c>
      <c r="AU375" s="431"/>
      <c r="AV375" s="431"/>
      <c r="AW375" s="431"/>
      <c r="AX375" s="431"/>
      <c r="AY375" s="431"/>
      <c r="AZ375" s="431"/>
      <c r="BA375" s="431"/>
      <c r="BB375" s="431"/>
      <c r="BC375" s="445"/>
      <c r="BD375" s="404">
        <f>SUM($AS$4:AS375)</f>
        <v>2128.485000000017</v>
      </c>
      <c r="BE375" s="405">
        <f>SUM($AR$4:AR375)</f>
        <v>921.05999999998403</v>
      </c>
      <c r="BF375" s="330"/>
      <c r="BG375" s="330"/>
    </row>
    <row r="376" spans="1:59" ht="15.75" customHeight="1">
      <c r="A376" s="227" t="s">
        <v>1701</v>
      </c>
      <c r="B376" s="204">
        <v>45001</v>
      </c>
      <c r="C376" s="205" t="s">
        <v>1767</v>
      </c>
      <c r="D376" s="205" t="s">
        <v>74</v>
      </c>
      <c r="E376" s="254"/>
      <c r="F376" s="207"/>
      <c r="G376" s="208" t="s">
        <v>115</v>
      </c>
      <c r="H376" s="209"/>
      <c r="I376" s="209"/>
      <c r="J376" s="209"/>
      <c r="K376" s="210"/>
      <c r="L376" s="209">
        <v>1</v>
      </c>
      <c r="M376" s="209"/>
      <c r="N376" s="209"/>
      <c r="O376" s="210" t="s">
        <v>76</v>
      </c>
      <c r="P376" s="210" t="s">
        <v>77</v>
      </c>
      <c r="Q376" s="210" t="s">
        <v>78</v>
      </c>
      <c r="R376" s="210">
        <v>1</v>
      </c>
      <c r="S376" s="210">
        <v>1</v>
      </c>
      <c r="T376" s="210">
        <v>1</v>
      </c>
      <c r="U376" s="210" t="s">
        <v>22</v>
      </c>
      <c r="V376" s="188">
        <f t="shared" si="354"/>
        <v>0.01</v>
      </c>
      <c r="W376" s="188">
        <f t="shared" si="355"/>
        <v>1600</v>
      </c>
      <c r="X376" s="212" t="s">
        <v>1702</v>
      </c>
      <c r="Y376" s="212"/>
      <c r="Z376" s="212"/>
      <c r="AA376" s="213">
        <v>-0.02</v>
      </c>
      <c r="AB376" s="209"/>
      <c r="AC376" s="345"/>
      <c r="AD376" s="209"/>
      <c r="AE376" s="209"/>
      <c r="AF376" s="209"/>
      <c r="AG376" s="209"/>
      <c r="AH376" s="209"/>
      <c r="AI376" s="191"/>
      <c r="AJ376" s="191"/>
      <c r="AK376" s="209"/>
      <c r="AL376" s="209"/>
      <c r="AM376" s="209" t="s">
        <v>1768</v>
      </c>
      <c r="AN376" s="345" t="s">
        <v>376</v>
      </c>
      <c r="AO376" s="209" t="s">
        <v>1769</v>
      </c>
      <c r="AP376" s="215">
        <v>-0.01</v>
      </c>
      <c r="AQ376" s="193">
        <f t="shared" si="356"/>
        <v>0.01</v>
      </c>
      <c r="AR376" s="191">
        <f t="shared" si="357"/>
        <v>16</v>
      </c>
      <c r="AS376" s="194">
        <f t="shared" si="358"/>
        <v>16</v>
      </c>
      <c r="AT376" s="217" t="s">
        <v>77</v>
      </c>
      <c r="AU376" s="431" t="s">
        <v>1770</v>
      </c>
      <c r="AV376" s="431" t="s">
        <v>511</v>
      </c>
      <c r="AW376" s="431"/>
      <c r="AX376" s="431"/>
      <c r="AY376" s="431"/>
      <c r="AZ376" s="431"/>
      <c r="BA376" s="431" t="s">
        <v>1771</v>
      </c>
      <c r="BB376" s="431" t="s">
        <v>511</v>
      </c>
      <c r="BC376" s="445"/>
      <c r="BD376" s="404">
        <f>SUM($AS$4:AS376)</f>
        <v>2144.485000000017</v>
      </c>
      <c r="BE376" s="405">
        <f>SUM($AR$4:AR376)</f>
        <v>937.05999999998403</v>
      </c>
      <c r="BF376" s="330"/>
      <c r="BG376" s="330"/>
    </row>
    <row r="377" spans="1:59" ht="15.75" customHeight="1">
      <c r="A377" s="227" t="s">
        <v>1701</v>
      </c>
      <c r="B377" s="204">
        <v>45001</v>
      </c>
      <c r="C377" s="205" t="s">
        <v>1709</v>
      </c>
      <c r="D377" s="205" t="s">
        <v>74</v>
      </c>
      <c r="E377" s="254" t="s">
        <v>1772</v>
      </c>
      <c r="F377" s="207"/>
      <c r="G377" s="208"/>
      <c r="H377" s="209"/>
      <c r="I377" s="209">
        <v>1</v>
      </c>
      <c r="J377" s="209"/>
      <c r="K377" s="210" t="s">
        <v>87</v>
      </c>
      <c r="L377" s="209"/>
      <c r="M377" s="209"/>
      <c r="N377" s="209"/>
      <c r="O377" s="210"/>
      <c r="P377" s="210"/>
      <c r="Q377" s="210"/>
      <c r="R377" s="210"/>
      <c r="S377" s="210"/>
      <c r="T377" s="210"/>
      <c r="U377" s="210"/>
      <c r="V377" s="188" t="str">
        <f t="shared" ref="V377:V378" si="359">IF(ISBLANK(O377),"",(IF(O377=UPPER("IB"),0.005,0.01)))</f>
        <v/>
      </c>
      <c r="W377" s="188" t="str">
        <f t="shared" ref="W377:W378" si="360">IF(ISBLANK(O377),"",IF(O377=UPPER("IB"),8.63*200,16*100))</f>
        <v/>
      </c>
      <c r="X377" s="212"/>
      <c r="Y377" s="212"/>
      <c r="Z377" s="212"/>
      <c r="AA377" s="213"/>
      <c r="AB377" s="209"/>
      <c r="AC377" s="345"/>
      <c r="AD377" s="209"/>
      <c r="AE377" s="209"/>
      <c r="AF377" s="209"/>
      <c r="AG377" s="209"/>
      <c r="AH377" s="209"/>
      <c r="AI377" s="191"/>
      <c r="AJ377" s="191"/>
      <c r="AK377" s="209"/>
      <c r="AL377" s="209"/>
      <c r="AM377" s="209"/>
      <c r="AN377" s="345"/>
      <c r="AO377" s="209"/>
      <c r="AP377" s="215"/>
      <c r="AQ377" s="193"/>
      <c r="AR377" s="191"/>
      <c r="AS377" s="194"/>
      <c r="AT377" s="217"/>
      <c r="AU377" s="431"/>
      <c r="AV377" s="431"/>
      <c r="AW377" s="431"/>
      <c r="AX377" s="431"/>
      <c r="AY377" s="431"/>
      <c r="AZ377" s="431"/>
      <c r="BA377" s="431"/>
      <c r="BB377" s="431"/>
      <c r="BC377" s="445"/>
      <c r="BD377" s="404">
        <f>SUM($AS$4:AS377)</f>
        <v>2144.485000000017</v>
      </c>
      <c r="BE377" s="405">
        <f>SUM($AR$4:AR377)</f>
        <v>937.05999999998403</v>
      </c>
      <c r="BF377" s="330"/>
      <c r="BG377" s="330"/>
    </row>
    <row r="378" spans="1:59" ht="15.75" customHeight="1">
      <c r="A378" s="227" t="s">
        <v>1701</v>
      </c>
      <c r="B378" s="204">
        <v>45001</v>
      </c>
      <c r="C378" s="205" t="s">
        <v>1695</v>
      </c>
      <c r="D378" s="205" t="s">
        <v>74</v>
      </c>
      <c r="E378" s="254"/>
      <c r="F378" s="207"/>
      <c r="G378" s="208" t="s">
        <v>115</v>
      </c>
      <c r="H378" s="209"/>
      <c r="I378" s="209"/>
      <c r="J378" s="209"/>
      <c r="K378" s="210"/>
      <c r="L378" s="209">
        <v>2</v>
      </c>
      <c r="M378" s="209">
        <v>1</v>
      </c>
      <c r="N378" s="209"/>
      <c r="O378" s="210" t="s">
        <v>76</v>
      </c>
      <c r="P378" s="210" t="s">
        <v>77</v>
      </c>
      <c r="Q378" s="210" t="s">
        <v>78</v>
      </c>
      <c r="R378" s="210">
        <v>1</v>
      </c>
      <c r="S378" s="210">
        <v>1</v>
      </c>
      <c r="T378" s="210">
        <v>1</v>
      </c>
      <c r="U378" s="210" t="s">
        <v>78</v>
      </c>
      <c r="V378" s="188">
        <f t="shared" si="359"/>
        <v>0.01</v>
      </c>
      <c r="W378" s="188">
        <f t="shared" si="360"/>
        <v>1600</v>
      </c>
      <c r="X378" s="212" t="s">
        <v>1773</v>
      </c>
      <c r="Y378" s="212"/>
      <c r="Z378" s="212"/>
      <c r="AA378" s="213">
        <v>0.03</v>
      </c>
      <c r="AB378" s="209"/>
      <c r="AC378" s="345"/>
      <c r="AD378" s="209"/>
      <c r="AE378" s="209"/>
      <c r="AF378" s="209"/>
      <c r="AG378" s="209"/>
      <c r="AH378" s="209"/>
      <c r="AI378" s="191"/>
      <c r="AJ378" s="191"/>
      <c r="AK378" s="209"/>
      <c r="AL378" s="209"/>
      <c r="AM378" s="209" t="s">
        <v>1774</v>
      </c>
      <c r="AN378" s="345" t="s">
        <v>376</v>
      </c>
      <c r="AO378" s="209" t="s">
        <v>664</v>
      </c>
      <c r="AP378" s="215">
        <v>0.03</v>
      </c>
      <c r="AQ378" s="193">
        <f t="shared" ref="AQ378" si="361">IF(ISBLANK(AP378),,IF(U378="S",AA378-AP378,AP378-AA378))</f>
        <v>0</v>
      </c>
      <c r="AR378" s="191">
        <f t="shared" ref="AR378" si="362">AS378*R378</f>
        <v>0</v>
      </c>
      <c r="AS378" s="194">
        <f t="shared" ref="AS378" si="363">IF(ISBLANK(AP378),,(AQ378*W378))</f>
        <v>0</v>
      </c>
      <c r="AT378" s="217" t="s">
        <v>97</v>
      </c>
      <c r="AU378" s="431"/>
      <c r="AV378" s="431"/>
      <c r="AW378" s="431"/>
      <c r="AX378" s="431"/>
      <c r="AY378" s="431"/>
      <c r="AZ378" s="431"/>
      <c r="BA378" s="431"/>
      <c r="BB378" s="431"/>
      <c r="BC378" s="445"/>
      <c r="BD378" s="404">
        <f>SUM($AS$4:AS378)</f>
        <v>2144.485000000017</v>
      </c>
      <c r="BE378" s="405">
        <f>SUM($AR$4:AR378)</f>
        <v>937.05999999998403</v>
      </c>
      <c r="BF378" s="330"/>
      <c r="BG378" s="330"/>
    </row>
    <row r="379" spans="1:59" ht="15.75" customHeight="1">
      <c r="A379" s="227" t="s">
        <v>1701</v>
      </c>
      <c r="B379" s="204">
        <v>45001</v>
      </c>
      <c r="C379" s="205" t="s">
        <v>1616</v>
      </c>
      <c r="D379" s="205" t="s">
        <v>74</v>
      </c>
      <c r="E379" s="254" t="s">
        <v>1775</v>
      </c>
      <c r="F379" s="207" t="s">
        <v>1776</v>
      </c>
      <c r="G379" s="208"/>
      <c r="H379" s="209"/>
      <c r="I379" s="209"/>
      <c r="J379" s="209"/>
      <c r="K379" s="210"/>
      <c r="L379" s="209"/>
      <c r="M379" s="209"/>
      <c r="N379" s="209"/>
      <c r="O379" s="210"/>
      <c r="P379" s="210"/>
      <c r="Q379" s="210"/>
      <c r="R379" s="210"/>
      <c r="S379" s="210"/>
      <c r="T379" s="210"/>
      <c r="U379" s="210"/>
      <c r="V379" s="188" t="str">
        <f t="shared" ref="V379:V380" si="364">IF(ISBLANK(O379),"",(IF(O379=UPPER("IB"),0.005,0.01)))</f>
        <v/>
      </c>
      <c r="W379" s="188" t="str">
        <f t="shared" ref="W379" si="365">IF(ISBLANK(O379),"",IF(O379=UPPER("IB"),8.63*200,16*100))</f>
        <v/>
      </c>
      <c r="X379" s="212"/>
      <c r="Y379" s="212"/>
      <c r="Z379" s="212"/>
      <c r="AA379" s="213"/>
      <c r="AB379" s="209"/>
      <c r="AC379" s="345"/>
      <c r="AD379" s="209"/>
      <c r="AE379" s="209"/>
      <c r="AF379" s="209"/>
      <c r="AG379" s="209"/>
      <c r="AH379" s="209"/>
      <c r="AI379" s="191"/>
      <c r="AJ379" s="191"/>
      <c r="AK379" s="209"/>
      <c r="AL379" s="209"/>
      <c r="AM379" s="209"/>
      <c r="AN379" s="345"/>
      <c r="AO379" s="209"/>
      <c r="AP379" s="215"/>
      <c r="AQ379" s="193"/>
      <c r="AR379" s="191"/>
      <c r="AS379" s="194"/>
      <c r="AT379" s="217"/>
      <c r="AU379" s="431"/>
      <c r="AV379" s="431"/>
      <c r="AW379" s="431"/>
      <c r="AX379" s="431"/>
      <c r="AY379" s="431"/>
      <c r="AZ379" s="431"/>
      <c r="BA379" s="431"/>
      <c r="BB379" s="431"/>
      <c r="BC379" s="445"/>
      <c r="BD379" s="404">
        <f>SUM($AS$4:AS379)</f>
        <v>2144.485000000017</v>
      </c>
      <c r="BE379" s="405">
        <f>SUM($AR$4:AR379)</f>
        <v>937.05999999998403</v>
      </c>
      <c r="BF379" s="330"/>
      <c r="BG379" s="330"/>
    </row>
    <row r="380" spans="1:59" ht="15.75" customHeight="1">
      <c r="A380" s="227" t="s">
        <v>1701</v>
      </c>
      <c r="B380" s="204">
        <v>45001</v>
      </c>
      <c r="C380" s="205" t="s">
        <v>1616</v>
      </c>
      <c r="D380" s="205" t="s">
        <v>74</v>
      </c>
      <c r="E380" s="254"/>
      <c r="F380" s="207"/>
      <c r="G380" s="326" t="s">
        <v>115</v>
      </c>
      <c r="H380" s="209"/>
      <c r="I380" s="209"/>
      <c r="J380" s="209"/>
      <c r="K380" s="210"/>
      <c r="L380" s="209">
        <v>2</v>
      </c>
      <c r="M380" s="209">
        <v>2</v>
      </c>
      <c r="N380" s="209"/>
      <c r="O380" s="210" t="s">
        <v>76</v>
      </c>
      <c r="P380" s="210" t="s">
        <v>77</v>
      </c>
      <c r="Q380" s="210" t="s">
        <v>78</v>
      </c>
      <c r="R380" s="210">
        <v>1</v>
      </c>
      <c r="S380" s="210">
        <v>1</v>
      </c>
      <c r="T380" s="210">
        <v>1</v>
      </c>
      <c r="U380" s="210" t="s">
        <v>78</v>
      </c>
      <c r="V380" s="188">
        <f t="shared" si="364"/>
        <v>0.01</v>
      </c>
      <c r="W380" s="188">
        <f>IF(ISBLANK(O380),"",IF(O380=UPPER("IB"),8.63*200,16.1*100))</f>
        <v>1610.0000000000002</v>
      </c>
      <c r="X380" s="212" t="s">
        <v>1777</v>
      </c>
      <c r="Y380" s="212"/>
      <c r="Z380" s="212"/>
      <c r="AA380" s="213">
        <v>0.08</v>
      </c>
      <c r="AB380" s="209"/>
      <c r="AC380" s="345"/>
      <c r="AD380" s="209"/>
      <c r="AE380" s="209"/>
      <c r="AF380" s="209"/>
      <c r="AG380" s="209"/>
      <c r="AH380" s="209"/>
      <c r="AI380" s="191"/>
      <c r="AJ380" s="191"/>
      <c r="AK380" s="209"/>
      <c r="AL380" s="209"/>
      <c r="AM380" s="209" t="s">
        <v>752</v>
      </c>
      <c r="AN380" s="345" t="s">
        <v>97</v>
      </c>
      <c r="AO380" s="209" t="s">
        <v>1778</v>
      </c>
      <c r="AP380" s="215">
        <v>-0.01</v>
      </c>
      <c r="AQ380" s="193">
        <f t="shared" ref="AQ380:AQ382" si="366">IF(ISBLANK(AP380),,IF(U380="S",AA380-AP380,AP380-AA380))</f>
        <v>0.09</v>
      </c>
      <c r="AR380" s="191">
        <f t="shared" ref="AR380:AR382" si="367">AS380*R380</f>
        <v>144.9</v>
      </c>
      <c r="AS380" s="194">
        <f t="shared" ref="AS380:AS382" si="368">IF(ISBLANK(AP380),,(AQ380*W380))</f>
        <v>144.9</v>
      </c>
      <c r="AT380" s="217" t="s">
        <v>77</v>
      </c>
      <c r="AU380" s="431"/>
      <c r="AV380" s="431"/>
      <c r="AW380" s="431"/>
      <c r="AX380" s="431"/>
      <c r="AY380" s="431"/>
      <c r="AZ380" s="431"/>
      <c r="BA380" s="431" t="s">
        <v>1779</v>
      </c>
      <c r="BB380" s="431" t="s">
        <v>1780</v>
      </c>
      <c r="BC380" s="445"/>
      <c r="BD380" s="404">
        <f>SUM($AS$4:AS380)</f>
        <v>2289.385000000017</v>
      </c>
      <c r="BE380" s="405">
        <f>SUM($AR$4:AR380)</f>
        <v>1081.9599999999841</v>
      </c>
      <c r="BF380" s="330"/>
      <c r="BG380" s="330"/>
    </row>
    <row r="381" spans="1:59" ht="15.75" customHeight="1">
      <c r="A381" s="227" t="s">
        <v>1701</v>
      </c>
      <c r="B381" s="204">
        <v>45001</v>
      </c>
      <c r="C381" s="205" t="s">
        <v>1616</v>
      </c>
      <c r="D381" s="205" t="s">
        <v>74</v>
      </c>
      <c r="E381" s="254"/>
      <c r="F381" s="207"/>
      <c r="G381" s="326" t="s">
        <v>115</v>
      </c>
      <c r="H381" s="209"/>
      <c r="I381" s="209"/>
      <c r="J381" s="209"/>
      <c r="K381" s="210"/>
      <c r="L381" s="209">
        <v>2</v>
      </c>
      <c r="M381" s="209">
        <v>2</v>
      </c>
      <c r="N381" s="209"/>
      <c r="O381" s="210" t="s">
        <v>76</v>
      </c>
      <c r="P381" s="210" t="s">
        <v>77</v>
      </c>
      <c r="Q381" s="210" t="s">
        <v>78</v>
      </c>
      <c r="R381" s="210">
        <v>1</v>
      </c>
      <c r="S381" s="210">
        <v>1</v>
      </c>
      <c r="T381" s="210">
        <v>1</v>
      </c>
      <c r="U381" s="210" t="s">
        <v>78</v>
      </c>
      <c r="V381" s="188">
        <f t="shared" ref="V381" si="369">IF(ISBLANK(O381),"",(IF(O381=UPPER("IB"),0.005,0.01)))</f>
        <v>0.01</v>
      </c>
      <c r="W381" s="188">
        <f>IF(ISBLANK(O381),"",IF(O381=UPPER("IB"),8.63*200,16.1*100))</f>
        <v>1610.0000000000002</v>
      </c>
      <c r="X381" s="212" t="s">
        <v>1777</v>
      </c>
      <c r="Y381" s="212"/>
      <c r="Z381" s="212"/>
      <c r="AA381" s="213">
        <v>0.04</v>
      </c>
      <c r="AB381" s="209"/>
      <c r="AC381" s="345"/>
      <c r="AD381" s="209"/>
      <c r="AE381" s="209"/>
      <c r="AF381" s="209"/>
      <c r="AG381" s="209"/>
      <c r="AH381" s="209"/>
      <c r="AI381" s="191"/>
      <c r="AJ381" s="191"/>
      <c r="AK381" s="209"/>
      <c r="AL381" s="209"/>
      <c r="AM381" s="209" t="s">
        <v>1781</v>
      </c>
      <c r="AN381" s="345" t="s">
        <v>87</v>
      </c>
      <c r="AO381" s="209" t="s">
        <v>1782</v>
      </c>
      <c r="AP381" s="215">
        <v>-0.03</v>
      </c>
      <c r="AQ381" s="193">
        <f t="shared" si="366"/>
        <v>7.0000000000000007E-2</v>
      </c>
      <c r="AR381" s="191">
        <f t="shared" si="367"/>
        <v>112.70000000000003</v>
      </c>
      <c r="AS381" s="194">
        <f t="shared" si="368"/>
        <v>112.70000000000003</v>
      </c>
      <c r="AT381" s="217" t="s">
        <v>77</v>
      </c>
      <c r="AU381" s="431"/>
      <c r="AV381" s="431"/>
      <c r="AW381" s="431"/>
      <c r="AX381" s="431" t="s">
        <v>1783</v>
      </c>
      <c r="AY381" s="431" t="s">
        <v>511</v>
      </c>
      <c r="AZ381" s="431"/>
      <c r="BA381" s="431" t="s">
        <v>1779</v>
      </c>
      <c r="BB381" s="431" t="s">
        <v>1780</v>
      </c>
      <c r="BC381" s="445"/>
      <c r="BD381" s="404">
        <f>SUM($AS$4:AS381)</f>
        <v>2402.0850000000169</v>
      </c>
      <c r="BE381" s="405">
        <f>SUM($AR$4:AR381)</f>
        <v>1194.6599999999842</v>
      </c>
      <c r="BF381" s="330"/>
      <c r="BG381" s="330"/>
    </row>
    <row r="382" spans="1:59" ht="15.75" customHeight="1">
      <c r="A382" s="227" t="s">
        <v>1701</v>
      </c>
      <c r="B382" s="204">
        <v>45001</v>
      </c>
      <c r="C382" s="205" t="s">
        <v>1784</v>
      </c>
      <c r="D382" s="205" t="s">
        <v>74</v>
      </c>
      <c r="E382" s="254"/>
      <c r="F382" s="207"/>
      <c r="G382" s="208" t="s">
        <v>868</v>
      </c>
      <c r="H382" s="209"/>
      <c r="I382" s="209"/>
      <c r="J382" s="209"/>
      <c r="K382" s="210"/>
      <c r="L382" s="209">
        <v>1</v>
      </c>
      <c r="M382" s="209"/>
      <c r="N382" s="209"/>
      <c r="O382" s="210" t="s">
        <v>76</v>
      </c>
      <c r="P382" s="210" t="s">
        <v>119</v>
      </c>
      <c r="Q382" s="210" t="s">
        <v>78</v>
      </c>
      <c r="R382" s="210">
        <v>1</v>
      </c>
      <c r="S382" s="210">
        <v>1</v>
      </c>
      <c r="T382" s="210">
        <v>1</v>
      </c>
      <c r="U382" s="210" t="s">
        <v>78</v>
      </c>
      <c r="V382" s="188">
        <f t="shared" ref="V382:V383" si="370">IF(ISBLANK(O382),"",(IF(O382=UPPER("IB"),0.005,0.01)))</f>
        <v>0.01</v>
      </c>
      <c r="W382" s="188">
        <f t="shared" ref="W382" si="371">IF(ISBLANK(O382),"",IF(O382=UPPER("IB"),8.63*200,16.1*100))</f>
        <v>1610.0000000000002</v>
      </c>
      <c r="X382" s="212"/>
      <c r="Y382" s="212"/>
      <c r="Z382" s="212" t="s">
        <v>1785</v>
      </c>
      <c r="AA382" s="213">
        <v>-0.02</v>
      </c>
      <c r="AB382" s="209"/>
      <c r="AC382" s="345"/>
      <c r="AD382" s="209"/>
      <c r="AE382" s="209"/>
      <c r="AF382" s="209"/>
      <c r="AG382" s="209"/>
      <c r="AH382" s="209"/>
      <c r="AI382" s="191"/>
      <c r="AJ382" s="191"/>
      <c r="AK382" s="209"/>
      <c r="AL382" s="209"/>
      <c r="AM382" s="209" t="s">
        <v>1786</v>
      </c>
      <c r="AN382" s="345" t="s">
        <v>376</v>
      </c>
      <c r="AO382" s="209" t="s">
        <v>1201</v>
      </c>
      <c r="AP382" s="215">
        <v>-0.02</v>
      </c>
      <c r="AQ382" s="193">
        <f t="shared" si="366"/>
        <v>0</v>
      </c>
      <c r="AR382" s="191">
        <f t="shared" si="367"/>
        <v>0</v>
      </c>
      <c r="AS382" s="194">
        <f t="shared" si="368"/>
        <v>0</v>
      </c>
      <c r="AT382" s="217" t="s">
        <v>97</v>
      </c>
      <c r="AU382" s="431"/>
      <c r="AV382" s="431"/>
      <c r="AW382" s="431"/>
      <c r="AX382" s="431"/>
      <c r="AY382" s="431"/>
      <c r="AZ382" s="431"/>
      <c r="BA382" s="431"/>
      <c r="BB382" s="431"/>
      <c r="BC382" s="445"/>
      <c r="BD382" s="404">
        <f>SUM($AS$4:AS382)</f>
        <v>2402.0850000000169</v>
      </c>
      <c r="BE382" s="405">
        <f>SUM($AR$4:AR382)</f>
        <v>1194.6599999999842</v>
      </c>
      <c r="BF382" s="330"/>
      <c r="BG382" s="330"/>
    </row>
    <row r="383" spans="1:59" ht="15.75" customHeight="1">
      <c r="A383" s="227" t="s">
        <v>1701</v>
      </c>
      <c r="B383" s="204">
        <v>45001</v>
      </c>
      <c r="C383" s="205" t="s">
        <v>1787</v>
      </c>
      <c r="D383" s="205" t="s">
        <v>74</v>
      </c>
      <c r="E383" s="254"/>
      <c r="F383" s="207"/>
      <c r="G383" s="326" t="s">
        <v>115</v>
      </c>
      <c r="H383" s="209"/>
      <c r="I383" s="209"/>
      <c r="J383" s="209"/>
      <c r="K383" s="210"/>
      <c r="L383" s="209">
        <v>2</v>
      </c>
      <c r="M383" s="209">
        <v>2</v>
      </c>
      <c r="N383" s="209"/>
      <c r="O383" s="210" t="s">
        <v>76</v>
      </c>
      <c r="P383" s="210" t="s">
        <v>77</v>
      </c>
      <c r="Q383" s="210" t="s">
        <v>78</v>
      </c>
      <c r="R383" s="210">
        <v>1</v>
      </c>
      <c r="S383" s="210">
        <v>1</v>
      </c>
      <c r="T383" s="210">
        <v>1</v>
      </c>
      <c r="U383" s="210" t="s">
        <v>78</v>
      </c>
      <c r="V383" s="188">
        <f t="shared" si="370"/>
        <v>0.01</v>
      </c>
      <c r="W383" s="188">
        <f>IF(ISBLANK(O383),"",IF(O383="IB",8.63*200,IF(O383="IR",16.1*100,IF(O383="YT",20))))</f>
        <v>1610.0000000000002</v>
      </c>
      <c r="X383" s="212" t="s">
        <v>1788</v>
      </c>
      <c r="Y383" s="212"/>
      <c r="Z383" s="212"/>
      <c r="AA383" s="213">
        <v>0</v>
      </c>
      <c r="AB383" s="209"/>
      <c r="AC383" s="345"/>
      <c r="AD383" s="209"/>
      <c r="AE383" s="209"/>
      <c r="AF383" s="209"/>
      <c r="AG383" s="209"/>
      <c r="AH383" s="209"/>
      <c r="AI383" s="191"/>
      <c r="AJ383" s="191"/>
      <c r="AK383" s="209"/>
      <c r="AL383" s="209"/>
      <c r="AM383" s="209" t="s">
        <v>924</v>
      </c>
      <c r="AN383" s="345" t="s">
        <v>87</v>
      </c>
      <c r="AO383" s="209" t="s">
        <v>1789</v>
      </c>
      <c r="AP383" s="215">
        <v>-0.02</v>
      </c>
      <c r="AQ383" s="193">
        <f t="shared" ref="AQ383" si="372">IF(ISBLANK(AP383),,IF(U383="S",AA383-AP383,AP383-AA383))</f>
        <v>0.02</v>
      </c>
      <c r="AR383" s="191">
        <f t="shared" ref="AR383" si="373">AS383*R383</f>
        <v>32.200000000000003</v>
      </c>
      <c r="AS383" s="194">
        <f t="shared" ref="AS383" si="374">IF(ISBLANK(AP383),,(AQ383*W383))</f>
        <v>32.200000000000003</v>
      </c>
      <c r="AT383" s="217" t="s">
        <v>77</v>
      </c>
      <c r="AU383" s="431" t="s">
        <v>1790</v>
      </c>
      <c r="AV383" s="431"/>
      <c r="AW383" s="431"/>
      <c r="AX383" s="431"/>
      <c r="AY383" s="431"/>
      <c r="AZ383" s="431"/>
      <c r="BA383" s="431"/>
      <c r="BB383" s="431"/>
      <c r="BC383" s="445"/>
      <c r="BD383" s="404">
        <f>SUM($AS$4:AS383)</f>
        <v>2434.2850000000167</v>
      </c>
      <c r="BE383" s="405">
        <f>SUM($AR$4:AR383)</f>
        <v>1226.8599999999842</v>
      </c>
      <c r="BF383" s="330"/>
      <c r="BG383" s="330"/>
    </row>
    <row r="384" spans="1:59" ht="15.75" customHeight="1">
      <c r="A384" s="227" t="s">
        <v>1701</v>
      </c>
      <c r="B384" s="204">
        <v>45005</v>
      </c>
      <c r="C384" s="205" t="s">
        <v>1791</v>
      </c>
      <c r="D384" s="205" t="s">
        <v>114</v>
      </c>
      <c r="E384" s="254" t="s">
        <v>1792</v>
      </c>
      <c r="F384" s="207" t="s">
        <v>1793</v>
      </c>
      <c r="G384" s="208"/>
      <c r="H384" s="209"/>
      <c r="I384" s="209"/>
      <c r="J384" s="209"/>
      <c r="K384" s="210"/>
      <c r="L384" s="209"/>
      <c r="M384" s="209"/>
      <c r="N384" s="209"/>
      <c r="O384" s="210"/>
      <c r="P384" s="210"/>
      <c r="Q384" s="210"/>
      <c r="R384" s="210"/>
      <c r="S384" s="210"/>
      <c r="T384" s="210"/>
      <c r="U384" s="210"/>
      <c r="V384" s="188" t="str">
        <f t="shared" ref="V384:V385" si="375">IF(ISBLANK(O384),"",(IF(O384=UPPER("IB"),0.005,0.01)))</f>
        <v/>
      </c>
      <c r="W384" s="188" t="str">
        <f t="shared" ref="W384:W386" si="376">IF(ISBLANK(O384),"",IF(O384="IB",8.63*200,IF(O384="IR",16.1*100,IF(O384="YT",20))))</f>
        <v/>
      </c>
      <c r="X384" s="212"/>
      <c r="Y384" s="212"/>
      <c r="Z384" s="212"/>
      <c r="AA384" s="213"/>
      <c r="AB384" s="209"/>
      <c r="AC384" s="345"/>
      <c r="AD384" s="209"/>
      <c r="AE384" s="209"/>
      <c r="AF384" s="209"/>
      <c r="AG384" s="209"/>
      <c r="AH384" s="209"/>
      <c r="AI384" s="191"/>
      <c r="AJ384" s="191"/>
      <c r="AK384" s="209"/>
      <c r="AL384" s="209"/>
      <c r="AM384" s="209"/>
      <c r="AN384" s="345"/>
      <c r="AO384" s="209"/>
      <c r="AP384" s="215"/>
      <c r="AQ384" s="193"/>
      <c r="AR384" s="191"/>
      <c r="AS384" s="194"/>
      <c r="AT384" s="217"/>
      <c r="AU384" s="431" t="s">
        <v>1794</v>
      </c>
      <c r="AV384" s="431"/>
      <c r="AW384" s="431"/>
      <c r="AX384" s="431"/>
      <c r="AY384" s="431"/>
      <c r="AZ384" s="431"/>
      <c r="BA384" s="431"/>
      <c r="BB384" s="431"/>
      <c r="BC384" s="445"/>
      <c r="BD384" s="404">
        <f>SUM($AS$4:AS384)</f>
        <v>2434.2850000000167</v>
      </c>
      <c r="BE384" s="405">
        <f>SUM($AR$4:AR384)</f>
        <v>1226.8599999999842</v>
      </c>
      <c r="BF384" s="330"/>
      <c r="BG384" s="330"/>
    </row>
    <row r="385" spans="1:59" ht="15.75" customHeight="1">
      <c r="A385" s="227" t="s">
        <v>1701</v>
      </c>
      <c r="B385" s="204">
        <v>36605</v>
      </c>
      <c r="C385" s="205" t="s">
        <v>1795</v>
      </c>
      <c r="D385" s="205" t="s">
        <v>114</v>
      </c>
      <c r="E385" s="254"/>
      <c r="F385" s="207"/>
      <c r="G385" s="328" t="s">
        <v>253</v>
      </c>
      <c r="H385" s="209"/>
      <c r="I385" s="209"/>
      <c r="J385" s="209"/>
      <c r="K385" s="210"/>
      <c r="L385" s="209">
        <v>1</v>
      </c>
      <c r="M385" s="209"/>
      <c r="N385" s="209"/>
      <c r="O385" s="210" t="s">
        <v>76</v>
      </c>
      <c r="P385" s="210" t="s">
        <v>77</v>
      </c>
      <c r="Q385" s="210" t="s">
        <v>78</v>
      </c>
      <c r="R385" s="210">
        <v>1</v>
      </c>
      <c r="S385" s="210">
        <v>1</v>
      </c>
      <c r="T385" s="210">
        <v>1</v>
      </c>
      <c r="U385" s="210" t="s">
        <v>78</v>
      </c>
      <c r="V385" s="188">
        <f t="shared" si="375"/>
        <v>0.01</v>
      </c>
      <c r="W385" s="188">
        <f t="shared" si="376"/>
        <v>1610.0000000000002</v>
      </c>
      <c r="X385" s="212" t="s">
        <v>1796</v>
      </c>
      <c r="Y385" s="212" t="s">
        <v>1797</v>
      </c>
      <c r="Z385" s="212" t="s">
        <v>511</v>
      </c>
      <c r="AA385" s="213">
        <v>0.01</v>
      </c>
      <c r="AB385" s="209"/>
      <c r="AC385" s="345">
        <v>5</v>
      </c>
      <c r="AD385" s="209" t="s">
        <v>1798</v>
      </c>
      <c r="AE385" s="209" t="s">
        <v>1799</v>
      </c>
      <c r="AF385" s="209" t="s">
        <v>1800</v>
      </c>
      <c r="AG385" s="209" t="s">
        <v>511</v>
      </c>
      <c r="AH385" s="209"/>
      <c r="AI385" s="191">
        <f>-0.04*W385</f>
        <v>-64.400000000000006</v>
      </c>
      <c r="AJ385" s="191">
        <f t="shared" ref="AJ385" si="377">AI385*R385</f>
        <v>-64.400000000000006</v>
      </c>
      <c r="AK385" s="209"/>
      <c r="AL385" s="209"/>
      <c r="AM385" s="209" t="s">
        <v>1566</v>
      </c>
      <c r="AN385" s="345" t="s">
        <v>87</v>
      </c>
      <c r="AO385" s="209" t="s">
        <v>1801</v>
      </c>
      <c r="AP385" s="215">
        <v>0</v>
      </c>
      <c r="AQ385" s="193">
        <f t="shared" ref="AQ385:AQ386" si="378">IF(ISBLANK(AP385),,IF(U385="S",AA385-AP385,AP385-AA385))</f>
        <v>0.01</v>
      </c>
      <c r="AR385" s="191">
        <f t="shared" ref="AR385:AR386" si="379">AS385*R385</f>
        <v>16.100000000000001</v>
      </c>
      <c r="AS385" s="194">
        <f t="shared" ref="AS385:AS386" si="380">IF(ISBLANK(AP385),,(AQ385*W385))</f>
        <v>16.100000000000001</v>
      </c>
      <c r="AT385" s="217" t="s">
        <v>77</v>
      </c>
      <c r="AU385" s="431"/>
      <c r="AV385" s="431"/>
      <c r="AW385" s="431"/>
      <c r="AX385" s="431"/>
      <c r="AY385" s="431"/>
      <c r="AZ385" s="431"/>
      <c r="BA385" s="431"/>
      <c r="BB385" s="431"/>
      <c r="BC385" s="445"/>
      <c r="BD385" s="404">
        <f>SUM($AS$4:AS385)</f>
        <v>2450.3850000000166</v>
      </c>
      <c r="BE385" s="405">
        <f>SUM($AR$4:AR385)</f>
        <v>1242.9599999999841</v>
      </c>
      <c r="BF385" s="330"/>
      <c r="BG385" s="330"/>
    </row>
    <row r="386" spans="1:59" ht="15.75" customHeight="1">
      <c r="A386" s="227" t="s">
        <v>1701</v>
      </c>
      <c r="B386" s="204">
        <v>36605</v>
      </c>
      <c r="C386" s="205" t="s">
        <v>1802</v>
      </c>
      <c r="D386" s="205" t="s">
        <v>114</v>
      </c>
      <c r="E386" s="254"/>
      <c r="F386" s="207"/>
      <c r="G386" s="328" t="s">
        <v>739</v>
      </c>
      <c r="H386" s="209"/>
      <c r="I386" s="209"/>
      <c r="J386" s="209"/>
      <c r="K386" s="210"/>
      <c r="L386" s="209">
        <v>3</v>
      </c>
      <c r="M386" s="209"/>
      <c r="N386" s="209"/>
      <c r="O386" s="210" t="s">
        <v>76</v>
      </c>
      <c r="P386" s="210" t="s">
        <v>77</v>
      </c>
      <c r="Q386" s="210" t="s">
        <v>78</v>
      </c>
      <c r="R386" s="210">
        <v>1</v>
      </c>
      <c r="S386" s="210">
        <v>1</v>
      </c>
      <c r="T386" s="210">
        <v>1</v>
      </c>
      <c r="U386" s="210" t="s">
        <v>22</v>
      </c>
      <c r="V386" s="188">
        <f t="shared" ref="V386" si="381">IF(ISBLANK(O386),"",(IF(O386=UPPER("IB"),0.005,0.01)))</f>
        <v>0.01</v>
      </c>
      <c r="W386" s="188">
        <f t="shared" si="376"/>
        <v>1610.0000000000002</v>
      </c>
      <c r="X386" s="212" t="s">
        <v>1803</v>
      </c>
      <c r="Y386" s="212"/>
      <c r="Z386" s="212"/>
      <c r="AA386" s="213">
        <v>-0.06</v>
      </c>
      <c r="AB386" s="209"/>
      <c r="AC386" s="345">
        <v>-10</v>
      </c>
      <c r="AD386" s="209" t="s">
        <v>1804</v>
      </c>
      <c r="AE386" s="209">
        <v>-5</v>
      </c>
      <c r="AF386" s="209" t="s">
        <v>1805</v>
      </c>
      <c r="AG386" s="209"/>
      <c r="AH386" s="209"/>
      <c r="AI386" s="191">
        <f>-0.04*W386</f>
        <v>-64.400000000000006</v>
      </c>
      <c r="AJ386" s="191">
        <f t="shared" ref="AJ386" si="382">AI386*R386</f>
        <v>-64.400000000000006</v>
      </c>
      <c r="AK386" s="209"/>
      <c r="AL386" s="209"/>
      <c r="AM386" s="209" t="s">
        <v>1806</v>
      </c>
      <c r="AN386" s="345" t="s">
        <v>376</v>
      </c>
      <c r="AO386" s="209" t="s">
        <v>1807</v>
      </c>
      <c r="AP386" s="215">
        <v>-0.05</v>
      </c>
      <c r="AQ386" s="193">
        <f t="shared" si="378"/>
        <v>9.999999999999995E-3</v>
      </c>
      <c r="AR386" s="191">
        <f t="shared" si="379"/>
        <v>16.099999999999994</v>
      </c>
      <c r="AS386" s="194">
        <f t="shared" si="380"/>
        <v>16.099999999999994</v>
      </c>
      <c r="AT386" s="217" t="s">
        <v>77</v>
      </c>
      <c r="AU386" s="431" t="s">
        <v>1808</v>
      </c>
      <c r="AV386" s="431" t="s">
        <v>1809</v>
      </c>
      <c r="AW386" s="431" t="s">
        <v>1810</v>
      </c>
      <c r="AX386" s="431"/>
      <c r="AY386" s="431"/>
      <c r="AZ386" s="431"/>
      <c r="BA386" s="431" t="s">
        <v>1811</v>
      </c>
      <c r="BB386" s="431" t="s">
        <v>511</v>
      </c>
      <c r="BC386" s="445"/>
      <c r="BD386" s="404">
        <f>SUM($AS$4:AS386)</f>
        <v>2466.4850000000165</v>
      </c>
      <c r="BE386" s="405">
        <f>SUM($AR$4:AR386)</f>
        <v>1259.059999999984</v>
      </c>
      <c r="BF386" s="330"/>
      <c r="BG386" s="330"/>
    </row>
    <row r="387" spans="1:59" ht="15.75" customHeight="1">
      <c r="A387" s="227" t="s">
        <v>1701</v>
      </c>
      <c r="B387" s="204">
        <v>36605</v>
      </c>
      <c r="C387" s="205" t="s">
        <v>1812</v>
      </c>
      <c r="D387" s="205" t="s">
        <v>114</v>
      </c>
      <c r="E387" s="254"/>
      <c r="F387" s="207"/>
      <c r="G387" s="208" t="s">
        <v>115</v>
      </c>
      <c r="H387" s="209"/>
      <c r="I387" s="209"/>
      <c r="J387" s="209"/>
      <c r="K387" s="210"/>
      <c r="L387" s="209">
        <v>3</v>
      </c>
      <c r="M387" s="209"/>
      <c r="N387" s="209"/>
      <c r="O387" s="210" t="s">
        <v>76</v>
      </c>
      <c r="P387" s="210" t="s">
        <v>77</v>
      </c>
      <c r="Q387" s="210" t="s">
        <v>78</v>
      </c>
      <c r="R387" s="210">
        <v>1</v>
      </c>
      <c r="S387" s="210">
        <v>1</v>
      </c>
      <c r="T387" s="210">
        <v>1</v>
      </c>
      <c r="U387" s="210" t="s">
        <v>78</v>
      </c>
      <c r="V387" s="188">
        <f t="shared" ref="V387:V388" si="383">IF(ISBLANK(O387),"",(IF(O387=UPPER("IB"),0.005,0.01)))</f>
        <v>0.01</v>
      </c>
      <c r="W387" s="188">
        <f t="shared" ref="W387:W388" si="384">IF(ISBLANK(O387),"",IF(O387="IB",8.63*200,IF(O387="IR",16.1*100,IF(O387="YT",20))))</f>
        <v>1610.0000000000002</v>
      </c>
      <c r="X387" s="212"/>
      <c r="Y387" s="212" t="s">
        <v>1813</v>
      </c>
      <c r="Z387" s="212"/>
      <c r="AA387" s="213">
        <v>-0.01</v>
      </c>
      <c r="AB387" s="209"/>
      <c r="AC387" s="345"/>
      <c r="AD387" s="209"/>
      <c r="AE387" s="209"/>
      <c r="AF387" s="209"/>
      <c r="AG387" s="209"/>
      <c r="AH387" s="209"/>
      <c r="AI387" s="214"/>
      <c r="AJ387" s="210"/>
      <c r="AK387" s="209"/>
      <c r="AL387" s="209"/>
      <c r="AM387" s="209" t="s">
        <v>1806</v>
      </c>
      <c r="AN387" s="345" t="s">
        <v>376</v>
      </c>
      <c r="AO387" s="209" t="s">
        <v>1814</v>
      </c>
      <c r="AP387" s="215">
        <v>-0.02</v>
      </c>
      <c r="AQ387" s="193">
        <f t="shared" ref="AQ387:AQ388" si="385">IF(ISBLANK(AP387),,IF(U387="S",AA387-AP387,AP387-AA387))</f>
        <v>0.01</v>
      </c>
      <c r="AR387" s="191">
        <f t="shared" ref="AR387:AR388" si="386">AS387*R387</f>
        <v>16.100000000000001</v>
      </c>
      <c r="AS387" s="194">
        <f t="shared" ref="AS387:AS388" si="387">IF(ISBLANK(AP387),,(AQ387*W387))</f>
        <v>16.100000000000001</v>
      </c>
      <c r="AT387" s="217" t="s">
        <v>77</v>
      </c>
      <c r="AU387" s="431" t="s">
        <v>1815</v>
      </c>
      <c r="AV387" s="431"/>
      <c r="AW387" s="431"/>
      <c r="AX387" s="431" t="s">
        <v>1417</v>
      </c>
      <c r="AY387" s="431"/>
      <c r="AZ387" s="431"/>
      <c r="BA387" s="431" t="s">
        <v>1816</v>
      </c>
      <c r="BB387" s="431" t="s">
        <v>511</v>
      </c>
      <c r="BC387" s="445"/>
      <c r="BD387" s="404">
        <f>SUM($AS$4:AS387)</f>
        <v>2482.5850000000164</v>
      </c>
      <c r="BE387" s="405">
        <f>SUM($AR$4:AR387)</f>
        <v>1275.1599999999839</v>
      </c>
      <c r="BF387" s="330"/>
      <c r="BG387" s="330"/>
    </row>
    <row r="388" spans="1:59" ht="15.75" customHeight="1">
      <c r="A388" s="227" t="s">
        <v>1701</v>
      </c>
      <c r="B388" s="204">
        <v>45006</v>
      </c>
      <c r="C388" s="205" t="s">
        <v>588</v>
      </c>
      <c r="D388" s="205" t="s">
        <v>128</v>
      </c>
      <c r="E388" s="254"/>
      <c r="F388" s="207"/>
      <c r="G388" s="328" t="s">
        <v>253</v>
      </c>
      <c r="H388" s="209"/>
      <c r="I388" s="209"/>
      <c r="J388" s="209"/>
      <c r="K388" s="210"/>
      <c r="L388" s="209">
        <v>1</v>
      </c>
      <c r="M388" s="209"/>
      <c r="N388" s="209"/>
      <c r="O388" s="210" t="s">
        <v>76</v>
      </c>
      <c r="P388" s="210" t="s">
        <v>77</v>
      </c>
      <c r="Q388" s="210" t="s">
        <v>78</v>
      </c>
      <c r="R388" s="210">
        <v>1</v>
      </c>
      <c r="S388" s="210">
        <v>1</v>
      </c>
      <c r="T388" s="210">
        <v>1</v>
      </c>
      <c r="U388" s="210" t="s">
        <v>78</v>
      </c>
      <c r="V388" s="188">
        <f t="shared" si="383"/>
        <v>0.01</v>
      </c>
      <c r="W388" s="188">
        <f t="shared" si="384"/>
        <v>1610.0000000000002</v>
      </c>
      <c r="X388" s="212" t="s">
        <v>1796</v>
      </c>
      <c r="Y388" s="212" t="s">
        <v>1797</v>
      </c>
      <c r="Z388" s="212" t="s">
        <v>511</v>
      </c>
      <c r="AA388" s="213">
        <v>0.02</v>
      </c>
      <c r="AB388" s="209"/>
      <c r="AC388" s="345">
        <v>5</v>
      </c>
      <c r="AD388" s="209" t="s">
        <v>1798</v>
      </c>
      <c r="AE388" s="209" t="s">
        <v>1799</v>
      </c>
      <c r="AF388" s="209" t="s">
        <v>1800</v>
      </c>
      <c r="AG388" s="209" t="s">
        <v>511</v>
      </c>
      <c r="AH388" s="209"/>
      <c r="AI388" s="191">
        <f>-0.03*W388</f>
        <v>-48.300000000000004</v>
      </c>
      <c r="AJ388" s="191">
        <f t="shared" ref="AJ388" si="388">AI388*R388</f>
        <v>-48.300000000000004</v>
      </c>
      <c r="AK388" s="209"/>
      <c r="AL388" s="209"/>
      <c r="AM388" s="209" t="s">
        <v>1681</v>
      </c>
      <c r="AN388" s="345" t="s">
        <v>87</v>
      </c>
      <c r="AO388" s="209" t="s">
        <v>1817</v>
      </c>
      <c r="AP388" s="215">
        <v>0.01</v>
      </c>
      <c r="AQ388" s="193">
        <f t="shared" si="385"/>
        <v>0.01</v>
      </c>
      <c r="AR388" s="191">
        <f t="shared" si="386"/>
        <v>16.100000000000001</v>
      </c>
      <c r="AS388" s="194">
        <f t="shared" si="387"/>
        <v>16.100000000000001</v>
      </c>
      <c r="AT388" s="217" t="s">
        <v>77</v>
      </c>
      <c r="AU388" s="431"/>
      <c r="AV388" s="431"/>
      <c r="AW388" s="431"/>
      <c r="AX388" s="431"/>
      <c r="AY388" s="431"/>
      <c r="AZ388" s="431"/>
      <c r="BA388" s="431"/>
      <c r="BB388" s="431"/>
      <c r="BC388" s="445"/>
      <c r="BD388" s="404">
        <f>SUM($AS$4:AS388)</f>
        <v>2498.6850000000163</v>
      </c>
      <c r="BE388" s="405">
        <f>SUM($AR$4:AR388)</f>
        <v>1291.2599999999838</v>
      </c>
      <c r="BF388" s="330"/>
      <c r="BG388" s="330"/>
    </row>
    <row r="389" spans="1:59" ht="15.75" customHeight="1">
      <c r="A389" s="227" t="s">
        <v>1701</v>
      </c>
      <c r="B389" s="204">
        <v>45006</v>
      </c>
      <c r="C389" s="205" t="s">
        <v>588</v>
      </c>
      <c r="D389" s="205" t="s">
        <v>128</v>
      </c>
      <c r="E389" s="254"/>
      <c r="F389" s="207"/>
      <c r="G389" s="328" t="s">
        <v>115</v>
      </c>
      <c r="H389" s="209"/>
      <c r="I389" s="209"/>
      <c r="J389" s="209"/>
      <c r="K389" s="210"/>
      <c r="L389" s="209">
        <v>3</v>
      </c>
      <c r="M389" s="209"/>
      <c r="N389" s="209"/>
      <c r="O389" s="210" t="s">
        <v>76</v>
      </c>
      <c r="P389" s="210" t="s">
        <v>77</v>
      </c>
      <c r="Q389" s="210" t="s">
        <v>78</v>
      </c>
      <c r="R389" s="210">
        <v>1</v>
      </c>
      <c r="S389" s="210">
        <v>1</v>
      </c>
      <c r="T389" s="210">
        <v>1</v>
      </c>
      <c r="U389" s="210" t="s">
        <v>22</v>
      </c>
      <c r="V389" s="188">
        <f t="shared" ref="V389" si="389">IF(ISBLANK(O389),"",(IF(O389=UPPER("IB"),0.005,0.01)))</f>
        <v>0.01</v>
      </c>
      <c r="W389" s="188">
        <f t="shared" ref="W389" si="390">IF(ISBLANK(O389),"",IF(O389="IB",8.63*200,IF(O389="IR",16.1*100,IF(O389="YT",20))))</f>
        <v>1610.0000000000002</v>
      </c>
      <c r="X389" s="212" t="s">
        <v>1803</v>
      </c>
      <c r="Y389" s="212"/>
      <c r="Z389" s="212"/>
      <c r="AA389" s="213">
        <v>-0.04</v>
      </c>
      <c r="AB389" s="209"/>
      <c r="AC389" s="345"/>
      <c r="AD389" s="209"/>
      <c r="AE389" s="209"/>
      <c r="AF389" s="209"/>
      <c r="AG389" s="209"/>
      <c r="AH389" s="209"/>
      <c r="AI389" s="191">
        <f t="shared" ref="AI389:AI390" si="391">-0.03*W389</f>
        <v>-48.300000000000004</v>
      </c>
      <c r="AJ389" s="191">
        <f t="shared" ref="AJ389:AJ390" si="392">AI389*R389</f>
        <v>-48.300000000000004</v>
      </c>
      <c r="AK389" s="209"/>
      <c r="AL389" s="209"/>
      <c r="AM389" s="209" t="s">
        <v>1818</v>
      </c>
      <c r="AN389" s="345" t="s">
        <v>376</v>
      </c>
      <c r="AO389" s="209" t="s">
        <v>1819</v>
      </c>
      <c r="AP389" s="215">
        <v>-0.03</v>
      </c>
      <c r="AQ389" s="193">
        <f t="shared" ref="AQ389:AQ390" si="393">IF(ISBLANK(AP389),,IF(U389="S",AA389-AP389,AP389-AA389))</f>
        <v>1.0000000000000002E-2</v>
      </c>
      <c r="AR389" s="191">
        <f t="shared" ref="AR389:AR390" si="394">AS389*R389</f>
        <v>16.100000000000005</v>
      </c>
      <c r="AS389" s="194">
        <f t="shared" ref="AS389:AS390" si="395">IF(ISBLANK(AP389),,(AQ389*W389))</f>
        <v>16.100000000000005</v>
      </c>
      <c r="AT389" s="217" t="s">
        <v>77</v>
      </c>
      <c r="AU389" s="431" t="s">
        <v>1820</v>
      </c>
      <c r="AV389" s="431" t="s">
        <v>1821</v>
      </c>
      <c r="AW389" s="431"/>
      <c r="AX389" s="431" t="s">
        <v>1815</v>
      </c>
      <c r="AY389" s="431" t="s">
        <v>511</v>
      </c>
      <c r="AZ389" s="431"/>
      <c r="BA389" s="431" t="s">
        <v>1816</v>
      </c>
      <c r="BB389" s="431" t="s">
        <v>511</v>
      </c>
      <c r="BC389" s="445"/>
      <c r="BD389" s="404">
        <f>SUM($AS$4:AS389)</f>
        <v>2514.7850000000162</v>
      </c>
      <c r="BE389" s="405">
        <f>SUM($AR$4:AR389)</f>
        <v>1307.3599999999838</v>
      </c>
      <c r="BF389" s="330"/>
      <c r="BG389" s="330"/>
    </row>
    <row r="390" spans="1:59" ht="15.75" customHeight="1">
      <c r="A390" s="227" t="s">
        <v>1701</v>
      </c>
      <c r="B390" s="204">
        <v>45006</v>
      </c>
      <c r="C390" s="205" t="s">
        <v>1822</v>
      </c>
      <c r="D390" s="205" t="s">
        <v>128</v>
      </c>
      <c r="E390" s="254"/>
      <c r="F390" s="207"/>
      <c r="G390" s="328" t="s">
        <v>739</v>
      </c>
      <c r="H390" s="209"/>
      <c r="I390" s="209"/>
      <c r="J390" s="209"/>
      <c r="K390" s="210"/>
      <c r="L390" s="209">
        <v>3</v>
      </c>
      <c r="M390" s="209"/>
      <c r="N390" s="209"/>
      <c r="O390" s="210" t="s">
        <v>76</v>
      </c>
      <c r="P390" s="210" t="s">
        <v>77</v>
      </c>
      <c r="Q390" s="210" t="s">
        <v>78</v>
      </c>
      <c r="R390" s="210">
        <v>2</v>
      </c>
      <c r="S390" s="210">
        <v>2</v>
      </c>
      <c r="T390" s="210">
        <v>1</v>
      </c>
      <c r="U390" s="210" t="s">
        <v>22</v>
      </c>
      <c r="V390" s="188">
        <f t="shared" ref="V390" si="396">IF(ISBLANK(O390),"",(IF(O390=UPPER("IB"),0.005,0.01)))</f>
        <v>0.01</v>
      </c>
      <c r="W390" s="188">
        <f t="shared" ref="W390" si="397">IF(ISBLANK(O390),"",IF(O390="IB",8.63*200,IF(O390="IR",16.1*100,IF(O390="YT",20))))</f>
        <v>1610.0000000000002</v>
      </c>
      <c r="X390" s="212" t="s">
        <v>1823</v>
      </c>
      <c r="Y390" s="212"/>
      <c r="Z390" s="212"/>
      <c r="AA390" s="213">
        <v>-7.4999999999999997E-2</v>
      </c>
      <c r="AB390" s="209"/>
      <c r="AC390" s="345"/>
      <c r="AD390" s="209"/>
      <c r="AE390" s="209"/>
      <c r="AF390" s="209"/>
      <c r="AG390" s="209"/>
      <c r="AH390" s="209"/>
      <c r="AI390" s="191">
        <f t="shared" si="391"/>
        <v>-48.300000000000004</v>
      </c>
      <c r="AJ390" s="191">
        <f t="shared" si="392"/>
        <v>-96.600000000000009</v>
      </c>
      <c r="AK390" s="209"/>
      <c r="AL390" s="209"/>
      <c r="AM390" s="209" t="s">
        <v>1824</v>
      </c>
      <c r="AN390" s="345" t="s">
        <v>376</v>
      </c>
      <c r="AO390" s="209" t="s">
        <v>1825</v>
      </c>
      <c r="AP390" s="215">
        <v>-7.0000000000000007E-2</v>
      </c>
      <c r="AQ390" s="193">
        <f t="shared" si="393"/>
        <v>4.9999999999999906E-3</v>
      </c>
      <c r="AR390" s="191">
        <f t="shared" si="394"/>
        <v>16.099999999999973</v>
      </c>
      <c r="AS390" s="194">
        <f t="shared" si="395"/>
        <v>8.0499999999999865</v>
      </c>
      <c r="AT390" s="217" t="s">
        <v>77</v>
      </c>
      <c r="AU390" s="431" t="s">
        <v>1826</v>
      </c>
      <c r="AV390" s="431" t="s">
        <v>1827</v>
      </c>
      <c r="AW390" s="431" t="s">
        <v>1828</v>
      </c>
      <c r="AX390" s="431"/>
      <c r="AY390" s="431"/>
      <c r="AZ390" s="431"/>
      <c r="BA390" s="431" t="s">
        <v>1829</v>
      </c>
      <c r="BB390" s="431" t="s">
        <v>511</v>
      </c>
      <c r="BC390" s="445"/>
      <c r="BD390" s="404">
        <f>SUM($AS$4:AS390)</f>
        <v>2522.8350000000164</v>
      </c>
      <c r="BE390" s="405">
        <f>SUM($AR$4:AR390)</f>
        <v>1323.4599999999837</v>
      </c>
      <c r="BF390" s="330"/>
      <c r="BG390" s="330"/>
    </row>
    <row r="391" spans="1:59" ht="15.75" customHeight="1">
      <c r="A391" s="227" t="s">
        <v>1701</v>
      </c>
      <c r="B391" s="204">
        <v>45006</v>
      </c>
      <c r="C391" s="205" t="s">
        <v>1418</v>
      </c>
      <c r="D391" s="205" t="s">
        <v>128</v>
      </c>
      <c r="E391" s="254" t="s">
        <v>1830</v>
      </c>
      <c r="F391" s="207" t="s">
        <v>1831</v>
      </c>
      <c r="G391" s="208"/>
      <c r="H391" s="209"/>
      <c r="I391" s="209"/>
      <c r="J391" s="209"/>
      <c r="K391" s="210"/>
      <c r="L391" s="209"/>
      <c r="M391" s="209"/>
      <c r="N391" s="209"/>
      <c r="O391" s="210"/>
      <c r="P391" s="210"/>
      <c r="Q391" s="210"/>
      <c r="R391" s="210"/>
      <c r="S391" s="210"/>
      <c r="T391" s="210"/>
      <c r="U391" s="210"/>
      <c r="V391" s="188"/>
      <c r="W391" s="188"/>
      <c r="X391" s="212"/>
      <c r="Y391" s="212"/>
      <c r="Z391" s="212"/>
      <c r="AA391" s="213"/>
      <c r="AB391" s="209"/>
      <c r="AC391" s="345"/>
      <c r="AD391" s="209"/>
      <c r="AE391" s="209"/>
      <c r="AF391" s="209"/>
      <c r="AG391" s="209"/>
      <c r="AH391" s="209"/>
      <c r="AI391" s="191"/>
      <c r="AJ391" s="191"/>
      <c r="AK391" s="209"/>
      <c r="AL391" s="209"/>
      <c r="AM391" s="209"/>
      <c r="AN391" s="345"/>
      <c r="AO391" s="209"/>
      <c r="AP391" s="215"/>
      <c r="AQ391" s="193"/>
      <c r="AR391" s="191"/>
      <c r="AS391" s="194"/>
      <c r="AT391" s="217"/>
      <c r="AU391" s="431" t="s">
        <v>1832</v>
      </c>
      <c r="AV391" s="431" t="s">
        <v>1833</v>
      </c>
      <c r="AW391" s="431"/>
      <c r="AX391" s="431" t="s">
        <v>511</v>
      </c>
      <c r="AY391" s="431"/>
      <c r="AZ391" s="431"/>
      <c r="BA391" s="431"/>
      <c r="BB391" s="431"/>
      <c r="BC391" s="445"/>
      <c r="BD391" s="404">
        <f>SUM($AS$4:AS391)</f>
        <v>2522.8350000000164</v>
      </c>
      <c r="BE391" s="405">
        <f>SUM($AR$4:AR391)</f>
        <v>1323.4599999999837</v>
      </c>
      <c r="BF391" s="330"/>
      <c r="BG391" s="330"/>
    </row>
    <row r="392" spans="1:59" ht="15.75" customHeight="1">
      <c r="A392" s="227" t="s">
        <v>1701</v>
      </c>
      <c r="B392" s="204">
        <v>45006</v>
      </c>
      <c r="C392" s="205" t="s">
        <v>1834</v>
      </c>
      <c r="D392" s="205" t="s">
        <v>128</v>
      </c>
      <c r="E392" s="254"/>
      <c r="F392" s="207"/>
      <c r="G392" s="208" t="s">
        <v>1835</v>
      </c>
      <c r="H392" s="209"/>
      <c r="I392" s="209"/>
      <c r="J392" s="209"/>
      <c r="K392" s="210"/>
      <c r="L392" s="209">
        <v>1</v>
      </c>
      <c r="M392" s="209">
        <v>2</v>
      </c>
      <c r="N392" s="209"/>
      <c r="O392" s="210" t="s">
        <v>1039</v>
      </c>
      <c r="P392" s="210" t="s">
        <v>77</v>
      </c>
      <c r="Q392" s="210" t="s">
        <v>666</v>
      </c>
      <c r="R392" s="210">
        <v>4</v>
      </c>
      <c r="S392" s="210">
        <v>4</v>
      </c>
      <c r="T392" s="210">
        <v>2</v>
      </c>
      <c r="U392" s="210" t="s">
        <v>78</v>
      </c>
      <c r="V392" s="188">
        <f t="shared" ref="V392" si="398">IF(ISBLANK(O392),"",(IF(O392=UPPER("IB"),0.005,0.01)))</f>
        <v>5.0000000000000001E-3</v>
      </c>
      <c r="W392" s="188">
        <f>IF(ISBLANK(O392),"",IF(O392="IB",8.63*200,IF(O392="IR",16.1*100,IF(O392="YT",20))))</f>
        <v>1726.0000000000002</v>
      </c>
      <c r="X392" s="212"/>
      <c r="Y392" s="212" t="s">
        <v>1836</v>
      </c>
      <c r="Z392" s="212" t="s">
        <v>511</v>
      </c>
      <c r="AA392" s="213">
        <v>96.444999999999993</v>
      </c>
      <c r="AB392" s="209" t="s">
        <v>1837</v>
      </c>
      <c r="AC392" s="345" t="s">
        <v>1838</v>
      </c>
      <c r="AD392" s="209" t="s">
        <v>511</v>
      </c>
      <c r="AE392" s="209" t="s">
        <v>1839</v>
      </c>
      <c r="AF392" s="209" t="s">
        <v>1840</v>
      </c>
      <c r="AG392" s="209" t="s">
        <v>1841</v>
      </c>
      <c r="AH392" s="209"/>
      <c r="AI392" s="191"/>
      <c r="AJ392" s="191"/>
      <c r="AK392" s="209"/>
      <c r="AL392" s="209"/>
      <c r="AM392" s="209" t="s">
        <v>1414</v>
      </c>
      <c r="AN392" s="345" t="s">
        <v>87</v>
      </c>
      <c r="AO392" s="209" t="s">
        <v>1842</v>
      </c>
      <c r="AP392" s="215">
        <f>(2*96.445+2*(96.445))/4</f>
        <v>96.444999999999993</v>
      </c>
      <c r="AQ392" s="193">
        <f t="shared" ref="AQ392" si="399">IF(ISBLANK(AP392),,IF(U392="S",AA392-AP392,AP392-AA392))</f>
        <v>0</v>
      </c>
      <c r="AR392" s="191">
        <f t="shared" ref="AR392" si="400">AS392*R392</f>
        <v>0</v>
      </c>
      <c r="AS392" s="194">
        <f t="shared" ref="AS392" si="401">IF(ISBLANK(AP392),,(AQ392*W392))</f>
        <v>0</v>
      </c>
      <c r="AT392" s="217" t="s">
        <v>97</v>
      </c>
      <c r="AU392" s="431" t="s">
        <v>1843</v>
      </c>
      <c r="AV392" s="431" t="s">
        <v>1844</v>
      </c>
      <c r="AW392" s="431" t="s">
        <v>1845</v>
      </c>
      <c r="AX392" s="431" t="s">
        <v>1846</v>
      </c>
      <c r="AY392" s="431"/>
      <c r="AZ392" s="431"/>
      <c r="BA392" s="431"/>
      <c r="BB392" s="431"/>
      <c r="BC392" s="445"/>
      <c r="BD392" s="404">
        <f>SUM($AS$4:AS392)</f>
        <v>2522.8350000000164</v>
      </c>
      <c r="BE392" s="405">
        <f>SUM($AR$4:AR392)</f>
        <v>1323.4599999999837</v>
      </c>
      <c r="BF392" s="330"/>
      <c r="BG392" s="330"/>
    </row>
    <row r="393" spans="1:59" ht="15.75" customHeight="1">
      <c r="A393" s="227" t="s">
        <v>1701</v>
      </c>
      <c r="B393" s="204">
        <v>36605</v>
      </c>
      <c r="C393" s="205" t="s">
        <v>1847</v>
      </c>
      <c r="D393" s="205" t="s">
        <v>114</v>
      </c>
      <c r="E393" s="254"/>
      <c r="F393" s="207"/>
      <c r="G393" s="328" t="s">
        <v>253</v>
      </c>
      <c r="H393" s="209"/>
      <c r="I393" s="209"/>
      <c r="J393" s="209"/>
      <c r="K393" s="210"/>
      <c r="L393" s="209">
        <v>1</v>
      </c>
      <c r="M393" s="209"/>
      <c r="N393" s="209"/>
      <c r="O393" s="210" t="s">
        <v>76</v>
      </c>
      <c r="P393" s="210" t="s">
        <v>77</v>
      </c>
      <c r="Q393" s="210" t="s">
        <v>78</v>
      </c>
      <c r="R393" s="210">
        <v>1</v>
      </c>
      <c r="S393" s="210">
        <v>1</v>
      </c>
      <c r="T393" s="210">
        <v>1</v>
      </c>
      <c r="U393" s="210" t="s">
        <v>22</v>
      </c>
      <c r="V393" s="188">
        <f t="shared" ref="V393" si="402">IF(ISBLANK(O393),"",(IF(O393=UPPER("IB"),0.005,0.01)))</f>
        <v>0.01</v>
      </c>
      <c r="W393" s="188">
        <f t="shared" ref="W393" si="403">IF(ISBLANK(O393),"",IF(O393="IB",8.63*200,IF(O393="IR",16.1*100,IF(O393="YT",20))))</f>
        <v>1610.0000000000002</v>
      </c>
      <c r="X393" s="212" t="s">
        <v>1796</v>
      </c>
      <c r="Y393" s="212" t="s">
        <v>1797</v>
      </c>
      <c r="Z393" s="212" t="s">
        <v>511</v>
      </c>
      <c r="AA393" s="213">
        <v>-0.01</v>
      </c>
      <c r="AB393" s="209"/>
      <c r="AC393" s="345"/>
      <c r="AD393" s="209"/>
      <c r="AE393" s="209"/>
      <c r="AF393" s="209"/>
      <c r="AG393" s="209"/>
      <c r="AH393" s="209"/>
      <c r="AI393" s="191"/>
      <c r="AJ393" s="191"/>
      <c r="AK393" s="209"/>
      <c r="AL393" s="209"/>
      <c r="AM393" s="209" t="s">
        <v>1733</v>
      </c>
      <c r="AN393" s="345" t="s">
        <v>376</v>
      </c>
      <c r="AO393" s="209" t="s">
        <v>1848</v>
      </c>
      <c r="AP393" s="215">
        <v>0</v>
      </c>
      <c r="AQ393" s="193">
        <f t="shared" ref="AQ393" si="404">IF(ISBLANK(AP393),,IF(U393="S",AA393-AP393,AP393-AA393))</f>
        <v>0.01</v>
      </c>
      <c r="AR393" s="191">
        <f t="shared" ref="AR393" si="405">AS393*R393</f>
        <v>16.100000000000001</v>
      </c>
      <c r="AS393" s="194">
        <f t="shared" ref="AS393" si="406">IF(ISBLANK(AP393),,(AQ393*W393))</f>
        <v>16.100000000000001</v>
      </c>
      <c r="AT393" s="217" t="s">
        <v>77</v>
      </c>
      <c r="AU393" s="431"/>
      <c r="AV393" s="431"/>
      <c r="AW393" s="431"/>
      <c r="AX393" s="431" t="s">
        <v>1417</v>
      </c>
      <c r="AY393" s="431"/>
      <c r="AZ393" s="431"/>
      <c r="BA393" s="431"/>
      <c r="BB393" s="431"/>
      <c r="BC393" s="445"/>
      <c r="BD393" s="404">
        <f>SUM($AS$4:AS393)</f>
        <v>2538.9350000000163</v>
      </c>
      <c r="BE393" s="405">
        <f>SUM($AR$4:AR393)</f>
        <v>1339.5599999999836</v>
      </c>
      <c r="BF393" s="330"/>
      <c r="BG393" s="330"/>
    </row>
    <row r="394" spans="1:59" ht="15.75" customHeight="1">
      <c r="A394" s="227" t="s">
        <v>1701</v>
      </c>
      <c r="B394" s="204">
        <v>45007</v>
      </c>
      <c r="C394" s="205" t="s">
        <v>1849</v>
      </c>
      <c r="D394" s="205" t="s">
        <v>133</v>
      </c>
      <c r="E394" s="254"/>
      <c r="F394" s="207"/>
      <c r="G394" s="326" t="s">
        <v>813</v>
      </c>
      <c r="H394" s="209"/>
      <c r="I394" s="209"/>
      <c r="J394" s="209"/>
      <c r="K394" s="210"/>
      <c r="L394" s="209">
        <v>1</v>
      </c>
      <c r="M394" s="209"/>
      <c r="N394" s="209"/>
      <c r="O394" s="210" t="s">
        <v>76</v>
      </c>
      <c r="P394" s="210" t="s">
        <v>77</v>
      </c>
      <c r="Q394" s="210" t="s">
        <v>666</v>
      </c>
      <c r="R394" s="210">
        <v>1</v>
      </c>
      <c r="S394" s="210">
        <v>1</v>
      </c>
      <c r="T394" s="210">
        <v>1</v>
      </c>
      <c r="U394" s="210" t="s">
        <v>22</v>
      </c>
      <c r="V394" s="188">
        <f t="shared" ref="V394" si="407">IF(ISBLANK(O394),"",(IF(O394=UPPER("IB"),0.005,0.01)))</f>
        <v>0.01</v>
      </c>
      <c r="W394" s="188">
        <f t="shared" ref="W394" si="408">IF(ISBLANK(O394),"",IF(O394="IB",8.63*200,IF(O394="IR",16.1*100,IF(O394="YT",20))))</f>
        <v>1610.0000000000002</v>
      </c>
      <c r="X394" s="212" t="s">
        <v>1850</v>
      </c>
      <c r="Y394" s="212" t="s">
        <v>511</v>
      </c>
      <c r="Z394" s="212"/>
      <c r="AA394" s="213">
        <v>96.53</v>
      </c>
      <c r="AB394" s="209"/>
      <c r="AC394" s="345">
        <v>96.51</v>
      </c>
      <c r="AD394" s="209" t="s">
        <v>1851</v>
      </c>
      <c r="AE394" s="209" t="s">
        <v>1852</v>
      </c>
      <c r="AF394" s="209" t="s">
        <v>1853</v>
      </c>
      <c r="AG394" s="209" t="s">
        <v>511</v>
      </c>
      <c r="AH394" s="209"/>
      <c r="AI394" s="191"/>
      <c r="AJ394" s="191"/>
      <c r="AK394" s="209"/>
      <c r="AL394" s="209"/>
      <c r="AM394" s="209" t="s">
        <v>779</v>
      </c>
      <c r="AN394" s="345" t="s">
        <v>376</v>
      </c>
      <c r="AO394" s="209" t="s">
        <v>1854</v>
      </c>
      <c r="AP394" s="215">
        <v>96.53</v>
      </c>
      <c r="AQ394" s="193">
        <f t="shared" ref="AQ394" si="409">IF(ISBLANK(AP394),,IF(U394="S",AA394-AP394,AP394-AA394))</f>
        <v>0</v>
      </c>
      <c r="AR394" s="191">
        <f t="shared" ref="AR394" si="410">AS394*R394</f>
        <v>0</v>
      </c>
      <c r="AS394" s="194">
        <f t="shared" ref="AS394" si="411">IF(ISBLANK(AP394),,(AQ394*W394))</f>
        <v>0</v>
      </c>
      <c r="AT394" s="217" t="s">
        <v>97</v>
      </c>
      <c r="AU394" s="431" t="s">
        <v>1855</v>
      </c>
      <c r="AV394" s="431" t="s">
        <v>1856</v>
      </c>
      <c r="AW394" s="431" t="s">
        <v>511</v>
      </c>
      <c r="AX394" s="431"/>
      <c r="AY394" s="431"/>
      <c r="AZ394" s="431"/>
      <c r="BA394" s="431"/>
      <c r="BB394" s="431"/>
      <c r="BC394" s="445"/>
      <c r="BD394" s="404">
        <f>SUM($AS$4:AS394)</f>
        <v>2538.9350000000163</v>
      </c>
      <c r="BE394" s="405">
        <f>SUM($AR$4:AR394)</f>
        <v>1339.5599999999836</v>
      </c>
      <c r="BF394" s="330"/>
      <c r="BG394" s="330"/>
    </row>
    <row r="395" spans="1:59" ht="15.75" customHeight="1">
      <c r="A395" s="227" t="s">
        <v>1701</v>
      </c>
      <c r="B395" s="204"/>
      <c r="C395" s="205"/>
      <c r="D395" s="205"/>
      <c r="E395" s="254"/>
      <c r="F395" s="207"/>
      <c r="G395" s="208"/>
      <c r="H395" s="209"/>
      <c r="I395" s="209"/>
      <c r="J395" s="209"/>
      <c r="K395" s="210"/>
      <c r="L395" s="209"/>
      <c r="M395" s="209"/>
      <c r="N395" s="209"/>
      <c r="O395" s="210"/>
      <c r="P395" s="210"/>
      <c r="Q395" s="210"/>
      <c r="R395" s="210"/>
      <c r="S395" s="210"/>
      <c r="T395" s="210"/>
      <c r="U395" s="210"/>
      <c r="V395" s="188"/>
      <c r="W395" s="188"/>
      <c r="X395" s="212"/>
      <c r="Y395" s="212"/>
      <c r="Z395" s="212"/>
      <c r="AA395" s="213"/>
      <c r="AB395" s="209"/>
      <c r="AC395" s="345"/>
      <c r="AD395" s="209"/>
      <c r="AE395" s="209"/>
      <c r="AF395" s="209"/>
      <c r="AG395" s="209"/>
      <c r="AH395" s="209"/>
      <c r="AI395" s="191"/>
      <c r="AJ395" s="191"/>
      <c r="AK395" s="209"/>
      <c r="AL395" s="209"/>
      <c r="AM395" s="209"/>
      <c r="AN395" s="345"/>
      <c r="AO395" s="209"/>
      <c r="AP395" s="215"/>
      <c r="AQ395" s="193"/>
      <c r="AR395" s="191"/>
      <c r="AS395" s="194"/>
      <c r="AT395" s="217"/>
      <c r="AU395" s="431" t="s">
        <v>1857</v>
      </c>
      <c r="AV395" s="431" t="s">
        <v>1858</v>
      </c>
      <c r="AW395" s="431" t="s">
        <v>1859</v>
      </c>
      <c r="AX395" s="431" t="s">
        <v>1860</v>
      </c>
      <c r="AY395" s="431" t="s">
        <v>511</v>
      </c>
      <c r="AZ395" s="431"/>
      <c r="BA395" s="431"/>
      <c r="BB395" s="431"/>
      <c r="BC395" s="445"/>
      <c r="BD395" s="404">
        <f>SUM($AS$4:AS395)</f>
        <v>2538.9350000000163</v>
      </c>
      <c r="BE395" s="405">
        <f>SUM($AR$4:AR395)</f>
        <v>1339.5599999999836</v>
      </c>
      <c r="BF395" s="330"/>
      <c r="BG395" s="330"/>
    </row>
    <row r="396" spans="1:59" ht="15.75" customHeight="1">
      <c r="A396" s="227" t="s">
        <v>1701</v>
      </c>
      <c r="B396" s="204">
        <v>45007</v>
      </c>
      <c r="C396" s="205" t="s">
        <v>1861</v>
      </c>
      <c r="D396" s="205" t="s">
        <v>133</v>
      </c>
      <c r="E396" s="254"/>
      <c r="F396" s="207"/>
      <c r="G396" s="208" t="s">
        <v>262</v>
      </c>
      <c r="H396" s="209"/>
      <c r="I396" s="209"/>
      <c r="J396" s="209"/>
      <c r="K396" s="210"/>
      <c r="L396" s="209">
        <v>1</v>
      </c>
      <c r="M396" s="209"/>
      <c r="N396" s="209"/>
      <c r="O396" s="210" t="s">
        <v>76</v>
      </c>
      <c r="P396" s="210" t="s">
        <v>119</v>
      </c>
      <c r="Q396" s="210" t="s">
        <v>78</v>
      </c>
      <c r="R396" s="210">
        <v>2</v>
      </c>
      <c r="S396" s="210">
        <v>2</v>
      </c>
      <c r="T396" s="210">
        <v>2</v>
      </c>
      <c r="U396" s="210" t="s">
        <v>22</v>
      </c>
      <c r="V396" s="188">
        <f t="shared" ref="V396" si="412">IF(ISBLANK(O396),"",(IF(O396=UPPER("IB"),0.005,0.01)))</f>
        <v>0.01</v>
      </c>
      <c r="W396" s="188">
        <f t="shared" ref="W396" si="413">IF(ISBLANK(O396),"",IF(O396="IB",8.63*200,IF(O396="IR",16.1*100,IF(O396="YT",20))))</f>
        <v>1610.0000000000002</v>
      </c>
      <c r="X396" s="212"/>
      <c r="Y396" s="212" t="s">
        <v>1862</v>
      </c>
      <c r="Z396" s="212"/>
      <c r="AA396" s="213">
        <v>-0.04</v>
      </c>
      <c r="AB396" s="209"/>
      <c r="AC396" s="345"/>
      <c r="AD396" s="209"/>
      <c r="AE396" s="209"/>
      <c r="AF396" s="209"/>
      <c r="AG396" s="209"/>
      <c r="AH396" s="209"/>
      <c r="AI396" s="191"/>
      <c r="AJ396" s="191"/>
      <c r="AK396" s="209"/>
      <c r="AL396" s="209"/>
      <c r="AM396" s="209" t="s">
        <v>752</v>
      </c>
      <c r="AN396" s="345" t="s">
        <v>97</v>
      </c>
      <c r="AO396" s="209" t="s">
        <v>1863</v>
      </c>
      <c r="AP396" s="215">
        <v>-0.04</v>
      </c>
      <c r="AQ396" s="193">
        <f t="shared" ref="AQ396" si="414">IF(ISBLANK(AP396),,IF(U396="S",AA396-AP396,AP396-AA396))</f>
        <v>0</v>
      </c>
      <c r="AR396" s="191">
        <f t="shared" ref="AR396" si="415">AS396*R396</f>
        <v>0</v>
      </c>
      <c r="AS396" s="194">
        <f t="shared" ref="AS396" si="416">IF(ISBLANK(AP396),,(AQ396*W396))</f>
        <v>0</v>
      </c>
      <c r="AT396" s="217" t="s">
        <v>97</v>
      </c>
      <c r="AU396" s="431" t="s">
        <v>1864</v>
      </c>
      <c r="AV396" s="431" t="s">
        <v>1865</v>
      </c>
      <c r="AW396" s="431"/>
      <c r="AX396" s="431"/>
      <c r="AY396" s="431"/>
      <c r="AZ396" s="431"/>
      <c r="BA396" s="431"/>
      <c r="BB396" s="431"/>
      <c r="BC396" s="445"/>
      <c r="BD396" s="404">
        <f>SUM($AS$4:AS396)</f>
        <v>2538.9350000000163</v>
      </c>
      <c r="BE396" s="405">
        <f>SUM($AR$4:AR396)</f>
        <v>1339.5599999999836</v>
      </c>
      <c r="BF396" s="330"/>
      <c r="BG396" s="330"/>
    </row>
    <row r="397" spans="1:59" ht="15.75" customHeight="1">
      <c r="A397" s="227" t="s">
        <v>1701</v>
      </c>
      <c r="B397" s="204">
        <v>45007</v>
      </c>
      <c r="C397" s="205" t="s">
        <v>1462</v>
      </c>
      <c r="D397" s="205" t="s">
        <v>133</v>
      </c>
      <c r="E397" s="254" t="s">
        <v>1866</v>
      </c>
      <c r="F397" s="207"/>
      <c r="G397" s="208"/>
      <c r="H397" s="209"/>
      <c r="I397" s="209">
        <v>1</v>
      </c>
      <c r="J397" s="209"/>
      <c r="K397" s="210"/>
      <c r="L397" s="209"/>
      <c r="M397" s="209"/>
      <c r="N397" s="209"/>
      <c r="O397" s="210"/>
      <c r="P397" s="210"/>
      <c r="Q397" s="210"/>
      <c r="R397" s="210"/>
      <c r="S397" s="210"/>
      <c r="T397" s="210"/>
      <c r="U397" s="210"/>
      <c r="V397" s="188" t="str">
        <f t="shared" ref="V397:V398" si="417">IF(ISBLANK(O397),"",(IF(O397=UPPER("IB"),0.005,0.01)))</f>
        <v/>
      </c>
      <c r="W397" s="188" t="str">
        <f t="shared" ref="W397" si="418">IF(ISBLANK(O397),"",IF(O397="IB",8.63*200,IF(O397="IR",16.1*100,IF(O397="YT",20))))</f>
        <v/>
      </c>
      <c r="X397" s="212"/>
      <c r="Y397" s="212"/>
      <c r="Z397" s="212"/>
      <c r="AA397" s="213"/>
      <c r="AB397" s="209"/>
      <c r="AC397" s="345"/>
      <c r="AD397" s="209"/>
      <c r="AE397" s="209"/>
      <c r="AF397" s="209"/>
      <c r="AG397" s="209"/>
      <c r="AH397" s="209"/>
      <c r="AI397" s="191"/>
      <c r="AJ397" s="191"/>
      <c r="AK397" s="209"/>
      <c r="AL397" s="209"/>
      <c r="AM397" s="209"/>
      <c r="AN397" s="345"/>
      <c r="AO397" s="209"/>
      <c r="AP397" s="215"/>
      <c r="AQ397" s="193"/>
      <c r="AR397" s="191"/>
      <c r="AS397" s="194"/>
      <c r="AT397" s="217"/>
      <c r="AU397" s="431" t="s">
        <v>1867</v>
      </c>
      <c r="AV397" s="431" t="s">
        <v>1868</v>
      </c>
      <c r="AW397" s="431" t="s">
        <v>1869</v>
      </c>
      <c r="AX397" s="431" t="s">
        <v>1870</v>
      </c>
      <c r="AY397" s="431" t="s">
        <v>1871</v>
      </c>
      <c r="AZ397" s="431" t="s">
        <v>1872</v>
      </c>
      <c r="BA397" s="431" t="s">
        <v>1873</v>
      </c>
      <c r="BB397" s="431" t="s">
        <v>1874</v>
      </c>
      <c r="BC397" s="445" t="s">
        <v>1875</v>
      </c>
      <c r="BD397" s="404">
        <f>SUM($AS$4:AS397)</f>
        <v>2538.9350000000163</v>
      </c>
      <c r="BE397" s="405">
        <f>SUM($AR$4:AR397)</f>
        <v>1339.5599999999836</v>
      </c>
      <c r="BF397" s="330"/>
      <c r="BG397" s="330"/>
    </row>
    <row r="398" spans="1:59" ht="15.75" customHeight="1">
      <c r="A398" s="227" t="s">
        <v>1701</v>
      </c>
      <c r="B398" s="204">
        <v>45008</v>
      </c>
      <c r="C398" s="205" t="s">
        <v>1232</v>
      </c>
      <c r="D398" s="205" t="s">
        <v>74</v>
      </c>
      <c r="E398" s="254"/>
      <c r="F398" s="207"/>
      <c r="G398" s="208" t="s">
        <v>739</v>
      </c>
      <c r="H398" s="209"/>
      <c r="I398" s="209"/>
      <c r="J398" s="209"/>
      <c r="K398" s="210"/>
      <c r="L398" s="209">
        <v>1</v>
      </c>
      <c r="M398" s="209"/>
      <c r="N398" s="209"/>
      <c r="O398" s="210" t="s">
        <v>76</v>
      </c>
      <c r="P398" s="210" t="s">
        <v>77</v>
      </c>
      <c r="Q398" s="210" t="s">
        <v>78</v>
      </c>
      <c r="R398" s="210">
        <v>1</v>
      </c>
      <c r="S398" s="210">
        <v>1</v>
      </c>
      <c r="T398" s="210">
        <v>1</v>
      </c>
      <c r="U398" s="210" t="s">
        <v>22</v>
      </c>
      <c r="V398" s="188">
        <f t="shared" si="417"/>
        <v>0.01</v>
      </c>
      <c r="W398" s="188">
        <f>IF(ISBLANK(O398),"",IF(O398="IB",8.63*200,IF(O398="IR",16*100,IF(O398="YT",20))))</f>
        <v>1600</v>
      </c>
      <c r="X398" s="212" t="s">
        <v>80</v>
      </c>
      <c r="Y398" s="212"/>
      <c r="Z398" s="212"/>
      <c r="AA398" s="213">
        <v>-0.1</v>
      </c>
      <c r="AB398" s="209"/>
      <c r="AC398" s="345"/>
      <c r="AD398" s="209"/>
      <c r="AE398" s="209"/>
      <c r="AF398" s="209"/>
      <c r="AG398" s="209"/>
      <c r="AH398" s="209"/>
      <c r="AI398" s="191"/>
      <c r="AJ398" s="191"/>
      <c r="AK398" s="209"/>
      <c r="AL398" s="209"/>
      <c r="AM398" s="209" t="s">
        <v>1876</v>
      </c>
      <c r="AN398" s="345" t="s">
        <v>376</v>
      </c>
      <c r="AO398" s="209" t="s">
        <v>1877</v>
      </c>
      <c r="AP398" s="215">
        <v>-0.09</v>
      </c>
      <c r="AQ398" s="193">
        <f t="shared" ref="AQ398" si="419">IF(ISBLANK(AP398),,IF(U398="S",AA398-AP398,AP398-AA398))</f>
        <v>1.0000000000000009E-2</v>
      </c>
      <c r="AR398" s="191">
        <f t="shared" ref="AR398" si="420">AS398*R398</f>
        <v>16.000000000000014</v>
      </c>
      <c r="AS398" s="194">
        <f t="shared" ref="AS398" si="421">IF(ISBLANK(AP398),,(AQ398*W398))</f>
        <v>16.000000000000014</v>
      </c>
      <c r="AT398" s="217" t="s">
        <v>77</v>
      </c>
      <c r="AU398" s="431"/>
      <c r="AV398" s="431"/>
      <c r="AW398" s="431"/>
      <c r="AX398" s="431"/>
      <c r="AY398" s="431"/>
      <c r="AZ398" s="431"/>
      <c r="BA398" s="431"/>
      <c r="BB398" s="431"/>
      <c r="BC398" s="445"/>
      <c r="BD398" s="404">
        <f>SUM($AS$4:AS398)</f>
        <v>2554.9350000000163</v>
      </c>
      <c r="BE398" s="405">
        <f>SUM($AR$4:AR398)</f>
        <v>1355.5599999999836</v>
      </c>
      <c r="BF398" s="330"/>
      <c r="BG398" s="330"/>
    </row>
    <row r="399" spans="1:59" ht="15.75" customHeight="1">
      <c r="A399" s="227" t="s">
        <v>1701</v>
      </c>
      <c r="B399" s="204">
        <v>45008</v>
      </c>
      <c r="C399" s="205" t="s">
        <v>1593</v>
      </c>
      <c r="D399" s="205" t="s">
        <v>74</v>
      </c>
      <c r="E399" s="254"/>
      <c r="F399" s="207"/>
      <c r="G399" s="208" t="s">
        <v>115</v>
      </c>
      <c r="H399" s="209"/>
      <c r="I399" s="209"/>
      <c r="J399" s="209"/>
      <c r="K399" s="210"/>
      <c r="L399" s="209">
        <v>1</v>
      </c>
      <c r="M399" s="209"/>
      <c r="N399" s="209"/>
      <c r="O399" s="210" t="s">
        <v>76</v>
      </c>
      <c r="P399" s="210" t="s">
        <v>77</v>
      </c>
      <c r="Q399" s="210" t="s">
        <v>78</v>
      </c>
      <c r="R399" s="210">
        <v>1</v>
      </c>
      <c r="S399" s="210">
        <v>1</v>
      </c>
      <c r="T399" s="210">
        <v>1</v>
      </c>
      <c r="U399" s="210" t="s">
        <v>22</v>
      </c>
      <c r="V399" s="188">
        <f t="shared" ref="V399" si="422">IF(ISBLANK(O399),"",(IF(O399=UPPER("IB"),0.005,0.01)))</f>
        <v>0.01</v>
      </c>
      <c r="W399" s="188">
        <f>IF(ISBLANK(O399),"",IF(O399="IB",8.63*200,IF(O399="IR",16*100,IF(O399="YT",20))))</f>
        <v>1600</v>
      </c>
      <c r="X399" s="212" t="s">
        <v>80</v>
      </c>
      <c r="Y399" s="212"/>
      <c r="Z399" s="212"/>
      <c r="AA399" s="213">
        <v>-0.06</v>
      </c>
      <c r="AB399" s="209"/>
      <c r="AC399" s="345"/>
      <c r="AD399" s="209"/>
      <c r="AE399" s="209"/>
      <c r="AF399" s="209"/>
      <c r="AG399" s="209"/>
      <c r="AH399" s="209"/>
      <c r="AI399" s="191"/>
      <c r="AJ399" s="191"/>
      <c r="AK399" s="209"/>
      <c r="AL399" s="209"/>
      <c r="AM399" s="209" t="s">
        <v>1878</v>
      </c>
      <c r="AN399" s="345" t="s">
        <v>87</v>
      </c>
      <c r="AO399" s="209" t="s">
        <v>1206</v>
      </c>
      <c r="AP399" s="215">
        <v>-0.05</v>
      </c>
      <c r="AQ399" s="193">
        <f t="shared" ref="AQ399" si="423">IF(ISBLANK(AP399),,IF(U399="S",AA399-AP399,AP399-AA399))</f>
        <v>9.999999999999995E-3</v>
      </c>
      <c r="AR399" s="191">
        <f t="shared" ref="AR399" si="424">AS399*R399</f>
        <v>15.999999999999993</v>
      </c>
      <c r="AS399" s="194">
        <f t="shared" ref="AS399" si="425">IF(ISBLANK(AP399),,(AQ399*W399))</f>
        <v>15.999999999999993</v>
      </c>
      <c r="AT399" s="217" t="s">
        <v>77</v>
      </c>
      <c r="AU399" s="431"/>
      <c r="AV399" s="431"/>
      <c r="AW399" s="431"/>
      <c r="AX399" s="431"/>
      <c r="AY399" s="431"/>
      <c r="AZ399" s="431"/>
      <c r="BA399" s="431"/>
      <c r="BB399" s="431"/>
      <c r="BC399" s="445"/>
      <c r="BD399" s="404">
        <f>SUM($AS$4:AS399)</f>
        <v>2570.9350000000163</v>
      </c>
      <c r="BE399" s="405">
        <f>SUM($AR$4:AR399)</f>
        <v>1371.5599999999836</v>
      </c>
      <c r="BF399" s="330"/>
      <c r="BG399" s="330"/>
    </row>
    <row r="400" spans="1:59" ht="15.75" customHeight="1">
      <c r="A400" s="227" t="s">
        <v>1701</v>
      </c>
      <c r="B400" s="204"/>
      <c r="C400" s="205"/>
      <c r="D400" s="205"/>
      <c r="E400" s="254"/>
      <c r="F400" s="207"/>
      <c r="G400" s="208"/>
      <c r="H400" s="209"/>
      <c r="I400" s="209"/>
      <c r="J400" s="209"/>
      <c r="K400" s="210"/>
      <c r="L400" s="209"/>
      <c r="M400" s="209"/>
      <c r="N400" s="209"/>
      <c r="O400" s="210"/>
      <c r="P400" s="210"/>
      <c r="Q400" s="210"/>
      <c r="R400" s="210"/>
      <c r="S400" s="210"/>
      <c r="T400" s="210"/>
      <c r="U400" s="210"/>
      <c r="V400" s="188" t="str">
        <f t="shared" ref="V400:V402" si="426">IF(ISBLANK(O400),"",(IF(O400=UPPER("IB"),0.005,0.01)))</f>
        <v/>
      </c>
      <c r="W400" s="188" t="str">
        <f t="shared" ref="W400:W402" si="427">IF(ISBLANK(O400),"",IF(O400="IB",8.63*200,IF(O400="IR",16*100,IF(O400="YT",20))))</f>
        <v/>
      </c>
      <c r="X400" s="212"/>
      <c r="Y400" s="212"/>
      <c r="Z400" s="212"/>
      <c r="AA400" s="213"/>
      <c r="AB400" s="209"/>
      <c r="AC400" s="345"/>
      <c r="AD400" s="209"/>
      <c r="AE400" s="209"/>
      <c r="AF400" s="209"/>
      <c r="AG400" s="209"/>
      <c r="AH400" s="209"/>
      <c r="AI400" s="191"/>
      <c r="AJ400" s="191"/>
      <c r="AK400" s="209"/>
      <c r="AL400" s="209"/>
      <c r="AM400" s="209"/>
      <c r="AN400" s="345"/>
      <c r="AO400" s="209"/>
      <c r="AP400" s="215"/>
      <c r="AQ400" s="193"/>
      <c r="AR400" s="191"/>
      <c r="AS400" s="194"/>
      <c r="AT400" s="217"/>
      <c r="AU400" s="431" t="s">
        <v>1879</v>
      </c>
      <c r="AV400" s="431" t="s">
        <v>1880</v>
      </c>
      <c r="AW400" s="431" t="s">
        <v>1881</v>
      </c>
      <c r="AX400" s="431" t="s">
        <v>1882</v>
      </c>
      <c r="AY400" s="436" t="s">
        <v>1883</v>
      </c>
      <c r="AZ400" s="436" t="s">
        <v>1884</v>
      </c>
      <c r="BA400" s="436" t="s">
        <v>1885</v>
      </c>
      <c r="BB400" s="436" t="s">
        <v>1886</v>
      </c>
      <c r="BC400" s="445" t="s">
        <v>1887</v>
      </c>
      <c r="BD400" s="404">
        <f>SUM($AS$4:AS400)</f>
        <v>2570.9350000000163</v>
      </c>
      <c r="BE400" s="405">
        <f>SUM($AR$4:AR400)</f>
        <v>1371.5599999999836</v>
      </c>
      <c r="BF400" s="330"/>
      <c r="BG400" s="330"/>
    </row>
    <row r="401" spans="1:59" ht="15.75" customHeight="1">
      <c r="A401" s="227" t="s">
        <v>1701</v>
      </c>
      <c r="B401" s="204"/>
      <c r="C401" s="205"/>
      <c r="D401" s="205"/>
      <c r="E401" s="254"/>
      <c r="F401" s="207"/>
      <c r="G401" s="208"/>
      <c r="H401" s="209"/>
      <c r="I401" s="209"/>
      <c r="J401" s="209"/>
      <c r="K401" s="210"/>
      <c r="L401" s="209"/>
      <c r="M401" s="209"/>
      <c r="N401" s="209"/>
      <c r="O401" s="210"/>
      <c r="P401" s="210"/>
      <c r="Q401" s="210"/>
      <c r="R401" s="210"/>
      <c r="S401" s="210"/>
      <c r="T401" s="210"/>
      <c r="U401" s="210"/>
      <c r="V401" s="188" t="str">
        <f t="shared" si="426"/>
        <v/>
      </c>
      <c r="W401" s="188" t="str">
        <f t="shared" si="427"/>
        <v/>
      </c>
      <c r="X401" s="212"/>
      <c r="Y401" s="212"/>
      <c r="Z401" s="212"/>
      <c r="AA401" s="213"/>
      <c r="AB401" s="209"/>
      <c r="AC401" s="345"/>
      <c r="AD401" s="209"/>
      <c r="AE401" s="209"/>
      <c r="AF401" s="209"/>
      <c r="AG401" s="209"/>
      <c r="AH401" s="209"/>
      <c r="AI401" s="191"/>
      <c r="AJ401" s="191"/>
      <c r="AK401" s="209"/>
      <c r="AL401" s="209"/>
      <c r="AM401" s="209"/>
      <c r="AN401" s="345"/>
      <c r="AO401" s="209"/>
      <c r="AP401" s="215"/>
      <c r="AQ401" s="193"/>
      <c r="AR401" s="191"/>
      <c r="AS401" s="194"/>
      <c r="AT401" s="217"/>
      <c r="AU401" s="451" t="s">
        <v>1888</v>
      </c>
      <c r="AV401" s="431" t="s">
        <v>1889</v>
      </c>
      <c r="AW401" s="431"/>
      <c r="AX401" s="431" t="s">
        <v>1890</v>
      </c>
      <c r="AY401" s="431" t="s">
        <v>1891</v>
      </c>
      <c r="AZ401" s="431"/>
      <c r="BA401" s="431"/>
      <c r="BB401" s="431"/>
      <c r="BC401" s="445"/>
      <c r="BD401" s="404">
        <f>SUM($AS$4:AS401)</f>
        <v>2570.9350000000163</v>
      </c>
      <c r="BE401" s="405">
        <f>SUM($AR$4:AR401)</f>
        <v>1371.5599999999836</v>
      </c>
      <c r="BF401" s="330"/>
      <c r="BG401" s="330"/>
    </row>
    <row r="402" spans="1:59" ht="15.75" customHeight="1">
      <c r="A402" s="227" t="s">
        <v>1701</v>
      </c>
      <c r="B402" s="204">
        <v>45008</v>
      </c>
      <c r="C402" s="205" t="s">
        <v>1892</v>
      </c>
      <c r="D402" s="205" t="s">
        <v>74</v>
      </c>
      <c r="E402" s="254"/>
      <c r="F402" s="207"/>
      <c r="G402" s="326" t="s">
        <v>115</v>
      </c>
      <c r="H402" s="209"/>
      <c r="I402" s="209"/>
      <c r="J402" s="209"/>
      <c r="K402" s="210"/>
      <c r="L402" s="209">
        <v>1</v>
      </c>
      <c r="M402" s="209"/>
      <c r="N402" s="209"/>
      <c r="O402" s="210" t="s">
        <v>76</v>
      </c>
      <c r="P402" s="210" t="s">
        <v>77</v>
      </c>
      <c r="Q402" s="210" t="s">
        <v>78</v>
      </c>
      <c r="R402" s="210">
        <v>5</v>
      </c>
      <c r="S402" s="210">
        <v>5</v>
      </c>
      <c r="T402" s="210">
        <v>5</v>
      </c>
      <c r="U402" s="210" t="s">
        <v>78</v>
      </c>
      <c r="V402" s="188">
        <f t="shared" si="426"/>
        <v>0.01</v>
      </c>
      <c r="W402" s="188">
        <f t="shared" si="427"/>
        <v>1600</v>
      </c>
      <c r="X402" s="212" t="s">
        <v>80</v>
      </c>
      <c r="Y402" s="212"/>
      <c r="Z402" s="212"/>
      <c r="AA402" s="213">
        <v>-0.04</v>
      </c>
      <c r="AB402" s="209"/>
      <c r="AC402" s="345"/>
      <c r="AD402" s="209"/>
      <c r="AE402" s="209"/>
      <c r="AF402" s="209"/>
      <c r="AG402" s="209"/>
      <c r="AH402" s="209"/>
      <c r="AI402" s="191">
        <f>-0.04*W402</f>
        <v>-64</v>
      </c>
      <c r="AJ402" s="191">
        <f t="shared" ref="AJ402:AJ403" si="428">AI402*R402</f>
        <v>-320</v>
      </c>
      <c r="AK402" s="209"/>
      <c r="AL402" s="209"/>
      <c r="AM402" s="209" t="s">
        <v>1414</v>
      </c>
      <c r="AN402" s="345" t="s">
        <v>87</v>
      </c>
      <c r="AO402" s="209" t="s">
        <v>1893</v>
      </c>
      <c r="AP402" s="215">
        <v>-0.05</v>
      </c>
      <c r="AQ402" s="193">
        <f t="shared" ref="AQ402:AQ403" si="429">IF(ISBLANK(AP402),,IF(U402="S",AA402-AP402,AP402-AA402))</f>
        <v>1.0000000000000002E-2</v>
      </c>
      <c r="AR402" s="191">
        <f t="shared" ref="AR402:AR403" si="430">AS402*R402</f>
        <v>80.000000000000014</v>
      </c>
      <c r="AS402" s="194">
        <f t="shared" ref="AS402:AS403" si="431">IF(ISBLANK(AP402),,(AQ402*W402))</f>
        <v>16.000000000000004</v>
      </c>
      <c r="AT402" s="217" t="s">
        <v>77</v>
      </c>
      <c r="AU402" s="431" t="s">
        <v>1894</v>
      </c>
      <c r="AV402" s="431" t="s">
        <v>1895</v>
      </c>
      <c r="AW402" s="431" t="s">
        <v>1896</v>
      </c>
      <c r="AX402" s="431"/>
      <c r="AY402" s="431"/>
      <c r="AZ402" s="431"/>
      <c r="BA402" s="431" t="s">
        <v>1894</v>
      </c>
      <c r="BB402" s="431" t="s">
        <v>1895</v>
      </c>
      <c r="BC402" s="431" t="s">
        <v>1897</v>
      </c>
      <c r="BD402" s="404">
        <f>SUM($AS$4:AS402)</f>
        <v>2586.9350000000163</v>
      </c>
      <c r="BE402" s="405">
        <f>SUM($AR$4:AR402)</f>
        <v>1451.5599999999836</v>
      </c>
      <c r="BF402" s="330"/>
      <c r="BG402" s="330"/>
    </row>
    <row r="403" spans="1:59" ht="15.75" customHeight="1">
      <c r="A403" s="227" t="s">
        <v>1701</v>
      </c>
      <c r="B403" s="204">
        <v>45008</v>
      </c>
      <c r="C403" s="205" t="s">
        <v>1898</v>
      </c>
      <c r="D403" s="205" t="s">
        <v>74</v>
      </c>
      <c r="E403" s="254"/>
      <c r="F403" s="207"/>
      <c r="G403" s="326" t="s">
        <v>253</v>
      </c>
      <c r="H403" s="209"/>
      <c r="I403" s="209"/>
      <c r="J403" s="209"/>
      <c r="K403" s="210"/>
      <c r="L403" s="209">
        <v>1</v>
      </c>
      <c r="M403" s="209"/>
      <c r="N403" s="209"/>
      <c r="O403" s="210" t="s">
        <v>76</v>
      </c>
      <c r="P403" s="210" t="s">
        <v>77</v>
      </c>
      <c r="Q403" s="210" t="s">
        <v>78</v>
      </c>
      <c r="R403" s="210">
        <v>8</v>
      </c>
      <c r="S403" s="210">
        <v>8</v>
      </c>
      <c r="T403" s="210">
        <v>3</v>
      </c>
      <c r="U403" s="210" t="s">
        <v>22</v>
      </c>
      <c r="V403" s="188">
        <f t="shared" ref="V403" si="432">IF(ISBLANK(O403),"",(IF(O403=UPPER("IB"),0.005,0.01)))</f>
        <v>0.01</v>
      </c>
      <c r="W403" s="188">
        <f t="shared" ref="W403" si="433">IF(ISBLANK(O403),"",IF(O403="IB",8.63*200,IF(O403="IR",16*100,IF(O403="YT",20))))</f>
        <v>1600</v>
      </c>
      <c r="X403" s="212" t="s">
        <v>80</v>
      </c>
      <c r="Y403" s="212"/>
      <c r="Z403" s="212"/>
      <c r="AA403" s="213">
        <f>((-0.04*3)+(-0.05*5))/8</f>
        <v>-4.6249999999999999E-2</v>
      </c>
      <c r="AB403" s="209"/>
      <c r="AC403" s="345"/>
      <c r="AD403" s="209"/>
      <c r="AE403" s="209"/>
      <c r="AF403" s="209"/>
      <c r="AG403" s="209"/>
      <c r="AH403" s="209"/>
      <c r="AI403" s="191">
        <f t="shared" ref="AI403" si="434">-0.03*W403</f>
        <v>-48</v>
      </c>
      <c r="AJ403" s="191">
        <f t="shared" si="428"/>
        <v>-384</v>
      </c>
      <c r="AK403" s="209"/>
      <c r="AL403" s="209"/>
      <c r="AM403" s="209" t="s">
        <v>946</v>
      </c>
      <c r="AN403" s="345" t="s">
        <v>87</v>
      </c>
      <c r="AO403" s="209" t="s">
        <v>1899</v>
      </c>
      <c r="AP403" s="215">
        <f>((-0.04*2)+(6*-0.04))/8</f>
        <v>-0.04</v>
      </c>
      <c r="AQ403" s="193">
        <f t="shared" si="429"/>
        <v>6.2499999999999986E-3</v>
      </c>
      <c r="AR403" s="191">
        <f t="shared" si="430"/>
        <v>79.999999999999986</v>
      </c>
      <c r="AS403" s="194">
        <f t="shared" si="431"/>
        <v>9.9999999999999982</v>
      </c>
      <c r="AT403" s="217" t="s">
        <v>77</v>
      </c>
      <c r="AU403" s="431" t="s">
        <v>1897</v>
      </c>
      <c r="AV403" s="431" t="s">
        <v>511</v>
      </c>
      <c r="AW403" s="431"/>
      <c r="AX403" s="431"/>
      <c r="AY403" s="431"/>
      <c r="AZ403" s="431"/>
      <c r="BA403" s="431"/>
      <c r="BB403" s="431"/>
      <c r="BC403" s="445"/>
      <c r="BD403" s="404">
        <f>SUM($AS$4:AS403)</f>
        <v>2596.9350000000163</v>
      </c>
      <c r="BE403" s="405">
        <f>SUM($AR$4:AR403)</f>
        <v>1531.5599999999836</v>
      </c>
      <c r="BF403" s="330"/>
      <c r="BG403" s="330"/>
    </row>
    <row r="404" spans="1:59" ht="15.75" customHeight="1">
      <c r="A404" s="227" t="s">
        <v>1701</v>
      </c>
      <c r="B404" s="204">
        <v>45008</v>
      </c>
      <c r="C404" s="205" t="s">
        <v>1900</v>
      </c>
      <c r="D404" s="205" t="s">
        <v>74</v>
      </c>
      <c r="E404" s="254"/>
      <c r="F404" s="207"/>
      <c r="G404" s="326" t="s">
        <v>253</v>
      </c>
      <c r="H404" s="209"/>
      <c r="I404" s="209"/>
      <c r="J404" s="209"/>
      <c r="K404" s="210"/>
      <c r="L404" s="209">
        <v>1</v>
      </c>
      <c r="M404" s="209"/>
      <c r="N404" s="209"/>
      <c r="O404" s="210" t="s">
        <v>76</v>
      </c>
      <c r="P404" s="210" t="s">
        <v>77</v>
      </c>
      <c r="Q404" s="210" t="s">
        <v>78</v>
      </c>
      <c r="R404" s="210">
        <v>5</v>
      </c>
      <c r="S404" s="210">
        <v>5</v>
      </c>
      <c r="T404" s="210">
        <v>3</v>
      </c>
      <c r="U404" s="210" t="s">
        <v>78</v>
      </c>
      <c r="V404" s="188">
        <f t="shared" ref="V404" si="435">IF(ISBLANK(O404),"",(IF(O404=UPPER("IB"),0.005,0.01)))</f>
        <v>0.01</v>
      </c>
      <c r="W404" s="188">
        <f t="shared" ref="W404" si="436">IF(ISBLANK(O404),"",IF(O404="IB",8.63*200,IF(O404="IR",16*100,IF(O404="YT",20))))</f>
        <v>1600</v>
      </c>
      <c r="X404" s="212" t="s">
        <v>80</v>
      </c>
      <c r="Y404" s="212"/>
      <c r="Z404" s="212"/>
      <c r="AA404" s="213">
        <v>-0.03</v>
      </c>
      <c r="AB404" s="209"/>
      <c r="AC404" s="345"/>
      <c r="AD404" s="209"/>
      <c r="AE404" s="209"/>
      <c r="AF404" s="209"/>
      <c r="AG404" s="209"/>
      <c r="AH404" s="209"/>
      <c r="AI404" s="191">
        <f t="shared" ref="AI404" si="437">-0.03*W404</f>
        <v>-48</v>
      </c>
      <c r="AJ404" s="191">
        <f t="shared" ref="AJ404" si="438">AI404*R404</f>
        <v>-240</v>
      </c>
      <c r="AK404" s="209"/>
      <c r="AL404" s="209"/>
      <c r="AM404" s="209" t="s">
        <v>1535</v>
      </c>
      <c r="AN404" s="345" t="s">
        <v>87</v>
      </c>
      <c r="AO404" s="209" t="s">
        <v>1901</v>
      </c>
      <c r="AP404" s="215">
        <v>-0.04</v>
      </c>
      <c r="AQ404" s="193">
        <f t="shared" ref="AQ404:AQ405" si="439">IF(ISBLANK(AP404),,IF(U404="S",AA404-AP404,AP404-AA404))</f>
        <v>1.0000000000000002E-2</v>
      </c>
      <c r="AR404" s="191">
        <f t="shared" ref="AR404:AR405" si="440">AS404*R404</f>
        <v>80.000000000000014</v>
      </c>
      <c r="AS404" s="194">
        <f t="shared" ref="AS404:AS405" si="441">IF(ISBLANK(AP404),,(AQ404*W404))</f>
        <v>16.000000000000004</v>
      </c>
      <c r="AT404" s="217" t="s">
        <v>77</v>
      </c>
      <c r="AU404" s="431"/>
      <c r="AV404" s="431"/>
      <c r="AW404" s="431"/>
      <c r="AX404" s="431"/>
      <c r="AY404" s="431"/>
      <c r="AZ404" s="431"/>
      <c r="BA404" s="431"/>
      <c r="BB404" s="431"/>
      <c r="BC404" s="445"/>
      <c r="BD404" s="404">
        <f>SUM($AS$4:AS404)</f>
        <v>2612.9350000000163</v>
      </c>
      <c r="BE404" s="405">
        <f>SUM($AR$4:AR404)</f>
        <v>1611.5599999999836</v>
      </c>
      <c r="BF404" s="330"/>
      <c r="BG404" s="330"/>
    </row>
    <row r="405" spans="1:59" ht="15.75" customHeight="1">
      <c r="A405" s="227" t="s">
        <v>1701</v>
      </c>
      <c r="B405" s="204">
        <v>45009</v>
      </c>
      <c r="C405" s="205" t="s">
        <v>1902</v>
      </c>
      <c r="D405" s="205" t="s">
        <v>93</v>
      </c>
      <c r="E405" s="254" t="s">
        <v>1903</v>
      </c>
      <c r="F405" s="207"/>
      <c r="G405" s="326" t="s">
        <v>115</v>
      </c>
      <c r="H405" s="209"/>
      <c r="I405" s="209"/>
      <c r="J405" s="209"/>
      <c r="K405" s="210"/>
      <c r="L405" s="209">
        <v>1</v>
      </c>
      <c r="M405" s="209"/>
      <c r="N405" s="209"/>
      <c r="O405" s="210" t="s">
        <v>76</v>
      </c>
      <c r="P405" s="210" t="s">
        <v>77</v>
      </c>
      <c r="Q405" s="210" t="s">
        <v>78</v>
      </c>
      <c r="R405" s="210">
        <v>10</v>
      </c>
      <c r="S405" s="210">
        <v>10</v>
      </c>
      <c r="T405" s="210">
        <v>10</v>
      </c>
      <c r="U405" s="210" t="s">
        <v>22</v>
      </c>
      <c r="V405" s="188">
        <f t="shared" ref="V405" si="442">IF(ISBLANK(O405),"",(IF(O405=UPPER("IB"),0.005,0.01)))</f>
        <v>0.01</v>
      </c>
      <c r="W405" s="188">
        <f t="shared" ref="W405" si="443">IF(ISBLANK(O405),"",IF(O405="IB",8.63*200,IF(O405="IR",16*100,IF(O405="YT",20))))</f>
        <v>1600</v>
      </c>
      <c r="X405" s="212" t="s">
        <v>1904</v>
      </c>
      <c r="Y405" s="212"/>
      <c r="Z405" s="212"/>
      <c r="AA405" s="213">
        <v>-0.06</v>
      </c>
      <c r="AB405" s="209"/>
      <c r="AC405" s="345"/>
      <c r="AD405" s="209"/>
      <c r="AE405" s="209"/>
      <c r="AF405" s="209"/>
      <c r="AG405" s="209"/>
      <c r="AH405" s="209"/>
      <c r="AI405" s="191">
        <f t="shared" ref="AI405" si="444">-0.03*W405</f>
        <v>-48</v>
      </c>
      <c r="AJ405" s="191">
        <f t="shared" ref="AJ405" si="445">AI405*R405</f>
        <v>-480</v>
      </c>
      <c r="AK405" s="209"/>
      <c r="AL405" s="209"/>
      <c r="AM405" s="209" t="s">
        <v>1535</v>
      </c>
      <c r="AN405" s="345" t="s">
        <v>87</v>
      </c>
      <c r="AO405" s="209" t="s">
        <v>1905</v>
      </c>
      <c r="AP405" s="215">
        <v>-0.06</v>
      </c>
      <c r="AQ405" s="193">
        <f t="shared" si="439"/>
        <v>0</v>
      </c>
      <c r="AR405" s="191">
        <f t="shared" si="440"/>
        <v>0</v>
      </c>
      <c r="AS405" s="194">
        <f t="shared" si="441"/>
        <v>0</v>
      </c>
      <c r="AT405" s="217" t="s">
        <v>97</v>
      </c>
      <c r="AU405" s="431" t="s">
        <v>1906</v>
      </c>
      <c r="AV405" s="431" t="s">
        <v>1907</v>
      </c>
      <c r="AW405" s="431" t="s">
        <v>1908</v>
      </c>
      <c r="AX405" s="431" t="s">
        <v>1909</v>
      </c>
      <c r="AY405" s="431" t="s">
        <v>511</v>
      </c>
      <c r="AZ405" s="431"/>
      <c r="BA405" s="431"/>
      <c r="BB405" s="431"/>
      <c r="BC405" s="445"/>
      <c r="BD405" s="404">
        <f>SUM($AS$4:AS405)</f>
        <v>2612.9350000000163</v>
      </c>
      <c r="BE405" s="405">
        <f>SUM($AR$4:AR405)</f>
        <v>1611.5599999999836</v>
      </c>
      <c r="BF405" s="330"/>
      <c r="BG405" s="330"/>
    </row>
    <row r="406" spans="1:59" ht="15.75" customHeight="1">
      <c r="A406" s="227" t="s">
        <v>1701</v>
      </c>
      <c r="B406" s="204">
        <v>45009</v>
      </c>
      <c r="C406" s="205" t="s">
        <v>1910</v>
      </c>
      <c r="D406" s="205" t="s">
        <v>93</v>
      </c>
      <c r="E406" s="254"/>
      <c r="F406" s="207"/>
      <c r="G406" s="326" t="s">
        <v>115</v>
      </c>
      <c r="H406" s="209"/>
      <c r="I406" s="209"/>
      <c r="J406" s="209"/>
      <c r="K406" s="210"/>
      <c r="L406" s="209">
        <v>1</v>
      </c>
      <c r="M406" s="209"/>
      <c r="N406" s="209"/>
      <c r="O406" s="210" t="s">
        <v>76</v>
      </c>
      <c r="P406" s="210" t="s">
        <v>77</v>
      </c>
      <c r="Q406" s="210" t="s">
        <v>78</v>
      </c>
      <c r="R406" s="210">
        <v>10</v>
      </c>
      <c r="S406" s="210">
        <v>10</v>
      </c>
      <c r="T406" s="210">
        <v>10</v>
      </c>
      <c r="U406" s="210" t="s">
        <v>22</v>
      </c>
      <c r="V406" s="188">
        <f t="shared" ref="V406" si="446">IF(ISBLANK(O406),"",(IF(O406=UPPER("IB"),0.005,0.01)))</f>
        <v>0.01</v>
      </c>
      <c r="W406" s="188">
        <f t="shared" ref="W406" si="447">IF(ISBLANK(O406),"",IF(O406="IB",8.63*200,IF(O406="IR",16*100,IF(O406="YT",20))))</f>
        <v>1600</v>
      </c>
      <c r="X406" s="212" t="s">
        <v>1904</v>
      </c>
      <c r="Y406" s="212"/>
      <c r="Z406" s="212"/>
      <c r="AA406" s="213">
        <v>-7.0000000000000007E-2</v>
      </c>
      <c r="AB406" s="209"/>
      <c r="AC406" s="345"/>
      <c r="AD406" s="209"/>
      <c r="AE406" s="209"/>
      <c r="AF406" s="209"/>
      <c r="AG406" s="209"/>
      <c r="AH406" s="209"/>
      <c r="AI406" s="191">
        <f t="shared" ref="AI406" si="448">-0.03*W406</f>
        <v>-48</v>
      </c>
      <c r="AJ406" s="191">
        <f t="shared" ref="AJ406" si="449">AI406*R406</f>
        <v>-480</v>
      </c>
      <c r="AK406" s="209"/>
      <c r="AL406" s="209"/>
      <c r="AM406" s="209" t="s">
        <v>1911</v>
      </c>
      <c r="AN406" s="345" t="s">
        <v>87</v>
      </c>
      <c r="AO406" s="209" t="s">
        <v>1912</v>
      </c>
      <c r="AP406" s="215">
        <f>((-0.06*5)+(-0.06*5))/10</f>
        <v>-0.06</v>
      </c>
      <c r="AQ406" s="193">
        <f t="shared" ref="AQ406:AQ407" si="450">IF(ISBLANK(AP406),,IF(U406="S",AA406-AP406,AP406-AA406))</f>
        <v>1.0000000000000009E-2</v>
      </c>
      <c r="AR406" s="191">
        <f t="shared" ref="AR406:AR407" si="451">AS406*R406</f>
        <v>160.00000000000014</v>
      </c>
      <c r="AS406" s="194">
        <f t="shared" ref="AS406:AS407" si="452">IF(ISBLANK(AP406),,(AQ406*W406))</f>
        <v>16.000000000000014</v>
      </c>
      <c r="AT406" s="217" t="s">
        <v>77</v>
      </c>
      <c r="AU406" s="431" t="s">
        <v>1913</v>
      </c>
      <c r="AV406" s="431" t="s">
        <v>1914</v>
      </c>
      <c r="AW406" s="431" t="s">
        <v>1915</v>
      </c>
      <c r="AX406" s="431" t="s">
        <v>1916</v>
      </c>
      <c r="AY406" s="431" t="s">
        <v>1917</v>
      </c>
      <c r="AZ406" s="431" t="s">
        <v>1918</v>
      </c>
      <c r="BA406" s="431" t="s">
        <v>511</v>
      </c>
      <c r="BB406" s="431"/>
      <c r="BC406" s="445"/>
      <c r="BD406" s="404">
        <f>SUM($AS$4:AS406)</f>
        <v>2628.9350000000163</v>
      </c>
      <c r="BE406" s="405">
        <f>SUM($AR$4:AR406)</f>
        <v>1771.5599999999838</v>
      </c>
      <c r="BF406" s="330"/>
      <c r="BG406" s="330"/>
    </row>
    <row r="407" spans="1:59" ht="15.75" customHeight="1">
      <c r="A407" s="227" t="s">
        <v>1701</v>
      </c>
      <c r="B407" s="204">
        <v>45009</v>
      </c>
      <c r="C407" s="205" t="s">
        <v>1316</v>
      </c>
      <c r="D407" s="205" t="s">
        <v>93</v>
      </c>
      <c r="E407" s="254"/>
      <c r="F407" s="207"/>
      <c r="G407" s="326" t="s">
        <v>253</v>
      </c>
      <c r="H407" s="209"/>
      <c r="I407" s="209"/>
      <c r="J407" s="209"/>
      <c r="K407" s="210"/>
      <c r="L407" s="209">
        <v>3</v>
      </c>
      <c r="M407" s="209"/>
      <c r="N407" s="209"/>
      <c r="O407" s="210" t="s">
        <v>76</v>
      </c>
      <c r="P407" s="210" t="s">
        <v>77</v>
      </c>
      <c r="Q407" s="210" t="s">
        <v>78</v>
      </c>
      <c r="R407" s="210">
        <v>5</v>
      </c>
      <c r="S407" s="210">
        <v>5</v>
      </c>
      <c r="T407" s="210">
        <v>5</v>
      </c>
      <c r="U407" s="210" t="s">
        <v>78</v>
      </c>
      <c r="V407" s="188">
        <f t="shared" ref="V407" si="453">IF(ISBLANK(O407),"",(IF(O407=UPPER("IB"),0.005,0.01)))</f>
        <v>0.01</v>
      </c>
      <c r="W407" s="188">
        <f t="shared" ref="W407" si="454">IF(ISBLANK(O407),"",IF(O407="IB",8.63*200,IF(O407="IR",16*100,IF(O407="YT",20))))</f>
        <v>1600</v>
      </c>
      <c r="X407" s="212" t="s">
        <v>1904</v>
      </c>
      <c r="Y407" s="212"/>
      <c r="Z407" s="212"/>
      <c r="AA407" s="213">
        <v>-0.03</v>
      </c>
      <c r="AB407" s="209"/>
      <c r="AC407" s="345"/>
      <c r="AD407" s="209"/>
      <c r="AE407" s="209"/>
      <c r="AF407" s="209"/>
      <c r="AG407" s="209"/>
      <c r="AH407" s="209"/>
      <c r="AI407" s="191">
        <f t="shared" ref="AI407" si="455">-0.03*W407</f>
        <v>-48</v>
      </c>
      <c r="AJ407" s="191">
        <f t="shared" ref="AJ407" si="456">AI407*R407</f>
        <v>-240</v>
      </c>
      <c r="AK407" s="209"/>
      <c r="AL407" s="209"/>
      <c r="AM407" s="209" t="s">
        <v>1733</v>
      </c>
      <c r="AN407" s="345" t="s">
        <v>376</v>
      </c>
      <c r="AO407" s="209" t="s">
        <v>1919</v>
      </c>
      <c r="AP407" s="215">
        <v>-0.04</v>
      </c>
      <c r="AQ407" s="193">
        <f t="shared" si="450"/>
        <v>1.0000000000000002E-2</v>
      </c>
      <c r="AR407" s="191">
        <f t="shared" si="451"/>
        <v>80.000000000000014</v>
      </c>
      <c r="AS407" s="194">
        <f t="shared" si="452"/>
        <v>16.000000000000004</v>
      </c>
      <c r="AT407" s="217" t="s">
        <v>77</v>
      </c>
      <c r="AU407" s="431" t="s">
        <v>1920</v>
      </c>
      <c r="AV407" s="431" t="s">
        <v>1921</v>
      </c>
      <c r="AW407" s="431"/>
      <c r="AX407" s="431"/>
      <c r="AY407" s="431" t="s">
        <v>1922</v>
      </c>
      <c r="AZ407" s="431" t="s">
        <v>1923</v>
      </c>
      <c r="BA407" s="431" t="s">
        <v>511</v>
      </c>
      <c r="BB407" s="431"/>
      <c r="BC407" s="445"/>
      <c r="BD407" s="404">
        <f>SUM($AS$4:AS407)</f>
        <v>2644.9350000000163</v>
      </c>
      <c r="BE407" s="405">
        <f>SUM($AR$4:AR407)</f>
        <v>1851.5599999999838</v>
      </c>
      <c r="BF407" s="330"/>
      <c r="BG407" s="330"/>
    </row>
    <row r="408" spans="1:59" ht="15.75" customHeight="1">
      <c r="A408" s="227" t="s">
        <v>1701</v>
      </c>
      <c r="B408" s="204">
        <v>45009</v>
      </c>
      <c r="C408" s="205" t="s">
        <v>1924</v>
      </c>
      <c r="D408" s="205" t="s">
        <v>93</v>
      </c>
      <c r="E408" s="254"/>
      <c r="F408" s="207"/>
      <c r="G408" s="326" t="s">
        <v>115</v>
      </c>
      <c r="H408" s="209"/>
      <c r="I408" s="209"/>
      <c r="J408" s="209"/>
      <c r="K408" s="210"/>
      <c r="L408" s="209">
        <v>1</v>
      </c>
      <c r="M408" s="209"/>
      <c r="N408" s="209"/>
      <c r="O408" s="210" t="s">
        <v>76</v>
      </c>
      <c r="P408" s="210" t="s">
        <v>77</v>
      </c>
      <c r="Q408" s="210" t="s">
        <v>78</v>
      </c>
      <c r="R408" s="210">
        <v>5</v>
      </c>
      <c r="S408" s="210">
        <v>5</v>
      </c>
      <c r="T408" s="210">
        <v>5</v>
      </c>
      <c r="U408" s="210" t="s">
        <v>78</v>
      </c>
      <c r="V408" s="188">
        <f t="shared" ref="V408" si="457">IF(ISBLANK(O408),"",(IF(O408=UPPER("IB"),0.005,0.01)))</f>
        <v>0.01</v>
      </c>
      <c r="W408" s="188">
        <f t="shared" ref="W408" si="458">IF(ISBLANK(O408),"",IF(O408="IB",8.63*200,IF(O408="IR",16*100,IF(O408="YT",20))))</f>
        <v>1600</v>
      </c>
      <c r="X408" s="212" t="s">
        <v>1904</v>
      </c>
      <c r="Y408" s="212"/>
      <c r="Z408" s="212"/>
      <c r="AA408" s="213">
        <v>-0.05</v>
      </c>
      <c r="AB408" s="209"/>
      <c r="AC408" s="345"/>
      <c r="AD408" s="209"/>
      <c r="AE408" s="209"/>
      <c r="AF408" s="209"/>
      <c r="AG408" s="209"/>
      <c r="AH408" s="209"/>
      <c r="AI408" s="191">
        <f t="shared" ref="AI408" si="459">-0.03*W408</f>
        <v>-48</v>
      </c>
      <c r="AJ408" s="191">
        <f t="shared" ref="AJ408" si="460">AI408*R408</f>
        <v>-240</v>
      </c>
      <c r="AK408" s="209"/>
      <c r="AL408" s="209"/>
      <c r="AM408" s="209" t="s">
        <v>1925</v>
      </c>
      <c r="AN408" s="345" t="s">
        <v>376</v>
      </c>
      <c r="AO408" s="209" t="s">
        <v>1926</v>
      </c>
      <c r="AP408" s="215">
        <v>-0.06</v>
      </c>
      <c r="AQ408" s="193">
        <f t="shared" ref="AQ408" si="461">IF(ISBLANK(AP408),,IF(U408="S",AA408-AP408,AP408-AA408))</f>
        <v>9.999999999999995E-3</v>
      </c>
      <c r="AR408" s="191">
        <f t="shared" ref="AR408" si="462">AS408*R408</f>
        <v>79.999999999999972</v>
      </c>
      <c r="AS408" s="194">
        <f t="shared" ref="AS408" si="463">IF(ISBLANK(AP408),,(AQ408*W408))</f>
        <v>15.999999999999993</v>
      </c>
      <c r="AT408" s="217" t="s">
        <v>77</v>
      </c>
      <c r="AU408" s="431"/>
      <c r="AV408" s="431"/>
      <c r="AW408" s="431"/>
      <c r="AX408" s="431"/>
      <c r="AY408" s="431"/>
      <c r="AZ408" s="431"/>
      <c r="BA408" s="431"/>
      <c r="BB408" s="431"/>
      <c r="BC408" s="445"/>
      <c r="BD408" s="404">
        <f>SUM($AS$4:AS408)</f>
        <v>2660.9350000000163</v>
      </c>
      <c r="BE408" s="405">
        <f>SUM($AR$4:AR408)</f>
        <v>1931.5599999999838</v>
      </c>
      <c r="BF408" s="330"/>
      <c r="BG408" s="330"/>
    </row>
    <row r="409" spans="1:59" ht="15.75" customHeight="1">
      <c r="A409" s="227" t="s">
        <v>1701</v>
      </c>
      <c r="B409" s="204">
        <v>45009</v>
      </c>
      <c r="C409" s="205" t="s">
        <v>1927</v>
      </c>
      <c r="D409" s="205" t="s">
        <v>93</v>
      </c>
      <c r="E409" s="254"/>
      <c r="F409" s="207"/>
      <c r="G409" s="326" t="s">
        <v>115</v>
      </c>
      <c r="H409" s="209"/>
      <c r="I409" s="209"/>
      <c r="J409" s="209"/>
      <c r="K409" s="210"/>
      <c r="L409" s="209">
        <v>1</v>
      </c>
      <c r="M409" s="209"/>
      <c r="N409" s="209"/>
      <c r="O409" s="210" t="s">
        <v>76</v>
      </c>
      <c r="P409" s="210" t="s">
        <v>77</v>
      </c>
      <c r="Q409" s="210" t="s">
        <v>78</v>
      </c>
      <c r="R409" s="210">
        <v>5</v>
      </c>
      <c r="S409" s="210">
        <v>5</v>
      </c>
      <c r="T409" s="210">
        <v>5</v>
      </c>
      <c r="U409" s="210" t="s">
        <v>22</v>
      </c>
      <c r="V409" s="188">
        <f t="shared" ref="V409" si="464">IF(ISBLANK(O409),"",(IF(O409=UPPER("IB"),0.005,0.01)))</f>
        <v>0.01</v>
      </c>
      <c r="W409" s="188">
        <f t="shared" ref="W409" si="465">IF(ISBLANK(O409),"",IF(O409="IB",8.63*200,IF(O409="IR",16*100,IF(O409="YT",20))))</f>
        <v>1600</v>
      </c>
      <c r="X409" s="212" t="s">
        <v>1928</v>
      </c>
      <c r="Y409" s="212" t="s">
        <v>511</v>
      </c>
      <c r="Z409" s="212"/>
      <c r="AA409" s="213">
        <v>-7.0000000000000007E-2</v>
      </c>
      <c r="AB409" s="209"/>
      <c r="AC409" s="345"/>
      <c r="AD409" s="209"/>
      <c r="AE409" s="209"/>
      <c r="AF409" s="209"/>
      <c r="AG409" s="209"/>
      <c r="AH409" s="209"/>
      <c r="AI409" s="191"/>
      <c r="AJ409" s="191"/>
      <c r="AK409" s="209"/>
      <c r="AL409" s="209"/>
      <c r="AM409" s="209" t="s">
        <v>949</v>
      </c>
      <c r="AN409" s="345" t="s">
        <v>87</v>
      </c>
      <c r="AO409" s="209" t="s">
        <v>1929</v>
      </c>
      <c r="AP409" s="215">
        <v>-7.0000000000000007E-2</v>
      </c>
      <c r="AQ409" s="193">
        <f t="shared" ref="AQ409:AQ410" si="466">IF(ISBLANK(AP409),,IF(U409="S",AA409-AP409,AP409-AA409))</f>
        <v>0</v>
      </c>
      <c r="AR409" s="191">
        <f t="shared" ref="AR409:AR410" si="467">AS409*R409</f>
        <v>0</v>
      </c>
      <c r="AS409" s="194">
        <f t="shared" ref="AS409:AS410" si="468">IF(ISBLANK(AP409),,(AQ409*W409))</f>
        <v>0</v>
      </c>
      <c r="AT409" s="217" t="s">
        <v>97</v>
      </c>
      <c r="AU409" s="431" t="s">
        <v>1930</v>
      </c>
      <c r="AV409" s="431"/>
      <c r="AW409" s="431"/>
      <c r="AX409" s="431" t="s">
        <v>1931</v>
      </c>
      <c r="AY409" s="431"/>
      <c r="AZ409" s="431"/>
      <c r="BA409" s="431"/>
      <c r="BB409" s="431"/>
      <c r="BC409" s="445"/>
      <c r="BD409" s="404">
        <f>SUM($AS$4:AS409)</f>
        <v>2660.9350000000163</v>
      </c>
      <c r="BE409" s="405">
        <f>SUM($AR$4:AR409)</f>
        <v>1931.5599999999838</v>
      </c>
      <c r="BF409" s="330"/>
      <c r="BG409" s="330"/>
    </row>
    <row r="410" spans="1:59" ht="15.75" customHeight="1">
      <c r="A410" s="227" t="s">
        <v>1701</v>
      </c>
      <c r="B410" s="204">
        <v>45009</v>
      </c>
      <c r="C410" s="205" t="s">
        <v>1932</v>
      </c>
      <c r="D410" s="205" t="s">
        <v>93</v>
      </c>
      <c r="E410" s="254"/>
      <c r="F410" s="207"/>
      <c r="G410" s="326" t="s">
        <v>535</v>
      </c>
      <c r="H410" s="209"/>
      <c r="I410" s="209"/>
      <c r="J410" s="209"/>
      <c r="K410" s="210"/>
      <c r="L410" s="209">
        <v>1</v>
      </c>
      <c r="M410" s="209"/>
      <c r="N410" s="209"/>
      <c r="O410" s="210" t="s">
        <v>76</v>
      </c>
      <c r="P410" s="210" t="s">
        <v>119</v>
      </c>
      <c r="Q410" s="210" t="s">
        <v>78</v>
      </c>
      <c r="R410" s="210">
        <v>1</v>
      </c>
      <c r="S410" s="210">
        <v>1</v>
      </c>
      <c r="T410" s="210">
        <v>1</v>
      </c>
      <c r="U410" s="210" t="s">
        <v>22</v>
      </c>
      <c r="V410" s="188">
        <f t="shared" ref="V410" si="469">IF(ISBLANK(O410),"",(IF(O410=UPPER("IB"),0.005,0.01)))</f>
        <v>0.01</v>
      </c>
      <c r="W410" s="188">
        <f t="shared" ref="W410" si="470">IF(ISBLANK(O410),"",IF(O410="IB",8.63*200,IF(O410="IR",16*100,IF(O410="YT",20))))</f>
        <v>1600</v>
      </c>
      <c r="X410" s="212" t="s">
        <v>1928</v>
      </c>
      <c r="Y410" s="212" t="s">
        <v>511</v>
      </c>
      <c r="Z410" s="212"/>
      <c r="AA410" s="213">
        <v>-0.03</v>
      </c>
      <c r="AB410" s="209"/>
      <c r="AC410" s="345"/>
      <c r="AD410" s="209"/>
      <c r="AE410" s="209"/>
      <c r="AF410" s="209"/>
      <c r="AG410" s="209"/>
      <c r="AH410" s="209"/>
      <c r="AI410" s="191"/>
      <c r="AJ410" s="191"/>
      <c r="AK410" s="209"/>
      <c r="AL410" s="209"/>
      <c r="AM410" s="209" t="s">
        <v>1436</v>
      </c>
      <c r="AN410" s="345" t="s">
        <v>376</v>
      </c>
      <c r="AO410" s="209" t="s">
        <v>883</v>
      </c>
      <c r="AP410" s="215">
        <v>-0.03</v>
      </c>
      <c r="AQ410" s="193">
        <f t="shared" si="466"/>
        <v>0</v>
      </c>
      <c r="AR410" s="191">
        <f t="shared" si="467"/>
        <v>0</v>
      </c>
      <c r="AS410" s="194">
        <f t="shared" si="468"/>
        <v>0</v>
      </c>
      <c r="AT410" s="217" t="s">
        <v>97</v>
      </c>
      <c r="AU410" s="431" t="s">
        <v>1930</v>
      </c>
      <c r="AV410" s="431"/>
      <c r="AW410" s="431"/>
      <c r="AX410" s="431"/>
      <c r="AY410" s="431"/>
      <c r="AZ410" s="431"/>
      <c r="BA410" s="431"/>
      <c r="BB410" s="431"/>
      <c r="BC410" s="445"/>
      <c r="BD410" s="404">
        <f>SUM($AS$4:AS410)</f>
        <v>2660.9350000000163</v>
      </c>
      <c r="BE410" s="405">
        <f>SUM($AR$4:AR410)</f>
        <v>1931.5599999999838</v>
      </c>
      <c r="BF410" s="330"/>
      <c r="BG410" s="330"/>
    </row>
    <row r="411" spans="1:59" ht="15.75" customHeight="1">
      <c r="A411" s="227" t="s">
        <v>1701</v>
      </c>
      <c r="B411" s="204">
        <v>45012</v>
      </c>
      <c r="C411" s="205" t="s">
        <v>1933</v>
      </c>
      <c r="D411" s="205" t="s">
        <v>114</v>
      </c>
      <c r="E411" s="254"/>
      <c r="F411" s="207"/>
      <c r="G411" s="326" t="s">
        <v>115</v>
      </c>
      <c r="H411" s="209"/>
      <c r="I411" s="209"/>
      <c r="J411" s="209"/>
      <c r="K411" s="210"/>
      <c r="L411" s="209">
        <v>2</v>
      </c>
      <c r="M411" s="209">
        <v>1</v>
      </c>
      <c r="N411" s="209"/>
      <c r="O411" s="210" t="s">
        <v>76</v>
      </c>
      <c r="P411" s="210" t="s">
        <v>77</v>
      </c>
      <c r="Q411" s="210" t="s">
        <v>78</v>
      </c>
      <c r="R411" s="210">
        <v>5</v>
      </c>
      <c r="S411" s="210">
        <v>5</v>
      </c>
      <c r="T411" s="210">
        <v>5</v>
      </c>
      <c r="U411" s="210" t="s">
        <v>22</v>
      </c>
      <c r="V411" s="188">
        <f t="shared" ref="V411" si="471">IF(ISBLANK(O411),"",(IF(O411=UPPER("IB"),0.005,0.01)))</f>
        <v>0.01</v>
      </c>
      <c r="W411" s="188">
        <f t="shared" ref="W411" si="472">IF(ISBLANK(O411),"",IF(O411="IB",8.63*200,IF(O411="IR",16*100,IF(O411="YT",20))))</f>
        <v>1600</v>
      </c>
      <c r="X411" s="212" t="s">
        <v>80</v>
      </c>
      <c r="Y411" s="212"/>
      <c r="Z411" s="212"/>
      <c r="AA411" s="213">
        <v>-7.0000000000000007E-2</v>
      </c>
      <c r="AB411" s="209"/>
      <c r="AC411" s="345"/>
      <c r="AD411" s="209"/>
      <c r="AE411" s="209"/>
      <c r="AF411" s="209"/>
      <c r="AG411" s="209"/>
      <c r="AH411" s="209"/>
      <c r="AI411" s="191">
        <f t="shared" ref="AI411" si="473">-0.03*W411</f>
        <v>-48</v>
      </c>
      <c r="AJ411" s="191">
        <f t="shared" ref="AJ411" si="474">AI411*R411</f>
        <v>-240</v>
      </c>
      <c r="AK411" s="209"/>
      <c r="AL411" s="209"/>
      <c r="AM411" s="209" t="s">
        <v>1934</v>
      </c>
      <c r="AN411" s="345" t="s">
        <v>376</v>
      </c>
      <c r="AO411" s="209" t="s">
        <v>1935</v>
      </c>
      <c r="AP411" s="215">
        <f>((-0.06*4)+(-0.06*1))/5</f>
        <v>-0.06</v>
      </c>
      <c r="AQ411" s="193">
        <f t="shared" ref="AQ411" si="475">IF(ISBLANK(AP411),,IF(U411="S",AA411-AP411,AP411-AA411))</f>
        <v>1.0000000000000009E-2</v>
      </c>
      <c r="AR411" s="191">
        <f t="shared" ref="AR411" si="476">AS411*R411</f>
        <v>80.000000000000071</v>
      </c>
      <c r="AS411" s="194">
        <f t="shared" ref="AS411" si="477">IF(ISBLANK(AP411),,(AQ411*W411))</f>
        <v>16.000000000000014</v>
      </c>
      <c r="AT411" s="217" t="s">
        <v>77</v>
      </c>
      <c r="AU411" s="431"/>
      <c r="AV411" s="431"/>
      <c r="AW411" s="431"/>
      <c r="AX411" s="431" t="s">
        <v>1936</v>
      </c>
      <c r="AY411" s="431" t="s">
        <v>511</v>
      </c>
      <c r="AZ411" s="431"/>
      <c r="BA411" s="431"/>
      <c r="BB411" s="431"/>
      <c r="BC411" s="445"/>
      <c r="BD411" s="404">
        <f>SUM($AS$4:AS411)</f>
        <v>2676.9350000000163</v>
      </c>
      <c r="BE411" s="405">
        <f>SUM($AR$4:AR411)</f>
        <v>2011.5599999999838</v>
      </c>
      <c r="BF411" s="330"/>
      <c r="BG411" s="330"/>
    </row>
    <row r="412" spans="1:59" ht="15.75" customHeight="1">
      <c r="A412" s="227" t="s">
        <v>1701</v>
      </c>
      <c r="B412" s="204">
        <v>45012</v>
      </c>
      <c r="C412" s="205" t="s">
        <v>1937</v>
      </c>
      <c r="D412" s="205" t="s">
        <v>114</v>
      </c>
      <c r="E412" s="254"/>
      <c r="F412" s="207"/>
      <c r="G412" s="326" t="s">
        <v>115</v>
      </c>
      <c r="H412" s="209"/>
      <c r="I412" s="209"/>
      <c r="J412" s="209"/>
      <c r="K412" s="210"/>
      <c r="L412" s="209">
        <v>2</v>
      </c>
      <c r="M412" s="209">
        <v>1</v>
      </c>
      <c r="N412" s="209"/>
      <c r="O412" s="210" t="s">
        <v>76</v>
      </c>
      <c r="P412" s="210" t="s">
        <v>77</v>
      </c>
      <c r="Q412" s="210" t="s">
        <v>78</v>
      </c>
      <c r="R412" s="210">
        <v>10</v>
      </c>
      <c r="S412" s="210">
        <v>10</v>
      </c>
      <c r="T412" s="210">
        <v>10</v>
      </c>
      <c r="U412" s="210" t="s">
        <v>22</v>
      </c>
      <c r="V412" s="188">
        <f t="shared" ref="V412" si="478">IF(ISBLANK(O412),"",(IF(O412=UPPER("IB"),0.005,0.01)))</f>
        <v>0.01</v>
      </c>
      <c r="W412" s="188">
        <f t="shared" ref="W412" si="479">IF(ISBLANK(O412),"",IF(O412="IB",8.63*200,IF(O412="IR",16*100,IF(O412="YT",20))))</f>
        <v>1600</v>
      </c>
      <c r="X412" s="212" t="s">
        <v>80</v>
      </c>
      <c r="Y412" s="212"/>
      <c r="Z412" s="212"/>
      <c r="AA412" s="213">
        <v>-7.0000000000000007E-2</v>
      </c>
      <c r="AB412" s="209"/>
      <c r="AC412" s="345"/>
      <c r="AD412" s="209"/>
      <c r="AE412" s="209"/>
      <c r="AF412" s="209"/>
      <c r="AG412" s="209" t="s">
        <v>1938</v>
      </c>
      <c r="AH412" s="209" t="s">
        <v>511</v>
      </c>
      <c r="AI412" s="191">
        <f t="shared" ref="AI412" si="480">-0.03*W412</f>
        <v>-48</v>
      </c>
      <c r="AJ412" s="191">
        <f t="shared" ref="AJ412" si="481">AI412*R412</f>
        <v>-480</v>
      </c>
      <c r="AK412" s="209"/>
      <c r="AL412" s="209"/>
      <c r="AM412" s="209" t="s">
        <v>1008</v>
      </c>
      <c r="AN412" s="345" t="s">
        <v>87</v>
      </c>
      <c r="AO412" s="209" t="s">
        <v>940</v>
      </c>
      <c r="AP412" s="215">
        <v>-0.06</v>
      </c>
      <c r="AQ412" s="193">
        <f t="shared" ref="AQ412" si="482">IF(ISBLANK(AP412),,IF(U412="S",AA412-AP412,AP412-AA412))</f>
        <v>1.0000000000000009E-2</v>
      </c>
      <c r="AR412" s="191">
        <f t="shared" ref="AR412" si="483">AS412*R412</f>
        <v>160.00000000000014</v>
      </c>
      <c r="AS412" s="194">
        <f t="shared" ref="AS412" si="484">IF(ISBLANK(AP412),,(AQ412*W412))</f>
        <v>16.000000000000014</v>
      </c>
      <c r="AT412" s="217" t="s">
        <v>77</v>
      </c>
      <c r="AU412" s="431"/>
      <c r="AV412" s="431"/>
      <c r="AW412" s="431"/>
      <c r="AX412" s="431"/>
      <c r="AY412" s="431"/>
      <c r="AZ412" s="431"/>
      <c r="BA412" s="431"/>
      <c r="BB412" s="431"/>
      <c r="BC412" s="445"/>
      <c r="BD412" s="404">
        <f>SUM($AS$4:AS412)</f>
        <v>2692.9350000000163</v>
      </c>
      <c r="BE412" s="405">
        <f>SUM($AR$4:AR412)</f>
        <v>2171.559999999984</v>
      </c>
      <c r="BF412" s="330"/>
      <c r="BG412" s="330"/>
    </row>
    <row r="413" spans="1:59" ht="15.75" customHeight="1">
      <c r="A413" s="227" t="s">
        <v>1701</v>
      </c>
      <c r="B413" s="204">
        <v>45012</v>
      </c>
      <c r="C413" s="205" t="s">
        <v>1939</v>
      </c>
      <c r="D413" s="205" t="s">
        <v>114</v>
      </c>
      <c r="E413" s="254"/>
      <c r="F413" s="207"/>
      <c r="G413" s="326" t="s">
        <v>253</v>
      </c>
      <c r="H413" s="209"/>
      <c r="I413" s="209"/>
      <c r="J413" s="209"/>
      <c r="K413" s="210"/>
      <c r="L413" s="209">
        <v>2</v>
      </c>
      <c r="M413" s="209">
        <v>1</v>
      </c>
      <c r="N413" s="209"/>
      <c r="O413" s="210" t="s">
        <v>76</v>
      </c>
      <c r="P413" s="210" t="s">
        <v>77</v>
      </c>
      <c r="Q413" s="210" t="s">
        <v>78</v>
      </c>
      <c r="R413" s="210">
        <v>5</v>
      </c>
      <c r="S413" s="210">
        <v>5</v>
      </c>
      <c r="T413" s="210">
        <v>5</v>
      </c>
      <c r="U413" s="210" t="s">
        <v>78</v>
      </c>
      <c r="V413" s="188">
        <f t="shared" ref="V413" si="485">IF(ISBLANK(O413),"",(IF(O413=UPPER("IB"),0.005,0.01)))</f>
        <v>0.01</v>
      </c>
      <c r="W413" s="188">
        <f t="shared" ref="W413" si="486">IF(ISBLANK(O413),"",IF(O413="IB",8.63*200,IF(O413="IR",16*100,IF(O413="YT",20))))</f>
        <v>1600</v>
      </c>
      <c r="X413" s="212" t="s">
        <v>80</v>
      </c>
      <c r="Y413" s="212"/>
      <c r="Z413" s="212"/>
      <c r="AA413" s="213">
        <v>-0.04</v>
      </c>
      <c r="AB413" s="209"/>
      <c r="AC413" s="345"/>
      <c r="AD413" s="209"/>
      <c r="AE413" s="209"/>
      <c r="AF413" s="209"/>
      <c r="AG413" s="209"/>
      <c r="AH413" s="209"/>
      <c r="AI413" s="191">
        <f t="shared" ref="AI413" si="487">-0.03*W413</f>
        <v>-48</v>
      </c>
      <c r="AJ413" s="191">
        <f t="shared" ref="AJ413" si="488">AI413*R413</f>
        <v>-240</v>
      </c>
      <c r="AK413" s="209"/>
      <c r="AL413" s="209"/>
      <c r="AM413" s="209" t="s">
        <v>949</v>
      </c>
      <c r="AN413" s="345" t="s">
        <v>87</v>
      </c>
      <c r="AO413" s="209" t="s">
        <v>1940</v>
      </c>
      <c r="AP413" s="215">
        <v>-0.05</v>
      </c>
      <c r="AQ413" s="193">
        <f t="shared" ref="AQ413:AQ414" si="489">IF(ISBLANK(AP413),,IF(U413="S",AA413-AP413,AP413-AA413))</f>
        <v>1.0000000000000002E-2</v>
      </c>
      <c r="AR413" s="191">
        <f t="shared" ref="AR413:AR414" si="490">AS413*R413</f>
        <v>80.000000000000014</v>
      </c>
      <c r="AS413" s="194">
        <f t="shared" ref="AS413:AS414" si="491">IF(ISBLANK(AP413),,(AQ413*W413))</f>
        <v>16.000000000000004</v>
      </c>
      <c r="AT413" s="217" t="s">
        <v>77</v>
      </c>
      <c r="AU413" s="431"/>
      <c r="AV413" s="431"/>
      <c r="AW413" s="431"/>
      <c r="AX413" s="431"/>
      <c r="AY413" s="431"/>
      <c r="AZ413" s="431"/>
      <c r="BA413" s="431"/>
      <c r="BB413" s="431"/>
      <c r="BC413" s="445"/>
      <c r="BD413" s="404">
        <f>SUM($AS$4:AS413)</f>
        <v>2708.9350000000163</v>
      </c>
      <c r="BE413" s="405">
        <f>SUM($AR$4:AR413)</f>
        <v>2251.559999999984</v>
      </c>
      <c r="BF413" s="330"/>
      <c r="BG413" s="330"/>
    </row>
    <row r="414" spans="1:59" ht="15.75" customHeight="1">
      <c r="A414" s="227" t="s">
        <v>1701</v>
      </c>
      <c r="B414" s="204">
        <v>45012</v>
      </c>
      <c r="C414" s="205" t="s">
        <v>557</v>
      </c>
      <c r="D414" s="205" t="s">
        <v>114</v>
      </c>
      <c r="E414" s="254"/>
      <c r="F414" s="207"/>
      <c r="G414" s="326" t="s">
        <v>115</v>
      </c>
      <c r="H414" s="209"/>
      <c r="I414" s="209"/>
      <c r="J414" s="209"/>
      <c r="K414" s="210"/>
      <c r="L414" s="209">
        <v>2</v>
      </c>
      <c r="M414" s="209"/>
      <c r="N414" s="209"/>
      <c r="O414" s="210" t="s">
        <v>76</v>
      </c>
      <c r="P414" s="210" t="s">
        <v>77</v>
      </c>
      <c r="Q414" s="210" t="s">
        <v>78</v>
      </c>
      <c r="R414" s="210">
        <v>10</v>
      </c>
      <c r="S414" s="210">
        <v>10</v>
      </c>
      <c r="T414" s="210">
        <v>10</v>
      </c>
      <c r="U414" s="210" t="s">
        <v>78</v>
      </c>
      <c r="V414" s="188">
        <f t="shared" ref="V414" si="492">IF(ISBLANK(O414),"",(IF(O414=UPPER("IB"),0.005,0.01)))</f>
        <v>0.01</v>
      </c>
      <c r="W414" s="188">
        <f t="shared" ref="W414" si="493">IF(ISBLANK(O414),"",IF(O414="IB",8.63*200,IF(O414="IR",16*100,IF(O414="YT",20))))</f>
        <v>1600</v>
      </c>
      <c r="X414" s="212" t="s">
        <v>80</v>
      </c>
      <c r="Y414" s="212"/>
      <c r="Z414" s="212"/>
      <c r="AA414" s="213">
        <v>-0.06</v>
      </c>
      <c r="AB414" s="209"/>
      <c r="AC414" s="345"/>
      <c r="AD414" s="209"/>
      <c r="AE414" s="209"/>
      <c r="AF414" s="209"/>
      <c r="AG414" s="209"/>
      <c r="AH414" s="209"/>
      <c r="AI414" s="191">
        <f t="shared" ref="AI414" si="494">-0.03*W414</f>
        <v>-48</v>
      </c>
      <c r="AJ414" s="191">
        <f t="shared" ref="AJ414" si="495">AI414*R414</f>
        <v>-480</v>
      </c>
      <c r="AK414" s="209"/>
      <c r="AL414" s="209"/>
      <c r="AM414" s="209" t="s">
        <v>1941</v>
      </c>
      <c r="AN414" s="345" t="s">
        <v>376</v>
      </c>
      <c r="AO414" s="209" t="s">
        <v>1942</v>
      </c>
      <c r="AP414" s="215">
        <v>-7.0000000000000007E-2</v>
      </c>
      <c r="AQ414" s="193">
        <f t="shared" si="489"/>
        <v>1.0000000000000009E-2</v>
      </c>
      <c r="AR414" s="191">
        <f t="shared" si="490"/>
        <v>160.00000000000014</v>
      </c>
      <c r="AS414" s="194">
        <f t="shared" si="491"/>
        <v>16.000000000000014</v>
      </c>
      <c r="AT414" s="217" t="s">
        <v>77</v>
      </c>
      <c r="AU414" s="431" t="s">
        <v>1943</v>
      </c>
      <c r="AV414" s="431"/>
      <c r="AW414" s="431"/>
      <c r="AX414" s="431"/>
      <c r="AY414" s="431"/>
      <c r="AZ414" s="431"/>
      <c r="BA414" s="431"/>
      <c r="BB414" s="431"/>
      <c r="BC414" s="445"/>
      <c r="BD414" s="404">
        <f>SUM($AS$4:AS414)</f>
        <v>2724.9350000000163</v>
      </c>
      <c r="BE414" s="405">
        <f>SUM($AR$4:AR414)</f>
        <v>2411.559999999984</v>
      </c>
      <c r="BF414" s="330"/>
      <c r="BG414" s="330"/>
    </row>
    <row r="415" spans="1:59" ht="15.75" customHeight="1">
      <c r="A415" s="227" t="s">
        <v>1701</v>
      </c>
      <c r="B415" s="204">
        <v>45012</v>
      </c>
      <c r="C415" s="205" t="s">
        <v>557</v>
      </c>
      <c r="D415" s="205" t="s">
        <v>114</v>
      </c>
      <c r="E415" s="254"/>
      <c r="F415" s="207"/>
      <c r="G415" s="326" t="s">
        <v>115</v>
      </c>
      <c r="H415" s="209"/>
      <c r="I415" s="209"/>
      <c r="J415" s="209"/>
      <c r="K415" s="210"/>
      <c r="L415" s="209">
        <v>2</v>
      </c>
      <c r="M415" s="209"/>
      <c r="N415" s="209"/>
      <c r="O415" s="210" t="s">
        <v>76</v>
      </c>
      <c r="P415" s="210" t="s">
        <v>77</v>
      </c>
      <c r="Q415" s="210" t="s">
        <v>78</v>
      </c>
      <c r="R415" s="210">
        <v>5</v>
      </c>
      <c r="S415" s="210">
        <v>5</v>
      </c>
      <c r="T415" s="210">
        <v>5</v>
      </c>
      <c r="U415" s="210" t="s">
        <v>78</v>
      </c>
      <c r="V415" s="188">
        <f t="shared" ref="V415:V417" si="496">IF(ISBLANK(O415),"",(IF(O415=UPPER("IB"),0.005,0.01)))</f>
        <v>0.01</v>
      </c>
      <c r="W415" s="188">
        <f t="shared" ref="W415:W417" si="497">IF(ISBLANK(O415),"",IF(O415="IB",8.63*200,IF(O415="IR",16*100,IF(O415="YT",20))))</f>
        <v>1600</v>
      </c>
      <c r="X415" s="212" t="s">
        <v>80</v>
      </c>
      <c r="Y415" s="212"/>
      <c r="Z415" s="212"/>
      <c r="AA415" s="213">
        <v>-0.06</v>
      </c>
      <c r="AB415" s="209"/>
      <c r="AC415" s="345"/>
      <c r="AD415" s="209"/>
      <c r="AE415" s="209"/>
      <c r="AF415" s="209"/>
      <c r="AG415" s="209"/>
      <c r="AH415" s="209"/>
      <c r="AI415" s="191">
        <f t="shared" ref="AI415:AI417" si="498">-0.03*W415</f>
        <v>-48</v>
      </c>
      <c r="AJ415" s="191">
        <f t="shared" ref="AJ415:AJ417" si="499">AI415*R415</f>
        <v>-240</v>
      </c>
      <c r="AK415" s="209"/>
      <c r="AL415" s="209"/>
      <c r="AM415" s="209" t="s">
        <v>1944</v>
      </c>
      <c r="AN415" s="345" t="s">
        <v>376</v>
      </c>
      <c r="AO415" s="209" t="s">
        <v>1945</v>
      </c>
      <c r="AP415" s="215">
        <v>-7.0000000000000007E-2</v>
      </c>
      <c r="AQ415" s="193">
        <f t="shared" ref="AQ415:AQ417" si="500">IF(ISBLANK(AP415),,IF(U415="S",AA415-AP415,AP415-AA415))</f>
        <v>1.0000000000000009E-2</v>
      </c>
      <c r="AR415" s="191">
        <f t="shared" ref="AR415:AR417" si="501">AS415*R415</f>
        <v>80.000000000000071</v>
      </c>
      <c r="AS415" s="194">
        <f t="shared" ref="AS415:AS417" si="502">IF(ISBLANK(AP415),,(AQ415*W415))</f>
        <v>16.000000000000014</v>
      </c>
      <c r="AT415" s="217" t="s">
        <v>77</v>
      </c>
      <c r="AU415" s="431"/>
      <c r="AV415" s="431"/>
      <c r="AW415" s="431"/>
      <c r="AX415" s="431" t="s">
        <v>1417</v>
      </c>
      <c r="AY415" s="431"/>
      <c r="AZ415" s="431"/>
      <c r="BA415" s="431"/>
      <c r="BB415" s="431"/>
      <c r="BC415" s="445"/>
      <c r="BD415" s="404">
        <f>SUM($AS$4:AS415)</f>
        <v>2740.9350000000163</v>
      </c>
      <c r="BE415" s="405">
        <f>SUM($AR$4:AR415)</f>
        <v>2491.559999999984</v>
      </c>
      <c r="BF415" s="330"/>
      <c r="BG415" s="330"/>
    </row>
    <row r="416" spans="1:59" ht="15.75" customHeight="1">
      <c r="A416" s="227" t="s">
        <v>1701</v>
      </c>
      <c r="B416" s="204">
        <v>45012</v>
      </c>
      <c r="C416" s="205" t="s">
        <v>1946</v>
      </c>
      <c r="D416" s="205" t="s">
        <v>114</v>
      </c>
      <c r="E416" s="254"/>
      <c r="F416" s="207"/>
      <c r="G416" s="326" t="s">
        <v>253</v>
      </c>
      <c r="H416" s="209"/>
      <c r="I416" s="209"/>
      <c r="J416" s="209"/>
      <c r="K416" s="210"/>
      <c r="L416" s="209">
        <v>2</v>
      </c>
      <c r="M416" s="209"/>
      <c r="N416" s="209"/>
      <c r="O416" s="210" t="s">
        <v>76</v>
      </c>
      <c r="P416" s="210" t="s">
        <v>77</v>
      </c>
      <c r="Q416" s="210" t="s">
        <v>78</v>
      </c>
      <c r="R416" s="210">
        <v>5</v>
      </c>
      <c r="S416" s="210">
        <v>5</v>
      </c>
      <c r="T416" s="210">
        <v>1</v>
      </c>
      <c r="U416" s="210" t="s">
        <v>78</v>
      </c>
      <c r="V416" s="188">
        <f t="shared" si="496"/>
        <v>0.01</v>
      </c>
      <c r="W416" s="188">
        <f t="shared" si="497"/>
        <v>1600</v>
      </c>
      <c r="X416" s="212" t="s">
        <v>80</v>
      </c>
      <c r="Y416" s="212"/>
      <c r="Z416" s="212"/>
      <c r="AA416" s="213">
        <v>-0.04</v>
      </c>
      <c r="AB416" s="209"/>
      <c r="AC416" s="345"/>
      <c r="AD416" s="209"/>
      <c r="AE416" s="209"/>
      <c r="AF416" s="209"/>
      <c r="AG416" s="209"/>
      <c r="AH416" s="209"/>
      <c r="AI416" s="191">
        <f t="shared" si="498"/>
        <v>-48</v>
      </c>
      <c r="AJ416" s="191">
        <f t="shared" si="499"/>
        <v>-240</v>
      </c>
      <c r="AK416" s="209"/>
      <c r="AL416" s="209"/>
      <c r="AM416" s="209" t="s">
        <v>1824</v>
      </c>
      <c r="AN416" s="345" t="s">
        <v>376</v>
      </c>
      <c r="AO416" s="209" t="s">
        <v>1947</v>
      </c>
      <c r="AP416" s="215">
        <v>-0.05</v>
      </c>
      <c r="AQ416" s="193">
        <f t="shared" si="500"/>
        <v>1.0000000000000002E-2</v>
      </c>
      <c r="AR416" s="191">
        <f t="shared" si="501"/>
        <v>80.000000000000014</v>
      </c>
      <c r="AS416" s="194">
        <f t="shared" si="502"/>
        <v>16.000000000000004</v>
      </c>
      <c r="AT416" s="217" t="s">
        <v>77</v>
      </c>
      <c r="AU416" s="431"/>
      <c r="AV416" s="431"/>
      <c r="AW416" s="431"/>
      <c r="AX416" s="431"/>
      <c r="AY416" s="431"/>
      <c r="AZ416" s="431"/>
      <c r="BA416" s="431"/>
      <c r="BB416" s="431"/>
      <c r="BC416" s="445"/>
      <c r="BD416" s="404">
        <f>SUM($AS$4:AS416)</f>
        <v>2756.9350000000163</v>
      </c>
      <c r="BE416" s="405">
        <f>SUM($AR$4:AR416)</f>
        <v>2571.559999999984</v>
      </c>
      <c r="BF416" s="330"/>
      <c r="BG416" s="330"/>
    </row>
    <row r="417" spans="1:59" ht="15.75" customHeight="1">
      <c r="A417" s="227" t="s">
        <v>1701</v>
      </c>
      <c r="B417" s="204">
        <v>45012</v>
      </c>
      <c r="C417" s="205" t="s">
        <v>1948</v>
      </c>
      <c r="D417" s="205" t="s">
        <v>114</v>
      </c>
      <c r="E417" s="254"/>
      <c r="F417" s="207"/>
      <c r="G417" s="326" t="s">
        <v>115</v>
      </c>
      <c r="H417" s="209"/>
      <c r="I417" s="209"/>
      <c r="J417" s="209"/>
      <c r="K417" s="210"/>
      <c r="L417" s="209">
        <v>2</v>
      </c>
      <c r="M417" s="209"/>
      <c r="N417" s="209"/>
      <c r="O417" s="210" t="s">
        <v>76</v>
      </c>
      <c r="P417" s="210" t="s">
        <v>77</v>
      </c>
      <c r="Q417" s="210" t="s">
        <v>78</v>
      </c>
      <c r="R417" s="210">
        <v>10</v>
      </c>
      <c r="S417" s="210">
        <v>10</v>
      </c>
      <c r="T417" s="210">
        <v>10</v>
      </c>
      <c r="U417" s="210" t="s">
        <v>78</v>
      </c>
      <c r="V417" s="188">
        <f t="shared" si="496"/>
        <v>0.01</v>
      </c>
      <c r="W417" s="188">
        <f t="shared" si="497"/>
        <v>1600</v>
      </c>
      <c r="X417" s="212" t="s">
        <v>80</v>
      </c>
      <c r="Y417" s="212"/>
      <c r="Z417" s="212"/>
      <c r="AA417" s="213">
        <v>-0.05</v>
      </c>
      <c r="AB417" s="209"/>
      <c r="AC417" s="345"/>
      <c r="AD417" s="209"/>
      <c r="AE417" s="209"/>
      <c r="AF417" s="209"/>
      <c r="AG417" s="209"/>
      <c r="AH417" s="209"/>
      <c r="AI417" s="191">
        <f t="shared" si="498"/>
        <v>-48</v>
      </c>
      <c r="AJ417" s="191">
        <f t="shared" si="499"/>
        <v>-480</v>
      </c>
      <c r="AK417" s="209"/>
      <c r="AL417" s="209"/>
      <c r="AM417" s="209" t="s">
        <v>1569</v>
      </c>
      <c r="AN417" s="345" t="s">
        <v>376</v>
      </c>
      <c r="AO417" s="209" t="s">
        <v>309</v>
      </c>
      <c r="AP417" s="215">
        <v>-0.06</v>
      </c>
      <c r="AQ417" s="193">
        <f t="shared" si="500"/>
        <v>9.999999999999995E-3</v>
      </c>
      <c r="AR417" s="191">
        <f t="shared" si="501"/>
        <v>159.99999999999994</v>
      </c>
      <c r="AS417" s="194">
        <f t="shared" si="502"/>
        <v>15.999999999999993</v>
      </c>
      <c r="AT417" s="217" t="s">
        <v>77</v>
      </c>
      <c r="AU417" s="431"/>
      <c r="AV417" s="431"/>
      <c r="AW417" s="431"/>
      <c r="AX417" s="431"/>
      <c r="AY417" s="431"/>
      <c r="AZ417" s="431"/>
      <c r="BA417" s="431"/>
      <c r="BB417" s="431"/>
      <c r="BC417" s="445"/>
      <c r="BD417" s="404">
        <f>SUM($AS$4:AS417)</f>
        <v>2772.9350000000163</v>
      </c>
      <c r="BE417" s="405">
        <f>SUM($AR$4:AR417)</f>
        <v>2731.559999999984</v>
      </c>
      <c r="BF417" s="330"/>
      <c r="BG417" s="330"/>
    </row>
    <row r="418" spans="1:59" ht="15.75" customHeight="1">
      <c r="A418" s="227" t="s">
        <v>1701</v>
      </c>
      <c r="B418" s="204">
        <v>45012</v>
      </c>
      <c r="C418" s="205" t="s">
        <v>482</v>
      </c>
      <c r="D418" s="205" t="s">
        <v>114</v>
      </c>
      <c r="E418" s="254"/>
      <c r="F418" s="207"/>
      <c r="G418" s="326" t="s">
        <v>115</v>
      </c>
      <c r="H418" s="209"/>
      <c r="I418" s="209"/>
      <c r="J418" s="209"/>
      <c r="K418" s="210"/>
      <c r="L418" s="209">
        <v>1</v>
      </c>
      <c r="M418" s="209"/>
      <c r="N418" s="209"/>
      <c r="O418" s="210" t="s">
        <v>76</v>
      </c>
      <c r="P418" s="210" t="s">
        <v>77</v>
      </c>
      <c r="Q418" s="210" t="s">
        <v>78</v>
      </c>
      <c r="R418" s="210">
        <v>5</v>
      </c>
      <c r="S418" s="210">
        <v>5</v>
      </c>
      <c r="T418" s="210">
        <v>5</v>
      </c>
      <c r="U418" s="210" t="s">
        <v>78</v>
      </c>
      <c r="V418" s="188">
        <f t="shared" ref="V418" si="503">IF(ISBLANK(O418),"",(IF(O418=UPPER("IB"),0.005,0.01)))</f>
        <v>0.01</v>
      </c>
      <c r="W418" s="188">
        <f t="shared" ref="W418" si="504">IF(ISBLANK(O418),"",IF(O418="IB",8.63*200,IF(O418="IR",16*100,IF(O418="YT",20))))</f>
        <v>1600</v>
      </c>
      <c r="X418" s="212" t="s">
        <v>80</v>
      </c>
      <c r="Y418" s="212"/>
      <c r="Z418" s="212"/>
      <c r="AA418" s="213">
        <v>-0.06</v>
      </c>
      <c r="AB418" s="209"/>
      <c r="AC418" s="345"/>
      <c r="AD418" s="209"/>
      <c r="AE418" s="209"/>
      <c r="AF418" s="209"/>
      <c r="AG418" s="209"/>
      <c r="AH418" s="209"/>
      <c r="AI418" s="191">
        <f t="shared" ref="AI418" si="505">-0.03*W418</f>
        <v>-48</v>
      </c>
      <c r="AJ418" s="191">
        <f t="shared" ref="AJ418" si="506">AI418*R418</f>
        <v>-240</v>
      </c>
      <c r="AK418" s="209"/>
      <c r="AL418" s="209"/>
      <c r="AM418" s="209" t="s">
        <v>1008</v>
      </c>
      <c r="AN418" s="345" t="s">
        <v>87</v>
      </c>
      <c r="AO418" s="209" t="s">
        <v>1949</v>
      </c>
      <c r="AP418" s="215">
        <v>-0.06</v>
      </c>
      <c r="AQ418" s="193">
        <f t="shared" ref="AQ418" si="507">IF(ISBLANK(AP418),,IF(U418="S",AA418-AP418,AP418-AA418))</f>
        <v>0</v>
      </c>
      <c r="AR418" s="191">
        <f t="shared" ref="AR418" si="508">AS418*R418</f>
        <v>0</v>
      </c>
      <c r="AS418" s="194">
        <f t="shared" ref="AS418" si="509">IF(ISBLANK(AP418),,(AQ418*W418))</f>
        <v>0</v>
      </c>
      <c r="AT418" s="217" t="s">
        <v>97</v>
      </c>
      <c r="AU418" s="431" t="s">
        <v>1950</v>
      </c>
      <c r="AV418" s="431" t="s">
        <v>1951</v>
      </c>
      <c r="AW418" s="431" t="s">
        <v>1952</v>
      </c>
      <c r="AX418" s="431" t="s">
        <v>511</v>
      </c>
      <c r="AY418" s="431"/>
      <c r="AZ418" s="431"/>
      <c r="BA418" s="431"/>
      <c r="BB418" s="431"/>
      <c r="BC418" s="445"/>
      <c r="BD418" s="404">
        <f>SUM($AS$4:AS418)</f>
        <v>2772.9350000000163</v>
      </c>
      <c r="BE418" s="405">
        <f>SUM($AR$4:AR418)</f>
        <v>2731.559999999984</v>
      </c>
      <c r="BF418" s="330"/>
      <c r="BG418" s="330"/>
    </row>
    <row r="419" spans="1:59" ht="15.75" customHeight="1">
      <c r="A419" s="227" t="s">
        <v>1701</v>
      </c>
      <c r="B419" s="204">
        <v>45012</v>
      </c>
      <c r="C419" s="205" t="s">
        <v>1953</v>
      </c>
      <c r="D419" s="205" t="s">
        <v>114</v>
      </c>
      <c r="E419" s="254"/>
      <c r="F419" s="207"/>
      <c r="G419" s="326" t="s">
        <v>115</v>
      </c>
      <c r="H419" s="209"/>
      <c r="I419" s="209"/>
      <c r="J419" s="209"/>
      <c r="K419" s="210"/>
      <c r="L419" s="209">
        <v>1</v>
      </c>
      <c r="M419" s="209"/>
      <c r="N419" s="209"/>
      <c r="O419" s="210" t="s">
        <v>76</v>
      </c>
      <c r="P419" s="210" t="s">
        <v>77</v>
      </c>
      <c r="Q419" s="210" t="s">
        <v>78</v>
      </c>
      <c r="R419" s="210">
        <v>5</v>
      </c>
      <c r="S419" s="210">
        <v>5</v>
      </c>
      <c r="T419" s="210">
        <v>5</v>
      </c>
      <c r="U419" s="210" t="s">
        <v>78</v>
      </c>
      <c r="V419" s="188">
        <f t="shared" ref="V419" si="510">IF(ISBLANK(O419),"",(IF(O419=UPPER("IB"),0.005,0.01)))</f>
        <v>0.01</v>
      </c>
      <c r="W419" s="188">
        <f t="shared" ref="W419" si="511">IF(ISBLANK(O419),"",IF(O419="IB",8.63*200,IF(O419="IR",16*100,IF(O419="YT",20))))</f>
        <v>1600</v>
      </c>
      <c r="X419" s="212" t="s">
        <v>80</v>
      </c>
      <c r="Y419" s="212"/>
      <c r="Z419" s="212"/>
      <c r="AA419" s="213">
        <v>-0.05</v>
      </c>
      <c r="AB419" s="209"/>
      <c r="AC419" s="345"/>
      <c r="AD419" s="209"/>
      <c r="AE419" s="209"/>
      <c r="AF419" s="209"/>
      <c r="AG419" s="209"/>
      <c r="AH419" s="209"/>
      <c r="AI419" s="191">
        <f t="shared" ref="AI419" si="512">-0.03*W419</f>
        <v>-48</v>
      </c>
      <c r="AJ419" s="191">
        <f t="shared" ref="AJ419" si="513">AI419*R419</f>
        <v>-240</v>
      </c>
      <c r="AK419" s="209"/>
      <c r="AL419" s="209"/>
      <c r="AM419" s="209" t="s">
        <v>1273</v>
      </c>
      <c r="AN419" s="345" t="s">
        <v>87</v>
      </c>
      <c r="AO419" s="209" t="s">
        <v>746</v>
      </c>
      <c r="AP419" s="215">
        <v>-0.06</v>
      </c>
      <c r="AQ419" s="193">
        <f t="shared" ref="AQ419" si="514">IF(ISBLANK(AP419),,IF(U419="S",AA419-AP419,AP419-AA419))</f>
        <v>9.999999999999995E-3</v>
      </c>
      <c r="AR419" s="191">
        <f t="shared" ref="AR419" si="515">AS419*R419</f>
        <v>79.999999999999972</v>
      </c>
      <c r="AS419" s="194">
        <f t="shared" ref="AS419" si="516">IF(ISBLANK(AP419),,(AQ419*W419))</f>
        <v>15.999999999999993</v>
      </c>
      <c r="AT419" s="217" t="s">
        <v>77</v>
      </c>
      <c r="AU419" s="431" t="s">
        <v>1954</v>
      </c>
      <c r="AV419" s="431" t="s">
        <v>1955</v>
      </c>
      <c r="AW419" s="431" t="s">
        <v>1956</v>
      </c>
      <c r="AX419" s="431" t="s">
        <v>511</v>
      </c>
      <c r="AY419" s="431"/>
      <c r="AZ419" s="431"/>
      <c r="BA419" s="431"/>
      <c r="BB419" s="431"/>
      <c r="BC419" s="445"/>
      <c r="BD419" s="404">
        <f>SUM($AS$4:AS419)</f>
        <v>2788.9350000000163</v>
      </c>
      <c r="BE419" s="405">
        <f>SUM($AR$4:AR419)</f>
        <v>2811.559999999984</v>
      </c>
      <c r="BF419" s="330"/>
      <c r="BG419" s="330"/>
    </row>
    <row r="420" spans="1:59" ht="15.75" customHeight="1">
      <c r="A420" s="227" t="s">
        <v>1701</v>
      </c>
      <c r="B420" s="204">
        <v>45012</v>
      </c>
      <c r="C420" s="205" t="s">
        <v>1953</v>
      </c>
      <c r="D420" s="205" t="s">
        <v>114</v>
      </c>
      <c r="E420" s="254"/>
      <c r="F420" s="207"/>
      <c r="G420" s="326" t="s">
        <v>115</v>
      </c>
      <c r="H420" s="209"/>
      <c r="I420" s="209"/>
      <c r="J420" s="209"/>
      <c r="K420" s="210"/>
      <c r="L420" s="209">
        <v>1</v>
      </c>
      <c r="M420" s="209"/>
      <c r="N420" s="209"/>
      <c r="O420" s="210" t="s">
        <v>76</v>
      </c>
      <c r="P420" s="210" t="s">
        <v>77</v>
      </c>
      <c r="Q420" s="210" t="s">
        <v>78</v>
      </c>
      <c r="R420" s="210">
        <v>10</v>
      </c>
      <c r="S420" s="210">
        <v>10</v>
      </c>
      <c r="T420" s="210">
        <v>10</v>
      </c>
      <c r="U420" s="210" t="s">
        <v>78</v>
      </c>
      <c r="V420" s="188">
        <f t="shared" ref="V420" si="517">IF(ISBLANK(O420),"",(IF(O420=UPPER("IB"),0.005,0.01)))</f>
        <v>0.01</v>
      </c>
      <c r="W420" s="188">
        <f t="shared" ref="W420" si="518">IF(ISBLANK(O420),"",IF(O420="IB",8.63*200,IF(O420="IR",16*100,IF(O420="YT",20))))</f>
        <v>1600</v>
      </c>
      <c r="X420" s="212" t="s">
        <v>80</v>
      </c>
      <c r="Y420" s="212"/>
      <c r="Z420" s="212"/>
      <c r="AA420" s="213">
        <v>-0.04</v>
      </c>
      <c r="AB420" s="209"/>
      <c r="AC420" s="345"/>
      <c r="AD420" s="209"/>
      <c r="AE420" s="209"/>
      <c r="AF420" s="209"/>
      <c r="AG420" s="209"/>
      <c r="AH420" s="209"/>
      <c r="AI420" s="191">
        <f t="shared" ref="AI420" si="519">-0.03*W420</f>
        <v>-48</v>
      </c>
      <c r="AJ420" s="191">
        <f t="shared" ref="AJ420" si="520">AI420*R420</f>
        <v>-480</v>
      </c>
      <c r="AK420" s="209"/>
      <c r="AL420" s="209"/>
      <c r="AM420" s="209" t="s">
        <v>1273</v>
      </c>
      <c r="AN420" s="345" t="s">
        <v>87</v>
      </c>
      <c r="AO420" s="209" t="s">
        <v>746</v>
      </c>
      <c r="AP420" s="215">
        <v>-0.06</v>
      </c>
      <c r="AQ420" s="193">
        <f t="shared" ref="AQ420" si="521">IF(ISBLANK(AP420),,IF(U420="S",AA420-AP420,AP420-AA420))</f>
        <v>1.9999999999999997E-2</v>
      </c>
      <c r="AR420" s="191">
        <f t="shared" ref="AR420" si="522">AS420*R420</f>
        <v>319.99999999999994</v>
      </c>
      <c r="AS420" s="194">
        <f t="shared" ref="AS420" si="523">IF(ISBLANK(AP420),,(AQ420*W420))</f>
        <v>31.999999999999996</v>
      </c>
      <c r="AT420" s="217" t="s">
        <v>77</v>
      </c>
      <c r="AU420" s="431" t="s">
        <v>1954</v>
      </c>
      <c r="AV420" s="431" t="s">
        <v>1957</v>
      </c>
      <c r="AW420" s="431" t="s">
        <v>1958</v>
      </c>
      <c r="AX420" s="431" t="s">
        <v>511</v>
      </c>
      <c r="AY420" s="431"/>
      <c r="AZ420" s="431"/>
      <c r="BA420" s="431"/>
      <c r="BB420" s="431"/>
      <c r="BC420" s="445"/>
      <c r="BD420" s="404">
        <f>SUM($AS$4:AS420)</f>
        <v>2820.9350000000163</v>
      </c>
      <c r="BE420" s="405">
        <f>SUM($AR$4:AR420)</f>
        <v>3131.559999999984</v>
      </c>
      <c r="BF420" s="330"/>
      <c r="BG420" s="330"/>
    </row>
    <row r="421" spans="1:59" ht="15.75" customHeight="1">
      <c r="A421" s="227" t="s">
        <v>1701</v>
      </c>
      <c r="B421" s="204">
        <v>45012</v>
      </c>
      <c r="C421" s="205" t="s">
        <v>360</v>
      </c>
      <c r="D421" s="205" t="s">
        <v>114</v>
      </c>
      <c r="E421" s="254"/>
      <c r="F421" s="207"/>
      <c r="G421" s="326" t="s">
        <v>535</v>
      </c>
      <c r="H421" s="209"/>
      <c r="I421" s="209"/>
      <c r="J421" s="209"/>
      <c r="K421" s="210"/>
      <c r="L421" s="209">
        <v>1</v>
      </c>
      <c r="M421" s="209"/>
      <c r="N421" s="209"/>
      <c r="O421" s="210" t="s">
        <v>76</v>
      </c>
      <c r="P421" s="210" t="s">
        <v>119</v>
      </c>
      <c r="Q421" s="210" t="s">
        <v>78</v>
      </c>
      <c r="R421" s="210">
        <v>5</v>
      </c>
      <c r="S421" s="210">
        <v>5</v>
      </c>
      <c r="T421" s="210">
        <v>5</v>
      </c>
      <c r="U421" s="210" t="s">
        <v>22</v>
      </c>
      <c r="V421" s="188">
        <f t="shared" ref="V421" si="524">IF(ISBLANK(O421),"",(IF(O421=UPPER("IB"),0.005,0.01)))</f>
        <v>0.01</v>
      </c>
      <c r="W421" s="188">
        <f t="shared" ref="W421" si="525">IF(ISBLANK(O421),"",IF(O421="IB",8.63*200,IF(O421="IR",16*100,IF(O421="YT",20))))</f>
        <v>1600</v>
      </c>
      <c r="X421" s="212" t="s">
        <v>80</v>
      </c>
      <c r="Y421" s="212"/>
      <c r="Z421" s="212"/>
      <c r="AA421" s="213">
        <v>-0.03</v>
      </c>
      <c r="AB421" s="209"/>
      <c r="AC421" s="345"/>
      <c r="AD421" s="209"/>
      <c r="AE421" s="209"/>
      <c r="AF421" s="209"/>
      <c r="AG421" s="209"/>
      <c r="AH421" s="209"/>
      <c r="AI421" s="191">
        <f t="shared" ref="AI421:AI422" si="526">-0.03*W421</f>
        <v>-48</v>
      </c>
      <c r="AJ421" s="191">
        <f t="shared" ref="AJ421:AJ422" si="527">AI421*R421</f>
        <v>-240</v>
      </c>
      <c r="AK421" s="209"/>
      <c r="AL421" s="209"/>
      <c r="AM421" s="209" t="s">
        <v>1066</v>
      </c>
      <c r="AN421" s="345" t="s">
        <v>87</v>
      </c>
      <c r="AO421" s="209" t="s">
        <v>1959</v>
      </c>
      <c r="AP421" s="215">
        <f>((-0.02*1)+(-0.03*4))/5</f>
        <v>-2.7999999999999997E-2</v>
      </c>
      <c r="AQ421" s="193">
        <f t="shared" ref="AQ421:AQ422" si="528">IF(ISBLANK(AP421),,IF(U421="S",AA421-AP421,AP421-AA421))</f>
        <v>2.0000000000000018E-3</v>
      </c>
      <c r="AR421" s="191">
        <f t="shared" ref="AR421:AR422" si="529">AS421*R421</f>
        <v>16.000000000000014</v>
      </c>
      <c r="AS421" s="194">
        <f t="shared" ref="AS421:AS422" si="530">IF(ISBLANK(AP421),,(AQ421*W421))</f>
        <v>3.2000000000000028</v>
      </c>
      <c r="AT421" s="217" t="s">
        <v>77</v>
      </c>
      <c r="AU421" s="431" t="s">
        <v>1960</v>
      </c>
      <c r="AV421" s="431" t="s">
        <v>1961</v>
      </c>
      <c r="AW421" s="431" t="s">
        <v>1962</v>
      </c>
      <c r="AX421" s="431"/>
      <c r="AY421" s="431"/>
      <c r="AZ421" s="431"/>
      <c r="BA421" s="431"/>
      <c r="BB421" s="431"/>
      <c r="BC421" s="445"/>
      <c r="BD421" s="404">
        <f>SUM($AS$4:AS421)</f>
        <v>2824.1350000000161</v>
      </c>
      <c r="BE421" s="405">
        <f>SUM($AR$4:AR421)</f>
        <v>3147.559999999984</v>
      </c>
      <c r="BF421" s="330"/>
      <c r="BG421" s="330"/>
    </row>
    <row r="422" spans="1:59" ht="15.75" customHeight="1">
      <c r="A422" s="227" t="s">
        <v>1701</v>
      </c>
      <c r="B422" s="204">
        <v>45012</v>
      </c>
      <c r="C422" s="205" t="s">
        <v>1963</v>
      </c>
      <c r="D422" s="205" t="s">
        <v>114</v>
      </c>
      <c r="E422" s="254"/>
      <c r="F422" s="207"/>
      <c r="G422" s="326" t="s">
        <v>253</v>
      </c>
      <c r="H422" s="209"/>
      <c r="I422" s="209"/>
      <c r="J422" s="209"/>
      <c r="K422" s="210"/>
      <c r="L422" s="209">
        <v>1</v>
      </c>
      <c r="M422" s="209"/>
      <c r="N422" s="209"/>
      <c r="O422" s="210" t="s">
        <v>76</v>
      </c>
      <c r="P422" s="210" t="s">
        <v>77</v>
      </c>
      <c r="Q422" s="210" t="s">
        <v>78</v>
      </c>
      <c r="R422" s="210">
        <v>5</v>
      </c>
      <c r="S422" s="210">
        <v>5</v>
      </c>
      <c r="T422" s="210">
        <v>5</v>
      </c>
      <c r="U422" s="210" t="s">
        <v>22</v>
      </c>
      <c r="V422" s="188">
        <f t="shared" ref="V422" si="531">IF(ISBLANK(O422),"",(IF(O422=UPPER("IB"),0.005,0.01)))</f>
        <v>0.01</v>
      </c>
      <c r="W422" s="188">
        <f t="shared" ref="W422" si="532">IF(ISBLANK(O422),"",IF(O422="IB",8.63*200,IF(O422="IR",16*100,IF(O422="YT",20))))</f>
        <v>1600</v>
      </c>
      <c r="X422" s="212" t="s">
        <v>1964</v>
      </c>
      <c r="Y422" s="212"/>
      <c r="Z422" s="212"/>
      <c r="AA422" s="213">
        <v>-0.05</v>
      </c>
      <c r="AB422" s="209"/>
      <c r="AC422" s="345"/>
      <c r="AD422" s="209"/>
      <c r="AE422" s="209"/>
      <c r="AF422" s="209"/>
      <c r="AG422" s="209"/>
      <c r="AH422" s="209"/>
      <c r="AI422" s="191">
        <f t="shared" si="526"/>
        <v>-48</v>
      </c>
      <c r="AJ422" s="191">
        <f t="shared" si="527"/>
        <v>-240</v>
      </c>
      <c r="AK422" s="209"/>
      <c r="AL422" s="209"/>
      <c r="AM422" s="209" t="s">
        <v>1620</v>
      </c>
      <c r="AN422" s="345" t="s">
        <v>87</v>
      </c>
      <c r="AO422" s="209" t="s">
        <v>1965</v>
      </c>
      <c r="AP422" s="215">
        <f>((-0.05*2)+(-0.05*3))/5</f>
        <v>-0.05</v>
      </c>
      <c r="AQ422" s="193">
        <f t="shared" si="528"/>
        <v>0</v>
      </c>
      <c r="AR422" s="191">
        <f t="shared" si="529"/>
        <v>0</v>
      </c>
      <c r="AS422" s="194">
        <f t="shared" si="530"/>
        <v>0</v>
      </c>
      <c r="AT422" s="217" t="s">
        <v>97</v>
      </c>
      <c r="AU422" s="431" t="s">
        <v>1966</v>
      </c>
      <c r="AV422" s="431" t="s">
        <v>511</v>
      </c>
      <c r="AW422" s="431"/>
      <c r="AX422" s="431"/>
      <c r="AY422" s="431"/>
      <c r="AZ422" s="431"/>
      <c r="BA422" s="431"/>
      <c r="BB422" s="431"/>
      <c r="BC422" s="445"/>
      <c r="BD422" s="404">
        <f>SUM($AS$4:AS422)</f>
        <v>2824.1350000000161</v>
      </c>
      <c r="BE422" s="405">
        <f>SUM($AR$4:AR422)</f>
        <v>3147.559999999984</v>
      </c>
      <c r="BF422" s="330"/>
      <c r="BG422" s="330"/>
    </row>
    <row r="423" spans="1:59" ht="15.75" customHeight="1">
      <c r="A423" s="227" t="s">
        <v>1701</v>
      </c>
      <c r="B423" s="204">
        <v>45012</v>
      </c>
      <c r="C423" s="205" t="s">
        <v>1967</v>
      </c>
      <c r="D423" s="205" t="s">
        <v>114</v>
      </c>
      <c r="E423" s="254"/>
      <c r="F423" s="207"/>
      <c r="G423" s="326" t="s">
        <v>253</v>
      </c>
      <c r="H423" s="209"/>
      <c r="I423" s="209"/>
      <c r="J423" s="209"/>
      <c r="K423" s="210"/>
      <c r="L423" s="209">
        <v>1</v>
      </c>
      <c r="M423" s="209"/>
      <c r="N423" s="209"/>
      <c r="O423" s="210" t="s">
        <v>76</v>
      </c>
      <c r="P423" s="210" t="s">
        <v>77</v>
      </c>
      <c r="Q423" s="210" t="s">
        <v>78</v>
      </c>
      <c r="R423" s="210">
        <v>5</v>
      </c>
      <c r="S423" s="210">
        <v>5</v>
      </c>
      <c r="T423" s="210">
        <v>5</v>
      </c>
      <c r="U423" s="210" t="s">
        <v>78</v>
      </c>
      <c r="V423" s="188">
        <f t="shared" ref="V423" si="533">IF(ISBLANK(O423),"",(IF(O423=UPPER("IB"),0.005,0.01)))</f>
        <v>0.01</v>
      </c>
      <c r="W423" s="188">
        <f t="shared" ref="W423" si="534">IF(ISBLANK(O423),"",IF(O423="IB",8.63*200,IF(O423="IR",16*100,IF(O423="YT",20))))</f>
        <v>1600</v>
      </c>
      <c r="X423" s="212" t="s">
        <v>1964</v>
      </c>
      <c r="Y423" s="212"/>
      <c r="Z423" s="212"/>
      <c r="AA423" s="213">
        <v>-0.04</v>
      </c>
      <c r="AB423" s="209"/>
      <c r="AC423" s="345"/>
      <c r="AD423" s="209"/>
      <c r="AE423" s="209"/>
      <c r="AF423" s="209"/>
      <c r="AG423" s="209"/>
      <c r="AH423" s="209"/>
      <c r="AI423" s="191">
        <f t="shared" ref="AI423" si="535">-0.03*W423</f>
        <v>-48</v>
      </c>
      <c r="AJ423" s="191">
        <f t="shared" ref="AJ423" si="536">AI423*R423</f>
        <v>-240</v>
      </c>
      <c r="AK423" s="209"/>
      <c r="AL423" s="209"/>
      <c r="AM423" s="209" t="s">
        <v>1968</v>
      </c>
      <c r="AN423" s="345" t="s">
        <v>87</v>
      </c>
      <c r="AO423" s="209" t="s">
        <v>159</v>
      </c>
      <c r="AP423" s="215">
        <v>-0.04</v>
      </c>
      <c r="AQ423" s="193">
        <f t="shared" ref="AQ423" si="537">IF(ISBLANK(AP423),,IF(U423="S",AA423-AP423,AP423-AA423))</f>
        <v>0</v>
      </c>
      <c r="AR423" s="191">
        <f t="shared" ref="AR423" si="538">AS423*R423</f>
        <v>0</v>
      </c>
      <c r="AS423" s="194">
        <f t="shared" ref="AS423" si="539">IF(ISBLANK(AP423),,(AQ423*W423))</f>
        <v>0</v>
      </c>
      <c r="AT423" s="217" t="s">
        <v>97</v>
      </c>
      <c r="AU423" s="431" t="s">
        <v>1960</v>
      </c>
      <c r="AV423" s="431" t="s">
        <v>1969</v>
      </c>
      <c r="AW423" s="431"/>
      <c r="AX423" s="431"/>
      <c r="AY423" s="431"/>
      <c r="AZ423" s="431"/>
      <c r="BA423" s="431"/>
      <c r="BB423" s="431"/>
      <c r="BC423" s="445"/>
      <c r="BD423" s="404">
        <f>SUM($AS$4:AS423)</f>
        <v>2824.1350000000161</v>
      </c>
      <c r="BE423" s="405">
        <f>SUM($AR$4:AR423)</f>
        <v>3147.559999999984</v>
      </c>
      <c r="BF423" s="330"/>
      <c r="BG423" s="330"/>
    </row>
    <row r="424" spans="1:59" ht="15.75" customHeight="1">
      <c r="A424" s="227" t="s">
        <v>1701</v>
      </c>
      <c r="B424" s="204">
        <v>45013</v>
      </c>
      <c r="C424" s="205" t="s">
        <v>1418</v>
      </c>
      <c r="D424" s="205" t="s">
        <v>128</v>
      </c>
      <c r="E424" s="233" t="s">
        <v>1970</v>
      </c>
      <c r="F424" s="184" t="s">
        <v>1971</v>
      </c>
      <c r="G424" s="185"/>
      <c r="H424" s="186">
        <v>1</v>
      </c>
      <c r="I424" s="186"/>
      <c r="J424" s="186"/>
      <c r="K424" s="187" t="s">
        <v>87</v>
      </c>
      <c r="L424" s="186"/>
      <c r="M424" s="186"/>
      <c r="N424" s="186"/>
      <c r="O424" s="187"/>
      <c r="P424" s="187"/>
      <c r="Q424" s="187"/>
      <c r="R424" s="187"/>
      <c r="S424" s="187"/>
      <c r="T424" s="187"/>
      <c r="U424" s="187"/>
      <c r="V424" s="188" t="str">
        <f t="shared" ref="V424:V425" si="540">IF(ISBLANK(O424),"",(IF(O424=UPPER("IB"),0.005,0.01)))</f>
        <v/>
      </c>
      <c r="W424" s="188" t="str">
        <f t="shared" ref="W424:W425" si="541">IF(ISBLANK(O424),"",IF(O424="IB",8.63*200,IF(O424="IR",16*100,IF(O424="YT",20))))</f>
        <v/>
      </c>
      <c r="X424" s="189"/>
      <c r="Y424" s="189"/>
      <c r="Z424" s="189"/>
      <c r="AA424" s="190"/>
      <c r="AB424" s="186"/>
      <c r="AC424" s="344"/>
      <c r="AD424" s="186"/>
      <c r="AE424" s="186"/>
      <c r="AF424" s="186"/>
      <c r="AG424" s="186"/>
      <c r="AH424" s="186"/>
      <c r="AI424" s="191"/>
      <c r="AJ424" s="191"/>
      <c r="AK424" s="186"/>
      <c r="AL424" s="186"/>
      <c r="AM424" s="186"/>
      <c r="AN424" s="344"/>
      <c r="AO424" s="186"/>
      <c r="AP424" s="193"/>
      <c r="AQ424" s="193">
        <f t="shared" ref="AQ424:AQ425" si="542">IF(ISBLANK(AP424),,IF(U424="S",AA424-AP424,AP424-AA424))</f>
        <v>0</v>
      </c>
      <c r="AR424" s="191">
        <f t="shared" ref="AR424:AR425" si="543">AS424*R424</f>
        <v>0</v>
      </c>
      <c r="AS424" s="194">
        <f t="shared" ref="AS424:AS425" si="544">IF(ISBLANK(AP424),,(AQ424*W424))</f>
        <v>0</v>
      </c>
      <c r="AT424" s="195"/>
      <c r="AU424" s="425"/>
      <c r="AV424" s="425"/>
      <c r="AW424" s="425"/>
      <c r="AX424" s="425"/>
      <c r="AY424" s="425"/>
      <c r="AZ424" s="425"/>
      <c r="BA424" s="425"/>
      <c r="BB424" s="425"/>
      <c r="BC424" s="440"/>
      <c r="BD424" s="404">
        <f>SUM($AS$4:AS424)</f>
        <v>2824.1350000000161</v>
      </c>
      <c r="BE424" s="405">
        <f>SUM($AR$4:AR424)</f>
        <v>3147.559999999984</v>
      </c>
      <c r="BF424" s="330"/>
      <c r="BG424" s="330"/>
    </row>
    <row r="425" spans="1:59" ht="15.75" customHeight="1">
      <c r="A425" s="227" t="s">
        <v>1701</v>
      </c>
      <c r="B425" s="204">
        <v>45013</v>
      </c>
      <c r="C425" s="205" t="s">
        <v>1418</v>
      </c>
      <c r="D425" s="205" t="s">
        <v>128</v>
      </c>
      <c r="E425" s="254"/>
      <c r="F425" s="207"/>
      <c r="G425" s="208" t="s">
        <v>965</v>
      </c>
      <c r="H425" s="209"/>
      <c r="I425" s="209"/>
      <c r="J425" s="209"/>
      <c r="K425" s="210"/>
      <c r="L425" s="209">
        <v>1</v>
      </c>
      <c r="M425" s="209"/>
      <c r="N425" s="209"/>
      <c r="O425" s="210" t="s">
        <v>76</v>
      </c>
      <c r="P425" s="210" t="s">
        <v>77</v>
      </c>
      <c r="Q425" s="210" t="s">
        <v>666</v>
      </c>
      <c r="R425" s="210">
        <v>2</v>
      </c>
      <c r="S425" s="210">
        <v>2</v>
      </c>
      <c r="T425" s="210">
        <v>2</v>
      </c>
      <c r="U425" s="210" t="s">
        <v>78</v>
      </c>
      <c r="V425" s="188">
        <f t="shared" si="540"/>
        <v>0.01</v>
      </c>
      <c r="W425" s="188">
        <f t="shared" si="541"/>
        <v>1600</v>
      </c>
      <c r="X425" s="212" t="s">
        <v>1078</v>
      </c>
      <c r="Y425" s="212"/>
      <c r="Z425" s="212"/>
      <c r="AA425" s="213">
        <v>96.53</v>
      </c>
      <c r="AB425" s="209"/>
      <c r="AC425" s="345"/>
      <c r="AD425" s="209"/>
      <c r="AE425" s="209"/>
      <c r="AF425" s="209"/>
      <c r="AG425" s="209"/>
      <c r="AH425" s="209"/>
      <c r="AI425" s="191"/>
      <c r="AJ425" s="191"/>
      <c r="AK425" s="209"/>
      <c r="AL425" s="209"/>
      <c r="AM425" s="209" t="s">
        <v>1972</v>
      </c>
      <c r="AN425" s="345" t="s">
        <v>376</v>
      </c>
      <c r="AO425" s="209" t="s">
        <v>1973</v>
      </c>
      <c r="AP425" s="215">
        <v>96.54</v>
      </c>
      <c r="AQ425" s="193">
        <f t="shared" si="542"/>
        <v>-1.0000000000005116E-2</v>
      </c>
      <c r="AR425" s="191">
        <f t="shared" si="543"/>
        <v>-32.000000000016371</v>
      </c>
      <c r="AS425" s="194">
        <f t="shared" si="544"/>
        <v>-16.000000000008185</v>
      </c>
      <c r="AT425" s="217" t="s">
        <v>211</v>
      </c>
      <c r="AU425" s="431" t="s">
        <v>1974</v>
      </c>
      <c r="AV425" s="431" t="s">
        <v>1975</v>
      </c>
      <c r="AW425" s="431" t="s">
        <v>511</v>
      </c>
      <c r="AX425" s="431"/>
      <c r="AY425" s="431"/>
      <c r="AZ425" s="431"/>
      <c r="BA425" s="431"/>
      <c r="BB425" s="431"/>
      <c r="BC425" s="445"/>
      <c r="BD425" s="404">
        <f>SUM($AS$4:AS425)</f>
        <v>2808.1350000000079</v>
      </c>
      <c r="BE425" s="405">
        <f>SUM($AR$4:AR425)</f>
        <v>3115.5599999999677</v>
      </c>
      <c r="BF425" s="330"/>
      <c r="BG425" s="330"/>
    </row>
    <row r="426" spans="1:59" ht="15.75" customHeight="1">
      <c r="A426" s="227" t="s">
        <v>1701</v>
      </c>
      <c r="B426" s="204">
        <v>45013</v>
      </c>
      <c r="C426" s="205" t="s">
        <v>1976</v>
      </c>
      <c r="D426" s="205" t="s">
        <v>128</v>
      </c>
      <c r="E426" s="254"/>
      <c r="F426" s="207"/>
      <c r="G426" s="326" t="s">
        <v>253</v>
      </c>
      <c r="H426" s="209"/>
      <c r="I426" s="209"/>
      <c r="J426" s="209"/>
      <c r="K426" s="210"/>
      <c r="L426" s="209">
        <v>1</v>
      </c>
      <c r="M426" s="209"/>
      <c r="N426" s="209"/>
      <c r="O426" s="210" t="s">
        <v>76</v>
      </c>
      <c r="P426" s="210" t="s">
        <v>77</v>
      </c>
      <c r="Q426" s="210" t="s">
        <v>78</v>
      </c>
      <c r="R426" s="210">
        <v>10</v>
      </c>
      <c r="S426" s="210">
        <v>10</v>
      </c>
      <c r="T426" s="210">
        <v>5</v>
      </c>
      <c r="U426" s="210" t="s">
        <v>78</v>
      </c>
      <c r="V426" s="188">
        <f t="shared" ref="V426" si="545">IF(ISBLANK(O426),"",(IF(O426=UPPER("IB"),0.005,0.01)))</f>
        <v>0.01</v>
      </c>
      <c r="W426" s="188">
        <f t="shared" ref="W426" si="546">IF(ISBLANK(O426),"",IF(O426="IB",8.63*200,IF(O426="IR",16*100,IF(O426="YT",20))))</f>
        <v>1600</v>
      </c>
      <c r="X426" s="212" t="s">
        <v>80</v>
      </c>
      <c r="Y426" s="212"/>
      <c r="Z426" s="212"/>
      <c r="AA426" s="213">
        <v>-0.04</v>
      </c>
      <c r="AB426" s="209"/>
      <c r="AC426" s="345"/>
      <c r="AD426" s="209"/>
      <c r="AE426" s="209"/>
      <c r="AF426" s="209"/>
      <c r="AG426" s="209"/>
      <c r="AH426" s="209"/>
      <c r="AI426" s="191">
        <f>-0.02*W426</f>
        <v>-32</v>
      </c>
      <c r="AJ426" s="191">
        <f t="shared" ref="AJ426" si="547">AI426*R426</f>
        <v>-320</v>
      </c>
      <c r="AK426" s="209"/>
      <c r="AL426" s="209"/>
      <c r="AM426" s="209" t="s">
        <v>786</v>
      </c>
      <c r="AN426" s="345" t="s">
        <v>97</v>
      </c>
      <c r="AO426" s="209" t="s">
        <v>1977</v>
      </c>
      <c r="AP426" s="193">
        <f>((-0.04*5)+(-0.05*5))/10</f>
        <v>-4.4999999999999998E-2</v>
      </c>
      <c r="AQ426" s="193">
        <f t="shared" ref="AQ426:AQ429" si="548">IF(ISBLANK(AP426),,IF(U426="S",AA426-AP426,AP426-AA426))</f>
        <v>4.9999999999999975E-3</v>
      </c>
      <c r="AR426" s="191">
        <f t="shared" ref="AR426:AR429" si="549">AS426*R426</f>
        <v>79.999999999999972</v>
      </c>
      <c r="AS426" s="194">
        <f t="shared" ref="AS426:AS429" si="550">IF(ISBLANK(AP426),,(AQ426*W426))</f>
        <v>7.9999999999999964</v>
      </c>
      <c r="AT426" s="217" t="s">
        <v>77</v>
      </c>
      <c r="AU426" s="431" t="s">
        <v>1978</v>
      </c>
      <c r="AV426" s="431"/>
      <c r="AW426" s="431" t="s">
        <v>1979</v>
      </c>
      <c r="AX426" s="431" t="s">
        <v>1980</v>
      </c>
      <c r="AY426" s="431" t="s">
        <v>511</v>
      </c>
      <c r="AZ426" s="431"/>
      <c r="BA426" s="431"/>
      <c r="BB426" s="431"/>
      <c r="BC426" s="445"/>
      <c r="BD426" s="404">
        <f>SUM($AS$4:AS426)</f>
        <v>2816.1350000000079</v>
      </c>
      <c r="BE426" s="405">
        <f>SUM($AR$4:AR426)</f>
        <v>3195.5599999999677</v>
      </c>
      <c r="BF426" s="330"/>
      <c r="BG426" s="330"/>
    </row>
    <row r="427" spans="1:59" ht="15.75" customHeight="1">
      <c r="A427" s="227" t="s">
        <v>1701</v>
      </c>
      <c r="B427" s="204">
        <v>45014</v>
      </c>
      <c r="C427" s="205" t="s">
        <v>1418</v>
      </c>
      <c r="D427" s="205" t="s">
        <v>133</v>
      </c>
      <c r="E427" s="254" t="s">
        <v>1981</v>
      </c>
      <c r="F427" s="207" t="s">
        <v>1982</v>
      </c>
      <c r="G427" s="208"/>
      <c r="H427" s="209"/>
      <c r="I427" s="209"/>
      <c r="J427" s="209">
        <v>1</v>
      </c>
      <c r="K427" s="210" t="s">
        <v>97</v>
      </c>
      <c r="L427" s="209"/>
      <c r="M427" s="209"/>
      <c r="N427" s="209"/>
      <c r="O427" s="210"/>
      <c r="P427" s="210"/>
      <c r="Q427" s="210"/>
      <c r="R427" s="210"/>
      <c r="S427" s="210"/>
      <c r="T427" s="210"/>
      <c r="U427" s="210"/>
      <c r="V427" s="188" t="str">
        <f t="shared" ref="V427:V428" si="551">IF(ISBLANK(O427),"",(IF(O427=UPPER("IB"),0.005,0.01)))</f>
        <v/>
      </c>
      <c r="W427" s="188" t="str">
        <f t="shared" ref="W427:W428" si="552">IF(ISBLANK(O427),"",IF(O427="IB",8.63*200,IF(O427="IR",16*100,IF(O427="YT",20))))</f>
        <v/>
      </c>
      <c r="X427" s="212"/>
      <c r="Y427" s="212"/>
      <c r="Z427" s="212"/>
      <c r="AA427" s="213"/>
      <c r="AB427" s="209"/>
      <c r="AC427" s="345"/>
      <c r="AD427" s="209"/>
      <c r="AE427" s="209"/>
      <c r="AF427" s="209"/>
      <c r="AG427" s="209"/>
      <c r="AH427" s="209"/>
      <c r="AI427" s="191"/>
      <c r="AJ427" s="191"/>
      <c r="AK427" s="209"/>
      <c r="AL427" s="209"/>
      <c r="AM427" s="209"/>
      <c r="AN427" s="345"/>
      <c r="AO427" s="209"/>
      <c r="AP427" s="215"/>
      <c r="AQ427" s="193"/>
      <c r="AR427" s="191"/>
      <c r="AS427" s="194"/>
      <c r="AT427" s="217"/>
      <c r="AU427" s="431" t="s">
        <v>1983</v>
      </c>
      <c r="AV427" s="431" t="s">
        <v>1984</v>
      </c>
      <c r="AW427" s="431"/>
      <c r="AX427" s="431"/>
      <c r="AY427" s="431"/>
      <c r="AZ427" s="431"/>
      <c r="BA427" s="431"/>
      <c r="BB427" s="431"/>
      <c r="BC427" s="445"/>
      <c r="BD427" s="404">
        <f>SUM($AS$4:AS427)</f>
        <v>2816.1350000000079</v>
      </c>
      <c r="BE427" s="405">
        <f>SUM($AR$4:AR427)</f>
        <v>3195.5599999999677</v>
      </c>
      <c r="BF427" s="330"/>
      <c r="BG427" s="330"/>
    </row>
    <row r="428" spans="1:59" ht="15.75" customHeight="1">
      <c r="A428" s="227" t="s">
        <v>1701</v>
      </c>
      <c r="B428" s="204">
        <v>45014</v>
      </c>
      <c r="C428" s="205" t="s">
        <v>1418</v>
      </c>
      <c r="D428" s="205" t="s">
        <v>133</v>
      </c>
      <c r="E428" s="254"/>
      <c r="F428" s="207"/>
      <c r="G428" s="326" t="s">
        <v>253</v>
      </c>
      <c r="H428" s="209"/>
      <c r="I428" s="209"/>
      <c r="J428" s="209"/>
      <c r="K428" s="210"/>
      <c r="L428" s="209">
        <v>1</v>
      </c>
      <c r="M428" s="209"/>
      <c r="N428" s="209"/>
      <c r="O428" s="210" t="s">
        <v>76</v>
      </c>
      <c r="P428" s="210" t="s">
        <v>77</v>
      </c>
      <c r="Q428" s="210" t="s">
        <v>78</v>
      </c>
      <c r="R428" s="210">
        <v>5</v>
      </c>
      <c r="S428" s="210">
        <v>5</v>
      </c>
      <c r="T428" s="210">
        <v>5</v>
      </c>
      <c r="U428" s="210" t="s">
        <v>78</v>
      </c>
      <c r="V428" s="188">
        <f t="shared" si="551"/>
        <v>0.01</v>
      </c>
      <c r="W428" s="188">
        <f t="shared" si="552"/>
        <v>1600</v>
      </c>
      <c r="X428" s="212" t="s">
        <v>80</v>
      </c>
      <c r="Y428" s="212"/>
      <c r="Z428" s="212"/>
      <c r="AA428" s="213">
        <v>-0.03</v>
      </c>
      <c r="AB428" s="209"/>
      <c r="AC428" s="345"/>
      <c r="AD428" s="209"/>
      <c r="AE428" s="209"/>
      <c r="AF428" s="209"/>
      <c r="AG428" s="209"/>
      <c r="AH428" s="209"/>
      <c r="AI428" s="191">
        <f t="shared" ref="AI428:AI429" si="553">-0.02*W428</f>
        <v>-32</v>
      </c>
      <c r="AJ428" s="191">
        <f t="shared" ref="AJ428:AJ429" si="554">AI428*R428</f>
        <v>-160</v>
      </c>
      <c r="AK428" s="209"/>
      <c r="AL428" s="209"/>
      <c r="AM428" s="209" t="s">
        <v>1985</v>
      </c>
      <c r="AN428" s="345" t="s">
        <v>87</v>
      </c>
      <c r="AO428" s="209" t="s">
        <v>397</v>
      </c>
      <c r="AP428" s="215">
        <v>-0.05</v>
      </c>
      <c r="AQ428" s="193">
        <f t="shared" si="548"/>
        <v>2.0000000000000004E-2</v>
      </c>
      <c r="AR428" s="191">
        <f t="shared" si="549"/>
        <v>160.00000000000003</v>
      </c>
      <c r="AS428" s="194">
        <f t="shared" si="550"/>
        <v>32.000000000000007</v>
      </c>
      <c r="AT428" s="217" t="s">
        <v>77</v>
      </c>
      <c r="AU428" s="431"/>
      <c r="AV428" s="431"/>
      <c r="AW428" s="431"/>
      <c r="AX428" s="431"/>
      <c r="AY428" s="431"/>
      <c r="AZ428" s="431"/>
      <c r="BA428" s="431"/>
      <c r="BB428" s="431"/>
      <c r="BC428" s="445"/>
      <c r="BD428" s="404">
        <f>SUM($AS$4:AS428)</f>
        <v>2848.1350000000079</v>
      </c>
      <c r="BE428" s="405">
        <f>SUM($AR$4:AR428)</f>
        <v>3355.5599999999677</v>
      </c>
      <c r="BF428" s="330"/>
      <c r="BG428" s="330"/>
    </row>
    <row r="429" spans="1:59" ht="15.75" customHeight="1">
      <c r="A429" s="227" t="s">
        <v>1701</v>
      </c>
      <c r="B429" s="204">
        <v>45014</v>
      </c>
      <c r="C429" s="205" t="s">
        <v>664</v>
      </c>
      <c r="D429" s="205" t="s">
        <v>133</v>
      </c>
      <c r="E429" s="254"/>
      <c r="F429" s="207"/>
      <c r="G429" s="326" t="s">
        <v>868</v>
      </c>
      <c r="H429" s="209"/>
      <c r="I429" s="209"/>
      <c r="J429" s="209"/>
      <c r="K429" s="210"/>
      <c r="L429" s="209">
        <v>1</v>
      </c>
      <c r="M429" s="209"/>
      <c r="N429" s="209"/>
      <c r="O429" s="210" t="s">
        <v>76</v>
      </c>
      <c r="P429" s="210" t="s">
        <v>119</v>
      </c>
      <c r="Q429" s="210" t="s">
        <v>78</v>
      </c>
      <c r="R429" s="210">
        <v>5</v>
      </c>
      <c r="S429" s="210">
        <v>5</v>
      </c>
      <c r="T429" s="210">
        <v>5</v>
      </c>
      <c r="U429" s="210" t="s">
        <v>22</v>
      </c>
      <c r="V429" s="188">
        <f t="shared" ref="V429:V431" si="555">IF(ISBLANK(O429),"",(IF(O429=UPPER("IB"),0.005,0.01)))</f>
        <v>0.01</v>
      </c>
      <c r="W429" s="188">
        <f t="shared" ref="W429:W431" si="556">IF(ISBLANK(O429),"",IF(O429="IB",8.63*200,IF(O429="IR",16*100,IF(O429="YT",20))))</f>
        <v>1600</v>
      </c>
      <c r="X429" s="212" t="s">
        <v>80</v>
      </c>
      <c r="Y429" s="212"/>
      <c r="Z429" s="212"/>
      <c r="AA429" s="213">
        <v>-0.04</v>
      </c>
      <c r="AB429" s="209"/>
      <c r="AC429" s="345"/>
      <c r="AD429" s="209"/>
      <c r="AE429" s="209"/>
      <c r="AF429" s="209"/>
      <c r="AG429" s="209"/>
      <c r="AH429" s="209"/>
      <c r="AI429" s="191">
        <f t="shared" si="553"/>
        <v>-32</v>
      </c>
      <c r="AJ429" s="191">
        <f t="shared" si="554"/>
        <v>-160</v>
      </c>
      <c r="AK429" s="209"/>
      <c r="AL429" s="209"/>
      <c r="AM429" s="209" t="s">
        <v>571</v>
      </c>
      <c r="AN429" s="345" t="s">
        <v>97</v>
      </c>
      <c r="AO429" s="209" t="s">
        <v>1986</v>
      </c>
      <c r="AP429" s="215">
        <v>-0.03</v>
      </c>
      <c r="AQ429" s="193">
        <f t="shared" si="548"/>
        <v>1.0000000000000002E-2</v>
      </c>
      <c r="AR429" s="191">
        <f t="shared" si="549"/>
        <v>80.000000000000014</v>
      </c>
      <c r="AS429" s="194">
        <f t="shared" si="550"/>
        <v>16.000000000000004</v>
      </c>
      <c r="AT429" s="217" t="s">
        <v>77</v>
      </c>
      <c r="AU429" s="431"/>
      <c r="AV429" s="431"/>
      <c r="AW429" s="431"/>
      <c r="AX429" s="431"/>
      <c r="AY429" s="431"/>
      <c r="AZ429" s="431"/>
      <c r="BA429" s="431"/>
      <c r="BB429" s="431"/>
      <c r="BC429" s="445"/>
      <c r="BD429" s="404">
        <f>SUM($AS$4:AS429)</f>
        <v>2864.1350000000079</v>
      </c>
      <c r="BE429" s="405">
        <f>SUM($AR$4:AR429)</f>
        <v>3435.5599999999677</v>
      </c>
      <c r="BF429" s="330"/>
      <c r="BG429" s="330"/>
    </row>
    <row r="430" spans="1:59" ht="15.75" customHeight="1">
      <c r="A430" s="227" t="s">
        <v>1701</v>
      </c>
      <c r="B430" s="204">
        <v>45014</v>
      </c>
      <c r="C430" s="205" t="s">
        <v>664</v>
      </c>
      <c r="D430" s="205" t="s">
        <v>133</v>
      </c>
      <c r="E430" s="254"/>
      <c r="F430" s="207"/>
      <c r="G430" s="326" t="s">
        <v>965</v>
      </c>
      <c r="H430" s="209"/>
      <c r="I430" s="209"/>
      <c r="J430" s="209"/>
      <c r="K430" s="210"/>
      <c r="L430" s="209">
        <v>1</v>
      </c>
      <c r="M430" s="209"/>
      <c r="N430" s="209"/>
      <c r="O430" s="210" t="s">
        <v>76</v>
      </c>
      <c r="P430" s="210" t="s">
        <v>77</v>
      </c>
      <c r="Q430" s="210" t="s">
        <v>666</v>
      </c>
      <c r="R430" s="210">
        <v>1</v>
      </c>
      <c r="S430" s="210">
        <v>1</v>
      </c>
      <c r="T430" s="210">
        <v>1</v>
      </c>
      <c r="U430" s="210" t="s">
        <v>22</v>
      </c>
      <c r="V430" s="188">
        <f t="shared" si="555"/>
        <v>0.01</v>
      </c>
      <c r="W430" s="188">
        <f t="shared" si="556"/>
        <v>1600</v>
      </c>
      <c r="X430" s="212" t="s">
        <v>1078</v>
      </c>
      <c r="Y430" s="212"/>
      <c r="Z430" s="212"/>
      <c r="AA430" s="213">
        <v>96.58</v>
      </c>
      <c r="AB430" s="209"/>
      <c r="AC430" s="345"/>
      <c r="AD430" s="209"/>
      <c r="AE430" s="209"/>
      <c r="AF430" s="209"/>
      <c r="AG430" s="209"/>
      <c r="AH430" s="209"/>
      <c r="AI430" s="191">
        <f t="shared" ref="AI430:AI432" si="557">-0.02*W430</f>
        <v>-32</v>
      </c>
      <c r="AJ430" s="191">
        <f t="shared" ref="AJ430:AJ432" si="558">AI430*R430</f>
        <v>-32</v>
      </c>
      <c r="AK430" s="209"/>
      <c r="AL430" s="209"/>
      <c r="AM430" s="209" t="s">
        <v>1987</v>
      </c>
      <c r="AN430" s="345" t="s">
        <v>376</v>
      </c>
      <c r="AO430" s="209" t="s">
        <v>664</v>
      </c>
      <c r="AP430" s="209">
        <v>96.55</v>
      </c>
      <c r="AQ430" s="193">
        <f t="shared" ref="AQ430:AQ431" si="559">IF(ISBLANK(AP430),,IF(U430="S",AA430-AP430,AP430-AA430))</f>
        <v>-3.0000000000001137E-2</v>
      </c>
      <c r="AR430" s="191">
        <f t="shared" ref="AR430:AR431" si="560">AS430*R430</f>
        <v>-48.000000000001819</v>
      </c>
      <c r="AS430" s="194">
        <f t="shared" ref="AS430:AS431" si="561">IF(ISBLANK(AP430),,(AQ430*W430))</f>
        <v>-48.000000000001819</v>
      </c>
      <c r="AT430" s="217" t="s">
        <v>211</v>
      </c>
      <c r="AU430" s="431" t="s">
        <v>1988</v>
      </c>
      <c r="AV430" s="431" t="s">
        <v>1989</v>
      </c>
      <c r="AW430" s="431"/>
      <c r="AX430" s="431"/>
      <c r="AY430" s="431"/>
      <c r="AZ430" s="431"/>
      <c r="BA430" s="431"/>
      <c r="BB430" s="431"/>
      <c r="BC430" s="445"/>
      <c r="BD430" s="404">
        <f>SUM($AS$4:AS430)</f>
        <v>2816.1350000000061</v>
      </c>
      <c r="BE430" s="405">
        <f>SUM($AR$4:AR430)</f>
        <v>3387.5599999999658</v>
      </c>
      <c r="BF430" s="330"/>
      <c r="BG430" s="330"/>
    </row>
    <row r="431" spans="1:59" ht="15.75" customHeight="1">
      <c r="A431" s="227" t="s">
        <v>1701</v>
      </c>
      <c r="B431" s="204">
        <v>45014</v>
      </c>
      <c r="C431" s="205" t="s">
        <v>664</v>
      </c>
      <c r="D431" s="205" t="s">
        <v>133</v>
      </c>
      <c r="E431" s="254"/>
      <c r="F431" s="207"/>
      <c r="G431" s="326" t="s">
        <v>1185</v>
      </c>
      <c r="H431" s="209"/>
      <c r="I431" s="209"/>
      <c r="J431" s="209"/>
      <c r="K431" s="210"/>
      <c r="L431" s="209">
        <v>1</v>
      </c>
      <c r="M431" s="209"/>
      <c r="N431" s="209"/>
      <c r="O431" s="210" t="s">
        <v>76</v>
      </c>
      <c r="P431" s="210" t="s">
        <v>119</v>
      </c>
      <c r="Q431" s="210" t="s">
        <v>666</v>
      </c>
      <c r="R431" s="210">
        <v>2</v>
      </c>
      <c r="S431" s="210">
        <v>2</v>
      </c>
      <c r="T431" s="210">
        <v>2</v>
      </c>
      <c r="U431" s="210" t="s">
        <v>22</v>
      </c>
      <c r="V431" s="188">
        <f t="shared" si="555"/>
        <v>0.01</v>
      </c>
      <c r="W431" s="188">
        <f t="shared" si="556"/>
        <v>1600</v>
      </c>
      <c r="X431" s="212" t="s">
        <v>1078</v>
      </c>
      <c r="Y431" s="212"/>
      <c r="Z431" s="212"/>
      <c r="AA431" s="213">
        <v>96.64</v>
      </c>
      <c r="AB431" s="209"/>
      <c r="AC431" s="345"/>
      <c r="AD431" s="209"/>
      <c r="AE431" s="209"/>
      <c r="AF431" s="209"/>
      <c r="AG431" s="209"/>
      <c r="AH431" s="209"/>
      <c r="AI431" s="191">
        <f t="shared" si="557"/>
        <v>-32</v>
      </c>
      <c r="AJ431" s="191">
        <f t="shared" si="558"/>
        <v>-64</v>
      </c>
      <c r="AK431" s="209"/>
      <c r="AL431" s="209"/>
      <c r="AM431" s="209" t="s">
        <v>1987</v>
      </c>
      <c r="AN431" s="345" t="s">
        <v>376</v>
      </c>
      <c r="AO431" s="209" t="s">
        <v>664</v>
      </c>
      <c r="AP431" s="209">
        <v>96.62</v>
      </c>
      <c r="AQ431" s="193">
        <f t="shared" si="559"/>
        <v>-1.9999999999996021E-2</v>
      </c>
      <c r="AR431" s="191">
        <f t="shared" si="560"/>
        <v>-63.999999999987267</v>
      </c>
      <c r="AS431" s="194">
        <f t="shared" si="561"/>
        <v>-31.999999999993634</v>
      </c>
      <c r="AT431" s="217" t="s">
        <v>211</v>
      </c>
      <c r="AU431" s="431"/>
      <c r="AV431" s="431"/>
      <c r="AW431" s="431"/>
      <c r="AX431" s="431"/>
      <c r="AY431" s="431"/>
      <c r="AZ431" s="431"/>
      <c r="BA431" s="431"/>
      <c r="BB431" s="431"/>
      <c r="BC431" s="445"/>
      <c r="BD431" s="404">
        <f>SUM($AS$4:AS431)</f>
        <v>2784.1350000000125</v>
      </c>
      <c r="BE431" s="405">
        <f>SUM($AR$4:AR431)</f>
        <v>3323.5599999999786</v>
      </c>
      <c r="BF431" s="330"/>
      <c r="BG431" s="330"/>
    </row>
    <row r="432" spans="1:59" ht="15.75" customHeight="1">
      <c r="A432" s="227" t="s">
        <v>1701</v>
      </c>
      <c r="B432" s="204">
        <v>45014</v>
      </c>
      <c r="C432" s="205" t="s">
        <v>1990</v>
      </c>
      <c r="D432" s="205" t="s">
        <v>133</v>
      </c>
      <c r="E432" s="254"/>
      <c r="F432" s="207"/>
      <c r="G432" s="326" t="s">
        <v>115</v>
      </c>
      <c r="H432" s="209"/>
      <c r="I432" s="209"/>
      <c r="J432" s="209"/>
      <c r="K432" s="210"/>
      <c r="L432" s="209">
        <v>1</v>
      </c>
      <c r="M432" s="209"/>
      <c r="N432" s="209"/>
      <c r="O432" s="210" t="s">
        <v>76</v>
      </c>
      <c r="P432" s="210" t="s">
        <v>77</v>
      </c>
      <c r="Q432" s="210" t="s">
        <v>78</v>
      </c>
      <c r="R432" s="210">
        <v>5</v>
      </c>
      <c r="S432" s="210">
        <v>5</v>
      </c>
      <c r="T432" s="210">
        <v>5</v>
      </c>
      <c r="U432" s="210" t="s">
        <v>22</v>
      </c>
      <c r="V432" s="188">
        <f t="shared" ref="V432" si="562">IF(ISBLANK(O432),"",(IF(O432=UPPER("IB"),0.005,0.01)))</f>
        <v>0.01</v>
      </c>
      <c r="W432" s="188">
        <f t="shared" ref="W432" si="563">IF(ISBLANK(O432),"",IF(O432="IB",8.63*200,IF(O432="IR",16*100,IF(O432="YT",20))))</f>
        <v>1600</v>
      </c>
      <c r="X432" s="212" t="s">
        <v>1991</v>
      </c>
      <c r="Y432" s="212"/>
      <c r="Z432" s="212"/>
      <c r="AA432" s="213">
        <v>-7.0000000000000007E-2</v>
      </c>
      <c r="AB432" s="209"/>
      <c r="AC432" s="345"/>
      <c r="AD432" s="209"/>
      <c r="AE432" s="209"/>
      <c r="AF432" s="209"/>
      <c r="AG432" s="209"/>
      <c r="AH432" s="209"/>
      <c r="AI432" s="191">
        <f t="shared" si="557"/>
        <v>-32</v>
      </c>
      <c r="AJ432" s="191">
        <f t="shared" si="558"/>
        <v>-160</v>
      </c>
      <c r="AK432" s="209"/>
      <c r="AL432" s="209"/>
      <c r="AM432" s="209" t="s">
        <v>1008</v>
      </c>
      <c r="AN432" s="345" t="s">
        <v>87</v>
      </c>
      <c r="AO432" s="209" t="s">
        <v>1992</v>
      </c>
      <c r="AP432" s="215">
        <v>-7.0000000000000007E-2</v>
      </c>
      <c r="AQ432" s="193">
        <f t="shared" ref="AQ432" si="564">IF(ISBLANK(AP432),,IF(U432="S",AA432-AP432,AP432-AA432))</f>
        <v>0</v>
      </c>
      <c r="AR432" s="191">
        <f t="shared" ref="AR432" si="565">AS432*R432</f>
        <v>0</v>
      </c>
      <c r="AS432" s="194">
        <f t="shared" ref="AS432" si="566">IF(ISBLANK(AP432),,(AQ432*W432))</f>
        <v>0</v>
      </c>
      <c r="AT432" s="217" t="s">
        <v>97</v>
      </c>
      <c r="AU432" s="431" t="s">
        <v>1993</v>
      </c>
      <c r="AV432" s="431" t="s">
        <v>1994</v>
      </c>
      <c r="AW432" s="431" t="s">
        <v>511</v>
      </c>
      <c r="AX432" s="431" t="s">
        <v>1995</v>
      </c>
      <c r="AY432" s="431"/>
      <c r="AZ432" s="431"/>
      <c r="BA432" s="431"/>
      <c r="BB432" s="431"/>
      <c r="BC432" s="445"/>
      <c r="BD432" s="404">
        <f>SUM($AS$4:AS432)</f>
        <v>2784.1350000000125</v>
      </c>
      <c r="BE432" s="405">
        <f>SUM($AR$4:AR432)</f>
        <v>3323.5599999999786</v>
      </c>
      <c r="BF432" s="330"/>
      <c r="BG432" s="330"/>
    </row>
    <row r="433" spans="1:59" ht="15.75" customHeight="1">
      <c r="A433" s="227" t="s">
        <v>1701</v>
      </c>
      <c r="B433" s="204">
        <v>45014</v>
      </c>
      <c r="C433" s="205" t="s">
        <v>1996</v>
      </c>
      <c r="D433" s="205" t="s">
        <v>74</v>
      </c>
      <c r="E433" s="254"/>
      <c r="F433" s="207"/>
      <c r="G433" s="208" t="s">
        <v>1997</v>
      </c>
      <c r="H433" s="209"/>
      <c r="I433" s="209"/>
      <c r="J433" s="209"/>
      <c r="K433" s="210"/>
      <c r="L433" s="209">
        <v>1</v>
      </c>
      <c r="M433" s="209"/>
      <c r="N433" s="209"/>
      <c r="O433" s="210" t="s">
        <v>76</v>
      </c>
      <c r="P433" s="210" t="s">
        <v>119</v>
      </c>
      <c r="Q433" s="210" t="s">
        <v>78</v>
      </c>
      <c r="R433" s="210">
        <v>5</v>
      </c>
      <c r="S433" s="210">
        <v>5</v>
      </c>
      <c r="T433" s="210">
        <v>5</v>
      </c>
      <c r="U433" s="210" t="s">
        <v>22</v>
      </c>
      <c r="V433" s="188">
        <f t="shared" ref="V433" si="567">IF(ISBLANK(O433),"",(IF(O433=UPPER("IB"),0.005,0.01)))</f>
        <v>0.01</v>
      </c>
      <c r="W433" s="188">
        <f t="shared" ref="W433" si="568">IF(ISBLANK(O433),"",IF(O433="IB",8.63*200,IF(O433="IR",16*100,IF(O433="YT",20))))</f>
        <v>1600</v>
      </c>
      <c r="X433" s="212" t="s">
        <v>80</v>
      </c>
      <c r="Y433" s="212"/>
      <c r="Z433" s="212"/>
      <c r="AA433" s="213">
        <v>-0.03</v>
      </c>
      <c r="AB433" s="209"/>
      <c r="AC433" s="345"/>
      <c r="AD433" s="209"/>
      <c r="AE433" s="209"/>
      <c r="AF433" s="209"/>
      <c r="AG433" s="209"/>
      <c r="AH433" s="209"/>
      <c r="AI433" s="191"/>
      <c r="AJ433" s="191"/>
      <c r="AK433" s="209"/>
      <c r="AL433" s="209"/>
      <c r="AM433" s="209" t="s">
        <v>752</v>
      </c>
      <c r="AN433" s="345" t="s">
        <v>97</v>
      </c>
      <c r="AO433" s="209" t="s">
        <v>1998</v>
      </c>
      <c r="AP433" s="215">
        <v>-0.03</v>
      </c>
      <c r="AQ433" s="193">
        <f t="shared" ref="AQ433" si="569">IF(ISBLANK(AP433),,IF(U433="S",AA433-AP433,AP433-AA433))</f>
        <v>0</v>
      </c>
      <c r="AR433" s="191">
        <f t="shared" ref="AR433" si="570">AS433*R433</f>
        <v>0</v>
      </c>
      <c r="AS433" s="194">
        <f t="shared" ref="AS433" si="571">IF(ISBLANK(AP433),,(AQ433*W433))</f>
        <v>0</v>
      </c>
      <c r="AT433" s="217" t="s">
        <v>97</v>
      </c>
      <c r="AU433" s="431" t="s">
        <v>1999</v>
      </c>
      <c r="AV433" s="431" t="s">
        <v>2000</v>
      </c>
      <c r="AW433" s="431"/>
      <c r="AX433" s="431"/>
      <c r="AY433" s="431"/>
      <c r="AZ433" s="431"/>
      <c r="BA433" s="431"/>
      <c r="BB433" s="431"/>
      <c r="BC433" s="445"/>
      <c r="BD433" s="404">
        <f>SUM($AS$4:AS433)</f>
        <v>2784.1350000000125</v>
      </c>
      <c r="BE433" s="405">
        <f>SUM($AR$4:AR433)</f>
        <v>3323.5599999999786</v>
      </c>
      <c r="BF433" s="330"/>
      <c r="BG433" s="330"/>
    </row>
    <row r="434" spans="1:59" ht="15.75" customHeight="1">
      <c r="A434" s="227" t="s">
        <v>1701</v>
      </c>
      <c r="B434" s="204">
        <v>45014</v>
      </c>
      <c r="C434" s="205" t="s">
        <v>2001</v>
      </c>
      <c r="D434" s="205" t="s">
        <v>74</v>
      </c>
      <c r="E434" s="254"/>
      <c r="F434" s="207"/>
      <c r="G434" s="326" t="s">
        <v>75</v>
      </c>
      <c r="H434" s="209"/>
      <c r="I434" s="209"/>
      <c r="J434" s="209"/>
      <c r="K434" s="210"/>
      <c r="L434" s="209">
        <v>1</v>
      </c>
      <c r="M434" s="209"/>
      <c r="N434" s="209"/>
      <c r="O434" s="210" t="s">
        <v>76</v>
      </c>
      <c r="P434" s="210" t="s">
        <v>77</v>
      </c>
      <c r="Q434" s="210" t="s">
        <v>78</v>
      </c>
      <c r="R434" s="210">
        <v>7</v>
      </c>
      <c r="S434" s="210">
        <v>7</v>
      </c>
      <c r="T434" s="210">
        <v>7</v>
      </c>
      <c r="U434" s="210" t="s">
        <v>78</v>
      </c>
      <c r="V434" s="188">
        <f t="shared" ref="V434" si="572">IF(ISBLANK(O434),"",(IF(O434=UPPER("IB"),0.005,0.01)))</f>
        <v>0.01</v>
      </c>
      <c r="W434" s="188">
        <f t="shared" ref="W434" si="573">IF(ISBLANK(O434),"",IF(O434="IB",8.63*200,IF(O434="IR",16*100,IF(O434="YT",20))))</f>
        <v>1600</v>
      </c>
      <c r="X434" s="212" t="s">
        <v>80</v>
      </c>
      <c r="Y434" s="212"/>
      <c r="Z434" s="212"/>
      <c r="AA434" s="213">
        <v>-0.05</v>
      </c>
      <c r="AB434" s="209"/>
      <c r="AC434" s="345"/>
      <c r="AD434" s="209"/>
      <c r="AE434" s="209"/>
      <c r="AF434" s="209"/>
      <c r="AG434" s="209"/>
      <c r="AH434" s="209"/>
      <c r="AI434" s="191">
        <f>-0.03*W434</f>
        <v>-48</v>
      </c>
      <c r="AJ434" s="191">
        <f t="shared" ref="AJ434" si="574">AI434*R434</f>
        <v>-336</v>
      </c>
      <c r="AK434" s="209"/>
      <c r="AL434" s="209"/>
      <c r="AM434" s="209" t="s">
        <v>571</v>
      </c>
      <c r="AN434" s="345" t="s">
        <v>97</v>
      </c>
      <c r="AO434" s="350" t="s">
        <v>2002</v>
      </c>
      <c r="AP434" s="215">
        <f>((-0.04)*3+(-0.04*4))/7</f>
        <v>-0.04</v>
      </c>
      <c r="AQ434" s="193">
        <f>IF(ISBLANK(AP434),,IF(U434="S",AA434-AP434,AP434-AA434))</f>
        <v>-1.0000000000000002E-2</v>
      </c>
      <c r="AR434" s="191">
        <f>AS434*R434</f>
        <v>-112.00000000000003</v>
      </c>
      <c r="AS434" s="194">
        <f>IF(ISBLANK(AP434),,(AQ434*W434))</f>
        <v>-16.000000000000004</v>
      </c>
      <c r="AT434" s="217" t="s">
        <v>211</v>
      </c>
      <c r="AU434" s="431" t="s">
        <v>2003</v>
      </c>
      <c r="AV434" s="431"/>
      <c r="AW434" s="431"/>
      <c r="AX434" s="431"/>
      <c r="AY434" s="431"/>
      <c r="AZ434" s="431"/>
      <c r="BA434" s="431"/>
      <c r="BB434" s="431"/>
      <c r="BC434" s="445"/>
      <c r="BD434" s="404">
        <f>SUM($AS$4:AS434)</f>
        <v>2768.1350000000125</v>
      </c>
      <c r="BE434" s="405">
        <f>SUM($AR$4:AR434)</f>
        <v>3211.5599999999786</v>
      </c>
      <c r="BF434" s="330"/>
      <c r="BG434" s="330"/>
    </row>
    <row r="435" spans="1:59" ht="15.75" customHeight="1">
      <c r="A435" s="227" t="s">
        <v>1701</v>
      </c>
      <c r="B435" s="204">
        <v>45015</v>
      </c>
      <c r="C435" s="205" t="s">
        <v>948</v>
      </c>
      <c r="D435" s="205" t="s">
        <v>74</v>
      </c>
      <c r="E435" s="254"/>
      <c r="F435" s="207"/>
      <c r="G435" s="326" t="s">
        <v>2004</v>
      </c>
      <c r="H435" s="209"/>
      <c r="I435" s="209"/>
      <c r="J435" s="209"/>
      <c r="K435" s="210"/>
      <c r="L435" s="209">
        <v>1</v>
      </c>
      <c r="M435" s="209"/>
      <c r="N435" s="209"/>
      <c r="O435" s="210" t="s">
        <v>76</v>
      </c>
      <c r="P435" s="210" t="s">
        <v>77</v>
      </c>
      <c r="Q435" s="210" t="s">
        <v>78</v>
      </c>
      <c r="R435" s="210">
        <v>5</v>
      </c>
      <c r="S435" s="210">
        <v>5</v>
      </c>
      <c r="T435" s="210">
        <v>5</v>
      </c>
      <c r="U435" s="210" t="s">
        <v>78</v>
      </c>
      <c r="V435" s="188">
        <f t="shared" ref="V435" si="575">IF(ISBLANK(O435),"",(IF(O435=UPPER("IB"),0.005,0.01)))</f>
        <v>0.01</v>
      </c>
      <c r="W435" s="188">
        <f t="shared" ref="W435" si="576">IF(ISBLANK(O435),"",IF(O435="IB",8.63*200,IF(O435="IR",16*100,IF(O435="YT",20))))</f>
        <v>1600</v>
      </c>
      <c r="X435" s="212" t="s">
        <v>80</v>
      </c>
      <c r="Y435" s="212"/>
      <c r="Z435" s="212"/>
      <c r="AA435" s="213">
        <v>-0.04</v>
      </c>
      <c r="AB435" s="209"/>
      <c r="AC435" s="345"/>
      <c r="AD435" s="209"/>
      <c r="AE435" s="209"/>
      <c r="AF435" s="209"/>
      <c r="AG435" s="209"/>
      <c r="AH435" s="209"/>
      <c r="AI435" s="214"/>
      <c r="AJ435" s="210"/>
      <c r="AK435" s="209"/>
      <c r="AL435" s="209"/>
      <c r="AM435" s="209" t="s">
        <v>820</v>
      </c>
      <c r="AN435" s="345" t="s">
        <v>87</v>
      </c>
      <c r="AO435" s="209" t="s">
        <v>2005</v>
      </c>
      <c r="AP435" s="215">
        <v>-0.05</v>
      </c>
      <c r="AQ435" s="193">
        <f t="shared" ref="AQ435" si="577">IF(ISBLANK(AP435),,IF(U435="S",AA435-AP435,AP435-AA435))</f>
        <v>1.0000000000000002E-2</v>
      </c>
      <c r="AR435" s="191">
        <f t="shared" ref="AR435" si="578">AS435*R435</f>
        <v>80.000000000000014</v>
      </c>
      <c r="AS435" s="194">
        <f t="shared" ref="AS435" si="579">IF(ISBLANK(AP435),,(AQ435*W435))</f>
        <v>16.000000000000004</v>
      </c>
      <c r="AT435" s="217" t="s">
        <v>77</v>
      </c>
      <c r="AU435" s="431" t="s">
        <v>2006</v>
      </c>
      <c r="AV435" s="431"/>
      <c r="AW435" s="431"/>
      <c r="AX435" s="431"/>
      <c r="AY435" s="431"/>
      <c r="AZ435" s="431"/>
      <c r="BA435" s="431"/>
      <c r="BB435" s="431"/>
      <c r="BC435" s="445"/>
      <c r="BD435" s="404">
        <f>SUM($AS$4:AS435)</f>
        <v>2784.1350000000125</v>
      </c>
      <c r="BE435" s="405">
        <f>SUM($AR$4:AR435)</f>
        <v>3291.5599999999786</v>
      </c>
      <c r="BF435" s="330"/>
      <c r="BG435" s="330"/>
    </row>
    <row r="436" spans="1:59" ht="15.75" customHeight="1">
      <c r="A436" s="227" t="s">
        <v>1701</v>
      </c>
      <c r="B436" s="204">
        <v>45015</v>
      </c>
      <c r="C436" s="205" t="s">
        <v>1709</v>
      </c>
      <c r="D436" s="205" t="s">
        <v>74</v>
      </c>
      <c r="E436" s="254" t="s">
        <v>2007</v>
      </c>
      <c r="F436" s="207" t="s">
        <v>2008</v>
      </c>
      <c r="G436" s="208"/>
      <c r="H436" s="209">
        <v>1</v>
      </c>
      <c r="I436" s="209"/>
      <c r="J436" s="209"/>
      <c r="K436" s="210" t="s">
        <v>97</v>
      </c>
      <c r="L436" s="209"/>
      <c r="M436" s="209"/>
      <c r="N436" s="209"/>
      <c r="O436" s="210"/>
      <c r="P436" s="210"/>
      <c r="Q436" s="210"/>
      <c r="R436" s="210"/>
      <c r="S436" s="210"/>
      <c r="T436" s="210"/>
      <c r="U436" s="210"/>
      <c r="V436" s="210"/>
      <c r="W436" s="210"/>
      <c r="X436" s="212"/>
      <c r="Y436" s="212"/>
      <c r="Z436" s="212"/>
      <c r="AA436" s="213"/>
      <c r="AB436" s="209"/>
      <c r="AC436" s="345"/>
      <c r="AD436" s="209"/>
      <c r="AE436" s="209"/>
      <c r="AF436" s="209"/>
      <c r="AG436" s="209"/>
      <c r="AH436" s="209"/>
      <c r="AI436" s="214"/>
      <c r="AJ436" s="210"/>
      <c r="AK436" s="209"/>
      <c r="AL436" s="209"/>
      <c r="AM436" s="209"/>
      <c r="AN436" s="345"/>
      <c r="AO436" s="209"/>
      <c r="AP436" s="215"/>
      <c r="AQ436" s="193">
        <f t="shared" ref="AQ436:AQ438" si="580">IF(ISBLANK(AP436),,IF(U436="S",AA436-AP436,AP436-AA436))</f>
        <v>0</v>
      </c>
      <c r="AR436" s="191">
        <f t="shared" ref="AR436:AR438" si="581">AS436*R436</f>
        <v>0</v>
      </c>
      <c r="AS436" s="194">
        <f t="shared" ref="AS436:AS438" si="582">IF(ISBLANK(AP436),,(AQ436*W436))</f>
        <v>0</v>
      </c>
      <c r="AT436" s="217"/>
      <c r="AU436" s="431"/>
      <c r="AV436" s="431"/>
      <c r="AW436" s="431" t="s">
        <v>511</v>
      </c>
      <c r="AX436" s="431"/>
      <c r="AY436" s="431"/>
      <c r="AZ436" s="431"/>
      <c r="BA436" s="431"/>
      <c r="BB436" s="431"/>
      <c r="BC436" s="445"/>
      <c r="BD436" s="404">
        <f>SUM($AS$4:AS436)</f>
        <v>2784.1350000000125</v>
      </c>
      <c r="BE436" s="405">
        <f>SUM($AR$4:AR436)</f>
        <v>3291.5599999999786</v>
      </c>
      <c r="BF436" s="330"/>
      <c r="BG436" s="330"/>
    </row>
    <row r="437" spans="1:59" ht="15.75" customHeight="1">
      <c r="A437" s="227" t="s">
        <v>1701</v>
      </c>
      <c r="B437" s="204"/>
      <c r="C437" s="205"/>
      <c r="D437" s="205"/>
      <c r="E437" s="254" t="s">
        <v>2009</v>
      </c>
      <c r="F437" s="207"/>
      <c r="G437" s="208"/>
      <c r="H437" s="209"/>
      <c r="I437" s="209"/>
      <c r="J437" s="209">
        <v>1</v>
      </c>
      <c r="K437" s="210"/>
      <c r="L437" s="209"/>
      <c r="M437" s="209"/>
      <c r="N437" s="209"/>
      <c r="O437" s="210"/>
      <c r="P437" s="210"/>
      <c r="Q437" s="210"/>
      <c r="R437" s="210"/>
      <c r="S437" s="210"/>
      <c r="T437" s="210"/>
      <c r="U437" s="210"/>
      <c r="V437" s="210"/>
      <c r="W437" s="210"/>
      <c r="X437" s="212"/>
      <c r="Y437" s="212"/>
      <c r="Z437" s="212"/>
      <c r="AA437" s="213"/>
      <c r="AB437" s="209"/>
      <c r="AC437" s="345"/>
      <c r="AD437" s="209"/>
      <c r="AE437" s="209"/>
      <c r="AF437" s="209"/>
      <c r="AG437" s="209"/>
      <c r="AH437" s="209"/>
      <c r="AI437" s="214"/>
      <c r="AJ437" s="210"/>
      <c r="AK437" s="209"/>
      <c r="AL437" s="209"/>
      <c r="AM437" s="209"/>
      <c r="AN437" s="345"/>
      <c r="AO437" s="209"/>
      <c r="AP437" s="215"/>
      <c r="AQ437" s="193">
        <f t="shared" si="580"/>
        <v>0</v>
      </c>
      <c r="AR437" s="191">
        <f t="shared" si="581"/>
        <v>0</v>
      </c>
      <c r="AS437" s="194">
        <f t="shared" si="582"/>
        <v>0</v>
      </c>
      <c r="AT437" s="217"/>
      <c r="AU437" s="431"/>
      <c r="AV437" s="431"/>
      <c r="AW437" s="431"/>
      <c r="AX437" s="431"/>
      <c r="AY437" s="431"/>
      <c r="AZ437" s="431"/>
      <c r="BA437" s="431"/>
      <c r="BB437" s="431"/>
      <c r="BC437" s="445"/>
      <c r="BD437" s="404">
        <f>SUM($AS$4:AS437)</f>
        <v>2784.1350000000125</v>
      </c>
      <c r="BE437" s="405">
        <f>SUM($AR$4:AR437)</f>
        <v>3291.5599999999786</v>
      </c>
      <c r="BF437" s="330"/>
      <c r="BG437" s="330"/>
    </row>
    <row r="438" spans="1:59" ht="15.75" customHeight="1">
      <c r="A438" s="227" t="s">
        <v>1701</v>
      </c>
      <c r="B438" s="204">
        <v>45015</v>
      </c>
      <c r="C438" s="205" t="s">
        <v>2010</v>
      </c>
      <c r="D438" s="205" t="s">
        <v>74</v>
      </c>
      <c r="E438" s="254"/>
      <c r="F438" s="207"/>
      <c r="G438" s="326" t="s">
        <v>75</v>
      </c>
      <c r="H438" s="209"/>
      <c r="I438" s="209"/>
      <c r="J438" s="209"/>
      <c r="K438" s="210"/>
      <c r="L438" s="209">
        <v>1</v>
      </c>
      <c r="M438" s="209"/>
      <c r="N438" s="209"/>
      <c r="O438" s="210" t="s">
        <v>76</v>
      </c>
      <c r="P438" s="210" t="s">
        <v>77</v>
      </c>
      <c r="Q438" s="210" t="s">
        <v>78</v>
      </c>
      <c r="R438" s="210">
        <v>10</v>
      </c>
      <c r="S438" s="210">
        <v>10</v>
      </c>
      <c r="T438" s="210">
        <v>7</v>
      </c>
      <c r="U438" s="210" t="s">
        <v>78</v>
      </c>
      <c r="V438" s="188">
        <f t="shared" ref="V438" si="583">IF(ISBLANK(O438),"",(IF(O438=UPPER("IB"),0.005,0.01)))</f>
        <v>0.01</v>
      </c>
      <c r="W438" s="188">
        <f>IF(ISBLANK(O438),"",IF(O438="IB",8.63*200,IF(O438="IR",16*100,IF(O438="YT",20))))</f>
        <v>1600</v>
      </c>
      <c r="X438" s="212" t="s">
        <v>2011</v>
      </c>
      <c r="Y438" s="212"/>
      <c r="Z438" s="212"/>
      <c r="AA438" s="213">
        <v>-0.03</v>
      </c>
      <c r="AB438" s="209"/>
      <c r="AC438" s="345"/>
      <c r="AD438" s="209"/>
      <c r="AE438" s="209"/>
      <c r="AF438" s="209"/>
      <c r="AG438" s="209"/>
      <c r="AH438" s="209"/>
      <c r="AI438" s="191">
        <f>-0.02*W438</f>
        <v>-32</v>
      </c>
      <c r="AJ438" s="191">
        <f t="shared" ref="AJ438" si="584">AI438*R438</f>
        <v>-320</v>
      </c>
      <c r="AK438" s="209"/>
      <c r="AL438" s="209"/>
      <c r="AM438" s="209" t="s">
        <v>786</v>
      </c>
      <c r="AN438" s="345" t="s">
        <v>97</v>
      </c>
      <c r="AO438" s="209" t="s">
        <v>2012</v>
      </c>
      <c r="AP438" s="215">
        <f>((-0.04*6)+(-0.04*4))/10</f>
        <v>-0.04</v>
      </c>
      <c r="AQ438" s="193">
        <f t="shared" si="580"/>
        <v>1.0000000000000002E-2</v>
      </c>
      <c r="AR438" s="191">
        <f t="shared" si="581"/>
        <v>160.00000000000003</v>
      </c>
      <c r="AS438" s="194">
        <f t="shared" si="582"/>
        <v>16.000000000000004</v>
      </c>
      <c r="AT438" s="217" t="s">
        <v>77</v>
      </c>
      <c r="AU438" s="431" t="s">
        <v>2013</v>
      </c>
      <c r="AV438" s="431" t="s">
        <v>2014</v>
      </c>
      <c r="AW438" s="431" t="s">
        <v>2015</v>
      </c>
      <c r="AX438" s="431" t="s">
        <v>511</v>
      </c>
      <c r="AY438" s="431"/>
      <c r="AZ438" s="431"/>
      <c r="BA438" s="431"/>
      <c r="BB438" s="431"/>
      <c r="BC438" s="445"/>
      <c r="BD438" s="404">
        <f>SUM($AS$4:AS438)</f>
        <v>2800.1350000000125</v>
      </c>
      <c r="BE438" s="405">
        <f>SUM($AR$4:AR438)</f>
        <v>3451.5599999999786</v>
      </c>
      <c r="BF438" s="330"/>
      <c r="BG438" s="330"/>
    </row>
    <row r="439" spans="1:59" ht="15.75" customHeight="1">
      <c r="A439" s="227" t="s">
        <v>1701</v>
      </c>
      <c r="B439" s="204">
        <v>45016</v>
      </c>
      <c r="C439" s="205" t="s">
        <v>657</v>
      </c>
      <c r="D439" s="205" t="s">
        <v>93</v>
      </c>
      <c r="E439" s="254" t="s">
        <v>2016</v>
      </c>
      <c r="F439" s="207" t="s">
        <v>2017</v>
      </c>
      <c r="G439" s="208"/>
      <c r="H439" s="209"/>
      <c r="I439" s="209"/>
      <c r="J439" s="209">
        <v>1</v>
      </c>
      <c r="K439" s="210" t="s">
        <v>97</v>
      </c>
      <c r="L439" s="209"/>
      <c r="M439" s="209"/>
      <c r="N439" s="209"/>
      <c r="O439" s="210"/>
      <c r="P439" s="210"/>
      <c r="Q439" s="210"/>
      <c r="R439" s="210"/>
      <c r="S439" s="210"/>
      <c r="T439" s="210"/>
      <c r="U439" s="210"/>
      <c r="V439" s="188" t="str">
        <f t="shared" ref="V439:V447" si="585">IF(ISBLANK(O439),"",(IF(O439=UPPER("IB"),0.005,0.01)))</f>
        <v/>
      </c>
      <c r="W439" s="188" t="str">
        <f t="shared" ref="W439:W446" si="586">IF(ISBLANK(O439),"",IF(O439="IB",8.63*200,IF(O439="IR",16*100,IF(O439="YT",20))))</f>
        <v/>
      </c>
      <c r="X439" s="212"/>
      <c r="Y439" s="212"/>
      <c r="Z439" s="212"/>
      <c r="AA439" s="213"/>
      <c r="AB439" s="209"/>
      <c r="AC439" s="345"/>
      <c r="AD439" s="209"/>
      <c r="AE439" s="209"/>
      <c r="AF439" s="209"/>
      <c r="AG439" s="209"/>
      <c r="AH439" s="209"/>
      <c r="AI439" s="191"/>
      <c r="AJ439" s="191"/>
      <c r="AK439" s="209"/>
      <c r="AL439" s="209"/>
      <c r="AM439" s="209"/>
      <c r="AN439" s="345"/>
      <c r="AO439" s="209"/>
      <c r="AP439" s="215"/>
      <c r="AQ439" s="193"/>
      <c r="AR439" s="191"/>
      <c r="AS439" s="194"/>
      <c r="AT439" s="217"/>
      <c r="AU439" s="431"/>
      <c r="AV439" s="431"/>
      <c r="AW439" s="431"/>
      <c r="AX439" s="431" t="s">
        <v>2018</v>
      </c>
      <c r="AY439" s="452" t="s">
        <v>2019</v>
      </c>
      <c r="AZ439" s="452" t="s">
        <v>2020</v>
      </c>
      <c r="BA439" s="431" t="s">
        <v>511</v>
      </c>
      <c r="BB439" s="431"/>
      <c r="BC439" s="445"/>
      <c r="BD439" s="404">
        <f>SUM($AS$4:AS439)</f>
        <v>2800.1350000000125</v>
      </c>
      <c r="BE439" s="405">
        <f>SUM($AR$4:AR439)</f>
        <v>3451.5599999999786</v>
      </c>
      <c r="BF439" s="330"/>
      <c r="BG439" s="330"/>
    </row>
    <row r="440" spans="1:59" ht="15.75" customHeight="1">
      <c r="A440" s="227" t="s">
        <v>1701</v>
      </c>
      <c r="B440" s="204"/>
      <c r="C440" s="205"/>
      <c r="D440" s="205"/>
      <c r="E440" s="254"/>
      <c r="F440" s="207"/>
      <c r="G440" s="208"/>
      <c r="H440" s="209"/>
      <c r="I440" s="209"/>
      <c r="J440" s="209"/>
      <c r="K440" s="210"/>
      <c r="L440" s="209"/>
      <c r="M440" s="209"/>
      <c r="N440" s="209"/>
      <c r="O440" s="210"/>
      <c r="P440" s="210"/>
      <c r="Q440" s="210"/>
      <c r="R440" s="210"/>
      <c r="S440" s="210"/>
      <c r="T440" s="210"/>
      <c r="U440" s="210"/>
      <c r="V440" s="188" t="str">
        <f t="shared" si="585"/>
        <v/>
      </c>
      <c r="W440" s="188" t="str">
        <f t="shared" si="586"/>
        <v/>
      </c>
      <c r="X440" s="212"/>
      <c r="Y440" s="212"/>
      <c r="Z440" s="212"/>
      <c r="AA440" s="213"/>
      <c r="AB440" s="209"/>
      <c r="AC440" s="345"/>
      <c r="AD440" s="209"/>
      <c r="AE440" s="209"/>
      <c r="AF440" s="209"/>
      <c r="AG440" s="209"/>
      <c r="AH440" s="209"/>
      <c r="AI440" s="191"/>
      <c r="AJ440" s="191"/>
      <c r="AK440" s="209"/>
      <c r="AL440" s="209"/>
      <c r="AM440" s="209"/>
      <c r="AN440" s="345"/>
      <c r="AO440" s="209"/>
      <c r="AP440" s="215"/>
      <c r="AQ440" s="193"/>
      <c r="AR440" s="191"/>
      <c r="AS440" s="194"/>
      <c r="AT440" s="217"/>
      <c r="AU440" s="431"/>
      <c r="AV440" s="431"/>
      <c r="AW440" s="431"/>
      <c r="AX440" s="431"/>
      <c r="AY440" s="431"/>
      <c r="AZ440" s="431"/>
      <c r="BA440" s="431"/>
      <c r="BB440" s="431"/>
      <c r="BC440" s="445"/>
      <c r="BD440" s="404">
        <f>SUM($AS$4:AS440)</f>
        <v>2800.1350000000125</v>
      </c>
      <c r="BE440" s="405">
        <f>SUM($AR$4:AR440)</f>
        <v>3451.5599999999786</v>
      </c>
      <c r="BF440" s="330"/>
      <c r="BG440" s="330"/>
    </row>
    <row r="441" spans="1:59" ht="15.75" customHeight="1">
      <c r="A441" s="227"/>
      <c r="B441" s="204"/>
      <c r="C441" s="205"/>
      <c r="D441" s="205"/>
      <c r="E441" s="254"/>
      <c r="F441" s="207"/>
      <c r="G441" s="208"/>
      <c r="H441" s="209"/>
      <c r="I441" s="209"/>
      <c r="J441" s="209"/>
      <c r="K441" s="210"/>
      <c r="L441" s="209"/>
      <c r="M441" s="209"/>
      <c r="N441" s="209"/>
      <c r="O441" s="210"/>
      <c r="P441" s="210"/>
      <c r="Q441" s="210"/>
      <c r="R441" s="210"/>
      <c r="S441" s="210"/>
      <c r="T441" s="210"/>
      <c r="U441" s="210"/>
      <c r="V441" s="188" t="str">
        <f t="shared" si="585"/>
        <v/>
      </c>
      <c r="W441" s="188" t="str">
        <f t="shared" si="586"/>
        <v/>
      </c>
      <c r="X441" s="212"/>
      <c r="Y441" s="212"/>
      <c r="Z441" s="212"/>
      <c r="AA441" s="213"/>
      <c r="AB441" s="209"/>
      <c r="AC441" s="345"/>
      <c r="AD441" s="209"/>
      <c r="AE441" s="209"/>
      <c r="AF441" s="209"/>
      <c r="AG441" s="209"/>
      <c r="AH441" s="209"/>
      <c r="AI441" s="191"/>
      <c r="AJ441" s="191"/>
      <c r="AK441" s="209"/>
      <c r="AL441" s="209"/>
      <c r="AM441" s="209"/>
      <c r="AN441" s="345"/>
      <c r="AO441" s="209"/>
      <c r="AP441" s="215"/>
      <c r="AQ441" s="193"/>
      <c r="AR441" s="191"/>
      <c r="AS441" s="194"/>
      <c r="AT441" s="217"/>
      <c r="AU441" s="435" t="s">
        <v>2021</v>
      </c>
      <c r="AV441" s="435" t="s">
        <v>2022</v>
      </c>
      <c r="AW441" s="435" t="s">
        <v>2023</v>
      </c>
      <c r="AX441" s="435" t="s">
        <v>2024</v>
      </c>
      <c r="AY441" s="435" t="s">
        <v>1530</v>
      </c>
      <c r="AZ441" s="435" t="s">
        <v>1531</v>
      </c>
      <c r="BA441" s="435" t="s">
        <v>1532</v>
      </c>
      <c r="BB441" s="435" t="s">
        <v>1591</v>
      </c>
      <c r="BC441" s="435" t="s">
        <v>1592</v>
      </c>
      <c r="BD441" s="404">
        <f>SUM($AS$4:AS441)</f>
        <v>2800.1350000000125</v>
      </c>
      <c r="BE441" s="405">
        <f>SUM($AR$4:AR441)</f>
        <v>3451.5599999999786</v>
      </c>
      <c r="BF441" s="330"/>
      <c r="BG441" s="330"/>
    </row>
    <row r="442" spans="1:59" ht="15.75" customHeight="1">
      <c r="A442" s="181"/>
      <c r="B442" s="204"/>
      <c r="C442" s="182"/>
      <c r="D442" s="182"/>
      <c r="E442" s="233"/>
      <c r="F442" s="184"/>
      <c r="G442" s="185"/>
      <c r="H442" s="186"/>
      <c r="I442" s="186"/>
      <c r="J442" s="186"/>
      <c r="K442" s="187"/>
      <c r="L442" s="186"/>
      <c r="M442" s="186"/>
      <c r="N442" s="186"/>
      <c r="O442" s="187"/>
      <c r="P442" s="187"/>
      <c r="Q442" s="187"/>
      <c r="R442" s="187"/>
      <c r="S442" s="187"/>
      <c r="T442" s="187"/>
      <c r="U442" s="187"/>
      <c r="V442" s="188" t="str">
        <f t="shared" si="585"/>
        <v/>
      </c>
      <c r="W442" s="188" t="str">
        <f t="shared" si="586"/>
        <v/>
      </c>
      <c r="X442" s="189"/>
      <c r="Y442" s="189"/>
      <c r="Z442" s="189"/>
      <c r="AA442" s="190"/>
      <c r="AB442" s="186"/>
      <c r="AC442" s="344"/>
      <c r="AD442" s="186"/>
      <c r="AE442" s="186"/>
      <c r="AF442" s="186"/>
      <c r="AG442" s="186"/>
      <c r="AH442" s="186"/>
      <c r="AI442" s="191"/>
      <c r="AJ442" s="191"/>
      <c r="AK442" s="186"/>
      <c r="AL442" s="186"/>
      <c r="AM442" s="186"/>
      <c r="AN442" s="344"/>
      <c r="AO442" s="186"/>
      <c r="AP442" s="193"/>
      <c r="AQ442" s="193"/>
      <c r="AR442" s="191"/>
      <c r="AS442" s="194"/>
      <c r="AT442" s="195"/>
      <c r="AU442" s="435" t="s">
        <v>2025</v>
      </c>
      <c r="AV442" s="435" t="s">
        <v>2026</v>
      </c>
      <c r="AW442" s="435" t="s">
        <v>2027</v>
      </c>
      <c r="AX442" s="435" t="s">
        <v>2028</v>
      </c>
      <c r="AY442" s="435" t="s">
        <v>2029</v>
      </c>
      <c r="AZ442" s="453" t="s">
        <v>2030</v>
      </c>
      <c r="BA442" s="435" t="s">
        <v>1883</v>
      </c>
      <c r="BB442" s="435" t="s">
        <v>1884</v>
      </c>
      <c r="BC442" s="435"/>
      <c r="BD442" s="404">
        <f>SUM($AS$4:AS442)</f>
        <v>2800.1350000000125</v>
      </c>
      <c r="BE442" s="405">
        <f>SUM($AR$4:AR442)</f>
        <v>3451.5599999999786</v>
      </c>
      <c r="BF442" s="330"/>
      <c r="BG442" s="330"/>
    </row>
    <row r="443" spans="1:59" ht="15.75" customHeight="1">
      <c r="A443" s="181"/>
      <c r="B443" s="204"/>
      <c r="C443" s="182"/>
      <c r="D443" s="182"/>
      <c r="E443" s="233"/>
      <c r="F443" s="184"/>
      <c r="G443" s="185"/>
      <c r="H443" s="186"/>
      <c r="I443" s="186"/>
      <c r="J443" s="186"/>
      <c r="K443" s="187"/>
      <c r="L443" s="186"/>
      <c r="M443" s="186"/>
      <c r="N443" s="186"/>
      <c r="O443" s="187"/>
      <c r="P443" s="187"/>
      <c r="Q443" s="187"/>
      <c r="R443" s="187"/>
      <c r="S443" s="187"/>
      <c r="T443" s="187"/>
      <c r="U443" s="187"/>
      <c r="V443" s="188" t="str">
        <f t="shared" si="585"/>
        <v/>
      </c>
      <c r="W443" s="188" t="str">
        <f t="shared" si="586"/>
        <v/>
      </c>
      <c r="X443" s="189"/>
      <c r="Y443" s="189"/>
      <c r="Z443" s="189"/>
      <c r="AA443" s="190"/>
      <c r="AB443" s="186"/>
      <c r="AC443" s="344"/>
      <c r="AD443" s="186"/>
      <c r="AE443" s="186"/>
      <c r="AF443" s="186"/>
      <c r="AG443" s="186"/>
      <c r="AH443" s="186"/>
      <c r="AI443" s="191"/>
      <c r="AJ443" s="191"/>
      <c r="AK443" s="186"/>
      <c r="AL443" s="186"/>
      <c r="AM443" s="186"/>
      <c r="AN443" s="344"/>
      <c r="AO443" s="186"/>
      <c r="AP443" s="193"/>
      <c r="AQ443" s="193"/>
      <c r="AR443" s="191"/>
      <c r="AS443" s="194"/>
      <c r="AT443" s="195"/>
      <c r="AU443" s="435" t="s">
        <v>1886</v>
      </c>
      <c r="AV443" s="435" t="s">
        <v>2031</v>
      </c>
      <c r="AW443" s="435" t="s">
        <v>2032</v>
      </c>
      <c r="AX443" s="435" t="s">
        <v>2033</v>
      </c>
      <c r="AY443" s="435" t="s">
        <v>511</v>
      </c>
      <c r="AZ443" s="453"/>
      <c r="BA443" s="435"/>
      <c r="BB443" s="435"/>
      <c r="BC443" s="435"/>
      <c r="BD443" s="404">
        <f>SUM($AS$4:AS443)</f>
        <v>2800.1350000000125</v>
      </c>
      <c r="BE443" s="405">
        <f>SUM($AR$4:AR443)</f>
        <v>3451.5599999999786</v>
      </c>
      <c r="BF443" s="330"/>
      <c r="BG443" s="330"/>
    </row>
    <row r="444" spans="1:59" ht="15.75" customHeight="1">
      <c r="A444" s="281" t="s">
        <v>2034</v>
      </c>
      <c r="B444" s="281"/>
      <c r="C444" s="218"/>
      <c r="D444" s="218"/>
      <c r="E444" s="219"/>
      <c r="F444" s="220"/>
      <c r="G444" s="218"/>
      <c r="H444" s="218"/>
      <c r="I444" s="218"/>
      <c r="J444" s="218"/>
      <c r="K444" s="221"/>
      <c r="L444" s="218"/>
      <c r="M444" s="218"/>
      <c r="N444" s="218"/>
      <c r="O444" s="221"/>
      <c r="P444" s="221"/>
      <c r="Q444" s="221"/>
      <c r="R444" s="221"/>
      <c r="S444" s="221"/>
      <c r="T444" s="221"/>
      <c r="U444" s="221"/>
      <c r="V444" s="222"/>
      <c r="W444" s="222"/>
      <c r="X444" s="222"/>
      <c r="Y444" s="222"/>
      <c r="Z444" s="222"/>
      <c r="AA444" s="223"/>
      <c r="AB444" s="218"/>
      <c r="AC444" s="346"/>
      <c r="AD444" s="218"/>
      <c r="AE444" s="218"/>
      <c r="AF444" s="218"/>
      <c r="AG444" s="218"/>
      <c r="AH444" s="218"/>
      <c r="AI444" s="218"/>
      <c r="AJ444" s="218"/>
      <c r="AK444" s="218"/>
      <c r="AL444" s="218"/>
      <c r="AM444" s="218"/>
      <c r="AN444" s="346"/>
      <c r="AO444" s="218"/>
      <c r="AP444" s="225"/>
      <c r="AQ444" s="225"/>
      <c r="AR444" s="225"/>
      <c r="AS444" s="225"/>
      <c r="AT444" s="226"/>
      <c r="AU444" s="432"/>
      <c r="AV444" s="432"/>
      <c r="AW444" s="432"/>
      <c r="AX444" s="432"/>
      <c r="AY444" s="432"/>
      <c r="AZ444" s="432"/>
      <c r="BA444" s="432"/>
      <c r="BB444" s="432"/>
      <c r="BC444" s="432"/>
      <c r="BD444" s="404">
        <f>SUM($AS$4:AS444)</f>
        <v>2800.1350000000125</v>
      </c>
      <c r="BE444" s="405">
        <f>SUM($AR$4:AR444)</f>
        <v>3451.5599999999786</v>
      </c>
      <c r="BF444" s="330"/>
      <c r="BG444" s="330"/>
    </row>
    <row r="445" spans="1:59" ht="15.75" customHeight="1">
      <c r="A445" s="227" t="s">
        <v>2035</v>
      </c>
      <c r="B445" s="204">
        <v>45019</v>
      </c>
      <c r="C445" s="182" t="s">
        <v>2001</v>
      </c>
      <c r="D445" s="182" t="s">
        <v>114</v>
      </c>
      <c r="E445" s="254" t="s">
        <v>2036</v>
      </c>
      <c r="F445" s="184"/>
      <c r="G445" s="185"/>
      <c r="H445" s="186"/>
      <c r="I445" s="186"/>
      <c r="J445" s="186"/>
      <c r="K445" s="187"/>
      <c r="L445" s="186"/>
      <c r="M445" s="186"/>
      <c r="N445" s="186"/>
      <c r="O445" s="187"/>
      <c r="P445" s="187"/>
      <c r="Q445" s="187"/>
      <c r="R445" s="187"/>
      <c r="S445" s="187"/>
      <c r="T445" s="187"/>
      <c r="U445" s="187"/>
      <c r="V445" s="188" t="str">
        <f t="shared" si="585"/>
        <v/>
      </c>
      <c r="W445" s="188" t="str">
        <f t="shared" si="586"/>
        <v/>
      </c>
      <c r="X445" s="189"/>
      <c r="Y445" s="189"/>
      <c r="Z445" s="189"/>
      <c r="AA445" s="190"/>
      <c r="AB445" s="186"/>
      <c r="AC445" s="344"/>
      <c r="AD445" s="186"/>
      <c r="AE445" s="186"/>
      <c r="AF445" s="186"/>
      <c r="AG445" s="186"/>
      <c r="AH445" s="186"/>
      <c r="AI445" s="191"/>
      <c r="AJ445" s="191"/>
      <c r="AK445" s="186"/>
      <c r="AL445" s="186"/>
      <c r="AM445" s="186"/>
      <c r="AN445" s="344"/>
      <c r="AO445" s="186"/>
      <c r="AP445" s="193"/>
      <c r="AQ445" s="193"/>
      <c r="AR445" s="191"/>
      <c r="AS445" s="194"/>
      <c r="AT445" s="195"/>
      <c r="AU445" s="425" t="s">
        <v>2037</v>
      </c>
      <c r="AV445" s="425" t="s">
        <v>2038</v>
      </c>
      <c r="AW445" s="425" t="s">
        <v>2039</v>
      </c>
      <c r="AX445" s="425" t="s">
        <v>2040</v>
      </c>
      <c r="AY445" s="425" t="s">
        <v>511</v>
      </c>
      <c r="AZ445" s="425"/>
      <c r="BA445" s="425"/>
      <c r="BB445" s="425"/>
      <c r="BC445" s="440"/>
      <c r="BD445" s="404">
        <f>SUM($AS$4:AS445)</f>
        <v>2800.1350000000125</v>
      </c>
      <c r="BE445" s="405">
        <f>SUM($AR$4:AR445)</f>
        <v>3451.5599999999786</v>
      </c>
      <c r="BF445" s="330"/>
      <c r="BG445" s="330"/>
    </row>
    <row r="446" spans="1:59" ht="15.75" customHeight="1">
      <c r="A446" s="227" t="s">
        <v>2035</v>
      </c>
      <c r="B446" s="204">
        <v>45019</v>
      </c>
      <c r="C446" s="182" t="s">
        <v>2041</v>
      </c>
      <c r="D446" s="182" t="s">
        <v>114</v>
      </c>
      <c r="E446" s="254" t="s">
        <v>2042</v>
      </c>
      <c r="F446" s="184" t="s">
        <v>2043</v>
      </c>
      <c r="G446" s="185"/>
      <c r="H446" s="186"/>
      <c r="I446" s="186"/>
      <c r="J446" s="186">
        <v>1</v>
      </c>
      <c r="K446" s="187"/>
      <c r="L446" s="186"/>
      <c r="M446" s="186"/>
      <c r="N446" s="186"/>
      <c r="O446" s="187"/>
      <c r="P446" s="187"/>
      <c r="Q446" s="187"/>
      <c r="R446" s="187"/>
      <c r="S446" s="187"/>
      <c r="T446" s="187"/>
      <c r="U446" s="187"/>
      <c r="V446" s="188" t="str">
        <f t="shared" si="585"/>
        <v/>
      </c>
      <c r="W446" s="188" t="str">
        <f t="shared" si="586"/>
        <v/>
      </c>
      <c r="X446" s="189"/>
      <c r="Y446" s="189"/>
      <c r="Z446" s="189"/>
      <c r="AA446" s="190"/>
      <c r="AB446" s="186"/>
      <c r="AC446" s="344"/>
      <c r="AD446" s="186"/>
      <c r="AE446" s="186"/>
      <c r="AF446" s="186"/>
      <c r="AG446" s="186"/>
      <c r="AH446" s="186"/>
      <c r="AI446" s="191"/>
      <c r="AJ446" s="191"/>
      <c r="AK446" s="186"/>
      <c r="AL446" s="186"/>
      <c r="AM446" s="186"/>
      <c r="AN446" s="344"/>
      <c r="AO446" s="186"/>
      <c r="AP446" s="193"/>
      <c r="AQ446" s="193"/>
      <c r="AR446" s="191"/>
      <c r="AS446" s="194"/>
      <c r="AT446" s="195"/>
      <c r="AU446" s="425"/>
      <c r="AV446" s="425"/>
      <c r="AW446" s="425"/>
      <c r="AX446" s="425"/>
      <c r="AY446" s="425"/>
      <c r="AZ446" s="425"/>
      <c r="BA446" s="425"/>
      <c r="BB446" s="425"/>
      <c r="BC446" s="440"/>
      <c r="BD446" s="404">
        <f>SUM($AS$4:AS446)</f>
        <v>2800.1350000000125</v>
      </c>
      <c r="BE446" s="405">
        <f>SUM($AR$4:AR446)</f>
        <v>3451.5599999999786</v>
      </c>
      <c r="BF446" s="330"/>
      <c r="BG446" s="330"/>
    </row>
    <row r="447" spans="1:59" ht="15.75" customHeight="1">
      <c r="A447" s="227" t="s">
        <v>2035</v>
      </c>
      <c r="B447" s="204">
        <v>45019</v>
      </c>
      <c r="C447" s="182" t="s">
        <v>2044</v>
      </c>
      <c r="D447" s="182" t="s">
        <v>114</v>
      </c>
      <c r="E447" s="254"/>
      <c r="F447" s="184"/>
      <c r="G447" s="298" t="s">
        <v>2045</v>
      </c>
      <c r="H447" s="186"/>
      <c r="I447" s="186"/>
      <c r="J447" s="186"/>
      <c r="K447" s="187"/>
      <c r="L447" s="186">
        <v>1</v>
      </c>
      <c r="M447" s="186"/>
      <c r="N447" s="186"/>
      <c r="O447" s="187" t="s">
        <v>76</v>
      </c>
      <c r="P447" s="187" t="s">
        <v>119</v>
      </c>
      <c r="Q447" s="187" t="s">
        <v>78</v>
      </c>
      <c r="R447" s="187">
        <v>5</v>
      </c>
      <c r="S447" s="187">
        <v>5</v>
      </c>
      <c r="T447" s="187">
        <v>5</v>
      </c>
      <c r="U447" s="187" t="s">
        <v>22</v>
      </c>
      <c r="V447" s="188">
        <f t="shared" si="585"/>
        <v>0.01</v>
      </c>
      <c r="W447" s="188">
        <f>IF(ISBLANK(O447),"",IF(O447="IB",8.63*200,IF(O447="IR",16.2*100,IF(O447="YT",20))))</f>
        <v>1620</v>
      </c>
      <c r="X447" s="189" t="s">
        <v>980</v>
      </c>
      <c r="Y447" s="189" t="s">
        <v>2046</v>
      </c>
      <c r="Z447" s="189"/>
      <c r="AA447" s="190">
        <v>-0.06</v>
      </c>
      <c r="AB447" s="186"/>
      <c r="AC447" s="344">
        <v>-8</v>
      </c>
      <c r="AD447" s="186"/>
      <c r="AE447" s="186"/>
      <c r="AF447" s="186"/>
      <c r="AG447" s="186"/>
      <c r="AH447" s="186"/>
      <c r="AI447" s="191">
        <f t="shared" ref="AI447" si="587">-0.02*W447</f>
        <v>-32.4</v>
      </c>
      <c r="AJ447" s="191">
        <f t="shared" ref="AJ447" si="588">AI447*R447</f>
        <v>-162</v>
      </c>
      <c r="AK447" s="186"/>
      <c r="AL447" s="186"/>
      <c r="AM447" s="186" t="s">
        <v>786</v>
      </c>
      <c r="AN447" s="344" t="s">
        <v>97</v>
      </c>
      <c r="AO447" s="186" t="s">
        <v>664</v>
      </c>
      <c r="AP447" s="193">
        <f>((-0.07*2)+(-0.06*3))/5</f>
        <v>-6.4000000000000001E-2</v>
      </c>
      <c r="AQ447" s="193">
        <f t="shared" ref="AQ447:AQ449" si="589">IF(ISBLANK(AP447),,IF(U447="S",AA447-AP447,AP447-AA447))</f>
        <v>-4.0000000000000036E-3</v>
      </c>
      <c r="AR447" s="191">
        <f t="shared" ref="AR447:AR449" si="590">AS447*R447</f>
        <v>-32.400000000000027</v>
      </c>
      <c r="AS447" s="194">
        <f t="shared" ref="AS447:AS449" si="591">IF(ISBLANK(AP447),,(AQ447*W447))</f>
        <v>-6.4800000000000058</v>
      </c>
      <c r="AT447" s="195" t="s">
        <v>211</v>
      </c>
      <c r="AU447" s="425" t="s">
        <v>2047</v>
      </c>
      <c r="AV447" s="425" t="s">
        <v>2048</v>
      </c>
      <c r="AW447" s="425" t="s">
        <v>2049</v>
      </c>
      <c r="AX447" s="425"/>
      <c r="AY447" s="425"/>
      <c r="AZ447" s="425"/>
      <c r="BA447" s="425"/>
      <c r="BB447" s="425"/>
      <c r="BC447" s="440"/>
      <c r="BD447" s="404">
        <f>SUM($AS$4:AS447)</f>
        <v>2793.6550000000125</v>
      </c>
      <c r="BE447" s="405">
        <f>SUM($AR$4:AR447)</f>
        <v>3419.1599999999785</v>
      </c>
      <c r="BF447" s="330"/>
      <c r="BG447" s="330"/>
    </row>
    <row r="448" spans="1:59" ht="15.75" customHeight="1">
      <c r="A448" s="227" t="s">
        <v>2035</v>
      </c>
      <c r="B448" s="204">
        <v>45019</v>
      </c>
      <c r="C448" s="182" t="s">
        <v>2050</v>
      </c>
      <c r="D448" s="182" t="s">
        <v>114</v>
      </c>
      <c r="E448" s="233"/>
      <c r="F448" s="184"/>
      <c r="G448" s="298" t="s">
        <v>2051</v>
      </c>
      <c r="H448" s="186"/>
      <c r="I448" s="186"/>
      <c r="J448" s="186"/>
      <c r="K448" s="187"/>
      <c r="L448" s="186">
        <v>1</v>
      </c>
      <c r="M448" s="186"/>
      <c r="N448" s="186"/>
      <c r="O448" s="187" t="s">
        <v>76</v>
      </c>
      <c r="P448" s="187" t="s">
        <v>119</v>
      </c>
      <c r="Q448" s="187" t="s">
        <v>78</v>
      </c>
      <c r="R448" s="187">
        <v>10</v>
      </c>
      <c r="S448" s="187">
        <v>4</v>
      </c>
      <c r="T448" s="187">
        <v>10</v>
      </c>
      <c r="U448" s="187" t="s">
        <v>22</v>
      </c>
      <c r="V448" s="188">
        <f t="shared" ref="V448" si="592">IF(ISBLANK(O448),"",(IF(O448=UPPER("IB"),0.005,0.01)))</f>
        <v>0.01</v>
      </c>
      <c r="W448" s="188">
        <f t="shared" ref="W448:W454" si="593">IF(ISBLANK(O448),"",IF(O448="IB",8.63*200,IF(O448="IR",16.2*100,IF(O448="YT",20))))</f>
        <v>1620</v>
      </c>
      <c r="X448" s="189" t="s">
        <v>980</v>
      </c>
      <c r="Y448" s="189" t="s">
        <v>2046</v>
      </c>
      <c r="Z448" s="189"/>
      <c r="AA448" s="190">
        <v>-0.04</v>
      </c>
      <c r="AB448" s="186"/>
      <c r="AC448" s="344">
        <v>-6</v>
      </c>
      <c r="AD448" s="186"/>
      <c r="AE448" s="186"/>
      <c r="AF448" s="186"/>
      <c r="AG448" s="186"/>
      <c r="AH448" s="186"/>
      <c r="AI448" s="191">
        <f>-0.01*W448</f>
        <v>-16.2</v>
      </c>
      <c r="AJ448" s="191">
        <f>AI448*(R448-S448)</f>
        <v>-97.199999999999989</v>
      </c>
      <c r="AK448" s="186" t="s">
        <v>2052</v>
      </c>
      <c r="AL448" s="186"/>
      <c r="AM448" s="186" t="s">
        <v>846</v>
      </c>
      <c r="AN448" s="344" t="s">
        <v>97</v>
      </c>
      <c r="AO448" s="186" t="s">
        <v>2053</v>
      </c>
      <c r="AP448" s="193">
        <f>((-0.04*4)+(-0.05*4)+(-0.06*2))/10</f>
        <v>-4.8000000000000001E-2</v>
      </c>
      <c r="AQ448" s="193">
        <f t="shared" si="589"/>
        <v>-8.0000000000000002E-3</v>
      </c>
      <c r="AR448" s="191">
        <f t="shared" si="590"/>
        <v>-129.60000000000002</v>
      </c>
      <c r="AS448" s="194">
        <f t="shared" si="591"/>
        <v>-12.96</v>
      </c>
      <c r="AT448" s="195" t="s">
        <v>211</v>
      </c>
      <c r="AU448" s="425" t="s">
        <v>2054</v>
      </c>
      <c r="AV448" s="425" t="s">
        <v>2055</v>
      </c>
      <c r="AW448" s="425" t="s">
        <v>2056</v>
      </c>
      <c r="AX448" s="425" t="s">
        <v>2057</v>
      </c>
      <c r="AY448" s="425"/>
      <c r="AZ448" s="425"/>
      <c r="BA448" s="425"/>
      <c r="BB448" s="425"/>
      <c r="BC448" s="440"/>
      <c r="BD448" s="404">
        <f>SUM($AS$4:AS448)</f>
        <v>2780.6950000000124</v>
      </c>
      <c r="BE448" s="405">
        <f>SUM($AR$4:AR448)</f>
        <v>3289.5599999999786</v>
      </c>
      <c r="BF448" s="330"/>
      <c r="BG448" s="330"/>
    </row>
    <row r="449" spans="1:59" ht="15.75" customHeight="1">
      <c r="A449" s="227" t="s">
        <v>2035</v>
      </c>
      <c r="B449" s="204">
        <v>45019</v>
      </c>
      <c r="C449" s="182" t="s">
        <v>2058</v>
      </c>
      <c r="D449" s="182" t="s">
        <v>114</v>
      </c>
      <c r="E449" s="233"/>
      <c r="F449" s="184"/>
      <c r="G449" s="297" t="s">
        <v>2045</v>
      </c>
      <c r="H449" s="186"/>
      <c r="I449" s="186"/>
      <c r="J449" s="186"/>
      <c r="K449" s="187"/>
      <c r="L449" s="186">
        <v>1</v>
      </c>
      <c r="M449" s="186"/>
      <c r="N449" s="186"/>
      <c r="O449" s="187" t="s">
        <v>76</v>
      </c>
      <c r="P449" s="187" t="s">
        <v>119</v>
      </c>
      <c r="Q449" s="187" t="s">
        <v>78</v>
      </c>
      <c r="R449" s="187">
        <v>7</v>
      </c>
      <c r="S449" s="187">
        <v>7</v>
      </c>
      <c r="T449" s="187">
        <v>7</v>
      </c>
      <c r="U449" s="187" t="s">
        <v>22</v>
      </c>
      <c r="V449" s="188">
        <f t="shared" ref="V449" si="594">IF(ISBLANK(O449),"",(IF(O449=UPPER("IB"),0.005,0.01)))</f>
        <v>0.01</v>
      </c>
      <c r="W449" s="188">
        <f t="shared" si="593"/>
        <v>1620</v>
      </c>
      <c r="X449" s="189" t="s">
        <v>2059</v>
      </c>
      <c r="Y449" s="189" t="s">
        <v>511</v>
      </c>
      <c r="Z449" s="189"/>
      <c r="AA449" s="190">
        <v>-7.0000000000000007E-2</v>
      </c>
      <c r="AB449" s="186"/>
      <c r="AC449" s="344">
        <v>-10</v>
      </c>
      <c r="AD449" s="186"/>
      <c r="AE449" s="186"/>
      <c r="AF449" s="186"/>
      <c r="AG449" s="186"/>
      <c r="AH449" s="186"/>
      <c r="AI449" s="191">
        <f>-0.03*W449</f>
        <v>-48.6</v>
      </c>
      <c r="AJ449" s="191">
        <f>AI449*(R449-S449)</f>
        <v>0</v>
      </c>
      <c r="AK449" s="186" t="s">
        <v>2052</v>
      </c>
      <c r="AL449" s="186"/>
      <c r="AM449" s="186" t="s">
        <v>571</v>
      </c>
      <c r="AN449" s="344" t="s">
        <v>97</v>
      </c>
      <c r="AO449" s="186" t="s">
        <v>2060</v>
      </c>
      <c r="AP449" s="193">
        <f>((-0.06*4)+(-0.08*3))/7</f>
        <v>-6.8571428571428575E-2</v>
      </c>
      <c r="AQ449" s="193">
        <f t="shared" si="589"/>
        <v>1.4285714285714318E-3</v>
      </c>
      <c r="AR449" s="191">
        <f t="shared" si="590"/>
        <v>16.200000000000035</v>
      </c>
      <c r="AS449" s="194">
        <f t="shared" si="591"/>
        <v>2.3142857142857194</v>
      </c>
      <c r="AT449" s="195" t="s">
        <v>77</v>
      </c>
      <c r="AU449" s="425"/>
      <c r="AV449" s="425" t="s">
        <v>2061</v>
      </c>
      <c r="AW449" s="425"/>
      <c r="AX449" s="425"/>
      <c r="AY449" s="425"/>
      <c r="AZ449" s="425"/>
      <c r="BA449" s="425"/>
      <c r="BB449" s="425"/>
      <c r="BC449" s="440"/>
      <c r="BD449" s="404">
        <f>SUM($AS$4:AS449)</f>
        <v>2783.0092857142981</v>
      </c>
      <c r="BE449" s="405">
        <f>SUM($AR$4:AR449)</f>
        <v>3305.7599999999784</v>
      </c>
      <c r="BF449" s="330"/>
      <c r="BG449" s="330"/>
    </row>
    <row r="450" spans="1:59" ht="15.75" customHeight="1">
      <c r="A450" s="227" t="s">
        <v>2035</v>
      </c>
      <c r="B450" s="204">
        <v>45020</v>
      </c>
      <c r="C450" s="182" t="s">
        <v>2062</v>
      </c>
      <c r="D450" s="182" t="s">
        <v>128</v>
      </c>
      <c r="E450" s="233"/>
      <c r="F450" s="184"/>
      <c r="G450" s="298" t="s">
        <v>75</v>
      </c>
      <c r="H450" s="186"/>
      <c r="I450" s="186"/>
      <c r="J450" s="186"/>
      <c r="K450" s="187"/>
      <c r="L450" s="186">
        <v>1</v>
      </c>
      <c r="M450" s="186"/>
      <c r="N450" s="186"/>
      <c r="O450" s="187" t="s">
        <v>76</v>
      </c>
      <c r="P450" s="187" t="s">
        <v>77</v>
      </c>
      <c r="Q450" s="187" t="s">
        <v>78</v>
      </c>
      <c r="R450" s="187">
        <v>3</v>
      </c>
      <c r="S450" s="187">
        <v>3</v>
      </c>
      <c r="T450" s="187">
        <v>3</v>
      </c>
      <c r="U450" s="187" t="s">
        <v>78</v>
      </c>
      <c r="V450" s="188">
        <f t="shared" ref="V450" si="595">IF(ISBLANK(O450),"",(IF(O450=UPPER("IB"),0.005,0.01)))</f>
        <v>0.01</v>
      </c>
      <c r="W450" s="188">
        <f t="shared" si="593"/>
        <v>1620</v>
      </c>
      <c r="X450" s="189" t="s">
        <v>2063</v>
      </c>
      <c r="Y450" s="189"/>
      <c r="Z450" s="189"/>
      <c r="AA450" s="190">
        <v>-0.06</v>
      </c>
      <c r="AB450" s="186"/>
      <c r="AC450" s="344"/>
      <c r="AD450" s="186"/>
      <c r="AE450" s="186"/>
      <c r="AF450" s="186"/>
      <c r="AG450" s="186"/>
      <c r="AH450" s="186"/>
      <c r="AI450" s="191">
        <f t="shared" ref="AI450:AI452" si="596">-0.03*W450</f>
        <v>-48.6</v>
      </c>
      <c r="AJ450" s="191">
        <f t="shared" ref="AJ450:AJ454" si="597">AI450*R450</f>
        <v>-145.80000000000001</v>
      </c>
      <c r="AK450" s="186"/>
      <c r="AL450" s="186"/>
      <c r="AM450" s="186" t="s">
        <v>2064</v>
      </c>
      <c r="AN450" s="344" t="s">
        <v>376</v>
      </c>
      <c r="AO450" s="186" t="s">
        <v>2065</v>
      </c>
      <c r="AP450" s="193">
        <v>-0.06</v>
      </c>
      <c r="AQ450" s="193">
        <f t="shared" ref="AQ450" si="598">IF(ISBLANK(AP450),,IF(U450="S",AA450-AP450,AP450-AA450))</f>
        <v>0</v>
      </c>
      <c r="AR450" s="191">
        <f t="shared" ref="AR450" si="599">AS450*R450</f>
        <v>0</v>
      </c>
      <c r="AS450" s="194">
        <f t="shared" ref="AS450" si="600">IF(ISBLANK(AP450),,(AQ450*W450))</f>
        <v>0</v>
      </c>
      <c r="AT450" s="195" t="s">
        <v>97</v>
      </c>
      <c r="AU450" s="425" t="s">
        <v>2066</v>
      </c>
      <c r="AV450" s="425" t="s">
        <v>2067</v>
      </c>
      <c r="AW450" s="425" t="s">
        <v>2068</v>
      </c>
      <c r="AX450" s="425"/>
      <c r="AY450" s="425"/>
      <c r="AZ450" s="425"/>
      <c r="BA450" s="425"/>
      <c r="BB450" s="425"/>
      <c r="BC450" s="440"/>
      <c r="BD450" s="404">
        <f>SUM($AS$4:AS450)</f>
        <v>2783.0092857142981</v>
      </c>
      <c r="BE450" s="405">
        <f>SUM($AR$4:AR450)</f>
        <v>3305.7599999999784</v>
      </c>
      <c r="BF450" s="330"/>
      <c r="BG450" s="330"/>
    </row>
    <row r="451" spans="1:59" ht="15.75" customHeight="1">
      <c r="A451" s="227" t="s">
        <v>2035</v>
      </c>
      <c r="B451" s="204">
        <v>45020</v>
      </c>
      <c r="C451" s="182" t="s">
        <v>664</v>
      </c>
      <c r="D451" s="182" t="s">
        <v>128</v>
      </c>
      <c r="E451" s="233"/>
      <c r="F451" s="184"/>
      <c r="G451" s="294" t="s">
        <v>2051</v>
      </c>
      <c r="H451" s="186"/>
      <c r="I451" s="186"/>
      <c r="J451" s="186"/>
      <c r="K451" s="187"/>
      <c r="L451" s="186">
        <v>1</v>
      </c>
      <c r="M451" s="186">
        <v>2</v>
      </c>
      <c r="N451" s="186"/>
      <c r="O451" s="187" t="s">
        <v>76</v>
      </c>
      <c r="P451" s="187" t="s">
        <v>119</v>
      </c>
      <c r="Q451" s="187" t="s">
        <v>78</v>
      </c>
      <c r="R451" s="187">
        <v>4</v>
      </c>
      <c r="S451" s="187">
        <v>4</v>
      </c>
      <c r="T451" s="187">
        <v>4</v>
      </c>
      <c r="U451" s="187" t="s">
        <v>22</v>
      </c>
      <c r="V451" s="188">
        <f t="shared" ref="V451" si="601">IF(ISBLANK(O451),"",(IF(O451=UPPER("IB"),0.005,0.01)))</f>
        <v>0.01</v>
      </c>
      <c r="W451" s="188">
        <f t="shared" si="593"/>
        <v>1620</v>
      </c>
      <c r="X451" s="189" t="s">
        <v>2069</v>
      </c>
      <c r="Y451" s="189" t="s">
        <v>2070</v>
      </c>
      <c r="Z451" s="189"/>
      <c r="AA451" s="190">
        <v>-0.05</v>
      </c>
      <c r="AB451" s="186"/>
      <c r="AC451" s="344"/>
      <c r="AD451" s="186"/>
      <c r="AE451" s="186"/>
      <c r="AF451" s="186"/>
      <c r="AG451" s="186"/>
      <c r="AH451" s="186"/>
      <c r="AI451" s="191">
        <f>-0.01*W451</f>
        <v>-16.2</v>
      </c>
      <c r="AJ451" s="191">
        <f t="shared" si="597"/>
        <v>-64.8</v>
      </c>
      <c r="AK451" s="186" t="s">
        <v>2071</v>
      </c>
      <c r="AL451" s="186"/>
      <c r="AM451" s="186" t="s">
        <v>571</v>
      </c>
      <c r="AN451" s="344" t="s">
        <v>97</v>
      </c>
      <c r="AO451" s="186" t="s">
        <v>2072</v>
      </c>
      <c r="AP451" s="193">
        <v>-0.05</v>
      </c>
      <c r="AQ451" s="193">
        <f t="shared" ref="AQ451:AQ452" si="602">IF(ISBLANK(AP451),,IF(U451="S",AA451-AP451,AP451-AA451))</f>
        <v>0</v>
      </c>
      <c r="AR451" s="191">
        <f t="shared" ref="AR451:AR452" si="603">AS451*R451</f>
        <v>0</v>
      </c>
      <c r="AS451" s="194">
        <f t="shared" ref="AS451:AS452" si="604">IF(ISBLANK(AP451),,(AQ451*W451))</f>
        <v>0</v>
      </c>
      <c r="AT451" s="195" t="s">
        <v>97</v>
      </c>
      <c r="AU451" s="425"/>
      <c r="AV451" s="425"/>
      <c r="AW451" s="425"/>
      <c r="AX451" s="425"/>
      <c r="AY451" s="425"/>
      <c r="AZ451" s="425"/>
      <c r="BA451" s="425"/>
      <c r="BB451" s="425"/>
      <c r="BC451" s="440"/>
      <c r="BD451" s="404">
        <f>SUM($AS$4:AS451)</f>
        <v>2783.0092857142981</v>
      </c>
      <c r="BE451" s="405">
        <f>SUM($AR$4:AR451)</f>
        <v>3305.7599999999784</v>
      </c>
      <c r="BF451" s="330"/>
      <c r="BG451" s="330"/>
    </row>
    <row r="452" spans="1:59" ht="15.75" customHeight="1">
      <c r="A452" s="227" t="s">
        <v>2035</v>
      </c>
      <c r="B452" s="204">
        <v>45020</v>
      </c>
      <c r="C452" s="182" t="s">
        <v>664</v>
      </c>
      <c r="D452" s="182" t="s">
        <v>128</v>
      </c>
      <c r="E452" s="233"/>
      <c r="F452" s="184"/>
      <c r="G452" s="298" t="s">
        <v>2051</v>
      </c>
      <c r="H452" s="186"/>
      <c r="I452" s="186"/>
      <c r="J452" s="186"/>
      <c r="K452" s="187"/>
      <c r="L452" s="186">
        <v>1</v>
      </c>
      <c r="M452" s="186"/>
      <c r="N452" s="186"/>
      <c r="O452" s="187" t="s">
        <v>76</v>
      </c>
      <c r="P452" s="187" t="s">
        <v>119</v>
      </c>
      <c r="Q452" s="187" t="s">
        <v>78</v>
      </c>
      <c r="R452" s="187">
        <v>2</v>
      </c>
      <c r="S452" s="187">
        <v>2</v>
      </c>
      <c r="T452" s="187">
        <v>2</v>
      </c>
      <c r="U452" s="187" t="s">
        <v>22</v>
      </c>
      <c r="V452" s="188">
        <f t="shared" ref="V452" si="605">IF(ISBLANK(O452),"",(IF(O452=UPPER("IB"),0.005,0.01)))</f>
        <v>0.01</v>
      </c>
      <c r="W452" s="188">
        <f t="shared" si="593"/>
        <v>1620</v>
      </c>
      <c r="X452" s="189" t="s">
        <v>980</v>
      </c>
      <c r="Y452" s="189"/>
      <c r="Z452" s="189"/>
      <c r="AA452" s="190">
        <v>-0.04</v>
      </c>
      <c r="AB452" s="186"/>
      <c r="AC452" s="344"/>
      <c r="AD452" s="186"/>
      <c r="AE452" s="186"/>
      <c r="AF452" s="186"/>
      <c r="AG452" s="186"/>
      <c r="AH452" s="186"/>
      <c r="AI452" s="191">
        <f t="shared" si="596"/>
        <v>-48.6</v>
      </c>
      <c r="AJ452" s="191">
        <f t="shared" si="597"/>
        <v>-97.2</v>
      </c>
      <c r="AK452" s="186"/>
      <c r="AL452" s="186"/>
      <c r="AM452" s="186" t="s">
        <v>571</v>
      </c>
      <c r="AN452" s="344" t="s">
        <v>97</v>
      </c>
      <c r="AO452" s="186" t="s">
        <v>2073</v>
      </c>
      <c r="AP452" s="193">
        <v>-0.04</v>
      </c>
      <c r="AQ452" s="193">
        <f t="shared" si="602"/>
        <v>0</v>
      </c>
      <c r="AR452" s="191">
        <f t="shared" si="603"/>
        <v>0</v>
      </c>
      <c r="AS452" s="194">
        <f t="shared" si="604"/>
        <v>0</v>
      </c>
      <c r="AT452" s="195" t="s">
        <v>97</v>
      </c>
      <c r="AU452" s="425"/>
      <c r="AV452" s="425"/>
      <c r="AW452" s="425"/>
      <c r="AX452" s="425"/>
      <c r="AY452" s="425"/>
      <c r="AZ452" s="425"/>
      <c r="BA452" s="425"/>
      <c r="BB452" s="425"/>
      <c r="BC452" s="440"/>
      <c r="BD452" s="404">
        <f>SUM($AS$4:AS452)</f>
        <v>2783.0092857142981</v>
      </c>
      <c r="BE452" s="405">
        <f>SUM($AR$4:AR452)</f>
        <v>3305.7599999999784</v>
      </c>
      <c r="BF452" s="330"/>
      <c r="BG452" s="330"/>
    </row>
    <row r="453" spans="1:59" ht="15.75" customHeight="1">
      <c r="A453" s="227" t="s">
        <v>2035</v>
      </c>
      <c r="B453" s="204">
        <v>45020</v>
      </c>
      <c r="C453" s="182" t="s">
        <v>2074</v>
      </c>
      <c r="D453" s="182" t="s">
        <v>128</v>
      </c>
      <c r="E453" s="233" t="s">
        <v>2075</v>
      </c>
      <c r="F453" s="184" t="s">
        <v>2076</v>
      </c>
      <c r="G453" s="185"/>
      <c r="H453" s="186"/>
      <c r="I453" s="186"/>
      <c r="J453" s="186"/>
      <c r="K453" s="187"/>
      <c r="L453" s="186"/>
      <c r="M453" s="186"/>
      <c r="N453" s="186"/>
      <c r="O453" s="187"/>
      <c r="P453" s="187"/>
      <c r="Q453" s="187"/>
      <c r="R453" s="187"/>
      <c r="S453" s="187"/>
      <c r="T453" s="187"/>
      <c r="U453" s="187"/>
      <c r="V453" s="188" t="str">
        <f t="shared" ref="V453:V454" si="606">IF(ISBLANK(O453),"",(IF(O453=UPPER("IB"),0.005,0.01)))</f>
        <v/>
      </c>
      <c r="W453" s="188" t="str">
        <f t="shared" si="593"/>
        <v/>
      </c>
      <c r="X453" s="189"/>
      <c r="Y453" s="189"/>
      <c r="Z453" s="189"/>
      <c r="AA453" s="190"/>
      <c r="AB453" s="186"/>
      <c r="AC453" s="344"/>
      <c r="AD453" s="186"/>
      <c r="AE453" s="186"/>
      <c r="AF453" s="186"/>
      <c r="AG453" s="186"/>
      <c r="AH453" s="186"/>
      <c r="AI453" s="191"/>
      <c r="AJ453" s="191"/>
      <c r="AK453" s="186"/>
      <c r="AL453" s="186"/>
      <c r="AM453" s="186"/>
      <c r="AN453" s="344"/>
      <c r="AO453" s="186"/>
      <c r="AP453" s="193"/>
      <c r="AQ453" s="193"/>
      <c r="AR453" s="191"/>
      <c r="AS453" s="194"/>
      <c r="AT453" s="195"/>
      <c r="AU453" s="425" t="s">
        <v>2077</v>
      </c>
      <c r="AV453" s="425" t="s">
        <v>511</v>
      </c>
      <c r="AW453" s="425"/>
      <c r="AX453" s="425"/>
      <c r="AY453" s="425"/>
      <c r="AZ453" s="425"/>
      <c r="BA453" s="425"/>
      <c r="BB453" s="425"/>
      <c r="BC453" s="440"/>
      <c r="BD453" s="404">
        <f>SUM($AS$4:AS453)</f>
        <v>2783.0092857142981</v>
      </c>
      <c r="BE453" s="405">
        <f>SUM($AR$4:AR453)</f>
        <v>3305.7599999999784</v>
      </c>
      <c r="BF453" s="330"/>
      <c r="BG453" s="330"/>
    </row>
    <row r="454" spans="1:59" ht="15.75" customHeight="1">
      <c r="A454" s="227" t="s">
        <v>2035</v>
      </c>
      <c r="B454" s="204">
        <v>45020</v>
      </c>
      <c r="C454" s="182" t="s">
        <v>2078</v>
      </c>
      <c r="D454" s="182" t="s">
        <v>128</v>
      </c>
      <c r="E454" s="233"/>
      <c r="F454" s="184"/>
      <c r="G454" s="298" t="s">
        <v>75</v>
      </c>
      <c r="H454" s="186"/>
      <c r="I454" s="186"/>
      <c r="J454" s="186"/>
      <c r="K454" s="187"/>
      <c r="L454" s="186">
        <v>1</v>
      </c>
      <c r="M454" s="186"/>
      <c r="N454" s="186"/>
      <c r="O454" s="187" t="s">
        <v>76</v>
      </c>
      <c r="P454" s="187" t="s">
        <v>77</v>
      </c>
      <c r="Q454" s="187" t="s">
        <v>78</v>
      </c>
      <c r="R454" s="187">
        <v>7</v>
      </c>
      <c r="S454" s="187">
        <v>7</v>
      </c>
      <c r="T454" s="187">
        <v>7</v>
      </c>
      <c r="U454" s="187" t="s">
        <v>78</v>
      </c>
      <c r="V454" s="188">
        <f t="shared" si="606"/>
        <v>0.01</v>
      </c>
      <c r="W454" s="188">
        <f t="shared" si="593"/>
        <v>1620</v>
      </c>
      <c r="X454" s="189" t="s">
        <v>2079</v>
      </c>
      <c r="Y454" s="189"/>
      <c r="Z454" s="189"/>
      <c r="AA454" s="190">
        <v>-0.05</v>
      </c>
      <c r="AB454" s="186"/>
      <c r="AC454" s="344"/>
      <c r="AD454" s="186"/>
      <c r="AE454" s="186"/>
      <c r="AF454" s="186"/>
      <c r="AG454" s="186"/>
      <c r="AH454" s="186"/>
      <c r="AI454" s="191">
        <f>-0.02*W454</f>
        <v>-32.4</v>
      </c>
      <c r="AJ454" s="191">
        <f t="shared" si="597"/>
        <v>-226.79999999999998</v>
      </c>
      <c r="AK454" s="186"/>
      <c r="AL454" s="186"/>
      <c r="AM454" s="186" t="s">
        <v>2080</v>
      </c>
      <c r="AN454" s="344" t="s">
        <v>87</v>
      </c>
      <c r="AO454" s="186" t="s">
        <v>2081</v>
      </c>
      <c r="AP454" s="193">
        <v>-0.06</v>
      </c>
      <c r="AQ454" s="193">
        <f t="shared" ref="AQ454" si="607">IF(ISBLANK(AP454),,IF(U454="S",AA454-AP454,AP454-AA454))</f>
        <v>9.999999999999995E-3</v>
      </c>
      <c r="AR454" s="191">
        <f t="shared" ref="AR454" si="608">AS454*R454</f>
        <v>113.39999999999995</v>
      </c>
      <c r="AS454" s="194">
        <f t="shared" ref="AS454" si="609">IF(ISBLANK(AP454),,(AQ454*W454))</f>
        <v>16.199999999999992</v>
      </c>
      <c r="AT454" s="195" t="s">
        <v>77</v>
      </c>
      <c r="AU454" s="425"/>
      <c r="AV454" s="425"/>
      <c r="AW454" s="425"/>
      <c r="AX454" s="425"/>
      <c r="AY454" s="425"/>
      <c r="AZ454" s="425"/>
      <c r="BA454" s="425"/>
      <c r="BB454" s="425"/>
      <c r="BC454" s="440"/>
      <c r="BD454" s="404">
        <f>SUM($AS$4:AS454)</f>
        <v>2799.2092857142979</v>
      </c>
      <c r="BE454" s="405">
        <f>SUM($AR$4:AR454)</f>
        <v>3419.1599999999785</v>
      </c>
      <c r="BF454" s="330"/>
      <c r="BG454" s="330"/>
    </row>
    <row r="455" spans="1:59" ht="15.75" customHeight="1">
      <c r="A455" s="227" t="s">
        <v>2035</v>
      </c>
      <c r="B455" s="204">
        <v>45020</v>
      </c>
      <c r="C455" s="182" t="s">
        <v>2041</v>
      </c>
      <c r="D455" s="182" t="s">
        <v>128</v>
      </c>
      <c r="E455" s="233" t="s">
        <v>2082</v>
      </c>
      <c r="F455" s="184" t="s">
        <v>2083</v>
      </c>
      <c r="G455" s="185"/>
      <c r="H455" s="186"/>
      <c r="I455" s="186"/>
      <c r="J455" s="186"/>
      <c r="K455" s="187"/>
      <c r="L455" s="186"/>
      <c r="M455" s="186"/>
      <c r="N455" s="186"/>
      <c r="O455" s="187"/>
      <c r="P455" s="187"/>
      <c r="Q455" s="187"/>
      <c r="R455" s="187"/>
      <c r="S455" s="187"/>
      <c r="T455" s="187"/>
      <c r="U455" s="187"/>
      <c r="V455" s="188" t="str">
        <f t="shared" ref="V455:V457" si="610">IF(ISBLANK(O455),"",(IF(O455=UPPER("IB"),0.005,0.01)))</f>
        <v/>
      </c>
      <c r="W455" s="188" t="str">
        <f t="shared" ref="W455:W457" si="611">IF(ISBLANK(O455),"",IF(O455="IB",8.63*200,IF(O455="IR",16.2*100,IF(O455="YT",20))))</f>
        <v/>
      </c>
      <c r="X455" s="189"/>
      <c r="Y455" s="189"/>
      <c r="Z455" s="189"/>
      <c r="AA455" s="190"/>
      <c r="AB455" s="186"/>
      <c r="AC455" s="344"/>
      <c r="AD455" s="186"/>
      <c r="AE455" s="186"/>
      <c r="AF455" s="186"/>
      <c r="AG455" s="186"/>
      <c r="AH455" s="186"/>
      <c r="AI455" s="191"/>
      <c r="AJ455" s="191"/>
      <c r="AK455" s="186"/>
      <c r="AL455" s="186"/>
      <c r="AM455" s="186"/>
      <c r="AN455" s="344"/>
      <c r="AO455" s="186"/>
      <c r="AP455" s="193"/>
      <c r="AQ455" s="193"/>
      <c r="AR455" s="191"/>
      <c r="AS455" s="194"/>
      <c r="AT455" s="195"/>
      <c r="AU455" s="425"/>
      <c r="AV455" s="425"/>
      <c r="AW455" s="425"/>
      <c r="AX455" s="425"/>
      <c r="AY455" s="425"/>
      <c r="AZ455" s="425"/>
      <c r="BA455" s="425"/>
      <c r="BB455" s="425"/>
      <c r="BC455" s="440"/>
      <c r="BD455" s="404">
        <f>SUM($AS$4:AS455)</f>
        <v>2799.2092857142979</v>
      </c>
      <c r="BE455" s="405">
        <f>SUM($AR$4:AR455)</f>
        <v>3419.1599999999785</v>
      </c>
      <c r="BF455" s="330"/>
      <c r="BG455" s="330"/>
    </row>
    <row r="456" spans="1:59" ht="15.75" customHeight="1">
      <c r="A456" s="227" t="s">
        <v>2035</v>
      </c>
      <c r="B456" s="204">
        <v>45021</v>
      </c>
      <c r="C456" s="182" t="s">
        <v>646</v>
      </c>
      <c r="D456" s="182" t="s">
        <v>133</v>
      </c>
      <c r="E456" s="233" t="s">
        <v>2084</v>
      </c>
      <c r="F456" s="184" t="s">
        <v>2085</v>
      </c>
      <c r="G456" s="185"/>
      <c r="H456" s="186"/>
      <c r="I456" s="186"/>
      <c r="J456" s="186"/>
      <c r="K456" s="187"/>
      <c r="L456" s="186"/>
      <c r="M456" s="186"/>
      <c r="N456" s="186"/>
      <c r="O456" s="187"/>
      <c r="P456" s="187"/>
      <c r="Q456" s="187"/>
      <c r="R456" s="187"/>
      <c r="S456" s="187"/>
      <c r="T456" s="187"/>
      <c r="U456" s="187"/>
      <c r="V456" s="188" t="str">
        <f t="shared" si="610"/>
        <v/>
      </c>
      <c r="W456" s="188" t="str">
        <f t="shared" si="611"/>
        <v/>
      </c>
      <c r="X456" s="189"/>
      <c r="Y456" s="189"/>
      <c r="Z456" s="189"/>
      <c r="AA456" s="190"/>
      <c r="AB456" s="186"/>
      <c r="AC456" s="344"/>
      <c r="AD456" s="186"/>
      <c r="AE456" s="186"/>
      <c r="AF456" s="186"/>
      <c r="AG456" s="186"/>
      <c r="AH456" s="186"/>
      <c r="AI456" s="191"/>
      <c r="AJ456" s="191"/>
      <c r="AK456" s="186"/>
      <c r="AL456" s="186"/>
      <c r="AM456" s="186"/>
      <c r="AN456" s="344"/>
      <c r="AO456" s="186"/>
      <c r="AP456" s="193"/>
      <c r="AQ456" s="193"/>
      <c r="AR456" s="191"/>
      <c r="AS456" s="194"/>
      <c r="AT456" s="195"/>
      <c r="AU456" s="425"/>
      <c r="AV456" s="425"/>
      <c r="AW456" s="425"/>
      <c r="AX456" s="425"/>
      <c r="AY456" s="425"/>
      <c r="AZ456" s="425"/>
      <c r="BA456" s="425"/>
      <c r="BB456" s="425"/>
      <c r="BC456" s="440"/>
      <c r="BD456" s="404">
        <f>SUM($AS$4:AS456)</f>
        <v>2799.2092857142979</v>
      </c>
      <c r="BE456" s="405">
        <f>SUM($AR$4:AR456)</f>
        <v>3419.1599999999785</v>
      </c>
      <c r="BF456" s="330"/>
      <c r="BG456" s="330"/>
    </row>
    <row r="457" spans="1:59" ht="15.75" customHeight="1">
      <c r="A457" s="227" t="s">
        <v>2035</v>
      </c>
      <c r="B457" s="204">
        <v>45021</v>
      </c>
      <c r="C457" s="182" t="s">
        <v>664</v>
      </c>
      <c r="D457" s="182" t="s">
        <v>133</v>
      </c>
      <c r="E457" s="233"/>
      <c r="F457" s="184"/>
      <c r="G457" s="298" t="s">
        <v>163</v>
      </c>
      <c r="H457" s="186"/>
      <c r="I457" s="186"/>
      <c r="J457" s="186"/>
      <c r="K457" s="187"/>
      <c r="L457" s="186">
        <v>1</v>
      </c>
      <c r="M457" s="186">
        <v>1</v>
      </c>
      <c r="N457" s="186"/>
      <c r="O457" s="187" t="s">
        <v>76</v>
      </c>
      <c r="P457" s="187" t="s">
        <v>77</v>
      </c>
      <c r="Q457" s="187" t="s">
        <v>78</v>
      </c>
      <c r="R457" s="187">
        <v>10</v>
      </c>
      <c r="S457" s="187">
        <v>10</v>
      </c>
      <c r="T457" s="187">
        <v>10</v>
      </c>
      <c r="U457" s="187" t="s">
        <v>22</v>
      </c>
      <c r="V457" s="188">
        <f t="shared" si="610"/>
        <v>0.01</v>
      </c>
      <c r="W457" s="188">
        <f t="shared" si="611"/>
        <v>1620</v>
      </c>
      <c r="X457" s="189" t="s">
        <v>980</v>
      </c>
      <c r="Y457" s="189"/>
      <c r="Z457" s="189" t="s">
        <v>2086</v>
      </c>
      <c r="AA457" s="190">
        <v>-0.1</v>
      </c>
      <c r="AB457" s="186"/>
      <c r="AC457" s="344" t="s">
        <v>2087</v>
      </c>
      <c r="AD457" s="186"/>
      <c r="AE457" s="186"/>
      <c r="AF457" s="186"/>
      <c r="AG457" s="186"/>
      <c r="AH457" s="186"/>
      <c r="AI457" s="191">
        <f t="shared" ref="AI457:AI460" si="612">-0.02*W457</f>
        <v>-32.4</v>
      </c>
      <c r="AJ457" s="191">
        <f t="shared" ref="AJ457:AJ460" si="613">AI457*R457</f>
        <v>-324</v>
      </c>
      <c r="AK457" s="186" t="s">
        <v>2071</v>
      </c>
      <c r="AL457" s="186"/>
      <c r="AM457" s="186" t="s">
        <v>924</v>
      </c>
      <c r="AN457" s="344" t="s">
        <v>87</v>
      </c>
      <c r="AO457" s="186" t="s">
        <v>2088</v>
      </c>
      <c r="AP457" s="193">
        <v>-0.09</v>
      </c>
      <c r="AQ457" s="193">
        <f t="shared" ref="AQ457:AQ461" si="614">IF(ISBLANK(AP457),,IF(U457="S",AA457-AP457,AP457-AA457))</f>
        <v>1.0000000000000009E-2</v>
      </c>
      <c r="AR457" s="191">
        <f t="shared" ref="AR457:AR461" si="615">AS457*R457</f>
        <v>162.00000000000014</v>
      </c>
      <c r="AS457" s="194">
        <f t="shared" ref="AS457:AS461" si="616">IF(ISBLANK(AP457),,(AQ457*W457))</f>
        <v>16.200000000000014</v>
      </c>
      <c r="AT457" s="195" t="s">
        <v>77</v>
      </c>
      <c r="AU457" s="425"/>
      <c r="AV457" s="425"/>
      <c r="AW457" s="425"/>
      <c r="AX457" s="425"/>
      <c r="AY457" s="425"/>
      <c r="AZ457" s="425"/>
      <c r="BA457" s="425"/>
      <c r="BB457" s="425"/>
      <c r="BC457" s="440"/>
      <c r="BD457" s="404">
        <f>SUM($AS$4:AS457)</f>
        <v>2815.4092857142978</v>
      </c>
      <c r="BE457" s="405">
        <f>SUM($AR$4:AR457)</f>
        <v>3581.1599999999785</v>
      </c>
      <c r="BF457" s="330"/>
      <c r="BG457" s="330"/>
    </row>
    <row r="458" spans="1:59" ht="15.75" customHeight="1">
      <c r="A458" s="227" t="s">
        <v>2035</v>
      </c>
      <c r="B458" s="204">
        <v>45021</v>
      </c>
      <c r="C458" s="182" t="s">
        <v>664</v>
      </c>
      <c r="D458" s="182" t="s">
        <v>133</v>
      </c>
      <c r="E458" s="233"/>
      <c r="F458" s="184"/>
      <c r="G458" s="294" t="s">
        <v>2089</v>
      </c>
      <c r="H458" s="186"/>
      <c r="I458" s="186"/>
      <c r="J458" s="186"/>
      <c r="K458" s="187"/>
      <c r="L458" s="186">
        <v>1</v>
      </c>
      <c r="M458" s="186">
        <v>1</v>
      </c>
      <c r="N458" s="186"/>
      <c r="O458" s="187" t="s">
        <v>76</v>
      </c>
      <c r="P458" s="187" t="s">
        <v>77</v>
      </c>
      <c r="Q458" s="187" t="s">
        <v>78</v>
      </c>
      <c r="R458" s="187">
        <v>7</v>
      </c>
      <c r="S458" s="187">
        <v>7</v>
      </c>
      <c r="T458" s="187">
        <v>7</v>
      </c>
      <c r="U458" s="187" t="s">
        <v>22</v>
      </c>
      <c r="V458" s="188">
        <f t="shared" ref="V458" si="617">IF(ISBLANK(O458),"",(IF(O458=UPPER("IB"),0.005,0.01)))</f>
        <v>0.01</v>
      </c>
      <c r="W458" s="188">
        <f t="shared" ref="W458" si="618">IF(ISBLANK(O458),"",IF(O458="IB",8.63*200,IF(O458="IR",16.2*100,IF(O458="YT",20))))</f>
        <v>1620</v>
      </c>
      <c r="X458" s="189" t="s">
        <v>2090</v>
      </c>
      <c r="Y458" s="189"/>
      <c r="Z458" s="189" t="s">
        <v>2086</v>
      </c>
      <c r="AA458" s="190">
        <v>-0.11</v>
      </c>
      <c r="AB458" s="186"/>
      <c r="AC458" s="344"/>
      <c r="AD458" s="186"/>
      <c r="AE458" s="186"/>
      <c r="AF458" s="186"/>
      <c r="AG458" s="186"/>
      <c r="AH458" s="186"/>
      <c r="AI458" s="191">
        <f>-0.03*W458</f>
        <v>-48.6</v>
      </c>
      <c r="AJ458" s="191">
        <f t="shared" si="613"/>
        <v>-340.2</v>
      </c>
      <c r="AK458" s="186" t="s">
        <v>2071</v>
      </c>
      <c r="AL458" s="186"/>
      <c r="AM458" s="186" t="s">
        <v>1066</v>
      </c>
      <c r="AN458" s="344" t="s">
        <v>87</v>
      </c>
      <c r="AO458" s="186" t="s">
        <v>2041</v>
      </c>
      <c r="AP458" s="193">
        <v>-0.1</v>
      </c>
      <c r="AQ458" s="193">
        <f t="shared" si="614"/>
        <v>9.999999999999995E-3</v>
      </c>
      <c r="AR458" s="191">
        <f t="shared" si="615"/>
        <v>113.39999999999995</v>
      </c>
      <c r="AS458" s="194">
        <f t="shared" si="616"/>
        <v>16.199999999999992</v>
      </c>
      <c r="AT458" s="195" t="s">
        <v>77</v>
      </c>
      <c r="AU458" s="425"/>
      <c r="AV458" s="425"/>
      <c r="AW458" s="425"/>
      <c r="AX458" s="425"/>
      <c r="AY458" s="425"/>
      <c r="AZ458" s="425"/>
      <c r="BA458" s="425"/>
      <c r="BB458" s="425"/>
      <c r="BC458" s="440"/>
      <c r="BD458" s="404">
        <f>SUM($AS$4:AS458)</f>
        <v>2831.6092857142976</v>
      </c>
      <c r="BE458" s="405">
        <f>SUM($AR$4:AR458)</f>
        <v>3694.5599999999786</v>
      </c>
      <c r="BF458" s="330"/>
      <c r="BG458" s="330"/>
    </row>
    <row r="459" spans="1:59" ht="15.75" customHeight="1">
      <c r="A459" s="227" t="s">
        <v>2035</v>
      </c>
      <c r="B459" s="204">
        <v>45021</v>
      </c>
      <c r="C459" s="182" t="s">
        <v>664</v>
      </c>
      <c r="D459" s="182" t="s">
        <v>133</v>
      </c>
      <c r="E459" s="233"/>
      <c r="F459" s="184"/>
      <c r="G459" s="298" t="s">
        <v>2045</v>
      </c>
      <c r="H459" s="186"/>
      <c r="I459" s="186"/>
      <c r="J459" s="186"/>
      <c r="K459" s="187"/>
      <c r="L459" s="186">
        <v>1</v>
      </c>
      <c r="M459" s="186"/>
      <c r="N459" s="186"/>
      <c r="O459" s="187" t="s">
        <v>76</v>
      </c>
      <c r="P459" s="187" t="s">
        <v>119</v>
      </c>
      <c r="Q459" s="187" t="s">
        <v>78</v>
      </c>
      <c r="R459" s="187">
        <v>7</v>
      </c>
      <c r="S459" s="187">
        <v>7</v>
      </c>
      <c r="T459" s="187">
        <v>7</v>
      </c>
      <c r="U459" s="187" t="s">
        <v>22</v>
      </c>
      <c r="V459" s="188">
        <f t="shared" ref="V459" si="619">IF(ISBLANK(O459),"",(IF(O459=UPPER("IB"),0.005,0.01)))</f>
        <v>0.01</v>
      </c>
      <c r="W459" s="188">
        <f t="shared" ref="W459" si="620">IF(ISBLANK(O459),"",IF(O459="IB",8.63*200,IF(O459="IR",16.2*100,IF(O459="YT",20))))</f>
        <v>1620</v>
      </c>
      <c r="X459" s="189" t="s">
        <v>2091</v>
      </c>
      <c r="Y459" s="189"/>
      <c r="Z459" s="189"/>
      <c r="AA459" s="190">
        <v>-0.08</v>
      </c>
      <c r="AB459" s="186"/>
      <c r="AC459" s="344"/>
      <c r="AD459" s="186"/>
      <c r="AE459" s="186"/>
      <c r="AF459" s="186"/>
      <c r="AG459" s="186"/>
      <c r="AH459" s="186"/>
      <c r="AI459" s="191">
        <f t="shared" si="612"/>
        <v>-32.4</v>
      </c>
      <c r="AJ459" s="191">
        <f t="shared" si="613"/>
        <v>-226.79999999999998</v>
      </c>
      <c r="AK459" s="186" t="s">
        <v>2071</v>
      </c>
      <c r="AL459" s="186"/>
      <c r="AM459" s="186" t="s">
        <v>2092</v>
      </c>
      <c r="AN459" s="344" t="s">
        <v>87</v>
      </c>
      <c r="AO459" s="186" t="s">
        <v>2093</v>
      </c>
      <c r="AP459" s="193">
        <v>-0.08</v>
      </c>
      <c r="AQ459" s="193">
        <f t="shared" si="614"/>
        <v>0</v>
      </c>
      <c r="AR459" s="191">
        <f t="shared" si="615"/>
        <v>0</v>
      </c>
      <c r="AS459" s="194">
        <f t="shared" si="616"/>
        <v>0</v>
      </c>
      <c r="AT459" s="195" t="s">
        <v>97</v>
      </c>
      <c r="AU459" s="425"/>
      <c r="AV459" s="425"/>
      <c r="AW459" s="425"/>
      <c r="AX459" s="425"/>
      <c r="AY459" s="425"/>
      <c r="AZ459" s="425"/>
      <c r="BA459" s="425"/>
      <c r="BB459" s="425"/>
      <c r="BC459" s="440"/>
      <c r="BD459" s="404">
        <f>SUM($AS$4:AS459)</f>
        <v>2831.6092857142976</v>
      </c>
      <c r="BE459" s="405">
        <f>SUM($AR$4:AR459)</f>
        <v>3694.5599999999786</v>
      </c>
      <c r="BF459" s="330"/>
      <c r="BG459" s="330"/>
    </row>
    <row r="460" spans="1:59" ht="15.75" customHeight="1">
      <c r="A460" s="227" t="s">
        <v>2035</v>
      </c>
      <c r="B460" s="204">
        <v>45021</v>
      </c>
      <c r="C460" s="182" t="s">
        <v>2094</v>
      </c>
      <c r="D460" s="182" t="s">
        <v>133</v>
      </c>
      <c r="E460" s="233"/>
      <c r="F460" s="184"/>
      <c r="G460" s="294" t="s">
        <v>2045</v>
      </c>
      <c r="H460" s="186"/>
      <c r="I460" s="186"/>
      <c r="J460" s="186"/>
      <c r="K460" s="187"/>
      <c r="L460" s="186">
        <v>1</v>
      </c>
      <c r="M460" s="186"/>
      <c r="N460" s="186"/>
      <c r="O460" s="187" t="s">
        <v>76</v>
      </c>
      <c r="P460" s="187" t="s">
        <v>119</v>
      </c>
      <c r="Q460" s="187" t="s">
        <v>78</v>
      </c>
      <c r="R460" s="187">
        <v>10</v>
      </c>
      <c r="S460" s="187">
        <v>10</v>
      </c>
      <c r="T460" s="187">
        <v>10</v>
      </c>
      <c r="U460" s="187" t="s">
        <v>22</v>
      </c>
      <c r="V460" s="188">
        <f t="shared" ref="V460" si="621">IF(ISBLANK(O460),"",(IF(O460=UPPER("IB"),0.005,0.01)))</f>
        <v>0.01</v>
      </c>
      <c r="W460" s="188">
        <f t="shared" ref="W460" si="622">IF(ISBLANK(O460),"",IF(O460="IB",8.63*200,IF(O460="IR",16.2*100,IF(O460="YT",20))))</f>
        <v>1620</v>
      </c>
      <c r="X460" s="189" t="s">
        <v>2095</v>
      </c>
      <c r="Y460" s="189"/>
      <c r="Z460" s="189"/>
      <c r="AA460" s="190">
        <v>-0.09</v>
      </c>
      <c r="AB460" s="186"/>
      <c r="AC460" s="344"/>
      <c r="AD460" s="186"/>
      <c r="AE460" s="186">
        <v>-7</v>
      </c>
      <c r="AF460" s="186"/>
      <c r="AG460" s="186"/>
      <c r="AH460" s="186"/>
      <c r="AI460" s="191">
        <f t="shared" si="612"/>
        <v>-32.4</v>
      </c>
      <c r="AJ460" s="191">
        <f t="shared" si="613"/>
        <v>-324</v>
      </c>
      <c r="AK460" s="186" t="s">
        <v>2071</v>
      </c>
      <c r="AL460" s="186"/>
      <c r="AM460" s="186" t="s">
        <v>2096</v>
      </c>
      <c r="AN460" s="344" t="s">
        <v>87</v>
      </c>
      <c r="AO460" s="186" t="s">
        <v>2097</v>
      </c>
      <c r="AP460" s="193">
        <v>-0.08</v>
      </c>
      <c r="AQ460" s="193">
        <f t="shared" si="614"/>
        <v>9.999999999999995E-3</v>
      </c>
      <c r="AR460" s="191">
        <f t="shared" si="615"/>
        <v>161.99999999999991</v>
      </c>
      <c r="AS460" s="194">
        <f t="shared" si="616"/>
        <v>16.199999999999992</v>
      </c>
      <c r="AT460" s="195" t="s">
        <v>77</v>
      </c>
      <c r="AU460" s="425" t="s">
        <v>2098</v>
      </c>
      <c r="AV460" s="425" t="s">
        <v>2099</v>
      </c>
      <c r="AW460" s="425"/>
      <c r="AX460" s="425"/>
      <c r="AY460" s="425"/>
      <c r="AZ460" s="425"/>
      <c r="BA460" s="425"/>
      <c r="BB460" s="425"/>
      <c r="BC460" s="440"/>
      <c r="BD460" s="404">
        <f>SUM($AS$4:AS460)</f>
        <v>2847.8092857142974</v>
      </c>
      <c r="BE460" s="405">
        <f>SUM($AR$4:AR460)</f>
        <v>3856.5599999999786</v>
      </c>
      <c r="BF460" s="330"/>
      <c r="BG460" s="330"/>
    </row>
    <row r="461" spans="1:59" ht="15.75" customHeight="1">
      <c r="A461" s="227" t="s">
        <v>2035</v>
      </c>
      <c r="B461" s="204">
        <v>45021</v>
      </c>
      <c r="C461" s="182" t="s">
        <v>2100</v>
      </c>
      <c r="D461" s="182" t="s">
        <v>133</v>
      </c>
      <c r="E461" s="233"/>
      <c r="F461" s="184"/>
      <c r="G461" s="298" t="s">
        <v>75</v>
      </c>
      <c r="H461" s="186"/>
      <c r="I461" s="186"/>
      <c r="J461" s="186"/>
      <c r="K461" s="187"/>
      <c r="L461" s="186">
        <v>1</v>
      </c>
      <c r="M461" s="186"/>
      <c r="N461" s="186"/>
      <c r="O461" s="187" t="s">
        <v>76</v>
      </c>
      <c r="P461" s="187" t="s">
        <v>77</v>
      </c>
      <c r="Q461" s="187" t="s">
        <v>78</v>
      </c>
      <c r="R461" s="187">
        <v>7</v>
      </c>
      <c r="S461" s="187">
        <v>7</v>
      </c>
      <c r="T461" s="187">
        <v>7</v>
      </c>
      <c r="U461" s="187" t="s">
        <v>22</v>
      </c>
      <c r="V461" s="188">
        <f t="shared" ref="V461" si="623">IF(ISBLANK(O461),"",(IF(O461=UPPER("IB"),0.005,0.01)))</f>
        <v>0.01</v>
      </c>
      <c r="W461" s="188">
        <f t="shared" ref="W461" si="624">IF(ISBLANK(O461),"",IF(O461="IB",8.63*200,IF(O461="IR",16.2*100,IF(O461="YT",20))))</f>
        <v>1620</v>
      </c>
      <c r="X461" s="189" t="s">
        <v>2101</v>
      </c>
      <c r="Y461" s="189"/>
      <c r="Z461" s="189" t="s">
        <v>511</v>
      </c>
      <c r="AA461" s="190">
        <v>-7.0000000000000007E-2</v>
      </c>
      <c r="AB461" s="186"/>
      <c r="AC461" s="344"/>
      <c r="AD461" s="186"/>
      <c r="AE461" s="186"/>
      <c r="AF461" s="186"/>
      <c r="AG461" s="186"/>
      <c r="AH461" s="186"/>
      <c r="AI461" s="191">
        <f t="shared" ref="AI461" si="625">-0.02*W461</f>
        <v>-32.4</v>
      </c>
      <c r="AJ461" s="191">
        <f t="shared" ref="AJ461" si="626">AI461*R461</f>
        <v>-226.79999999999998</v>
      </c>
      <c r="AK461" s="186" t="s">
        <v>2071</v>
      </c>
      <c r="AL461" s="186"/>
      <c r="AM461" s="186" t="s">
        <v>1414</v>
      </c>
      <c r="AN461" s="344" t="s">
        <v>87</v>
      </c>
      <c r="AO461" s="186" t="s">
        <v>2102</v>
      </c>
      <c r="AP461" s="193">
        <v>-0.06</v>
      </c>
      <c r="AQ461" s="193">
        <f t="shared" si="614"/>
        <v>1.0000000000000009E-2</v>
      </c>
      <c r="AR461" s="191">
        <f t="shared" si="615"/>
        <v>113.40000000000009</v>
      </c>
      <c r="AS461" s="194">
        <f t="shared" si="616"/>
        <v>16.200000000000014</v>
      </c>
      <c r="AT461" s="195" t="s">
        <v>77</v>
      </c>
      <c r="AU461" s="425"/>
      <c r="AV461" s="425"/>
      <c r="AW461" s="425"/>
      <c r="AX461" s="425"/>
      <c r="AY461" s="425"/>
      <c r="AZ461" s="425"/>
      <c r="BA461" s="425"/>
      <c r="BB461" s="425"/>
      <c r="BC461" s="440"/>
      <c r="BD461" s="404">
        <f>SUM($AS$4:AS461)</f>
        <v>2864.0092857142972</v>
      </c>
      <c r="BE461" s="405">
        <f>SUM($AR$4:AR461)</f>
        <v>3969.9599999999787</v>
      </c>
      <c r="BF461" s="330"/>
      <c r="BG461" s="330"/>
    </row>
    <row r="462" spans="1:59" ht="15.75" customHeight="1">
      <c r="A462" s="227" t="s">
        <v>2035</v>
      </c>
      <c r="B462" s="204">
        <v>45021</v>
      </c>
      <c r="C462" s="182" t="s">
        <v>2103</v>
      </c>
      <c r="D462" s="182" t="s">
        <v>133</v>
      </c>
      <c r="E462" s="233" t="s">
        <v>2104</v>
      </c>
      <c r="F462" s="184" t="s">
        <v>2105</v>
      </c>
      <c r="G462" s="185"/>
      <c r="H462" s="186"/>
      <c r="I462" s="186"/>
      <c r="J462" s="186">
        <v>1</v>
      </c>
      <c r="K462" s="187" t="s">
        <v>97</v>
      </c>
      <c r="L462" s="186"/>
      <c r="M462" s="186"/>
      <c r="N462" s="186"/>
      <c r="O462" s="187"/>
      <c r="P462" s="187"/>
      <c r="Q462" s="187"/>
      <c r="R462" s="187"/>
      <c r="S462" s="187"/>
      <c r="T462" s="187"/>
      <c r="U462" s="187"/>
      <c r="V462" s="188" t="str">
        <f t="shared" ref="V462:V464" si="627">IF(ISBLANK(O462),"",(IF(O462=UPPER("IB"),0.005,0.01)))</f>
        <v/>
      </c>
      <c r="W462" s="188" t="str">
        <f t="shared" ref="W462:W464" si="628">IF(ISBLANK(O462),"",IF(O462="IB",8.63*200,IF(O462="IR",16.2*100,IF(O462="YT",20))))</f>
        <v/>
      </c>
      <c r="X462" s="189"/>
      <c r="Y462" s="189"/>
      <c r="Z462" s="189"/>
      <c r="AA462" s="190"/>
      <c r="AB462" s="186"/>
      <c r="AC462" s="344"/>
      <c r="AD462" s="186"/>
      <c r="AE462" s="186"/>
      <c r="AF462" s="186"/>
      <c r="AG462" s="186"/>
      <c r="AH462" s="186"/>
      <c r="AI462" s="191"/>
      <c r="AJ462" s="191"/>
      <c r="AK462" s="186"/>
      <c r="AL462" s="186"/>
      <c r="AM462" s="186"/>
      <c r="AN462" s="344"/>
      <c r="AO462" s="186"/>
      <c r="AP462" s="193"/>
      <c r="AQ462" s="193"/>
      <c r="AR462" s="191"/>
      <c r="AS462" s="194"/>
      <c r="AT462" s="195"/>
      <c r="AU462" s="425"/>
      <c r="AV462" s="425"/>
      <c r="AW462" s="425"/>
      <c r="AX462" s="425"/>
      <c r="AY462" s="425"/>
      <c r="AZ462" s="425"/>
      <c r="BA462" s="425"/>
      <c r="BB462" s="425"/>
      <c r="BC462" s="440"/>
      <c r="BD462" s="404">
        <f>SUM($AS$4:AS462)</f>
        <v>2864.0092857142972</v>
      </c>
      <c r="BE462" s="405">
        <f>SUM($AR$4:AR462)</f>
        <v>3969.9599999999787</v>
      </c>
      <c r="BF462" s="330"/>
      <c r="BG462" s="330"/>
    </row>
    <row r="463" spans="1:59" ht="15.75" customHeight="1">
      <c r="A463" s="227" t="s">
        <v>2035</v>
      </c>
      <c r="B463" s="204">
        <v>45021</v>
      </c>
      <c r="C463" s="182" t="s">
        <v>1169</v>
      </c>
      <c r="D463" s="182" t="s">
        <v>133</v>
      </c>
      <c r="E463" s="233" t="s">
        <v>2106</v>
      </c>
      <c r="F463" s="184"/>
      <c r="G463" s="185"/>
      <c r="H463" s="186"/>
      <c r="I463" s="186"/>
      <c r="J463" s="186">
        <v>1</v>
      </c>
      <c r="K463" s="187" t="s">
        <v>97</v>
      </c>
      <c r="L463" s="186"/>
      <c r="M463" s="186"/>
      <c r="N463" s="186"/>
      <c r="O463" s="187"/>
      <c r="P463" s="187"/>
      <c r="Q463" s="187"/>
      <c r="R463" s="187"/>
      <c r="S463" s="187"/>
      <c r="T463" s="187"/>
      <c r="U463" s="187"/>
      <c r="V463" s="188" t="str">
        <f t="shared" si="627"/>
        <v/>
      </c>
      <c r="W463" s="188" t="str">
        <f t="shared" si="628"/>
        <v/>
      </c>
      <c r="X463" s="189"/>
      <c r="Y463" s="189"/>
      <c r="Z463" s="189"/>
      <c r="AA463" s="190"/>
      <c r="AB463" s="186"/>
      <c r="AC463" s="344"/>
      <c r="AD463" s="186"/>
      <c r="AE463" s="186"/>
      <c r="AF463" s="186"/>
      <c r="AG463" s="186"/>
      <c r="AH463" s="186"/>
      <c r="AI463" s="191"/>
      <c r="AJ463" s="191"/>
      <c r="AK463" s="186"/>
      <c r="AL463" s="186"/>
      <c r="AM463" s="186"/>
      <c r="AN463" s="344"/>
      <c r="AO463" s="186"/>
      <c r="AP463" s="193"/>
      <c r="AQ463" s="193"/>
      <c r="AR463" s="191"/>
      <c r="AS463" s="194"/>
      <c r="AT463" s="195"/>
      <c r="AU463" s="425"/>
      <c r="AV463" s="425"/>
      <c r="AW463" s="425"/>
      <c r="AX463" s="425"/>
      <c r="AY463" s="425"/>
      <c r="AZ463" s="425"/>
      <c r="BA463" s="425"/>
      <c r="BB463" s="425"/>
      <c r="BC463" s="440"/>
      <c r="BD463" s="404">
        <f>SUM($AS$4:AS463)</f>
        <v>2864.0092857142972</v>
      </c>
      <c r="BE463" s="405">
        <f>SUM($AR$4:AR463)</f>
        <v>3969.9599999999787</v>
      </c>
      <c r="BF463" s="330"/>
      <c r="BG463" s="330"/>
    </row>
    <row r="464" spans="1:59" ht="15.75" customHeight="1">
      <c r="A464" s="227" t="s">
        <v>2035</v>
      </c>
      <c r="B464" s="204">
        <v>45022</v>
      </c>
      <c r="C464" s="182" t="s">
        <v>2107</v>
      </c>
      <c r="D464" s="182" t="s">
        <v>133</v>
      </c>
      <c r="E464" s="233"/>
      <c r="F464" s="184"/>
      <c r="G464" s="291" t="s">
        <v>2108</v>
      </c>
      <c r="H464" s="186"/>
      <c r="I464" s="186"/>
      <c r="J464" s="186"/>
      <c r="K464" s="187"/>
      <c r="L464" s="186">
        <v>1</v>
      </c>
      <c r="M464" s="186"/>
      <c r="N464" s="186"/>
      <c r="O464" s="187" t="s">
        <v>76</v>
      </c>
      <c r="P464" s="187" t="s">
        <v>119</v>
      </c>
      <c r="Q464" s="187" t="s">
        <v>666</v>
      </c>
      <c r="R464" s="187">
        <v>1</v>
      </c>
      <c r="S464" s="187">
        <v>1</v>
      </c>
      <c r="T464" s="187">
        <v>1</v>
      </c>
      <c r="U464" s="187" t="s">
        <v>78</v>
      </c>
      <c r="V464" s="188">
        <f t="shared" si="627"/>
        <v>0.01</v>
      </c>
      <c r="W464" s="188">
        <f t="shared" si="628"/>
        <v>1620</v>
      </c>
      <c r="X464" s="189" t="s">
        <v>2109</v>
      </c>
      <c r="Y464" s="189"/>
      <c r="Z464" s="189"/>
      <c r="AA464" s="190">
        <v>96.91</v>
      </c>
      <c r="AB464" s="186"/>
      <c r="AC464" s="344"/>
      <c r="AD464" s="186"/>
      <c r="AE464" s="186"/>
      <c r="AF464" s="186"/>
      <c r="AG464" s="186"/>
      <c r="AH464" s="186"/>
      <c r="AI464" s="191">
        <f t="shared" ref="AI464" si="629">-0.02*W464</f>
        <v>-32.4</v>
      </c>
      <c r="AJ464" s="191">
        <f t="shared" ref="AJ464" si="630">AI464*R464</f>
        <v>-32.4</v>
      </c>
      <c r="AK464" s="186"/>
      <c r="AL464" s="186"/>
      <c r="AM464" s="186" t="s">
        <v>2110</v>
      </c>
      <c r="AN464" s="344" t="s">
        <v>376</v>
      </c>
      <c r="AO464" s="186" t="s">
        <v>2111</v>
      </c>
      <c r="AP464" s="193">
        <v>96.93</v>
      </c>
      <c r="AQ464" s="193">
        <f t="shared" ref="AQ464" si="631">IF(ISBLANK(AP464),,IF(U464="S",AA464-AP464,AP464-AA464))</f>
        <v>-2.0000000000010232E-2</v>
      </c>
      <c r="AR464" s="191">
        <f t="shared" ref="AR464" si="632">AS464*R464</f>
        <v>-32.400000000016576</v>
      </c>
      <c r="AS464" s="194">
        <f t="shared" ref="AS464" si="633">IF(ISBLANK(AP464),,(AQ464*W464))</f>
        <v>-32.400000000016576</v>
      </c>
      <c r="AT464" s="195" t="s">
        <v>211</v>
      </c>
      <c r="AU464" s="425" t="s">
        <v>2112</v>
      </c>
      <c r="AV464" s="425" t="s">
        <v>2113</v>
      </c>
      <c r="AW464" s="425" t="s">
        <v>2114</v>
      </c>
      <c r="AX464" s="425"/>
      <c r="AY464" s="425"/>
      <c r="AZ464" s="425"/>
      <c r="BA464" s="425"/>
      <c r="BB464" s="425"/>
      <c r="BC464" s="440"/>
      <c r="BD464" s="404">
        <f>SUM($AS$4:AS464)</f>
        <v>2831.6092857142808</v>
      </c>
      <c r="BE464" s="405">
        <f>SUM($AR$4:AR464)</f>
        <v>3937.5599999999622</v>
      </c>
      <c r="BF464" s="330"/>
      <c r="BG464" s="330"/>
    </row>
    <row r="465" spans="1:59" ht="15.75" customHeight="1">
      <c r="A465" s="281" t="s">
        <v>765</v>
      </c>
      <c r="B465" s="281"/>
      <c r="C465" s="218"/>
      <c r="D465" s="218"/>
      <c r="E465" s="219"/>
      <c r="F465" s="220"/>
      <c r="G465" s="218"/>
      <c r="H465" s="218"/>
      <c r="I465" s="218"/>
      <c r="J465" s="218"/>
      <c r="K465" s="221"/>
      <c r="L465" s="218"/>
      <c r="M465" s="218"/>
      <c r="N465" s="218"/>
      <c r="O465" s="221"/>
      <c r="P465" s="221"/>
      <c r="Q465" s="221"/>
      <c r="R465" s="221"/>
      <c r="S465" s="221"/>
      <c r="T465" s="221"/>
      <c r="U465" s="221"/>
      <c r="V465" s="222"/>
      <c r="W465" s="222"/>
      <c r="X465" s="222"/>
      <c r="Y465" s="222"/>
      <c r="Z465" s="222"/>
      <c r="AA465" s="223"/>
      <c r="AB465" s="218"/>
      <c r="AC465" s="346"/>
      <c r="AD465" s="218"/>
      <c r="AE465" s="218"/>
      <c r="AF465" s="218"/>
      <c r="AG465" s="218"/>
      <c r="AH465" s="218"/>
      <c r="AI465" s="218"/>
      <c r="AJ465" s="218"/>
      <c r="AK465" s="218"/>
      <c r="AL465" s="218"/>
      <c r="AM465" s="218"/>
      <c r="AN465" s="346"/>
      <c r="AO465" s="218"/>
      <c r="AP465" s="225"/>
      <c r="AQ465" s="225"/>
      <c r="AR465" s="225"/>
      <c r="AS465" s="225"/>
      <c r="AT465" s="226"/>
      <c r="AU465" s="454" t="s">
        <v>2115</v>
      </c>
      <c r="AV465" s="432"/>
      <c r="AW465" s="432"/>
      <c r="AX465" s="432"/>
      <c r="AY465" s="432"/>
      <c r="AZ465" s="432"/>
      <c r="BA465" s="432"/>
      <c r="BB465" s="432"/>
      <c r="BC465" s="432"/>
      <c r="BD465" s="404">
        <f>SUM($AS$4:AS465)</f>
        <v>2831.6092857142808</v>
      </c>
      <c r="BE465" s="405">
        <f>SUM($AR$4:AR465)</f>
        <v>3937.5599999999622</v>
      </c>
      <c r="BF465" s="330"/>
      <c r="BG465" s="330"/>
    </row>
    <row r="466" spans="1:59" ht="15.75" customHeight="1">
      <c r="A466" s="227" t="s">
        <v>2035</v>
      </c>
      <c r="B466" s="204">
        <v>45027</v>
      </c>
      <c r="C466" s="182" t="s">
        <v>475</v>
      </c>
      <c r="D466" s="182" t="s">
        <v>128</v>
      </c>
      <c r="E466" s="233" t="s">
        <v>2116</v>
      </c>
      <c r="F466" s="184"/>
      <c r="G466" s="185"/>
      <c r="H466" s="186">
        <v>1</v>
      </c>
      <c r="I466" s="186"/>
      <c r="J466" s="186"/>
      <c r="K466" s="187" t="s">
        <v>87</v>
      </c>
      <c r="L466" s="186"/>
      <c r="M466" s="186"/>
      <c r="N466" s="186"/>
      <c r="O466" s="187"/>
      <c r="P466" s="187"/>
      <c r="Q466" s="187"/>
      <c r="R466" s="187"/>
      <c r="S466" s="187"/>
      <c r="T466" s="187"/>
      <c r="U466" s="187"/>
      <c r="V466" s="188" t="str">
        <f t="shared" ref="V466:V468" si="634">IF(ISBLANK(O466),"",(IF(O466=UPPER("IB"),0.005,0.01)))</f>
        <v/>
      </c>
      <c r="W466" s="188" t="str">
        <f t="shared" ref="W466" si="635">IF(ISBLANK(O466),"",IF(O466="IB",8.63*200,IF(O466="IR",16.2*100,IF(O466="YT",20))))</f>
        <v/>
      </c>
      <c r="X466" s="189"/>
      <c r="Y466" s="189"/>
      <c r="Z466" s="189"/>
      <c r="AA466" s="190"/>
      <c r="AB466" s="186"/>
      <c r="AC466" s="344"/>
      <c r="AD466" s="186"/>
      <c r="AE466" s="186"/>
      <c r="AF466" s="186"/>
      <c r="AG466" s="186"/>
      <c r="AH466" s="186"/>
      <c r="AI466" s="191"/>
      <c r="AJ466" s="191"/>
      <c r="AK466" s="186"/>
      <c r="AL466" s="186"/>
      <c r="AM466" s="186"/>
      <c r="AN466" s="344"/>
      <c r="AO466" s="186"/>
      <c r="AP466" s="193"/>
      <c r="AQ466" s="193"/>
      <c r="AR466" s="191"/>
      <c r="AS466" s="194"/>
      <c r="AT466" s="195"/>
      <c r="AU466" s="425" t="s">
        <v>2117</v>
      </c>
      <c r="AV466" s="425" t="s">
        <v>2118</v>
      </c>
      <c r="AW466" s="425" t="s">
        <v>2119</v>
      </c>
      <c r="AX466" s="425" t="s">
        <v>2120</v>
      </c>
      <c r="AY466" s="425" t="s">
        <v>2121</v>
      </c>
      <c r="AZ466" s="425" t="s">
        <v>2122</v>
      </c>
      <c r="BA466" s="425" t="s">
        <v>2123</v>
      </c>
      <c r="BB466" s="425" t="s">
        <v>2124</v>
      </c>
      <c r="BC466" s="440" t="s">
        <v>511</v>
      </c>
      <c r="BD466" s="404">
        <f>SUM($AS$4:AS466)</f>
        <v>2831.6092857142808</v>
      </c>
      <c r="BE466" s="405">
        <f>SUM($AR$4:AR466)</f>
        <v>3937.5599999999622</v>
      </c>
      <c r="BF466" s="330"/>
      <c r="BG466" s="330"/>
    </row>
    <row r="467" spans="1:59" ht="15.75" customHeight="1">
      <c r="A467" s="227" t="s">
        <v>2035</v>
      </c>
      <c r="B467" s="204">
        <v>45027</v>
      </c>
      <c r="C467" s="182" t="s">
        <v>2125</v>
      </c>
      <c r="D467" s="182" t="s">
        <v>128</v>
      </c>
      <c r="E467" s="233"/>
      <c r="F467" s="184"/>
      <c r="G467" s="298" t="s">
        <v>2126</v>
      </c>
      <c r="H467" s="186"/>
      <c r="I467" s="186"/>
      <c r="J467" s="186"/>
      <c r="K467" s="187"/>
      <c r="L467" s="186">
        <v>1</v>
      </c>
      <c r="M467" s="186"/>
      <c r="N467" s="186"/>
      <c r="O467" s="187" t="s">
        <v>76</v>
      </c>
      <c r="P467" s="187" t="s">
        <v>77</v>
      </c>
      <c r="Q467" s="187" t="s">
        <v>78</v>
      </c>
      <c r="R467" s="187">
        <v>4</v>
      </c>
      <c r="S467" s="187">
        <v>4</v>
      </c>
      <c r="T467" s="187">
        <v>4</v>
      </c>
      <c r="U467" s="187" t="s">
        <v>78</v>
      </c>
      <c r="V467" s="188">
        <f t="shared" si="634"/>
        <v>0.01</v>
      </c>
      <c r="W467" s="188">
        <f>IF(ISBLANK(O467),"",IF(O467="IB",8.63*200,IF(O467="IR",16*100,IF(O467="YT",20))))</f>
        <v>1600</v>
      </c>
      <c r="X467" s="189" t="s">
        <v>2127</v>
      </c>
      <c r="Y467" s="189"/>
      <c r="Z467" s="189"/>
      <c r="AA467" s="190">
        <v>-0.1</v>
      </c>
      <c r="AB467" s="186"/>
      <c r="AC467" s="344"/>
      <c r="AD467" s="186"/>
      <c r="AE467" s="186"/>
      <c r="AF467" s="186"/>
      <c r="AG467" s="186"/>
      <c r="AH467" s="186"/>
      <c r="AI467" s="191">
        <f t="shared" ref="AI467:AI468" si="636">-0.02*W467</f>
        <v>-32</v>
      </c>
      <c r="AJ467" s="191">
        <f t="shared" ref="AJ467:AJ469" si="637">AI467*R467</f>
        <v>-128</v>
      </c>
      <c r="AK467" s="186"/>
      <c r="AL467" s="186"/>
      <c r="AM467" s="186" t="s">
        <v>1681</v>
      </c>
      <c r="AN467" s="344" t="s">
        <v>87</v>
      </c>
      <c r="AO467" s="186" t="s">
        <v>2128</v>
      </c>
      <c r="AP467" s="193">
        <v>-0.11</v>
      </c>
      <c r="AQ467" s="193">
        <f t="shared" ref="AQ467" si="638">IF(ISBLANK(AP467),,IF(U467="S",AA467-AP467,AP467-AA467))</f>
        <v>9.999999999999995E-3</v>
      </c>
      <c r="AR467" s="191">
        <f t="shared" ref="AR467" si="639">AS467*R467</f>
        <v>63.999999999999972</v>
      </c>
      <c r="AS467" s="194">
        <f t="shared" ref="AS467" si="640">IF(ISBLANK(AP467),,(AQ467*W467))</f>
        <v>15.999999999999993</v>
      </c>
      <c r="AT467" s="195" t="s">
        <v>77</v>
      </c>
      <c r="AU467" s="425" t="s">
        <v>2129</v>
      </c>
      <c r="AV467" s="425"/>
      <c r="AW467" s="425"/>
      <c r="AX467" s="425"/>
      <c r="AY467" s="425"/>
      <c r="AZ467" s="425"/>
      <c r="BA467" s="425"/>
      <c r="BB467" s="425"/>
      <c r="BC467" s="440"/>
      <c r="BD467" s="404">
        <f>SUM($AS$4:AS467)</f>
        <v>2847.6092857142808</v>
      </c>
      <c r="BE467" s="405">
        <f>SUM($AR$4:AR467)</f>
        <v>4001.5599999999622</v>
      </c>
      <c r="BF467" s="330"/>
      <c r="BG467" s="330"/>
    </row>
    <row r="468" spans="1:59" ht="15.75" customHeight="1">
      <c r="A468" s="227" t="s">
        <v>2035</v>
      </c>
      <c r="B468" s="204">
        <v>45027</v>
      </c>
      <c r="C468" s="182" t="s">
        <v>2130</v>
      </c>
      <c r="D468" s="182" t="s">
        <v>128</v>
      </c>
      <c r="E468" s="233"/>
      <c r="F468" s="184"/>
      <c r="G468" s="298" t="s">
        <v>2126</v>
      </c>
      <c r="H468" s="186"/>
      <c r="I468" s="186"/>
      <c r="J468" s="186"/>
      <c r="K468" s="187"/>
      <c r="L468" s="186">
        <v>1</v>
      </c>
      <c r="M468" s="186"/>
      <c r="N468" s="186"/>
      <c r="O468" s="187" t="s">
        <v>76</v>
      </c>
      <c r="P468" s="187" t="s">
        <v>77</v>
      </c>
      <c r="Q468" s="187" t="s">
        <v>78</v>
      </c>
      <c r="R468" s="187">
        <v>3</v>
      </c>
      <c r="S468" s="187">
        <v>3</v>
      </c>
      <c r="T468" s="187">
        <v>3</v>
      </c>
      <c r="U468" s="187" t="s">
        <v>22</v>
      </c>
      <c r="V468" s="188">
        <f t="shared" si="634"/>
        <v>0.01</v>
      </c>
      <c r="W468" s="188">
        <f>IF(ISBLANK(O468),"",IF(O468="IB",8.63*200,IF(O468="IR",16*100,IF(O468="YT",20))))</f>
        <v>1600</v>
      </c>
      <c r="X468" s="189" t="s">
        <v>80</v>
      </c>
      <c r="Y468" s="189"/>
      <c r="Z468" s="189"/>
      <c r="AA468" s="190">
        <v>-0.12</v>
      </c>
      <c r="AB468" s="186"/>
      <c r="AC468" s="344"/>
      <c r="AD468" s="186"/>
      <c r="AE468" s="186"/>
      <c r="AF468" s="186"/>
      <c r="AG468" s="186"/>
      <c r="AH468" s="186"/>
      <c r="AI468" s="191">
        <f t="shared" si="636"/>
        <v>-32</v>
      </c>
      <c r="AJ468" s="191">
        <f t="shared" si="637"/>
        <v>-96</v>
      </c>
      <c r="AK468" s="186"/>
      <c r="AL468" s="186"/>
      <c r="AM468" s="186" t="s">
        <v>2131</v>
      </c>
      <c r="AN468" s="344" t="s">
        <v>87</v>
      </c>
      <c r="AO468" s="186" t="s">
        <v>2132</v>
      </c>
      <c r="AP468" s="193">
        <v>-0.11</v>
      </c>
      <c r="AQ468" s="193">
        <f t="shared" ref="AQ468" si="641">IF(ISBLANK(AP468),,IF(U468="S",AA468-AP468,AP468-AA468))</f>
        <v>9.999999999999995E-3</v>
      </c>
      <c r="AR468" s="191">
        <f t="shared" ref="AR468" si="642">AS468*R468</f>
        <v>47.999999999999979</v>
      </c>
      <c r="AS468" s="194">
        <f t="shared" ref="AS468" si="643">IF(ISBLANK(AP468),,(AQ468*W468))</f>
        <v>15.999999999999993</v>
      </c>
      <c r="AT468" s="195" t="s">
        <v>77</v>
      </c>
      <c r="AU468" s="425"/>
      <c r="AV468" s="425"/>
      <c r="AW468" s="425"/>
      <c r="AX468" s="425"/>
      <c r="AY468" s="425"/>
      <c r="AZ468" s="425"/>
      <c r="BA468" s="425"/>
      <c r="BB468" s="425"/>
      <c r="BC468" s="440"/>
      <c r="BD468" s="404">
        <f>SUM($AS$4:AS468)</f>
        <v>2863.6092857142808</v>
      </c>
      <c r="BE468" s="405">
        <f>SUM($AR$4:AR468)</f>
        <v>4049.5599999999622</v>
      </c>
      <c r="BF468" s="330"/>
      <c r="BG468" s="330"/>
    </row>
    <row r="469" spans="1:59" ht="15.75" customHeight="1">
      <c r="A469" s="227" t="s">
        <v>2035</v>
      </c>
      <c r="B469" s="204">
        <v>45027</v>
      </c>
      <c r="C469" s="182" t="s">
        <v>2133</v>
      </c>
      <c r="D469" s="182" t="s">
        <v>128</v>
      </c>
      <c r="E469" s="233"/>
      <c r="F469" s="184"/>
      <c r="G469" s="291" t="s">
        <v>75</v>
      </c>
      <c r="H469" s="186"/>
      <c r="I469" s="186"/>
      <c r="J469" s="186"/>
      <c r="K469" s="187"/>
      <c r="L469" s="186">
        <v>1</v>
      </c>
      <c r="M469" s="186"/>
      <c r="N469" s="186"/>
      <c r="O469" s="187" t="s">
        <v>76</v>
      </c>
      <c r="P469" s="187" t="s">
        <v>77</v>
      </c>
      <c r="Q469" s="187" t="s">
        <v>78</v>
      </c>
      <c r="R469" s="187">
        <v>7</v>
      </c>
      <c r="S469" s="187">
        <v>7</v>
      </c>
      <c r="T469" s="187">
        <v>7</v>
      </c>
      <c r="U469" s="187" t="s">
        <v>78</v>
      </c>
      <c r="V469" s="188">
        <f t="shared" ref="V469" si="644">IF(ISBLANK(O469),"",(IF(O469=UPPER("IB"),0.005,0.01)))</f>
        <v>0.01</v>
      </c>
      <c r="W469" s="188">
        <f>IF(ISBLANK(O469),"",IF(O469="IB",8.63*200,IF(O469="IR",16*100,IF(O469="YT",20))))</f>
        <v>1600</v>
      </c>
      <c r="X469" s="189" t="s">
        <v>80</v>
      </c>
      <c r="Y469" s="189"/>
      <c r="Z469" s="189"/>
      <c r="AA469" s="190">
        <v>-0.06</v>
      </c>
      <c r="AB469" s="186"/>
      <c r="AC469" s="344"/>
      <c r="AD469" s="186"/>
      <c r="AE469" s="186"/>
      <c r="AF469" s="186"/>
      <c r="AG469" s="186"/>
      <c r="AH469" s="186"/>
      <c r="AI469" s="191">
        <f>-0.03*W469</f>
        <v>-48</v>
      </c>
      <c r="AJ469" s="191">
        <f t="shared" si="637"/>
        <v>-336</v>
      </c>
      <c r="AK469" s="186"/>
      <c r="AL469" s="186"/>
      <c r="AM469" s="186" t="s">
        <v>1535</v>
      </c>
      <c r="AN469" s="344" t="s">
        <v>87</v>
      </c>
      <c r="AO469" s="186" t="s">
        <v>2134</v>
      </c>
      <c r="AP469" s="193">
        <v>-7.0000000000000007E-2</v>
      </c>
      <c r="AQ469" s="193">
        <f t="shared" ref="AQ469" si="645">IF(ISBLANK(AP469),,IF(U469="S",AA469-AP469,AP469-AA469))</f>
        <v>1.0000000000000009E-2</v>
      </c>
      <c r="AR469" s="191">
        <f t="shared" ref="AR469" si="646">AS469*R469</f>
        <v>112.0000000000001</v>
      </c>
      <c r="AS469" s="194">
        <f t="shared" ref="AS469" si="647">IF(ISBLANK(AP469),,(AQ469*W469))</f>
        <v>16.000000000000014</v>
      </c>
      <c r="AT469" s="195" t="s">
        <v>77</v>
      </c>
      <c r="AU469" s="425"/>
      <c r="AV469" s="425"/>
      <c r="AW469" s="425"/>
      <c r="AX469" s="425"/>
      <c r="AY469" s="425"/>
      <c r="AZ469" s="425"/>
      <c r="BA469" s="425"/>
      <c r="BB469" s="425"/>
      <c r="BC469" s="440"/>
      <c r="BD469" s="404">
        <f>SUM($AS$4:AS469)</f>
        <v>2879.6092857142808</v>
      </c>
      <c r="BE469" s="405">
        <f>SUM($AR$4:AR469)</f>
        <v>4161.5599999999622</v>
      </c>
      <c r="BF469" s="330"/>
      <c r="BG469" s="330"/>
    </row>
    <row r="470" spans="1:59" ht="15.75" customHeight="1">
      <c r="A470" s="227" t="s">
        <v>2035</v>
      </c>
      <c r="B470" s="204">
        <v>45028</v>
      </c>
      <c r="C470" s="182" t="s">
        <v>191</v>
      </c>
      <c r="D470" s="182" t="s">
        <v>133</v>
      </c>
      <c r="E470" s="233"/>
      <c r="F470" s="184"/>
      <c r="G470" s="291" t="s">
        <v>2051</v>
      </c>
      <c r="H470" s="186"/>
      <c r="I470" s="186"/>
      <c r="J470" s="186"/>
      <c r="K470" s="187"/>
      <c r="L470" s="186">
        <v>1</v>
      </c>
      <c r="M470" s="186">
        <v>1</v>
      </c>
      <c r="N470" s="186"/>
      <c r="O470" s="187" t="s">
        <v>76</v>
      </c>
      <c r="P470" s="187" t="s">
        <v>119</v>
      </c>
      <c r="Q470" s="187" t="s">
        <v>78</v>
      </c>
      <c r="R470" s="187">
        <v>14</v>
      </c>
      <c r="S470" s="187">
        <v>2</v>
      </c>
      <c r="T470" s="187">
        <v>14</v>
      </c>
      <c r="U470" s="187" t="s">
        <v>22</v>
      </c>
      <c r="V470" s="188">
        <f t="shared" ref="V470" si="648">IF(ISBLANK(O470),"",(IF(O470=UPPER("IB"),0.005,0.01)))</f>
        <v>0.01</v>
      </c>
      <c r="W470" s="188">
        <f>IF(ISBLANK(O470),"",IF(O470="IB",8.63*200,IF(O470="IR",16.22*100,IF(O470="YT",20))))</f>
        <v>1622</v>
      </c>
      <c r="X470" s="189" t="s">
        <v>2135</v>
      </c>
      <c r="Y470" s="189"/>
      <c r="Z470" s="189"/>
      <c r="AA470" s="190">
        <v>-7.0000000000000007E-2</v>
      </c>
      <c r="AB470" s="186"/>
      <c r="AC470" s="344"/>
      <c r="AD470" s="186"/>
      <c r="AE470" s="186"/>
      <c r="AF470" s="186"/>
      <c r="AG470" s="186"/>
      <c r="AH470" s="186"/>
      <c r="AI470" s="191">
        <f>-0.02*W470</f>
        <v>-32.44</v>
      </c>
      <c r="AJ470" s="191">
        <f>AI470*(R470-S470)</f>
        <v>-389.28</v>
      </c>
      <c r="AK470" s="186"/>
      <c r="AL470" s="186"/>
      <c r="AM470" s="186" t="s">
        <v>752</v>
      </c>
      <c r="AN470" s="344" t="s">
        <v>97</v>
      </c>
      <c r="AO470" s="186" t="s">
        <v>2136</v>
      </c>
      <c r="AP470" s="193">
        <f>((-0.07*2)+(-0.06*12))/14</f>
        <v>-6.142857142857143E-2</v>
      </c>
      <c r="AQ470" s="193">
        <f t="shared" ref="AQ470" si="649">IF(ISBLANK(AP470),,IF(U470="S",AA470-AP470,AP470-AA470))</f>
        <v>8.5714285714285771E-3</v>
      </c>
      <c r="AR470" s="191">
        <f t="shared" ref="AR470" si="650">AS470*R470</f>
        <v>194.64000000000013</v>
      </c>
      <c r="AS470" s="194">
        <f t="shared" ref="AS470" si="651">IF(ISBLANK(AP470),,(AQ470*W470))</f>
        <v>13.902857142857153</v>
      </c>
      <c r="AT470" s="195" t="s">
        <v>77</v>
      </c>
      <c r="AU470" s="425" t="s">
        <v>2137</v>
      </c>
      <c r="AV470" s="425" t="s">
        <v>2138</v>
      </c>
      <c r="AW470" s="425" t="s">
        <v>2139</v>
      </c>
      <c r="AX470" s="425"/>
      <c r="AY470" s="425"/>
      <c r="AZ470" s="425"/>
      <c r="BA470" s="425"/>
      <c r="BB470" s="425"/>
      <c r="BC470" s="440"/>
      <c r="BD470" s="404">
        <f>SUM($AS$4:AS470)</f>
        <v>2893.5121428571379</v>
      </c>
      <c r="BE470" s="405">
        <f>SUM($AR$4:AR470)</f>
        <v>4356.1999999999625</v>
      </c>
      <c r="BF470" s="330"/>
      <c r="BG470" s="330"/>
    </row>
    <row r="471" spans="1:59" ht="15.75" customHeight="1">
      <c r="A471" s="227" t="s">
        <v>2035</v>
      </c>
      <c r="B471" s="204">
        <v>45028</v>
      </c>
      <c r="C471" s="182" t="s">
        <v>2140</v>
      </c>
      <c r="D471" s="182"/>
      <c r="E471" s="233"/>
      <c r="F471" s="184"/>
      <c r="G471" s="291" t="s">
        <v>2089</v>
      </c>
      <c r="H471" s="186"/>
      <c r="I471" s="186"/>
      <c r="J471" s="186"/>
      <c r="K471" s="187"/>
      <c r="L471" s="186">
        <v>1</v>
      </c>
      <c r="M471" s="186"/>
      <c r="N471" s="186"/>
      <c r="O471" s="187" t="s">
        <v>76</v>
      </c>
      <c r="P471" s="187" t="s">
        <v>77</v>
      </c>
      <c r="Q471" s="187" t="s">
        <v>78</v>
      </c>
      <c r="R471" s="187">
        <v>9</v>
      </c>
      <c r="S471" s="187">
        <v>0</v>
      </c>
      <c r="T471" s="187">
        <v>9</v>
      </c>
      <c r="U471" s="187" t="s">
        <v>78</v>
      </c>
      <c r="V471" s="188">
        <f t="shared" ref="V471" si="652">IF(ISBLANK(O471),"",(IF(O471=UPPER("IB"),0.005,0.01)))</f>
        <v>0.01</v>
      </c>
      <c r="W471" s="188">
        <f>IF(ISBLANK(O471),"",IF(O471="IB",8.63*200,IF(O471="IR",16*100,IF(O471="YT",20))))</f>
        <v>1600</v>
      </c>
      <c r="X471" s="189" t="s">
        <v>80</v>
      </c>
      <c r="Y471" s="189" t="s">
        <v>2141</v>
      </c>
      <c r="Z471" s="189" t="s">
        <v>511</v>
      </c>
      <c r="AA471" s="190">
        <v>-0.09</v>
      </c>
      <c r="AB471" s="186"/>
      <c r="AC471" s="344"/>
      <c r="AD471" s="186"/>
      <c r="AE471" s="186"/>
      <c r="AF471" s="186"/>
      <c r="AG471" s="186"/>
      <c r="AH471" s="186"/>
      <c r="AI471" s="191">
        <f>-0.03*W471</f>
        <v>-48</v>
      </c>
      <c r="AJ471" s="191">
        <f>AI471*(R471-S471)</f>
        <v>-432</v>
      </c>
      <c r="AK471" s="186"/>
      <c r="AL471" s="186"/>
      <c r="AM471" s="186" t="s">
        <v>786</v>
      </c>
      <c r="AN471" s="344" t="s">
        <v>97</v>
      </c>
      <c r="AO471" s="186" t="s">
        <v>2142</v>
      </c>
      <c r="AP471" s="193">
        <f>((-0.1*3)+(-0.1*6))/9</f>
        <v>-0.10000000000000002</v>
      </c>
      <c r="AQ471" s="193">
        <f t="shared" ref="AQ471:AQ477" si="653">IF(ISBLANK(AP471),,IF(U471="S",AA471-AP471,AP471-AA471))</f>
        <v>1.0000000000000023E-2</v>
      </c>
      <c r="AR471" s="191">
        <f t="shared" ref="AR471:AR477" si="654">AS471*R471</f>
        <v>144.00000000000031</v>
      </c>
      <c r="AS471" s="194">
        <f t="shared" ref="AS471:AS477" si="655">IF(ISBLANK(AP471),,(AQ471*W471))</f>
        <v>16.000000000000036</v>
      </c>
      <c r="AT471" s="195" t="s">
        <v>77</v>
      </c>
      <c r="AU471" s="425" t="s">
        <v>2143</v>
      </c>
      <c r="AV471" s="425" t="s">
        <v>2144</v>
      </c>
      <c r="AW471" s="425"/>
      <c r="AX471" s="425"/>
      <c r="AY471" s="425"/>
      <c r="AZ471" s="425"/>
      <c r="BA471" s="425"/>
      <c r="BB471" s="425"/>
      <c r="BC471" s="440"/>
      <c r="BD471" s="404">
        <f>SUM($AS$4:AS471)</f>
        <v>2909.5121428571379</v>
      </c>
      <c r="BE471" s="405">
        <f>SUM($AR$4:AR471)</f>
        <v>4500.1999999999625</v>
      </c>
      <c r="BF471" s="330"/>
      <c r="BG471" s="330"/>
    </row>
    <row r="472" spans="1:59" ht="15.75" customHeight="1">
      <c r="A472" s="227" t="s">
        <v>2035</v>
      </c>
      <c r="B472" s="204">
        <v>45028</v>
      </c>
      <c r="C472" s="182" t="s">
        <v>1695</v>
      </c>
      <c r="D472" s="182" t="s">
        <v>133</v>
      </c>
      <c r="E472" s="233" t="s">
        <v>2145</v>
      </c>
      <c r="F472" s="184" t="s">
        <v>2146</v>
      </c>
      <c r="G472" s="185"/>
      <c r="H472" s="186"/>
      <c r="I472" s="186">
        <v>1</v>
      </c>
      <c r="J472" s="186"/>
      <c r="K472" s="187" t="s">
        <v>87</v>
      </c>
      <c r="L472" s="186"/>
      <c r="M472" s="186"/>
      <c r="N472" s="186"/>
      <c r="O472" s="187"/>
      <c r="P472" s="187"/>
      <c r="Q472" s="187"/>
      <c r="R472" s="187"/>
      <c r="S472" s="187"/>
      <c r="T472" s="187"/>
      <c r="U472" s="187"/>
      <c r="V472" s="188" t="str">
        <f t="shared" ref="V472:V475" si="656">IF(ISBLANK(O472),"",(IF(O472=UPPER("IB"),0.005,0.01)))</f>
        <v/>
      </c>
      <c r="W472" s="188" t="str">
        <f t="shared" ref="W472:W475" si="657">IF(ISBLANK(O472),"",IF(O472="IB",8.63*200,IF(O472="IR",16*100,IF(O472="YT",20))))</f>
        <v/>
      </c>
      <c r="X472" s="189"/>
      <c r="Y472" s="189"/>
      <c r="Z472" s="189"/>
      <c r="AA472" s="190"/>
      <c r="AB472" s="186"/>
      <c r="AC472" s="344"/>
      <c r="AD472" s="186"/>
      <c r="AE472" s="186"/>
      <c r="AF472" s="186"/>
      <c r="AG472" s="186"/>
      <c r="AH472" s="186"/>
      <c r="AI472" s="191"/>
      <c r="AJ472" s="191"/>
      <c r="AK472" s="186"/>
      <c r="AL472" s="186"/>
      <c r="AM472" s="186"/>
      <c r="AN472" s="344"/>
      <c r="AO472" s="186"/>
      <c r="AP472" s="193"/>
      <c r="AQ472" s="193"/>
      <c r="AR472" s="191"/>
      <c r="AS472" s="194"/>
      <c r="AT472" s="195"/>
      <c r="AU472" s="425" t="s">
        <v>2147</v>
      </c>
      <c r="AV472" s="425" t="s">
        <v>2148</v>
      </c>
      <c r="AW472" s="425"/>
      <c r="AX472" s="425" t="s">
        <v>2149</v>
      </c>
      <c r="AY472" s="425" t="s">
        <v>511</v>
      </c>
      <c r="AZ472" s="425"/>
      <c r="BA472" s="425"/>
      <c r="BB472" s="425"/>
      <c r="BC472" s="440"/>
      <c r="BD472" s="404">
        <f>SUM($AS$4:AS472)</f>
        <v>2909.5121428571379</v>
      </c>
      <c r="BE472" s="405">
        <f>SUM($AR$4:AR472)</f>
        <v>4500.1999999999625</v>
      </c>
      <c r="BF472" s="330"/>
      <c r="BG472" s="330"/>
    </row>
    <row r="473" spans="1:59" ht="15.75" customHeight="1">
      <c r="A473" s="227" t="s">
        <v>2035</v>
      </c>
      <c r="B473" s="204"/>
      <c r="C473" s="182"/>
      <c r="D473" s="182"/>
      <c r="E473" s="233" t="s">
        <v>2150</v>
      </c>
      <c r="F473" s="184" t="s">
        <v>2151</v>
      </c>
      <c r="G473" s="185"/>
      <c r="H473" s="186"/>
      <c r="I473" s="186"/>
      <c r="J473" s="186">
        <v>1</v>
      </c>
      <c r="K473" s="187" t="s">
        <v>97</v>
      </c>
      <c r="L473" s="186"/>
      <c r="M473" s="186"/>
      <c r="N473" s="186"/>
      <c r="O473" s="187"/>
      <c r="P473" s="187"/>
      <c r="Q473" s="187"/>
      <c r="R473" s="187"/>
      <c r="S473" s="187"/>
      <c r="T473" s="187"/>
      <c r="U473" s="187"/>
      <c r="V473" s="188" t="str">
        <f t="shared" si="656"/>
        <v/>
      </c>
      <c r="W473" s="188" t="str">
        <f t="shared" si="657"/>
        <v/>
      </c>
      <c r="X473" s="189"/>
      <c r="Y473" s="189"/>
      <c r="Z473" s="189"/>
      <c r="AA473" s="190"/>
      <c r="AB473" s="186"/>
      <c r="AC473" s="344"/>
      <c r="AD473" s="186"/>
      <c r="AE473" s="186"/>
      <c r="AF473" s="186"/>
      <c r="AG473" s="186"/>
      <c r="AH473" s="186"/>
      <c r="AI473" s="191"/>
      <c r="AJ473" s="191"/>
      <c r="AK473" s="186"/>
      <c r="AL473" s="186"/>
      <c r="AM473" s="186"/>
      <c r="AN473" s="344"/>
      <c r="AO473" s="186"/>
      <c r="AP473" s="193"/>
      <c r="AQ473" s="193"/>
      <c r="AR473" s="191"/>
      <c r="AS473" s="194"/>
      <c r="AT473" s="195"/>
      <c r="AU473" s="425"/>
      <c r="AV473" s="425"/>
      <c r="AW473" s="425"/>
      <c r="AX473" s="425" t="s">
        <v>2152</v>
      </c>
      <c r="AY473" s="425" t="s">
        <v>2153</v>
      </c>
      <c r="AZ473" s="425" t="s">
        <v>2154</v>
      </c>
      <c r="BA473" s="425"/>
      <c r="BB473" s="425"/>
      <c r="BC473" s="440"/>
      <c r="BD473" s="404">
        <f>SUM($AS$4:AS473)</f>
        <v>2909.5121428571379</v>
      </c>
      <c r="BE473" s="405">
        <f>SUM($AR$4:AR473)</f>
        <v>4500.1999999999625</v>
      </c>
      <c r="BF473" s="330"/>
      <c r="BG473" s="330"/>
    </row>
    <row r="474" spans="1:59" ht="15.75" customHeight="1">
      <c r="A474" s="227" t="s">
        <v>2035</v>
      </c>
      <c r="B474" s="204"/>
      <c r="C474" s="182"/>
      <c r="D474" s="182"/>
      <c r="E474" s="233" t="s">
        <v>2155</v>
      </c>
      <c r="F474" s="184" t="s">
        <v>2156</v>
      </c>
      <c r="G474" s="185"/>
      <c r="H474" s="186"/>
      <c r="I474" s="186"/>
      <c r="J474" s="186">
        <v>1</v>
      </c>
      <c r="K474" s="187" t="s">
        <v>97</v>
      </c>
      <c r="L474" s="186"/>
      <c r="M474" s="186"/>
      <c r="N474" s="186"/>
      <c r="O474" s="187"/>
      <c r="P474" s="187"/>
      <c r="Q474" s="187"/>
      <c r="R474" s="187"/>
      <c r="S474" s="187"/>
      <c r="T474" s="187"/>
      <c r="U474" s="187"/>
      <c r="V474" s="188" t="str">
        <f t="shared" si="656"/>
        <v/>
      </c>
      <c r="W474" s="188" t="str">
        <f t="shared" si="657"/>
        <v/>
      </c>
      <c r="X474" s="189"/>
      <c r="Y474" s="189"/>
      <c r="Z474" s="189"/>
      <c r="AA474" s="190"/>
      <c r="AB474" s="186"/>
      <c r="AC474" s="344"/>
      <c r="AD474" s="186"/>
      <c r="AE474" s="186"/>
      <c r="AF474" s="186"/>
      <c r="AG474" s="186"/>
      <c r="AH474" s="186"/>
      <c r="AI474" s="191"/>
      <c r="AJ474" s="191"/>
      <c r="AK474" s="186"/>
      <c r="AL474" s="186"/>
      <c r="AM474" s="186"/>
      <c r="AN474" s="344"/>
      <c r="AO474" s="186"/>
      <c r="AP474" s="193"/>
      <c r="AQ474" s="193"/>
      <c r="AR474" s="191"/>
      <c r="AS474" s="194"/>
      <c r="AT474" s="195"/>
      <c r="AU474" s="425"/>
      <c r="AV474" s="425"/>
      <c r="AW474" s="425"/>
      <c r="AX474" s="425" t="s">
        <v>2157</v>
      </c>
      <c r="AY474" s="425" t="s">
        <v>511</v>
      </c>
      <c r="AZ474" s="425"/>
      <c r="BA474" s="425"/>
      <c r="BB474" s="425"/>
      <c r="BC474" s="440"/>
      <c r="BD474" s="404">
        <f>SUM($AS$4:AS474)</f>
        <v>2909.5121428571379</v>
      </c>
      <c r="BE474" s="405">
        <f>SUM($AR$4:AR474)</f>
        <v>4500.1999999999625</v>
      </c>
      <c r="BF474" s="330"/>
      <c r="BG474" s="330"/>
    </row>
    <row r="475" spans="1:59" ht="15.75" customHeight="1">
      <c r="A475" s="227" t="s">
        <v>2035</v>
      </c>
      <c r="B475" s="204">
        <v>45028</v>
      </c>
      <c r="C475" s="182" t="s">
        <v>664</v>
      </c>
      <c r="D475" s="182" t="s">
        <v>133</v>
      </c>
      <c r="E475" s="233"/>
      <c r="F475" s="184"/>
      <c r="G475" s="291" t="s">
        <v>75</v>
      </c>
      <c r="H475" s="186"/>
      <c r="I475" s="186"/>
      <c r="J475" s="186"/>
      <c r="K475" s="187"/>
      <c r="L475" s="186"/>
      <c r="M475" s="186"/>
      <c r="N475" s="186"/>
      <c r="O475" s="187" t="s">
        <v>76</v>
      </c>
      <c r="P475" s="187" t="s">
        <v>77</v>
      </c>
      <c r="Q475" s="187" t="s">
        <v>78</v>
      </c>
      <c r="R475" s="187">
        <v>14</v>
      </c>
      <c r="S475" s="187">
        <v>0</v>
      </c>
      <c r="T475" s="187">
        <v>14</v>
      </c>
      <c r="U475" s="187" t="s">
        <v>78</v>
      </c>
      <c r="V475" s="188">
        <f t="shared" si="656"/>
        <v>0.01</v>
      </c>
      <c r="W475" s="188">
        <f t="shared" si="657"/>
        <v>1600</v>
      </c>
      <c r="X475" s="189" t="s">
        <v>2158</v>
      </c>
      <c r="Y475" s="189" t="s">
        <v>2159</v>
      </c>
      <c r="Z475" s="189" t="s">
        <v>511</v>
      </c>
      <c r="AA475" s="190">
        <v>-0.04</v>
      </c>
      <c r="AB475" s="186"/>
      <c r="AC475" s="344"/>
      <c r="AD475" s="186"/>
      <c r="AE475" s="186"/>
      <c r="AF475" s="186"/>
      <c r="AG475" s="186"/>
      <c r="AH475" s="186"/>
      <c r="AI475" s="191">
        <f>-0.015*W475</f>
        <v>-24</v>
      </c>
      <c r="AJ475" s="191">
        <f t="shared" ref="AJ475" si="658">AI475*(R475-S475)</f>
        <v>-336</v>
      </c>
      <c r="AK475" s="186"/>
      <c r="AL475" s="186"/>
      <c r="AM475" s="186" t="s">
        <v>1242</v>
      </c>
      <c r="AN475" s="344" t="s">
        <v>97</v>
      </c>
      <c r="AO475" s="186" t="s">
        <v>2160</v>
      </c>
      <c r="AP475" s="193">
        <v>-0.05</v>
      </c>
      <c r="AQ475" s="193">
        <f t="shared" si="653"/>
        <v>1.0000000000000002E-2</v>
      </c>
      <c r="AR475" s="191">
        <f t="shared" si="654"/>
        <v>224.00000000000006</v>
      </c>
      <c r="AS475" s="194">
        <f t="shared" si="655"/>
        <v>16.000000000000004</v>
      </c>
      <c r="AT475" s="195" t="s">
        <v>77</v>
      </c>
      <c r="AU475" s="425" t="s">
        <v>2161</v>
      </c>
      <c r="AV475" s="425" t="s">
        <v>2162</v>
      </c>
      <c r="AW475" s="425" t="s">
        <v>2163</v>
      </c>
      <c r="AX475" s="425" t="s">
        <v>2161</v>
      </c>
      <c r="AY475" s="425" t="s">
        <v>2164</v>
      </c>
      <c r="AZ475" s="425" t="s">
        <v>2165</v>
      </c>
      <c r="BA475" s="425"/>
      <c r="BB475" s="425"/>
      <c r="BC475" s="440"/>
      <c r="BD475" s="404">
        <f>SUM($AS$4:AS475)</f>
        <v>2925.5121428571379</v>
      </c>
      <c r="BE475" s="405">
        <f>SUM($AR$4:AR475)</f>
        <v>4724.1999999999625</v>
      </c>
      <c r="BF475" s="330"/>
      <c r="BG475" s="330"/>
    </row>
    <row r="476" spans="1:59" ht="15.75" customHeight="1">
      <c r="A476" s="227" t="s">
        <v>2035</v>
      </c>
      <c r="B476" s="204">
        <v>45028</v>
      </c>
      <c r="C476" s="182" t="s">
        <v>1325</v>
      </c>
      <c r="D476" s="182" t="s">
        <v>133</v>
      </c>
      <c r="E476" s="233"/>
      <c r="F476" s="184"/>
      <c r="G476" s="291" t="s">
        <v>75</v>
      </c>
      <c r="H476" s="186"/>
      <c r="I476" s="186"/>
      <c r="J476" s="186"/>
      <c r="K476" s="187"/>
      <c r="L476" s="186"/>
      <c r="M476" s="186"/>
      <c r="N476" s="186"/>
      <c r="O476" s="187" t="s">
        <v>76</v>
      </c>
      <c r="P476" s="187" t="s">
        <v>77</v>
      </c>
      <c r="Q476" s="187" t="s">
        <v>78</v>
      </c>
      <c r="R476" s="187">
        <v>4</v>
      </c>
      <c r="S476" s="187">
        <v>0</v>
      </c>
      <c r="T476" s="187">
        <v>4</v>
      </c>
      <c r="U476" s="187" t="s">
        <v>78</v>
      </c>
      <c r="V476" s="188">
        <f t="shared" ref="V476" si="659">IF(ISBLANK(O476),"",(IF(O476=UPPER("IB"),0.005,0.01)))</f>
        <v>0.01</v>
      </c>
      <c r="W476" s="188">
        <f t="shared" ref="W476" si="660">IF(ISBLANK(O476),"",IF(O476="IB",8.63*200,IF(O476="IR",16*100,IF(O476="YT",20))))</f>
        <v>1600</v>
      </c>
      <c r="X476" s="189" t="s">
        <v>1078</v>
      </c>
      <c r="Y476" s="189"/>
      <c r="Z476" s="189"/>
      <c r="AA476" s="190">
        <v>-0.06</v>
      </c>
      <c r="AB476" s="186"/>
      <c r="AC476" s="344"/>
      <c r="AD476" s="186"/>
      <c r="AE476" s="186"/>
      <c r="AF476" s="186"/>
      <c r="AG476" s="186"/>
      <c r="AH476" s="186"/>
      <c r="AI476" s="191">
        <f>-0.02*W476</f>
        <v>-32</v>
      </c>
      <c r="AJ476" s="191">
        <f t="shared" ref="AJ476" si="661">AI476*(R476-S476)</f>
        <v>-128</v>
      </c>
      <c r="AK476" s="186"/>
      <c r="AL476" s="186"/>
      <c r="AM476" s="186" t="s">
        <v>999</v>
      </c>
      <c r="AN476" s="344" t="s">
        <v>87</v>
      </c>
      <c r="AO476" s="186" t="s">
        <v>2166</v>
      </c>
      <c r="AP476" s="193">
        <v>-7.0000000000000007E-2</v>
      </c>
      <c r="AQ476" s="193">
        <f t="shared" si="653"/>
        <v>1.0000000000000009E-2</v>
      </c>
      <c r="AR476" s="191">
        <f t="shared" si="654"/>
        <v>64.000000000000057</v>
      </c>
      <c r="AS476" s="194">
        <f t="shared" si="655"/>
        <v>16.000000000000014</v>
      </c>
      <c r="AT476" s="195" t="s">
        <v>77</v>
      </c>
      <c r="AU476" s="425"/>
      <c r="AV476" s="425"/>
      <c r="AW476" s="425"/>
      <c r="AX476" s="425"/>
      <c r="AY476" s="425"/>
      <c r="AZ476" s="425"/>
      <c r="BA476" s="425"/>
      <c r="BB476" s="425"/>
      <c r="BC476" s="440"/>
      <c r="BD476" s="404">
        <f>SUM($AS$4:AS476)</f>
        <v>2941.5121428571379</v>
      </c>
      <c r="BE476" s="405">
        <f>SUM($AR$4:AR476)</f>
        <v>4788.1999999999625</v>
      </c>
      <c r="BF476" s="330"/>
      <c r="BG476" s="330"/>
    </row>
    <row r="477" spans="1:59" ht="15.75" customHeight="1">
      <c r="A477" s="227" t="s">
        <v>2035</v>
      </c>
      <c r="B477" s="204">
        <v>45028</v>
      </c>
      <c r="C477" s="182" t="s">
        <v>2167</v>
      </c>
      <c r="D477" s="182" t="s">
        <v>133</v>
      </c>
      <c r="E477" s="233"/>
      <c r="F477" s="184"/>
      <c r="G477" s="291" t="s">
        <v>558</v>
      </c>
      <c r="H477" s="186"/>
      <c r="I477" s="186"/>
      <c r="J477" s="186"/>
      <c r="K477" s="187"/>
      <c r="L477" s="186"/>
      <c r="M477" s="186"/>
      <c r="N477" s="186"/>
      <c r="O477" s="187" t="s">
        <v>76</v>
      </c>
      <c r="P477" s="187" t="s">
        <v>77</v>
      </c>
      <c r="Q477" s="187" t="s">
        <v>78</v>
      </c>
      <c r="R477" s="187">
        <v>3</v>
      </c>
      <c r="S477" s="187">
        <v>0</v>
      </c>
      <c r="T477" s="187">
        <v>3</v>
      </c>
      <c r="U477" s="187" t="s">
        <v>78</v>
      </c>
      <c r="V477" s="188">
        <f t="shared" ref="V477" si="662">IF(ISBLANK(O477),"",(IF(O477=UPPER("IB"),0.005,0.01)))</f>
        <v>0.01</v>
      </c>
      <c r="W477" s="188">
        <f t="shared" ref="W477" si="663">IF(ISBLANK(O477),"",IF(O477="IB",8.63*200,IF(O477="IR",16*100,IF(O477="YT",20))))</f>
        <v>1600</v>
      </c>
      <c r="X477" s="189" t="s">
        <v>80</v>
      </c>
      <c r="Y477" s="189" t="s">
        <v>2168</v>
      </c>
      <c r="Z477" s="189"/>
      <c r="AA477" s="190">
        <v>0</v>
      </c>
      <c r="AB477" s="186"/>
      <c r="AC477" s="344"/>
      <c r="AD477" s="186"/>
      <c r="AE477" s="186"/>
      <c r="AF477" s="186"/>
      <c r="AG477" s="186"/>
      <c r="AH477" s="186"/>
      <c r="AI477" s="191">
        <f>-0.04*W477</f>
        <v>-64</v>
      </c>
      <c r="AJ477" s="191">
        <f t="shared" ref="AJ477" si="664">AI477*(R477-S477)</f>
        <v>-192</v>
      </c>
      <c r="AK477" s="186"/>
      <c r="AL477" s="186"/>
      <c r="AM477" s="186" t="s">
        <v>1242</v>
      </c>
      <c r="AN477" s="344" t="s">
        <v>97</v>
      </c>
      <c r="AO477" s="186" t="s">
        <v>2169</v>
      </c>
      <c r="AP477" s="193">
        <f>((0.01*2))/3</f>
        <v>6.6666666666666671E-3</v>
      </c>
      <c r="AQ477" s="193">
        <f t="shared" si="653"/>
        <v>-6.6666666666666671E-3</v>
      </c>
      <c r="AR477" s="191">
        <f t="shared" si="654"/>
        <v>-32</v>
      </c>
      <c r="AS477" s="194">
        <f t="shared" si="655"/>
        <v>-10.666666666666668</v>
      </c>
      <c r="AT477" s="195" t="s">
        <v>211</v>
      </c>
      <c r="AU477" s="425" t="s">
        <v>2170</v>
      </c>
      <c r="AV477" s="425"/>
      <c r="AW477" s="425"/>
      <c r="AX477" s="425"/>
      <c r="AY477" s="425"/>
      <c r="AZ477" s="425"/>
      <c r="BA477" s="425"/>
      <c r="BB477" s="425"/>
      <c r="BC477" s="440"/>
      <c r="BD477" s="404">
        <f>SUM($AS$4:AS477)</f>
        <v>2930.8454761904713</v>
      </c>
      <c r="BE477" s="405">
        <f>SUM($AR$4:AR477)</f>
        <v>4756.1999999999625</v>
      </c>
      <c r="BF477" s="330"/>
      <c r="BG477" s="330"/>
    </row>
    <row r="478" spans="1:59" ht="15.75" customHeight="1">
      <c r="A478" s="227" t="s">
        <v>2035</v>
      </c>
      <c r="B478" s="204">
        <v>45029</v>
      </c>
      <c r="C478" s="182" t="s">
        <v>2062</v>
      </c>
      <c r="D478" s="182" t="s">
        <v>74</v>
      </c>
      <c r="E478" s="233" t="s">
        <v>2171</v>
      </c>
      <c r="F478" s="184" t="s">
        <v>2172</v>
      </c>
      <c r="G478" s="185"/>
      <c r="H478" s="186">
        <v>1</v>
      </c>
      <c r="I478" s="186"/>
      <c r="J478" s="186"/>
      <c r="K478" s="187" t="s">
        <v>87</v>
      </c>
      <c r="L478" s="186"/>
      <c r="M478" s="186"/>
      <c r="N478" s="186"/>
      <c r="O478" s="187"/>
      <c r="P478" s="187"/>
      <c r="Q478" s="187"/>
      <c r="R478" s="187"/>
      <c r="S478" s="187"/>
      <c r="T478" s="187"/>
      <c r="U478" s="187"/>
      <c r="V478" s="187"/>
      <c r="W478" s="187"/>
      <c r="X478" s="189"/>
      <c r="Y478" s="189"/>
      <c r="Z478" s="189"/>
      <c r="AA478" s="190"/>
      <c r="AB478" s="186"/>
      <c r="AC478" s="344"/>
      <c r="AD478" s="186"/>
      <c r="AE478" s="186"/>
      <c r="AF478" s="186"/>
      <c r="AG478" s="186"/>
      <c r="AH478" s="186"/>
      <c r="AI478" s="191"/>
      <c r="AJ478" s="187"/>
      <c r="AK478" s="186"/>
      <c r="AL478" s="186"/>
      <c r="AM478" s="186"/>
      <c r="AN478" s="344"/>
      <c r="AO478" s="186"/>
      <c r="AP478" s="193"/>
      <c r="AQ478" s="186"/>
      <c r="AR478" s="191"/>
      <c r="AS478" s="194"/>
      <c r="AT478" s="195"/>
      <c r="AU478" s="425"/>
      <c r="AV478" s="425"/>
      <c r="AW478" s="425"/>
      <c r="AX478" s="425"/>
      <c r="AY478" s="425"/>
      <c r="AZ478" s="425"/>
      <c r="BA478" s="425"/>
      <c r="BB478" s="425"/>
      <c r="BC478" s="440"/>
      <c r="BD478" s="404">
        <f>SUM($AS$4:AS478)</f>
        <v>2930.8454761904713</v>
      </c>
      <c r="BE478" s="405">
        <f>SUM($AR$4:AR478)</f>
        <v>4756.1999999999625</v>
      </c>
      <c r="BF478" s="330"/>
      <c r="BG478" s="330"/>
    </row>
    <row r="479" spans="1:59" ht="15.75" customHeight="1">
      <c r="A479" s="227" t="s">
        <v>2035</v>
      </c>
      <c r="B479" s="204"/>
      <c r="C479" s="182"/>
      <c r="D479" s="182"/>
      <c r="E479" s="233" t="s">
        <v>2173</v>
      </c>
      <c r="F479" s="184"/>
      <c r="G479" s="185"/>
      <c r="H479" s="186"/>
      <c r="I479" s="186"/>
      <c r="J479" s="186">
        <v>1</v>
      </c>
      <c r="K479" s="187" t="s">
        <v>87</v>
      </c>
      <c r="L479" s="186"/>
      <c r="M479" s="186"/>
      <c r="N479" s="186"/>
      <c r="O479" s="187"/>
      <c r="P479" s="187"/>
      <c r="Q479" s="187"/>
      <c r="R479" s="187"/>
      <c r="S479" s="187"/>
      <c r="T479" s="187"/>
      <c r="U479" s="187"/>
      <c r="V479" s="187"/>
      <c r="W479" s="187"/>
      <c r="X479" s="189"/>
      <c r="Y479" s="189"/>
      <c r="Z479" s="189"/>
      <c r="AA479" s="190"/>
      <c r="AB479" s="186"/>
      <c r="AC479" s="344"/>
      <c r="AD479" s="186"/>
      <c r="AE479" s="186"/>
      <c r="AF479" s="186"/>
      <c r="AG479" s="186"/>
      <c r="AH479" s="186"/>
      <c r="AI479" s="191"/>
      <c r="AJ479" s="187"/>
      <c r="AK479" s="186"/>
      <c r="AL479" s="186"/>
      <c r="AM479" s="186"/>
      <c r="AN479" s="344"/>
      <c r="AO479" s="186"/>
      <c r="AP479" s="193"/>
      <c r="AQ479" s="186"/>
      <c r="AR479" s="191"/>
      <c r="AS479" s="194"/>
      <c r="AT479" s="195"/>
      <c r="AU479" s="425"/>
      <c r="AV479" s="425"/>
      <c r="AW479" s="425"/>
      <c r="AX479" s="425"/>
      <c r="AY479" s="425"/>
      <c r="AZ479" s="425"/>
      <c r="BA479" s="425"/>
      <c r="BB479" s="425"/>
      <c r="BC479" s="440"/>
      <c r="BD479" s="404">
        <f>SUM($AS$4:AS479)</f>
        <v>2930.8454761904713</v>
      </c>
      <c r="BE479" s="405">
        <f>SUM($AR$4:AR479)</f>
        <v>4756.1999999999625</v>
      </c>
      <c r="BF479" s="330"/>
      <c r="BG479" s="330"/>
    </row>
    <row r="480" spans="1:59" ht="15.75" customHeight="1">
      <c r="A480" s="227" t="s">
        <v>2035</v>
      </c>
      <c r="B480" s="204">
        <v>45028</v>
      </c>
      <c r="C480" s="182" t="s">
        <v>1905</v>
      </c>
      <c r="D480" s="182" t="s">
        <v>133</v>
      </c>
      <c r="E480" s="233"/>
      <c r="F480" s="184"/>
      <c r="G480" s="291" t="s">
        <v>75</v>
      </c>
      <c r="H480" s="186"/>
      <c r="I480" s="186"/>
      <c r="J480" s="186"/>
      <c r="K480" s="187"/>
      <c r="L480" s="186"/>
      <c r="M480" s="186"/>
      <c r="N480" s="186"/>
      <c r="O480" s="187" t="s">
        <v>76</v>
      </c>
      <c r="P480" s="187" t="s">
        <v>77</v>
      </c>
      <c r="Q480" s="187" t="s">
        <v>78</v>
      </c>
      <c r="R480" s="187">
        <v>7</v>
      </c>
      <c r="S480" s="187">
        <v>0</v>
      </c>
      <c r="T480" s="187">
        <v>7</v>
      </c>
      <c r="U480" s="187" t="s">
        <v>78</v>
      </c>
      <c r="V480" s="188">
        <f t="shared" ref="V480" si="665">IF(ISBLANK(O480),"",(IF(O480=UPPER("IB"),0.005,0.01)))</f>
        <v>0.01</v>
      </c>
      <c r="W480" s="188">
        <f t="shared" ref="W480" si="666">IF(ISBLANK(O480),"",IF(O480="IB",8.63*200,IF(O480="IR",16*100,IF(O480="YT",20))))</f>
        <v>1600</v>
      </c>
      <c r="X480" s="189" t="s">
        <v>1078</v>
      </c>
      <c r="Y480" s="189"/>
      <c r="Z480" s="189"/>
      <c r="AA480" s="190">
        <v>-0.05</v>
      </c>
      <c r="AB480" s="186"/>
      <c r="AC480" s="344"/>
      <c r="AD480" s="186"/>
      <c r="AE480" s="186"/>
      <c r="AF480" s="186"/>
      <c r="AG480" s="186"/>
      <c r="AH480" s="186"/>
      <c r="AI480" s="191">
        <f>-0.02*W480</f>
        <v>-32</v>
      </c>
      <c r="AJ480" s="191">
        <f t="shared" ref="AJ480" si="667">AI480*(R480-S480)</f>
        <v>-224</v>
      </c>
      <c r="AK480" s="186"/>
      <c r="AL480" s="186"/>
      <c r="AM480" s="186" t="s">
        <v>2174</v>
      </c>
      <c r="AN480" s="344" t="s">
        <v>376</v>
      </c>
      <c r="AO480" s="186" t="s">
        <v>646</v>
      </c>
      <c r="AP480" s="193">
        <v>-0.05</v>
      </c>
      <c r="AQ480" s="193">
        <f t="shared" ref="AQ480" si="668">IF(ISBLANK(AP480),,IF(U480="S",AA480-AP480,AP480-AA480))</f>
        <v>0</v>
      </c>
      <c r="AR480" s="191">
        <f t="shared" ref="AR480" si="669">AS480*R480</f>
        <v>0</v>
      </c>
      <c r="AS480" s="194">
        <f t="shared" ref="AS480" si="670">IF(ISBLANK(AP480),,(AQ480*W480))</f>
        <v>0</v>
      </c>
      <c r="AT480" s="195" t="s">
        <v>97</v>
      </c>
      <c r="AU480" s="425"/>
      <c r="AV480" s="425"/>
      <c r="AW480" s="425"/>
      <c r="AX480" s="425"/>
      <c r="AY480" s="425"/>
      <c r="AZ480" s="425"/>
      <c r="BA480" s="425"/>
      <c r="BB480" s="425"/>
      <c r="BC480" s="440"/>
      <c r="BD480" s="404">
        <f>SUM($AS$4:AS480)</f>
        <v>2930.8454761904713</v>
      </c>
      <c r="BE480" s="405">
        <f>SUM($AR$4:AR480)</f>
        <v>4756.1999999999625</v>
      </c>
      <c r="BF480" s="330"/>
      <c r="BG480" s="330"/>
    </row>
    <row r="481" spans="1:59" ht="15.75" customHeight="1">
      <c r="A481" s="227" t="s">
        <v>2035</v>
      </c>
      <c r="B481" s="204">
        <v>45028</v>
      </c>
      <c r="C481" s="182" t="s">
        <v>2175</v>
      </c>
      <c r="D481" s="182" t="s">
        <v>133</v>
      </c>
      <c r="E481" s="233"/>
      <c r="F481" s="184"/>
      <c r="G481" s="291" t="s">
        <v>75</v>
      </c>
      <c r="H481" s="186"/>
      <c r="I481" s="186"/>
      <c r="J481" s="186"/>
      <c r="K481" s="187"/>
      <c r="L481" s="186"/>
      <c r="M481" s="186"/>
      <c r="N481" s="186"/>
      <c r="O481" s="187" t="s">
        <v>76</v>
      </c>
      <c r="P481" s="187" t="s">
        <v>77</v>
      </c>
      <c r="Q481" s="187" t="s">
        <v>78</v>
      </c>
      <c r="R481" s="187">
        <v>7</v>
      </c>
      <c r="S481" s="187">
        <v>0</v>
      </c>
      <c r="T481" s="187">
        <v>7</v>
      </c>
      <c r="U481" s="187" t="s">
        <v>78</v>
      </c>
      <c r="V481" s="188">
        <f t="shared" ref="V481" si="671">IF(ISBLANK(O481),"",(IF(O481=UPPER("IB"),0.005,0.01)))</f>
        <v>0.01</v>
      </c>
      <c r="W481" s="188">
        <f t="shared" ref="W481" si="672">IF(ISBLANK(O481),"",IF(O481="IB",8.63*200,IF(O481="IR",16*100,IF(O481="YT",20))))</f>
        <v>1600</v>
      </c>
      <c r="X481" s="189" t="s">
        <v>1078</v>
      </c>
      <c r="Y481" s="189"/>
      <c r="Z481" s="189"/>
      <c r="AA481" s="190">
        <v>-0.05</v>
      </c>
      <c r="AB481" s="186"/>
      <c r="AC481" s="344"/>
      <c r="AD481" s="186"/>
      <c r="AE481" s="186"/>
      <c r="AF481" s="186"/>
      <c r="AG481" s="186"/>
      <c r="AH481" s="186"/>
      <c r="AI481" s="191">
        <f>-0.02*W481</f>
        <v>-32</v>
      </c>
      <c r="AJ481" s="191">
        <f t="shared" ref="AJ481" si="673">AI481*(R481-S481)</f>
        <v>-224</v>
      </c>
      <c r="AK481" s="186"/>
      <c r="AL481" s="186"/>
      <c r="AM481" s="186" t="s">
        <v>571</v>
      </c>
      <c r="AN481" s="344" t="s">
        <v>97</v>
      </c>
      <c r="AO481" s="186" t="s">
        <v>2160</v>
      </c>
      <c r="AP481" s="193">
        <v>-0.05</v>
      </c>
      <c r="AQ481" s="193">
        <f t="shared" ref="AQ481" si="674">IF(ISBLANK(AP481),,IF(U481="S",AA481-AP481,AP481-AA481))</f>
        <v>0</v>
      </c>
      <c r="AR481" s="191">
        <f t="shared" ref="AR481" si="675">AS481*R481</f>
        <v>0</v>
      </c>
      <c r="AS481" s="194">
        <f t="shared" ref="AS481" si="676">IF(ISBLANK(AP481),,(AQ481*W481))</f>
        <v>0</v>
      </c>
      <c r="AT481" s="195" t="s">
        <v>97</v>
      </c>
      <c r="AU481" s="425" t="s">
        <v>2176</v>
      </c>
      <c r="AV481" s="425"/>
      <c r="AW481" s="425" t="s">
        <v>2177</v>
      </c>
      <c r="AX481" s="425" t="s">
        <v>2178</v>
      </c>
      <c r="AY481" s="425" t="s">
        <v>511</v>
      </c>
      <c r="AZ481" s="425"/>
      <c r="BA481" s="425"/>
      <c r="BB481" s="425"/>
      <c r="BC481" s="440"/>
      <c r="BD481" s="404">
        <f>SUM($AS$4:AS481)</f>
        <v>2930.8454761904713</v>
      </c>
      <c r="BE481" s="405">
        <f>SUM($AR$4:AR481)</f>
        <v>4756.1999999999625</v>
      </c>
      <c r="BF481" s="330"/>
      <c r="BG481" s="330"/>
    </row>
    <row r="482" spans="1:59" ht="15.75" customHeight="1">
      <c r="A482" s="227" t="s">
        <v>2035</v>
      </c>
      <c r="B482" s="204">
        <v>45029</v>
      </c>
      <c r="C482" s="182" t="s">
        <v>1709</v>
      </c>
      <c r="D482" s="182" t="s">
        <v>74</v>
      </c>
      <c r="E482" s="233" t="s">
        <v>2179</v>
      </c>
      <c r="F482" s="184"/>
      <c r="G482" s="185"/>
      <c r="H482" s="186">
        <v>1</v>
      </c>
      <c r="I482" s="186"/>
      <c r="J482" s="186"/>
      <c r="K482" s="187" t="s">
        <v>97</v>
      </c>
      <c r="L482" s="186"/>
      <c r="M482" s="186"/>
      <c r="N482" s="186"/>
      <c r="O482" s="187"/>
      <c r="P482" s="187"/>
      <c r="Q482" s="187"/>
      <c r="R482" s="187"/>
      <c r="S482" s="187"/>
      <c r="T482" s="187"/>
      <c r="U482" s="187"/>
      <c r="V482" s="188" t="str">
        <f t="shared" ref="V482:V488" si="677">IF(ISBLANK(O482),"",(IF(O482=UPPER("IB"),0.005,0.01)))</f>
        <v/>
      </c>
      <c r="W482" s="188" t="str">
        <f t="shared" ref="W482:W488" si="678">IF(ISBLANK(O482),"",IF(O482="IB",8.63*200,IF(O482="IR",16*100,IF(O482="YT",20))))</f>
        <v/>
      </c>
      <c r="X482" s="189"/>
      <c r="Y482" s="189"/>
      <c r="Z482" s="189"/>
      <c r="AA482" s="190"/>
      <c r="AB482" s="186"/>
      <c r="AC482" s="344"/>
      <c r="AD482" s="186"/>
      <c r="AE482" s="186"/>
      <c r="AF482" s="186"/>
      <c r="AG482" s="186"/>
      <c r="AH482" s="186"/>
      <c r="AI482" s="191"/>
      <c r="AJ482" s="191"/>
      <c r="AK482" s="186"/>
      <c r="AL482" s="186"/>
      <c r="AM482" s="186"/>
      <c r="AN482" s="344"/>
      <c r="AO482" s="186"/>
      <c r="AP482" s="193"/>
      <c r="AQ482" s="193"/>
      <c r="AR482" s="191"/>
      <c r="AS482" s="194"/>
      <c r="AT482" s="195"/>
      <c r="AU482" s="425" t="s">
        <v>2180</v>
      </c>
      <c r="AV482" s="425" t="s">
        <v>2181</v>
      </c>
      <c r="AW482" s="425" t="s">
        <v>511</v>
      </c>
      <c r="AX482" s="425"/>
      <c r="AY482" s="425"/>
      <c r="AZ482" s="425"/>
      <c r="BA482" s="425"/>
      <c r="BB482" s="425"/>
      <c r="BC482" s="440"/>
      <c r="BD482" s="404">
        <f>SUM($AS$4:AS482)</f>
        <v>2930.8454761904713</v>
      </c>
      <c r="BE482" s="405">
        <f>SUM($AR$4:AR482)</f>
        <v>4756.1999999999625</v>
      </c>
      <c r="BF482" s="330"/>
      <c r="BG482" s="330"/>
    </row>
    <row r="483" spans="1:59" ht="15.75" customHeight="1">
      <c r="A483" s="227" t="s">
        <v>2035</v>
      </c>
      <c r="B483" s="204"/>
      <c r="C483" s="182"/>
      <c r="D483" s="182"/>
      <c r="E483" s="233" t="s">
        <v>2182</v>
      </c>
      <c r="F483" s="184"/>
      <c r="G483" s="185"/>
      <c r="H483" s="186"/>
      <c r="I483" s="186"/>
      <c r="J483" s="186">
        <v>1</v>
      </c>
      <c r="K483" s="187" t="s">
        <v>97</v>
      </c>
      <c r="L483" s="186"/>
      <c r="M483" s="186"/>
      <c r="N483" s="186"/>
      <c r="O483" s="187"/>
      <c r="P483" s="187"/>
      <c r="Q483" s="187"/>
      <c r="R483" s="187"/>
      <c r="S483" s="187"/>
      <c r="T483" s="187"/>
      <c r="U483" s="187"/>
      <c r="V483" s="188" t="str">
        <f t="shared" si="677"/>
        <v/>
      </c>
      <c r="W483" s="188" t="str">
        <f t="shared" si="678"/>
        <v/>
      </c>
      <c r="X483" s="189"/>
      <c r="Y483" s="189"/>
      <c r="Z483" s="189"/>
      <c r="AA483" s="190"/>
      <c r="AB483" s="186"/>
      <c r="AC483" s="344"/>
      <c r="AD483" s="186"/>
      <c r="AE483" s="186"/>
      <c r="AF483" s="186"/>
      <c r="AG483" s="186"/>
      <c r="AH483" s="186"/>
      <c r="AI483" s="191"/>
      <c r="AJ483" s="191"/>
      <c r="AK483" s="186"/>
      <c r="AL483" s="186"/>
      <c r="AM483" s="186"/>
      <c r="AN483" s="344"/>
      <c r="AO483" s="186"/>
      <c r="AP483" s="193"/>
      <c r="AQ483" s="193"/>
      <c r="AR483" s="191"/>
      <c r="AS483" s="194"/>
      <c r="AT483" s="195"/>
      <c r="AU483" s="425"/>
      <c r="AV483" s="425"/>
      <c r="AW483" s="425"/>
      <c r="AX483" s="425"/>
      <c r="AY483" s="425"/>
      <c r="AZ483" s="425"/>
      <c r="BA483" s="425"/>
      <c r="BB483" s="425"/>
      <c r="BC483" s="440"/>
      <c r="BD483" s="404">
        <f>SUM($AS$4:AS483)</f>
        <v>2930.8454761904713</v>
      </c>
      <c r="BE483" s="405">
        <f>SUM($AR$4:AR483)</f>
        <v>4756.1999999999625</v>
      </c>
      <c r="BF483" s="330"/>
      <c r="BG483" s="330"/>
    </row>
    <row r="484" spans="1:59" ht="15.75" customHeight="1">
      <c r="A484" s="227" t="s">
        <v>2035</v>
      </c>
      <c r="B484" s="204">
        <v>45030</v>
      </c>
      <c r="C484" s="182" t="s">
        <v>1709</v>
      </c>
      <c r="D484" s="182" t="s">
        <v>93</v>
      </c>
      <c r="E484" s="233" t="s">
        <v>2183</v>
      </c>
      <c r="F484" s="184" t="s">
        <v>2184</v>
      </c>
      <c r="G484" s="185"/>
      <c r="H484" s="186"/>
      <c r="I484" s="186"/>
      <c r="J484" s="186">
        <v>1</v>
      </c>
      <c r="K484" s="187" t="s">
        <v>97</v>
      </c>
      <c r="L484" s="186"/>
      <c r="M484" s="186"/>
      <c r="N484" s="186"/>
      <c r="O484" s="187"/>
      <c r="P484" s="187"/>
      <c r="Q484" s="187"/>
      <c r="R484" s="187"/>
      <c r="S484" s="187"/>
      <c r="T484" s="187"/>
      <c r="U484" s="187"/>
      <c r="V484" s="188" t="str">
        <f t="shared" si="677"/>
        <v/>
      </c>
      <c r="W484" s="188" t="str">
        <f t="shared" si="678"/>
        <v/>
      </c>
      <c r="X484" s="189"/>
      <c r="Y484" s="189"/>
      <c r="Z484" s="189"/>
      <c r="AA484" s="190"/>
      <c r="AB484" s="186"/>
      <c r="AC484" s="344"/>
      <c r="AD484" s="186"/>
      <c r="AE484" s="186"/>
      <c r="AF484" s="186"/>
      <c r="AG484" s="186"/>
      <c r="AH484" s="186"/>
      <c r="AI484" s="191"/>
      <c r="AJ484" s="191"/>
      <c r="AK484" s="186"/>
      <c r="AL484" s="186"/>
      <c r="AM484" s="186"/>
      <c r="AN484" s="344"/>
      <c r="AO484" s="186"/>
      <c r="AP484" s="193"/>
      <c r="AQ484" s="193"/>
      <c r="AR484" s="191"/>
      <c r="AS484" s="194"/>
      <c r="AT484" s="195"/>
      <c r="AU484" s="425"/>
      <c r="AV484" s="425"/>
      <c r="AW484" s="425"/>
      <c r="AX484" s="425"/>
      <c r="AY484" s="425"/>
      <c r="AZ484" s="425"/>
      <c r="BA484" s="425"/>
      <c r="BB484" s="425"/>
      <c r="BC484" s="440"/>
      <c r="BD484" s="404">
        <f>SUM($AS$4:AS484)</f>
        <v>2930.8454761904713</v>
      </c>
      <c r="BE484" s="405">
        <f>SUM($AR$4:AR484)</f>
        <v>4756.1999999999625</v>
      </c>
      <c r="BF484" s="330"/>
      <c r="BG484" s="330"/>
    </row>
    <row r="485" spans="1:59" ht="15.75" customHeight="1">
      <c r="A485" s="227" t="s">
        <v>2035</v>
      </c>
      <c r="B485" s="204"/>
      <c r="C485" s="182"/>
      <c r="D485" s="182"/>
      <c r="E485" s="233" t="s">
        <v>2185</v>
      </c>
      <c r="F485" s="184"/>
      <c r="G485" s="185"/>
      <c r="H485" s="186"/>
      <c r="I485" s="186"/>
      <c r="J485" s="186">
        <v>1</v>
      </c>
      <c r="K485" s="187" t="s">
        <v>97</v>
      </c>
      <c r="L485" s="186"/>
      <c r="M485" s="186"/>
      <c r="N485" s="186"/>
      <c r="O485" s="187"/>
      <c r="P485" s="187"/>
      <c r="Q485" s="187"/>
      <c r="R485" s="187"/>
      <c r="S485" s="187"/>
      <c r="T485" s="187"/>
      <c r="U485" s="187"/>
      <c r="V485" s="188" t="str">
        <f t="shared" si="677"/>
        <v/>
      </c>
      <c r="W485" s="188" t="str">
        <f t="shared" si="678"/>
        <v/>
      </c>
      <c r="X485" s="189"/>
      <c r="Y485" s="189"/>
      <c r="Z485" s="189"/>
      <c r="AA485" s="190"/>
      <c r="AB485" s="186"/>
      <c r="AC485" s="344"/>
      <c r="AD485" s="186"/>
      <c r="AE485" s="186"/>
      <c r="AF485" s="186"/>
      <c r="AG485" s="186"/>
      <c r="AH485" s="186"/>
      <c r="AI485" s="191"/>
      <c r="AJ485" s="191"/>
      <c r="AK485" s="186"/>
      <c r="AL485" s="186"/>
      <c r="AM485" s="186"/>
      <c r="AN485" s="344"/>
      <c r="AO485" s="186"/>
      <c r="AP485" s="193"/>
      <c r="AQ485" s="193"/>
      <c r="AR485" s="191"/>
      <c r="AS485" s="194"/>
      <c r="AT485" s="195"/>
      <c r="AU485" s="425"/>
      <c r="AV485" s="425"/>
      <c r="AW485" s="425"/>
      <c r="AX485" s="425"/>
      <c r="AY485" s="425"/>
      <c r="AZ485" s="425"/>
      <c r="BA485" s="425"/>
      <c r="BB485" s="425"/>
      <c r="BC485" s="440"/>
      <c r="BD485" s="404">
        <f>SUM($AS$4:AS485)</f>
        <v>2930.8454761904713</v>
      </c>
      <c r="BE485" s="405">
        <f>SUM($AR$4:AR485)</f>
        <v>4756.1999999999625</v>
      </c>
      <c r="BF485" s="330"/>
      <c r="BG485" s="330"/>
    </row>
    <row r="486" spans="1:59" ht="15.75" customHeight="1">
      <c r="A486" s="227" t="s">
        <v>2035</v>
      </c>
      <c r="B486" s="204"/>
      <c r="C486" s="182"/>
      <c r="D486" s="182"/>
      <c r="E486" s="233" t="s">
        <v>2186</v>
      </c>
      <c r="F486" s="184"/>
      <c r="G486" s="185"/>
      <c r="H486" s="186"/>
      <c r="I486" s="186"/>
      <c r="J486" s="186"/>
      <c r="K486" s="187"/>
      <c r="L486" s="186"/>
      <c r="M486" s="186"/>
      <c r="N486" s="186"/>
      <c r="O486" s="187"/>
      <c r="P486" s="187"/>
      <c r="Q486" s="187"/>
      <c r="R486" s="187"/>
      <c r="S486" s="187"/>
      <c r="T486" s="187"/>
      <c r="U486" s="187"/>
      <c r="V486" s="188" t="str">
        <f t="shared" si="677"/>
        <v/>
      </c>
      <c r="W486" s="188" t="str">
        <f t="shared" si="678"/>
        <v/>
      </c>
      <c r="X486" s="189"/>
      <c r="Y486" s="189"/>
      <c r="Z486" s="189"/>
      <c r="AA486" s="190"/>
      <c r="AB486" s="186"/>
      <c r="AC486" s="344"/>
      <c r="AD486" s="186"/>
      <c r="AE486" s="186"/>
      <c r="AF486" s="186"/>
      <c r="AG486" s="186"/>
      <c r="AH486" s="186"/>
      <c r="AI486" s="191"/>
      <c r="AJ486" s="191"/>
      <c r="AK486" s="186"/>
      <c r="AL486" s="186"/>
      <c r="AM486" s="186"/>
      <c r="AN486" s="344"/>
      <c r="AO486" s="186"/>
      <c r="AP486" s="193"/>
      <c r="AQ486" s="193"/>
      <c r="AR486" s="191"/>
      <c r="AS486" s="194"/>
      <c r="AT486" s="195"/>
      <c r="AU486" s="425"/>
      <c r="AV486" s="425"/>
      <c r="AW486" s="425"/>
      <c r="AX486" s="425"/>
      <c r="AY486" s="425"/>
      <c r="AZ486" s="425"/>
      <c r="BA486" s="425"/>
      <c r="BB486" s="425"/>
      <c r="BC486" s="440"/>
      <c r="BD486" s="404">
        <f>SUM($AS$4:AS486)</f>
        <v>2930.8454761904713</v>
      </c>
      <c r="BE486" s="405">
        <f>SUM($AR$4:AR486)</f>
        <v>4756.1999999999625</v>
      </c>
      <c r="BF486" s="330"/>
      <c r="BG486" s="330"/>
    </row>
    <row r="487" spans="1:59" ht="15.75" customHeight="1">
      <c r="A487" s="227" t="s">
        <v>2187</v>
      </c>
      <c r="B487" s="204"/>
      <c r="C487" s="182" t="s">
        <v>2041</v>
      </c>
      <c r="D487" s="182" t="s">
        <v>93</v>
      </c>
      <c r="E487" s="233" t="s">
        <v>2188</v>
      </c>
      <c r="F487" s="184" t="s">
        <v>2189</v>
      </c>
      <c r="G487" s="185"/>
      <c r="H487" s="186">
        <v>1</v>
      </c>
      <c r="I487" s="186"/>
      <c r="J487" s="186"/>
      <c r="K487" s="187" t="s">
        <v>87</v>
      </c>
      <c r="L487" s="186"/>
      <c r="M487" s="186"/>
      <c r="N487" s="186"/>
      <c r="O487" s="187"/>
      <c r="P487" s="187"/>
      <c r="Q487" s="187"/>
      <c r="R487" s="187"/>
      <c r="S487" s="187"/>
      <c r="T487" s="187"/>
      <c r="U487" s="187"/>
      <c r="V487" s="188" t="str">
        <f t="shared" si="677"/>
        <v/>
      </c>
      <c r="W487" s="188" t="str">
        <f t="shared" si="678"/>
        <v/>
      </c>
      <c r="X487" s="189"/>
      <c r="Y487" s="189"/>
      <c r="Z487" s="189"/>
      <c r="AA487" s="190"/>
      <c r="AB487" s="186"/>
      <c r="AC487" s="344"/>
      <c r="AD487" s="186"/>
      <c r="AE487" s="186"/>
      <c r="AF487" s="186"/>
      <c r="AG487" s="186"/>
      <c r="AH487" s="186"/>
      <c r="AI487" s="191"/>
      <c r="AJ487" s="191"/>
      <c r="AK487" s="186"/>
      <c r="AL487" s="186"/>
      <c r="AM487" s="186"/>
      <c r="AN487" s="344"/>
      <c r="AO487" s="186"/>
      <c r="AP487" s="193"/>
      <c r="AQ487" s="193"/>
      <c r="AR487" s="191"/>
      <c r="AS487" s="194"/>
      <c r="AT487" s="195"/>
      <c r="AU487" s="425" t="s">
        <v>2190</v>
      </c>
      <c r="AV487" s="425" t="s">
        <v>2191</v>
      </c>
      <c r="AW487" s="425" t="s">
        <v>2192</v>
      </c>
      <c r="AX487" s="425" t="s">
        <v>2193</v>
      </c>
      <c r="AY487" s="425" t="s">
        <v>511</v>
      </c>
      <c r="AZ487" s="425"/>
      <c r="BA487" s="425"/>
      <c r="BB487" s="425"/>
      <c r="BC487" s="440"/>
      <c r="BD487" s="404">
        <f>SUM($AS$4:AS487)</f>
        <v>2930.8454761904713</v>
      </c>
      <c r="BE487" s="405">
        <f>SUM($AR$4:AR487)</f>
        <v>4756.1999999999625</v>
      </c>
      <c r="BF487" s="330"/>
      <c r="BG487" s="330"/>
    </row>
    <row r="488" spans="1:59" ht="15.75" customHeight="1">
      <c r="A488" s="227" t="s">
        <v>2035</v>
      </c>
      <c r="B488" s="204">
        <v>45033</v>
      </c>
      <c r="C488" s="182" t="s">
        <v>2194</v>
      </c>
      <c r="D488" s="182" t="s">
        <v>114</v>
      </c>
      <c r="E488" s="233"/>
      <c r="F488" s="184"/>
      <c r="G488" s="291" t="s">
        <v>2051</v>
      </c>
      <c r="H488" s="186"/>
      <c r="I488" s="186"/>
      <c r="J488" s="186"/>
      <c r="K488" s="187"/>
      <c r="L488" s="186"/>
      <c r="M488" s="186"/>
      <c r="N488" s="186"/>
      <c r="O488" s="187" t="s">
        <v>76</v>
      </c>
      <c r="P488" s="187" t="s">
        <v>119</v>
      </c>
      <c r="Q488" s="187" t="s">
        <v>78</v>
      </c>
      <c r="R488" s="187">
        <v>5</v>
      </c>
      <c r="S488" s="187">
        <v>5</v>
      </c>
      <c r="T488" s="187">
        <v>5</v>
      </c>
      <c r="U488" s="187" t="s">
        <v>22</v>
      </c>
      <c r="V488" s="188">
        <f t="shared" si="677"/>
        <v>0.01</v>
      </c>
      <c r="W488" s="188">
        <f t="shared" si="678"/>
        <v>1600</v>
      </c>
      <c r="X488" s="189" t="s">
        <v>80</v>
      </c>
      <c r="Y488" s="189"/>
      <c r="Z488" s="189"/>
      <c r="AA488" s="190">
        <v>-0.06</v>
      </c>
      <c r="AB488" s="186"/>
      <c r="AC488" s="344"/>
      <c r="AD488" s="186"/>
      <c r="AE488" s="186"/>
      <c r="AF488" s="186"/>
      <c r="AG488" s="186"/>
      <c r="AH488" s="186"/>
      <c r="AI488" s="191">
        <f>-0.02*W488</f>
        <v>-32</v>
      </c>
      <c r="AJ488" s="191">
        <f t="shared" ref="AJ488" si="679">AI488*(R488-S488)</f>
        <v>0</v>
      </c>
      <c r="AK488" s="186"/>
      <c r="AL488" s="186"/>
      <c r="AM488" s="186" t="s">
        <v>2195</v>
      </c>
      <c r="AN488" s="344" t="s">
        <v>87</v>
      </c>
      <c r="AO488" s="186" t="s">
        <v>2102</v>
      </c>
      <c r="AP488" s="193">
        <v>-0.05</v>
      </c>
      <c r="AQ488" s="193">
        <f t="shared" ref="AQ488" si="680">IF(ISBLANK(AP488),,IF(U488="S",AA488-AP488,AP488-AA488))</f>
        <v>9.999999999999995E-3</v>
      </c>
      <c r="AR488" s="191">
        <f t="shared" ref="AR488" si="681">AS488*R488</f>
        <v>79.999999999999972</v>
      </c>
      <c r="AS488" s="194">
        <f t="shared" ref="AS488" si="682">IF(ISBLANK(AP488),,(AQ488*W488))</f>
        <v>15.999999999999993</v>
      </c>
      <c r="AT488" s="195" t="s">
        <v>77</v>
      </c>
      <c r="AU488" s="425" t="s">
        <v>2196</v>
      </c>
      <c r="AV488" s="425"/>
      <c r="AW488" s="425"/>
      <c r="AX488" s="425"/>
      <c r="AY488" s="425"/>
      <c r="AZ488" s="425"/>
      <c r="BA488" s="425"/>
      <c r="BB488" s="425"/>
      <c r="BC488" s="440"/>
      <c r="BD488" s="404">
        <f>SUM($AS$4:AS488)</f>
        <v>2946.8454761904713</v>
      </c>
      <c r="BE488" s="405">
        <f>SUM($AR$4:AR488)</f>
        <v>4836.1999999999625</v>
      </c>
      <c r="BF488" s="330"/>
      <c r="BG488" s="330"/>
    </row>
    <row r="489" spans="1:59" ht="15.75" customHeight="1">
      <c r="A489" s="227" t="s">
        <v>2035</v>
      </c>
      <c r="B489" s="204">
        <v>45033</v>
      </c>
      <c r="C489" s="182" t="s">
        <v>2197</v>
      </c>
      <c r="D489" s="182" t="s">
        <v>114</v>
      </c>
      <c r="E489" s="233"/>
      <c r="F489" s="184"/>
      <c r="G489" s="291" t="s">
        <v>1997</v>
      </c>
      <c r="H489" s="186"/>
      <c r="I489" s="186"/>
      <c r="J489" s="186"/>
      <c r="K489" s="187"/>
      <c r="L489" s="186"/>
      <c r="M489" s="186"/>
      <c r="N489" s="186"/>
      <c r="O489" s="187" t="s">
        <v>76</v>
      </c>
      <c r="P489" s="187" t="s">
        <v>119</v>
      </c>
      <c r="Q489" s="187" t="s">
        <v>78</v>
      </c>
      <c r="R489" s="187">
        <v>14</v>
      </c>
      <c r="S489" s="187">
        <v>0</v>
      </c>
      <c r="T489" s="187">
        <v>14</v>
      </c>
      <c r="U489" s="187" t="s">
        <v>78</v>
      </c>
      <c r="V489" s="188">
        <f t="shared" ref="V489" si="683">IF(ISBLANK(O489),"",(IF(O489=UPPER("IB"),0.005,0.01)))</f>
        <v>0.01</v>
      </c>
      <c r="W489" s="188">
        <f t="shared" ref="W489" si="684">IF(ISBLANK(O489),"",IF(O489="IB",8.63*200,IF(O489="IR",16*100,IF(O489="YT",20))))</f>
        <v>1600</v>
      </c>
      <c r="X489" s="189" t="s">
        <v>80</v>
      </c>
      <c r="Y489" s="189"/>
      <c r="Z489" s="189" t="s">
        <v>2198</v>
      </c>
      <c r="AA489" s="190">
        <v>-7.0000000000000007E-2</v>
      </c>
      <c r="AB489" s="186"/>
      <c r="AC489" s="344"/>
      <c r="AD489" s="186"/>
      <c r="AE489" s="186"/>
      <c r="AF489" s="186"/>
      <c r="AG489" s="186"/>
      <c r="AH489" s="186"/>
      <c r="AI489" s="191">
        <f>-0.02*W489</f>
        <v>-32</v>
      </c>
      <c r="AJ489" s="191">
        <f t="shared" ref="AJ489" si="685">AI489*(R489-S489)</f>
        <v>-448</v>
      </c>
      <c r="AK489" s="186"/>
      <c r="AL489" s="186"/>
      <c r="AM489" s="186" t="s">
        <v>786</v>
      </c>
      <c r="AN489" s="344" t="s">
        <v>97</v>
      </c>
      <c r="AO489" s="186" t="s">
        <v>2199</v>
      </c>
      <c r="AP489" s="193">
        <v>-0.08</v>
      </c>
      <c r="AQ489" s="193">
        <f t="shared" ref="AQ489:AQ490" si="686">IF(ISBLANK(AP489),,IF(U489="S",AA489-AP489,AP489-AA489))</f>
        <v>9.999999999999995E-3</v>
      </c>
      <c r="AR489" s="191">
        <f t="shared" ref="AR489:AR490" si="687">AS489*R489</f>
        <v>223.99999999999989</v>
      </c>
      <c r="AS489" s="194">
        <f t="shared" ref="AS489:AS490" si="688">IF(ISBLANK(AP489),,(AQ489*W489))</f>
        <v>15.999999999999993</v>
      </c>
      <c r="AT489" s="195" t="s">
        <v>77</v>
      </c>
      <c r="AU489" s="425" t="s">
        <v>2200</v>
      </c>
      <c r="AV489" s="425" t="s">
        <v>2201</v>
      </c>
      <c r="AW489" s="425"/>
      <c r="AX489" s="425"/>
      <c r="AY489" s="425"/>
      <c r="AZ489" s="425"/>
      <c r="BA489" s="425"/>
      <c r="BB489" s="425"/>
      <c r="BC489" s="440"/>
      <c r="BD489" s="404">
        <f>SUM($AS$4:AS489)</f>
        <v>2962.8454761904713</v>
      </c>
      <c r="BE489" s="405">
        <f>SUM($AR$4:AR489)</f>
        <v>5060.1999999999625</v>
      </c>
      <c r="BF489" s="330"/>
      <c r="BG489" s="330"/>
    </row>
    <row r="490" spans="1:59" ht="15.75" customHeight="1">
      <c r="A490" s="227" t="s">
        <v>2035</v>
      </c>
      <c r="B490" s="204">
        <v>45033</v>
      </c>
      <c r="C490" s="182" t="s">
        <v>2202</v>
      </c>
      <c r="D490" s="182" t="s">
        <v>114</v>
      </c>
      <c r="E490" s="233"/>
      <c r="F490" s="184"/>
      <c r="G490" s="291" t="s">
        <v>75</v>
      </c>
      <c r="H490" s="186"/>
      <c r="I490" s="186"/>
      <c r="J490" s="186"/>
      <c r="K490" s="187"/>
      <c r="L490" s="186"/>
      <c r="M490" s="186"/>
      <c r="N490" s="186"/>
      <c r="O490" s="187" t="s">
        <v>76</v>
      </c>
      <c r="P490" s="187" t="s">
        <v>77</v>
      </c>
      <c r="Q490" s="187" t="s">
        <v>78</v>
      </c>
      <c r="R490" s="187">
        <v>7</v>
      </c>
      <c r="S490" s="187">
        <v>0</v>
      </c>
      <c r="T490" s="187">
        <v>7</v>
      </c>
      <c r="U490" s="187" t="s">
        <v>78</v>
      </c>
      <c r="V490" s="188">
        <f t="shared" ref="V490" si="689">IF(ISBLANK(O490),"",(IF(O490=UPPER("IB"),0.005,0.01)))</f>
        <v>0.01</v>
      </c>
      <c r="W490" s="188">
        <f t="shared" ref="W490" si="690">IF(ISBLANK(O490),"",IF(O490="IB",8.63*200,IF(O490="IR",16*100,IF(O490="YT",20))))</f>
        <v>1600</v>
      </c>
      <c r="X490" s="189" t="s">
        <v>2203</v>
      </c>
      <c r="Y490" s="189"/>
      <c r="Z490" s="189"/>
      <c r="AA490" s="190">
        <v>-0.02</v>
      </c>
      <c r="AB490" s="186"/>
      <c r="AC490" s="344"/>
      <c r="AD490" s="186"/>
      <c r="AE490" s="186"/>
      <c r="AF490" s="186"/>
      <c r="AG490" s="186" t="s">
        <v>2204</v>
      </c>
      <c r="AH490" s="186"/>
      <c r="AI490" s="191">
        <f>-0.02*W490</f>
        <v>-32</v>
      </c>
      <c r="AJ490" s="191">
        <f t="shared" ref="AJ490" si="691">AI490*(R490-S490)</f>
        <v>-224</v>
      </c>
      <c r="AK490" s="186"/>
      <c r="AL490" s="186"/>
      <c r="AM490" s="186" t="s">
        <v>752</v>
      </c>
      <c r="AN490" s="344" t="s">
        <v>97</v>
      </c>
      <c r="AO490" s="186" t="s">
        <v>2205</v>
      </c>
      <c r="AP490" s="193">
        <f>((-0.02*5)+(-0.02*3))/8</f>
        <v>-0.02</v>
      </c>
      <c r="AQ490" s="193">
        <f t="shared" si="686"/>
        <v>0</v>
      </c>
      <c r="AR490" s="191">
        <f t="shared" si="687"/>
        <v>0</v>
      </c>
      <c r="AS490" s="194">
        <f t="shared" si="688"/>
        <v>0</v>
      </c>
      <c r="AT490" s="195" t="s">
        <v>97</v>
      </c>
      <c r="AU490" s="425" t="s">
        <v>2206</v>
      </c>
      <c r="AV490" s="425" t="s">
        <v>2207</v>
      </c>
      <c r="AW490" s="425" t="s">
        <v>2208</v>
      </c>
      <c r="AX490" s="425" t="s">
        <v>511</v>
      </c>
      <c r="AY490" s="425"/>
      <c r="AZ490" s="425"/>
      <c r="BA490" s="425"/>
      <c r="BB490" s="425"/>
      <c r="BC490" s="440"/>
      <c r="BD490" s="404">
        <f>SUM($AS$4:AS490)</f>
        <v>2962.8454761904713</v>
      </c>
      <c r="BE490" s="405">
        <f>SUM($AR$4:AR490)</f>
        <v>5060.1999999999625</v>
      </c>
      <c r="BF490" s="330"/>
      <c r="BG490" s="330"/>
    </row>
    <row r="491" spans="1:59" ht="15.75" customHeight="1">
      <c r="A491" s="227" t="s">
        <v>2035</v>
      </c>
      <c r="B491" s="204">
        <v>45034</v>
      </c>
      <c r="C491" s="182" t="s">
        <v>2001</v>
      </c>
      <c r="D491" s="182" t="s">
        <v>128</v>
      </c>
      <c r="E491" s="233" t="s">
        <v>2209</v>
      </c>
      <c r="F491" s="184"/>
      <c r="G491" s="185"/>
      <c r="H491" s="186"/>
      <c r="I491" s="186"/>
      <c r="J491" s="186"/>
      <c r="K491" s="187"/>
      <c r="L491" s="186"/>
      <c r="M491" s="186"/>
      <c r="N491" s="186"/>
      <c r="O491" s="187"/>
      <c r="P491" s="187"/>
      <c r="Q491" s="187"/>
      <c r="R491" s="187"/>
      <c r="S491" s="187"/>
      <c r="T491" s="187"/>
      <c r="U491" s="187"/>
      <c r="V491" s="187"/>
      <c r="W491" s="187"/>
      <c r="X491" s="189"/>
      <c r="Y491" s="189"/>
      <c r="Z491" s="189"/>
      <c r="AA491" s="190"/>
      <c r="AB491" s="186"/>
      <c r="AC491" s="344"/>
      <c r="AD491" s="186"/>
      <c r="AE491" s="186"/>
      <c r="AF491" s="186"/>
      <c r="AG491" s="186"/>
      <c r="AH491" s="186"/>
      <c r="AI491" s="191"/>
      <c r="AJ491" s="191"/>
      <c r="AK491" s="186"/>
      <c r="AL491" s="186"/>
      <c r="AM491" s="186"/>
      <c r="AN491" s="344"/>
      <c r="AO491" s="186"/>
      <c r="AP491" s="193"/>
      <c r="AQ491" s="193"/>
      <c r="AR491" s="191"/>
      <c r="AS491" s="194"/>
      <c r="AT491" s="195"/>
      <c r="AU491" s="425" t="s">
        <v>2210</v>
      </c>
      <c r="AV491" s="425" t="s">
        <v>2211</v>
      </c>
      <c r="AW491" s="425" t="s">
        <v>2212</v>
      </c>
      <c r="AX491" s="425" t="s">
        <v>2213</v>
      </c>
      <c r="AY491" s="425"/>
      <c r="AZ491" s="425"/>
      <c r="BA491" s="425"/>
      <c r="BB491" s="425"/>
      <c r="BC491" s="440"/>
      <c r="BD491" s="404">
        <f>SUM($AS$4:AS491)</f>
        <v>2962.8454761904713</v>
      </c>
      <c r="BE491" s="405">
        <f>SUM($AR$4:AR491)</f>
        <v>5060.1999999999625</v>
      </c>
      <c r="BF491" s="330"/>
      <c r="BG491" s="330"/>
    </row>
    <row r="492" spans="1:59" ht="15.75" customHeight="1">
      <c r="A492" s="227" t="s">
        <v>2035</v>
      </c>
      <c r="B492" s="204">
        <v>45034</v>
      </c>
      <c r="C492" s="182" t="s">
        <v>664</v>
      </c>
      <c r="D492" s="182" t="s">
        <v>128</v>
      </c>
      <c r="E492" s="233"/>
      <c r="F492" s="184"/>
      <c r="G492" s="291" t="s">
        <v>558</v>
      </c>
      <c r="H492" s="186"/>
      <c r="I492" s="186"/>
      <c r="J492" s="186"/>
      <c r="K492" s="187"/>
      <c r="L492" s="186"/>
      <c r="M492" s="186"/>
      <c r="N492" s="186"/>
      <c r="O492" s="187" t="s">
        <v>76</v>
      </c>
      <c r="P492" s="187" t="s">
        <v>77</v>
      </c>
      <c r="Q492" s="187" t="s">
        <v>78</v>
      </c>
      <c r="R492" s="187">
        <v>3</v>
      </c>
      <c r="S492" s="187">
        <v>0</v>
      </c>
      <c r="T492" s="187">
        <v>3</v>
      </c>
      <c r="U492" s="187" t="s">
        <v>78</v>
      </c>
      <c r="V492" s="188">
        <f t="shared" ref="V492:V494" si="692">IF(ISBLANK(O492),"",(IF(O492=UPPER("IB"),0.005,0.01)))</f>
        <v>0.01</v>
      </c>
      <c r="W492" s="188">
        <f t="shared" ref="W492:W494" si="693">IF(ISBLANK(O492),"",IF(O492="IB",8.63*200,IF(O492="IR",16*100,IF(O492="YT",20))))</f>
        <v>1600</v>
      </c>
      <c r="X492" s="189" t="s">
        <v>962</v>
      </c>
      <c r="Y492" s="189" t="s">
        <v>2214</v>
      </c>
      <c r="Z492" s="189"/>
      <c r="AA492" s="190">
        <v>-0.04</v>
      </c>
      <c r="AB492" s="186"/>
      <c r="AC492" s="344"/>
      <c r="AD492" s="186"/>
      <c r="AE492" s="186"/>
      <c r="AF492" s="186"/>
      <c r="AG492" s="186" t="s">
        <v>2215</v>
      </c>
      <c r="AH492" s="186"/>
      <c r="AI492" s="191">
        <f>-0.02*W492</f>
        <v>-32</v>
      </c>
      <c r="AJ492" s="191">
        <f t="shared" ref="AJ492" si="694">AI492*(R492-S492)</f>
        <v>-96</v>
      </c>
      <c r="AK492" s="186"/>
      <c r="AL492" s="186"/>
      <c r="AM492" s="186" t="s">
        <v>1681</v>
      </c>
      <c r="AN492" s="344" t="s">
        <v>87</v>
      </c>
      <c r="AO492" s="186" t="s">
        <v>2216</v>
      </c>
      <c r="AP492" s="193">
        <v>-0.04</v>
      </c>
      <c r="AQ492" s="193">
        <f t="shared" ref="AQ492" si="695">IF(ISBLANK(AP492),,IF(U492="S",AA492-AP492,AP492-AA492))</f>
        <v>0</v>
      </c>
      <c r="AR492" s="191">
        <f t="shared" ref="AR492" si="696">AS492*R492</f>
        <v>0</v>
      </c>
      <c r="AS492" s="194">
        <f t="shared" ref="AS492" si="697">IF(ISBLANK(AP492),,(AQ492*W492))</f>
        <v>0</v>
      </c>
      <c r="AT492" s="195" t="s">
        <v>97</v>
      </c>
      <c r="AU492" s="425" t="s">
        <v>2217</v>
      </c>
      <c r="AV492" s="425" t="s">
        <v>2218</v>
      </c>
      <c r="AW492" s="425"/>
      <c r="AX492" s="425"/>
      <c r="AY492" s="425"/>
      <c r="AZ492" s="425"/>
      <c r="BA492" s="425"/>
      <c r="BB492" s="425"/>
      <c r="BC492" s="440"/>
      <c r="BD492" s="404">
        <f>SUM($AS$4:AS492)</f>
        <v>2962.8454761904713</v>
      </c>
      <c r="BE492" s="405">
        <f>SUM($AR$4:AR492)</f>
        <v>5060.1999999999625</v>
      </c>
      <c r="BF492" s="330"/>
      <c r="BG492" s="330"/>
    </row>
    <row r="493" spans="1:59" ht="15.75" customHeight="1">
      <c r="A493" s="227" t="s">
        <v>2035</v>
      </c>
      <c r="B493" s="204">
        <v>45034</v>
      </c>
      <c r="C493" s="182" t="s">
        <v>746</v>
      </c>
      <c r="D493" s="182" t="s">
        <v>128</v>
      </c>
      <c r="E493" s="233"/>
      <c r="F493" s="184"/>
      <c r="G493" s="291" t="s">
        <v>75</v>
      </c>
      <c r="H493" s="186"/>
      <c r="I493" s="186"/>
      <c r="J493" s="186"/>
      <c r="K493" s="187"/>
      <c r="L493" s="186"/>
      <c r="M493" s="186"/>
      <c r="N493" s="186"/>
      <c r="O493" s="187" t="s">
        <v>76</v>
      </c>
      <c r="P493" s="187" t="s">
        <v>77</v>
      </c>
      <c r="Q493" s="187" t="s">
        <v>78</v>
      </c>
      <c r="R493" s="187">
        <v>8</v>
      </c>
      <c r="S493" s="187">
        <v>0</v>
      </c>
      <c r="T493" s="187">
        <v>8</v>
      </c>
      <c r="U493" s="187" t="s">
        <v>78</v>
      </c>
      <c r="V493" s="188">
        <f t="shared" si="692"/>
        <v>0.01</v>
      </c>
      <c r="W493" s="188">
        <f t="shared" si="693"/>
        <v>1600</v>
      </c>
      <c r="X493" s="189" t="s">
        <v>2203</v>
      </c>
      <c r="Y493" s="189"/>
      <c r="Z493" s="189"/>
      <c r="AA493" s="190">
        <v>-0.01</v>
      </c>
      <c r="AB493" s="186"/>
      <c r="AC493" s="344"/>
      <c r="AD493" s="186"/>
      <c r="AE493" s="186"/>
      <c r="AF493" s="186"/>
      <c r="AG493" s="186"/>
      <c r="AH493" s="186"/>
      <c r="AI493" s="191">
        <f>-0.02*W493</f>
        <v>-32</v>
      </c>
      <c r="AJ493" s="191">
        <f t="shared" ref="AJ493" si="698">AI493*(R493-S493)</f>
        <v>-256</v>
      </c>
      <c r="AK493" s="186"/>
      <c r="AL493" s="186"/>
      <c r="AM493" s="186" t="s">
        <v>820</v>
      </c>
      <c r="AN493" s="344" t="s">
        <v>87</v>
      </c>
      <c r="AO493" s="186" t="s">
        <v>2219</v>
      </c>
      <c r="AP493" s="193">
        <f>((-0.02*5)+(-0.02*3))/8</f>
        <v>-0.02</v>
      </c>
      <c r="AQ493" s="193">
        <f t="shared" ref="AQ493" si="699">IF(ISBLANK(AP493),,IF(U493="S",AA493-AP493,AP493-AA493))</f>
        <v>0.01</v>
      </c>
      <c r="AR493" s="191">
        <f t="shared" ref="AR493" si="700">AS493*R493</f>
        <v>128</v>
      </c>
      <c r="AS493" s="194">
        <f t="shared" ref="AS493" si="701">IF(ISBLANK(AP493),,(AQ493*W493))</f>
        <v>16</v>
      </c>
      <c r="AT493" s="195" t="s">
        <v>77</v>
      </c>
      <c r="AU493" s="425" t="s">
        <v>2220</v>
      </c>
      <c r="AV493" s="425"/>
      <c r="AW493" s="425"/>
      <c r="AX493" s="425"/>
      <c r="AY493" s="425"/>
      <c r="AZ493" s="425"/>
      <c r="BA493" s="425"/>
      <c r="BB493" s="425"/>
      <c r="BC493" s="440"/>
      <c r="BD493" s="404">
        <f>SUM($AS$4:AS493)</f>
        <v>2978.8454761904713</v>
      </c>
      <c r="BE493" s="405">
        <f>SUM($AR$4:AR493)</f>
        <v>5188.1999999999625</v>
      </c>
      <c r="BF493" s="330"/>
      <c r="BG493" s="330"/>
    </row>
    <row r="494" spans="1:59" ht="15.75" customHeight="1">
      <c r="A494" s="227" t="s">
        <v>2035</v>
      </c>
      <c r="B494" s="204">
        <v>45034</v>
      </c>
      <c r="C494" s="182" t="s">
        <v>1489</v>
      </c>
      <c r="D494" s="182" t="s">
        <v>128</v>
      </c>
      <c r="E494" s="233"/>
      <c r="F494" s="184"/>
      <c r="G494" s="291" t="s">
        <v>1997</v>
      </c>
      <c r="H494" s="186"/>
      <c r="I494" s="186"/>
      <c r="J494" s="186"/>
      <c r="K494" s="187"/>
      <c r="L494" s="186"/>
      <c r="M494" s="186"/>
      <c r="N494" s="186"/>
      <c r="O494" s="187" t="s">
        <v>76</v>
      </c>
      <c r="P494" s="187" t="s">
        <v>119</v>
      </c>
      <c r="Q494" s="187" t="s">
        <v>78</v>
      </c>
      <c r="R494" s="187">
        <v>5</v>
      </c>
      <c r="S494" s="187">
        <v>0</v>
      </c>
      <c r="T494" s="187">
        <v>5</v>
      </c>
      <c r="U494" s="187" t="s">
        <v>78</v>
      </c>
      <c r="V494" s="188">
        <f t="shared" si="692"/>
        <v>0.01</v>
      </c>
      <c r="W494" s="188">
        <f t="shared" si="693"/>
        <v>1600</v>
      </c>
      <c r="X494" s="189"/>
      <c r="Y494" s="189"/>
      <c r="Z494" s="189" t="s">
        <v>2198</v>
      </c>
      <c r="AA494" s="190">
        <v>-0.08</v>
      </c>
      <c r="AB494" s="186"/>
      <c r="AC494" s="344">
        <v>-7</v>
      </c>
      <c r="AD494" s="186" t="s">
        <v>2221</v>
      </c>
      <c r="AE494" s="186" t="s">
        <v>511</v>
      </c>
      <c r="AF494" s="186"/>
      <c r="AG494" s="186"/>
      <c r="AH494" s="186"/>
      <c r="AI494" s="191">
        <f>-0.01*W494</f>
        <v>-16</v>
      </c>
      <c r="AJ494" s="191">
        <f t="shared" ref="AJ494:AJ495" si="702">AI494*(R494-S494)</f>
        <v>-80</v>
      </c>
      <c r="AK494" s="186"/>
      <c r="AL494" s="186"/>
      <c r="AM494" s="186" t="s">
        <v>2222</v>
      </c>
      <c r="AN494" s="344" t="s">
        <v>97</v>
      </c>
      <c r="AO494" s="186" t="s">
        <v>2223</v>
      </c>
      <c r="AP494" s="193">
        <v>-0.09</v>
      </c>
      <c r="AQ494" s="193">
        <f t="shared" ref="AQ494:AQ499" si="703">IF(ISBLANK(AP494),,IF(U494="S",AA494-AP494,AP494-AA494))</f>
        <v>9.999999999999995E-3</v>
      </c>
      <c r="AR494" s="191">
        <f t="shared" ref="AR494:AR499" si="704">AS494*R494</f>
        <v>79.999999999999972</v>
      </c>
      <c r="AS494" s="194">
        <f t="shared" ref="AS494:AS499" si="705">IF(ISBLANK(AP494),,(AQ494*W494))</f>
        <v>15.999999999999993</v>
      </c>
      <c r="AT494" s="195" t="s">
        <v>77</v>
      </c>
      <c r="AU494" s="425"/>
      <c r="AV494" s="425"/>
      <c r="AW494" s="425"/>
      <c r="AX494" s="425" t="s">
        <v>2224</v>
      </c>
      <c r="AY494" s="425" t="s">
        <v>2225</v>
      </c>
      <c r="AZ494" s="425" t="s">
        <v>2226</v>
      </c>
      <c r="BA494" s="425"/>
      <c r="BB494" s="425"/>
      <c r="BC494" s="440"/>
      <c r="BD494" s="404">
        <f>SUM($AS$4:AS494)</f>
        <v>2994.8454761904713</v>
      </c>
      <c r="BE494" s="405">
        <f>SUM($AR$4:AR494)</f>
        <v>5268.1999999999625</v>
      </c>
      <c r="BF494" s="330"/>
      <c r="BG494" s="330"/>
    </row>
    <row r="495" spans="1:59" ht="15.75" customHeight="1">
      <c r="A495" s="227" t="s">
        <v>2035</v>
      </c>
      <c r="B495" s="204">
        <v>45034</v>
      </c>
      <c r="C495" s="182" t="s">
        <v>2227</v>
      </c>
      <c r="D495" s="182" t="s">
        <v>128</v>
      </c>
      <c r="E495" s="233"/>
      <c r="F495" s="184"/>
      <c r="G495" s="291" t="s">
        <v>2126</v>
      </c>
      <c r="H495" s="186"/>
      <c r="I495" s="186"/>
      <c r="J495" s="186"/>
      <c r="K495" s="187"/>
      <c r="L495" s="186"/>
      <c r="M495" s="186"/>
      <c r="N495" s="186"/>
      <c r="O495" s="187" t="s">
        <v>76</v>
      </c>
      <c r="P495" s="187" t="s">
        <v>77</v>
      </c>
      <c r="Q495" s="187" t="s">
        <v>78</v>
      </c>
      <c r="R495" s="187">
        <v>7</v>
      </c>
      <c r="S495" s="187">
        <v>0</v>
      </c>
      <c r="T495" s="187">
        <v>7</v>
      </c>
      <c r="U495" s="187" t="s">
        <v>22</v>
      </c>
      <c r="V495" s="188">
        <f t="shared" ref="V495" si="706">IF(ISBLANK(O495),"",(IF(O495=UPPER("IB"),0.005,0.01)))</f>
        <v>0.01</v>
      </c>
      <c r="W495" s="188">
        <f t="shared" ref="W495" si="707">IF(ISBLANK(O495),"",IF(O495="IB",8.63*200,IF(O495="IR",16*100,IF(O495="YT",20))))</f>
        <v>1600</v>
      </c>
      <c r="X495" s="189"/>
      <c r="Y495" s="189" t="s">
        <v>2228</v>
      </c>
      <c r="Z495" s="189"/>
      <c r="AA495" s="190">
        <v>-0.06</v>
      </c>
      <c r="AB495" s="186"/>
      <c r="AC495" s="344"/>
      <c r="AD495" s="186"/>
      <c r="AE495" s="186"/>
      <c r="AF495" s="186"/>
      <c r="AG495" s="186"/>
      <c r="AH495" s="186"/>
      <c r="AI495" s="191">
        <f>-0.015*W495</f>
        <v>-24</v>
      </c>
      <c r="AJ495" s="191">
        <f t="shared" si="702"/>
        <v>-168</v>
      </c>
      <c r="AK495" s="186"/>
      <c r="AL495" s="186"/>
      <c r="AM495" s="186" t="s">
        <v>786</v>
      </c>
      <c r="AN495" s="344" t="s">
        <v>97</v>
      </c>
      <c r="AO495" s="186" t="s">
        <v>2229</v>
      </c>
      <c r="AP495" s="193">
        <v>-0.06</v>
      </c>
      <c r="AQ495" s="193">
        <f t="shared" si="703"/>
        <v>0</v>
      </c>
      <c r="AR495" s="191">
        <f t="shared" si="704"/>
        <v>0</v>
      </c>
      <c r="AS495" s="194">
        <f t="shared" si="705"/>
        <v>0</v>
      </c>
      <c r="AT495" s="195" t="s">
        <v>97</v>
      </c>
      <c r="AU495" s="425"/>
      <c r="AV495" s="425"/>
      <c r="AW495" s="425"/>
      <c r="AX495" s="425" t="s">
        <v>2230</v>
      </c>
      <c r="AY495" s="425" t="s">
        <v>511</v>
      </c>
      <c r="AZ495" s="425"/>
      <c r="BA495" s="425"/>
      <c r="BB495" s="425"/>
      <c r="BC495" s="440"/>
      <c r="BD495" s="404">
        <f>SUM($AS$4:AS495)</f>
        <v>2994.8454761904713</v>
      </c>
      <c r="BE495" s="405">
        <f>SUM($AR$4:AR495)</f>
        <v>5268.1999999999625</v>
      </c>
      <c r="BF495" s="330"/>
      <c r="BG495" s="330"/>
    </row>
    <row r="496" spans="1:59" ht="15.75" customHeight="1">
      <c r="A496" s="181" t="s">
        <v>2035</v>
      </c>
      <c r="B496" s="204">
        <v>45035</v>
      </c>
      <c r="C496" s="182" t="s">
        <v>2231</v>
      </c>
      <c r="D496" s="182" t="s">
        <v>133</v>
      </c>
      <c r="E496" s="233" t="s">
        <v>2232</v>
      </c>
      <c r="F496" s="184" t="s">
        <v>2233</v>
      </c>
      <c r="G496" s="185"/>
      <c r="H496" s="186"/>
      <c r="I496" s="186"/>
      <c r="J496" s="186"/>
      <c r="K496" s="187"/>
      <c r="L496" s="186"/>
      <c r="M496" s="186"/>
      <c r="N496" s="186"/>
      <c r="O496" s="187"/>
      <c r="P496" s="187"/>
      <c r="Q496" s="187"/>
      <c r="R496" s="187"/>
      <c r="S496" s="187"/>
      <c r="T496" s="187"/>
      <c r="U496" s="187"/>
      <c r="V496" s="282"/>
      <c r="W496" s="282"/>
      <c r="X496" s="189"/>
      <c r="Y496" s="189"/>
      <c r="Z496" s="189"/>
      <c r="AA496" s="190"/>
      <c r="AB496" s="186"/>
      <c r="AC496" s="344"/>
      <c r="AD496" s="186"/>
      <c r="AE496" s="186"/>
      <c r="AF496" s="186"/>
      <c r="AG496" s="186"/>
      <c r="AH496" s="186"/>
      <c r="AI496" s="191">
        <f t="shared" ref="AI496:AI500" si="708">-0.015*W496</f>
        <v>0</v>
      </c>
      <c r="AJ496" s="191">
        <f t="shared" ref="AJ496:AJ500" si="709">AI496*(R496-S496)</f>
        <v>0</v>
      </c>
      <c r="AK496" s="186"/>
      <c r="AL496" s="186"/>
      <c r="AM496" s="186"/>
      <c r="AN496" s="344"/>
      <c r="AO496" s="186"/>
      <c r="AP496" s="193"/>
      <c r="AQ496" s="193"/>
      <c r="AR496" s="191"/>
      <c r="AS496" s="194"/>
      <c r="AT496" s="195"/>
      <c r="AU496" s="425"/>
      <c r="AV496" s="425"/>
      <c r="AW496" s="425"/>
      <c r="AX496" s="425"/>
      <c r="AY496" s="425"/>
      <c r="AZ496" s="425"/>
      <c r="BA496" s="425"/>
      <c r="BB496" s="425"/>
      <c r="BC496" s="440"/>
      <c r="BD496" s="404">
        <f>SUM($AS$4:AS496)</f>
        <v>2994.8454761904713</v>
      </c>
      <c r="BE496" s="405">
        <f>SUM($AR$4:AR496)</f>
        <v>5268.1999999999625</v>
      </c>
      <c r="BF496" s="330"/>
      <c r="BG496" s="330"/>
    </row>
    <row r="497" spans="1:59" ht="15.75" customHeight="1">
      <c r="A497" s="181" t="s">
        <v>2035</v>
      </c>
      <c r="B497" s="204">
        <v>45035</v>
      </c>
      <c r="C497" s="182" t="s">
        <v>2234</v>
      </c>
      <c r="D497" s="182" t="s">
        <v>133</v>
      </c>
      <c r="E497" s="233" t="s">
        <v>2235</v>
      </c>
      <c r="F497" s="184" t="s">
        <v>2236</v>
      </c>
      <c r="G497" s="185"/>
      <c r="H497" s="186">
        <v>1</v>
      </c>
      <c r="I497" s="186"/>
      <c r="J497" s="186"/>
      <c r="K497" s="187" t="s">
        <v>87</v>
      </c>
      <c r="L497" s="186"/>
      <c r="M497" s="186"/>
      <c r="N497" s="186"/>
      <c r="O497" s="187"/>
      <c r="P497" s="187"/>
      <c r="Q497" s="187"/>
      <c r="R497" s="187"/>
      <c r="S497" s="187"/>
      <c r="T497" s="187"/>
      <c r="U497" s="187"/>
      <c r="V497" s="282"/>
      <c r="W497" s="282"/>
      <c r="X497" s="189"/>
      <c r="Y497" s="189"/>
      <c r="Z497" s="189"/>
      <c r="AA497" s="190"/>
      <c r="AB497" s="186"/>
      <c r="AC497" s="344"/>
      <c r="AD497" s="186"/>
      <c r="AE497" s="186"/>
      <c r="AF497" s="186"/>
      <c r="AG497" s="186"/>
      <c r="AH497" s="186"/>
      <c r="AI497" s="191"/>
      <c r="AJ497" s="191"/>
      <c r="AK497" s="186"/>
      <c r="AL497" s="186"/>
      <c r="AM497" s="186"/>
      <c r="AN497" s="344"/>
      <c r="AO497" s="186"/>
      <c r="AP497" s="193"/>
      <c r="AQ497" s="193"/>
      <c r="AR497" s="191"/>
      <c r="AS497" s="194"/>
      <c r="AT497" s="195"/>
      <c r="AU497" s="425"/>
      <c r="AV497" s="425"/>
      <c r="AW497" s="425"/>
      <c r="AX497" s="425"/>
      <c r="AY497" s="425"/>
      <c r="AZ497" s="425"/>
      <c r="BA497" s="425"/>
      <c r="BB497" s="425"/>
      <c r="BC497" s="440"/>
      <c r="BD497" s="404">
        <f>SUM($AS$4:AS497)</f>
        <v>2994.8454761904713</v>
      </c>
      <c r="BE497" s="405">
        <f>SUM($AR$4:AR497)</f>
        <v>5268.1999999999625</v>
      </c>
      <c r="BF497" s="330"/>
      <c r="BG497" s="330"/>
    </row>
    <row r="498" spans="1:59" ht="15.75" customHeight="1">
      <c r="A498" s="181" t="s">
        <v>2035</v>
      </c>
      <c r="B498" s="204"/>
      <c r="C498" s="182"/>
      <c r="D498" s="182"/>
      <c r="E498" s="233" t="s">
        <v>2237</v>
      </c>
      <c r="F498" s="184" t="s">
        <v>2238</v>
      </c>
      <c r="G498" s="185"/>
      <c r="H498" s="186">
        <v>1</v>
      </c>
      <c r="I498" s="186"/>
      <c r="J498" s="186"/>
      <c r="K498" s="187" t="s">
        <v>87</v>
      </c>
      <c r="L498" s="186"/>
      <c r="M498" s="186"/>
      <c r="N498" s="186"/>
      <c r="O498" s="187"/>
      <c r="P498" s="187"/>
      <c r="Q498" s="187"/>
      <c r="R498" s="187"/>
      <c r="S498" s="187"/>
      <c r="T498" s="187"/>
      <c r="U498" s="187"/>
      <c r="V498" s="282"/>
      <c r="W498" s="282"/>
      <c r="X498" s="189"/>
      <c r="Y498" s="189"/>
      <c r="Z498" s="189"/>
      <c r="AA498" s="190"/>
      <c r="AB498" s="186"/>
      <c r="AC498" s="344"/>
      <c r="AD498" s="186"/>
      <c r="AE498" s="186"/>
      <c r="AF498" s="186"/>
      <c r="AG498" s="186"/>
      <c r="AH498" s="186"/>
      <c r="AI498" s="191"/>
      <c r="AJ498" s="191"/>
      <c r="AK498" s="186"/>
      <c r="AL498" s="186"/>
      <c r="AM498" s="186"/>
      <c r="AN498" s="344"/>
      <c r="AO498" s="186"/>
      <c r="AP498" s="193"/>
      <c r="AQ498" s="193"/>
      <c r="AR498" s="191"/>
      <c r="AS498" s="194"/>
      <c r="AT498" s="195"/>
      <c r="AU498" s="425"/>
      <c r="AV498" s="425"/>
      <c r="AW498" s="425"/>
      <c r="AX498" s="425"/>
      <c r="AY498" s="425"/>
      <c r="AZ498" s="425"/>
      <c r="BA498" s="425"/>
      <c r="BB498" s="425"/>
      <c r="BC498" s="440"/>
      <c r="BD498" s="404">
        <f>SUM($AS$4:AS498)</f>
        <v>2994.8454761904713</v>
      </c>
      <c r="BE498" s="405">
        <f>SUM($AR$4:AR498)</f>
        <v>5268.1999999999625</v>
      </c>
      <c r="BF498" s="330"/>
      <c r="BG498" s="330"/>
    </row>
    <row r="499" spans="1:59" ht="15.75" customHeight="1">
      <c r="A499" s="227" t="s">
        <v>2035</v>
      </c>
      <c r="B499" s="204">
        <v>45035</v>
      </c>
      <c r="C499" s="182" t="s">
        <v>2239</v>
      </c>
      <c r="D499" s="182" t="s">
        <v>133</v>
      </c>
      <c r="E499" s="233"/>
      <c r="F499" s="184"/>
      <c r="G499" s="291" t="s">
        <v>2240</v>
      </c>
      <c r="H499" s="186"/>
      <c r="I499" s="186"/>
      <c r="J499" s="186"/>
      <c r="K499" s="187"/>
      <c r="L499" s="186"/>
      <c r="M499" s="186"/>
      <c r="N499" s="186"/>
      <c r="O499" s="367" t="s">
        <v>2240</v>
      </c>
      <c r="P499" s="187" t="s">
        <v>2241</v>
      </c>
      <c r="Q499" s="187"/>
      <c r="R499" s="187">
        <v>1</v>
      </c>
      <c r="S499" s="187">
        <v>0</v>
      </c>
      <c r="T499" s="187">
        <v>1</v>
      </c>
      <c r="U499" s="187" t="s">
        <v>22</v>
      </c>
      <c r="V499" s="188">
        <f t="shared" ref="V499" si="710">IF(ISBLANK(O499),"",(IF(O499=UPPER("IB"),0.005,0.01)))</f>
        <v>0.01</v>
      </c>
      <c r="W499" s="189">
        <f>IF(ISBLANK(O499),"",IF(O499="IB",8.63*200,IF(O499="IR",16*100,IF(O499="YT",20*100,IF(O499="YT-XT",24*200,IF(O499="TED",80*100))))))</f>
        <v>4800</v>
      </c>
      <c r="X499" s="189" t="s">
        <v>2242</v>
      </c>
      <c r="Y499" s="189" t="s">
        <v>511</v>
      </c>
      <c r="Z499" s="189"/>
      <c r="AA499" s="190">
        <v>0.375</v>
      </c>
      <c r="AB499" s="186"/>
      <c r="AC499" s="344"/>
      <c r="AD499" s="186"/>
      <c r="AE499" s="186"/>
      <c r="AF499" s="186"/>
      <c r="AG499" s="186"/>
      <c r="AH499" s="186"/>
      <c r="AI499" s="191">
        <f t="shared" si="708"/>
        <v>-72</v>
      </c>
      <c r="AJ499" s="191">
        <f t="shared" si="709"/>
        <v>-72</v>
      </c>
      <c r="AK499" s="186"/>
      <c r="AL499" s="186"/>
      <c r="AM499" s="186" t="s">
        <v>949</v>
      </c>
      <c r="AN499" s="344" t="s">
        <v>87</v>
      </c>
      <c r="AO499" s="186" t="s">
        <v>2243</v>
      </c>
      <c r="AP499" s="193">
        <v>0.36</v>
      </c>
      <c r="AQ499" s="193">
        <f t="shared" si="703"/>
        <v>-1.5000000000000013E-2</v>
      </c>
      <c r="AR499" s="191">
        <f t="shared" si="704"/>
        <v>-72.000000000000057</v>
      </c>
      <c r="AS499" s="194">
        <f t="shared" si="705"/>
        <v>-72.000000000000057</v>
      </c>
      <c r="AT499" s="195" t="s">
        <v>211</v>
      </c>
      <c r="AU499" s="425" t="s">
        <v>2244</v>
      </c>
      <c r="AV499" s="425" t="s">
        <v>2245</v>
      </c>
      <c r="AW499" s="425" t="s">
        <v>2246</v>
      </c>
      <c r="AX499" s="425" t="s">
        <v>2247</v>
      </c>
      <c r="AY499" s="425" t="s">
        <v>511</v>
      </c>
      <c r="AZ499" s="425"/>
      <c r="BA499" s="425"/>
      <c r="BB499" s="425"/>
      <c r="BC499" s="440"/>
      <c r="BD499" s="404">
        <f>SUM($AS$4:AS499)</f>
        <v>2922.8454761904713</v>
      </c>
      <c r="BE499" s="405">
        <f>SUM($AR$4:AR499)</f>
        <v>5196.1999999999625</v>
      </c>
      <c r="BF499" s="330"/>
      <c r="BG499" s="330"/>
    </row>
    <row r="500" spans="1:59" ht="15.75" customHeight="1">
      <c r="A500" s="227" t="s">
        <v>2035</v>
      </c>
      <c r="B500" s="204">
        <v>45035</v>
      </c>
      <c r="C500" s="182" t="s">
        <v>2248</v>
      </c>
      <c r="D500" s="182" t="s">
        <v>133</v>
      </c>
      <c r="E500" s="233"/>
      <c r="F500" s="184"/>
      <c r="G500" s="291" t="s">
        <v>163</v>
      </c>
      <c r="H500" s="186"/>
      <c r="I500" s="186"/>
      <c r="J500" s="186"/>
      <c r="K500" s="187"/>
      <c r="L500" s="186"/>
      <c r="M500" s="186"/>
      <c r="N500" s="186"/>
      <c r="O500" s="187" t="s">
        <v>76</v>
      </c>
      <c r="P500" s="187" t="s">
        <v>77</v>
      </c>
      <c r="Q500" s="187" t="s">
        <v>78</v>
      </c>
      <c r="R500" s="187">
        <v>7</v>
      </c>
      <c r="S500" s="187">
        <v>0</v>
      </c>
      <c r="T500" s="187">
        <v>7</v>
      </c>
      <c r="U500" s="187" t="s">
        <v>22</v>
      </c>
      <c r="V500" s="188">
        <f t="shared" ref="V500" si="711">IF(ISBLANK(O500),"",(IF(O500=UPPER("IB"),0.005,0.01)))</f>
        <v>0.01</v>
      </c>
      <c r="W500" s="189">
        <f t="shared" ref="W500:W1076" si="712">IF(ISBLANK(O500),"",IF(O500="IB",8.63*200,IF(O500="IR",16*100,IF(O500="YT",20*100,IF(O500="YT-XT",24*200,IF(O500="TED",80*100))))))</f>
        <v>1600</v>
      </c>
      <c r="X500" s="189" t="s">
        <v>80</v>
      </c>
      <c r="Y500" s="189"/>
      <c r="Z500" s="189" t="s">
        <v>2249</v>
      </c>
      <c r="AA500" s="190">
        <v>-0.09</v>
      </c>
      <c r="AB500" s="186"/>
      <c r="AC500" s="344">
        <v>-10.5</v>
      </c>
      <c r="AD500" s="186" t="s">
        <v>2250</v>
      </c>
      <c r="AE500" s="186"/>
      <c r="AF500" s="186"/>
      <c r="AG500" s="186"/>
      <c r="AH500" s="186"/>
      <c r="AI500" s="191">
        <f t="shared" si="708"/>
        <v>-24</v>
      </c>
      <c r="AJ500" s="191">
        <f t="shared" si="709"/>
        <v>-168</v>
      </c>
      <c r="AK500" s="186"/>
      <c r="AL500" s="186"/>
      <c r="AM500" s="186" t="s">
        <v>1242</v>
      </c>
      <c r="AN500" s="344" t="s">
        <v>97</v>
      </c>
      <c r="AO500" s="186" t="s">
        <v>2251</v>
      </c>
      <c r="AP500" s="193">
        <v>-0.11</v>
      </c>
      <c r="AQ500" s="193">
        <f t="shared" ref="AQ500:AQ505" si="713">IF(ISBLANK(AP500),,IF(U500="S",AA500-AP500,AP500-AA500))</f>
        <v>-2.0000000000000004E-2</v>
      </c>
      <c r="AR500" s="191">
        <f t="shared" ref="AR500:AR505" si="714">AS500*R500</f>
        <v>-224.00000000000006</v>
      </c>
      <c r="AS500" s="194">
        <f t="shared" ref="AS500:AS505" si="715">IF(ISBLANK(AP500),,(AQ500*W500))</f>
        <v>-32.000000000000007</v>
      </c>
      <c r="AT500" s="195" t="s">
        <v>211</v>
      </c>
      <c r="AU500" s="425"/>
      <c r="AV500" s="425"/>
      <c r="AW500" s="425"/>
      <c r="AX500" s="425"/>
      <c r="AY500" s="425" t="s">
        <v>511</v>
      </c>
      <c r="AZ500" s="425"/>
      <c r="BA500" s="425"/>
      <c r="BB500" s="425"/>
      <c r="BC500" s="440"/>
      <c r="BD500" s="404">
        <f>SUM($AS$4:AS500)</f>
        <v>2890.8454761904713</v>
      </c>
      <c r="BE500" s="405">
        <f>SUM($AR$4:AR500)</f>
        <v>4972.1999999999625</v>
      </c>
      <c r="BF500" s="330"/>
      <c r="BG500" s="330"/>
    </row>
    <row r="501" spans="1:59" ht="15.75" customHeight="1">
      <c r="A501" s="227" t="s">
        <v>2035</v>
      </c>
      <c r="B501" s="204">
        <v>45035</v>
      </c>
      <c r="C501" s="182" t="s">
        <v>2252</v>
      </c>
      <c r="D501" s="182" t="s">
        <v>133</v>
      </c>
      <c r="E501" s="233"/>
      <c r="F501" s="184"/>
      <c r="G501" s="368" t="s">
        <v>75</v>
      </c>
      <c r="H501" s="186"/>
      <c r="I501" s="186"/>
      <c r="J501" s="186"/>
      <c r="K501" s="187"/>
      <c r="L501" s="186"/>
      <c r="M501" s="186"/>
      <c r="N501" s="186"/>
      <c r="O501" s="187"/>
      <c r="P501" s="187"/>
      <c r="Q501" s="187"/>
      <c r="R501" s="187"/>
      <c r="S501" s="187"/>
      <c r="T501" s="187"/>
      <c r="U501" s="187"/>
      <c r="V501" s="188"/>
      <c r="W501" s="189" t="str">
        <f t="shared" si="712"/>
        <v/>
      </c>
      <c r="X501" s="189"/>
      <c r="Y501" s="189"/>
      <c r="Z501" s="189"/>
      <c r="AA501" s="190"/>
      <c r="AB501" s="186"/>
      <c r="AC501" s="344"/>
      <c r="AD501" s="186"/>
      <c r="AE501" s="186"/>
      <c r="AF501" s="186"/>
      <c r="AG501" s="186"/>
      <c r="AH501" s="186"/>
      <c r="AI501" s="191"/>
      <c r="AJ501" s="191"/>
      <c r="AK501" s="186"/>
      <c r="AL501" s="186"/>
      <c r="AM501" s="186"/>
      <c r="AN501" s="344"/>
      <c r="AO501" s="186"/>
      <c r="AP501" s="193"/>
      <c r="AQ501" s="193"/>
      <c r="AR501" s="191"/>
      <c r="AS501" s="194"/>
      <c r="AT501" s="195"/>
      <c r="AU501" s="425" t="s">
        <v>2253</v>
      </c>
      <c r="AV501" s="425" t="s">
        <v>2254</v>
      </c>
      <c r="AW501" s="425" t="s">
        <v>511</v>
      </c>
      <c r="AX501" s="425"/>
      <c r="AY501" s="425"/>
      <c r="AZ501" s="425"/>
      <c r="BA501" s="425"/>
      <c r="BB501" s="425"/>
      <c r="BC501" s="440"/>
      <c r="BD501" s="404">
        <f>SUM($AS$4:AS501)</f>
        <v>2890.8454761904713</v>
      </c>
      <c r="BE501" s="405">
        <f>SUM($AR$4:AR501)</f>
        <v>4972.1999999999625</v>
      </c>
      <c r="BF501" s="330"/>
      <c r="BG501" s="330"/>
    </row>
    <row r="502" spans="1:59" ht="15.75" customHeight="1">
      <c r="A502" s="227" t="s">
        <v>2035</v>
      </c>
      <c r="B502" s="204">
        <v>45035</v>
      </c>
      <c r="C502" s="182" t="s">
        <v>1769</v>
      </c>
      <c r="D502" s="182" t="s">
        <v>133</v>
      </c>
      <c r="E502" s="233" t="s">
        <v>2255</v>
      </c>
      <c r="F502" s="184" t="s">
        <v>2256</v>
      </c>
      <c r="G502" s="185"/>
      <c r="H502" s="186"/>
      <c r="I502" s="186">
        <v>1</v>
      </c>
      <c r="J502" s="186"/>
      <c r="K502" s="187"/>
      <c r="L502" s="186"/>
      <c r="M502" s="186"/>
      <c r="N502" s="186"/>
      <c r="O502" s="187"/>
      <c r="P502" s="187"/>
      <c r="Q502" s="187"/>
      <c r="R502" s="187"/>
      <c r="S502" s="187"/>
      <c r="T502" s="187"/>
      <c r="U502" s="187"/>
      <c r="V502" s="187"/>
      <c r="W502" s="189" t="str">
        <f t="shared" si="712"/>
        <v/>
      </c>
      <c r="X502" s="189"/>
      <c r="Y502" s="189"/>
      <c r="Z502" s="189"/>
      <c r="AA502" s="190"/>
      <c r="AB502" s="186"/>
      <c r="AC502" s="344"/>
      <c r="AD502" s="186"/>
      <c r="AE502" s="186"/>
      <c r="AF502" s="186"/>
      <c r="AG502" s="186"/>
      <c r="AH502" s="186"/>
      <c r="AI502" s="191"/>
      <c r="AJ502" s="191"/>
      <c r="AK502" s="186"/>
      <c r="AL502" s="186"/>
      <c r="AM502" s="186"/>
      <c r="AN502" s="344"/>
      <c r="AO502" s="186"/>
      <c r="AP502" s="193"/>
      <c r="AQ502" s="193"/>
      <c r="AR502" s="191"/>
      <c r="AS502" s="194"/>
      <c r="AT502" s="195"/>
      <c r="AU502" s="425"/>
      <c r="AV502" s="425"/>
      <c r="AW502" s="425"/>
      <c r="AX502" s="425"/>
      <c r="AY502" s="425"/>
      <c r="AZ502" s="425"/>
      <c r="BA502" s="425"/>
      <c r="BB502" s="425"/>
      <c r="BC502" s="440"/>
      <c r="BD502" s="404">
        <f>SUM($AS$4:AS502)</f>
        <v>2890.8454761904713</v>
      </c>
      <c r="BE502" s="405">
        <f>SUM($AR$4:AR502)</f>
        <v>4972.1999999999625</v>
      </c>
      <c r="BF502" s="330"/>
      <c r="BG502" s="330"/>
    </row>
    <row r="503" spans="1:59" ht="15.75" customHeight="1">
      <c r="A503" s="227" t="s">
        <v>2035</v>
      </c>
      <c r="B503" s="204"/>
      <c r="C503" s="182"/>
      <c r="D503" s="182"/>
      <c r="E503" s="233" t="s">
        <v>2257</v>
      </c>
      <c r="F503" s="184"/>
      <c r="G503" s="185"/>
      <c r="H503" s="186"/>
      <c r="I503" s="186">
        <v>1</v>
      </c>
      <c r="J503" s="186"/>
      <c r="K503" s="187"/>
      <c r="L503" s="186"/>
      <c r="M503" s="186"/>
      <c r="N503" s="186"/>
      <c r="O503" s="187"/>
      <c r="P503" s="187"/>
      <c r="Q503" s="187"/>
      <c r="R503" s="187"/>
      <c r="S503" s="187"/>
      <c r="T503" s="187"/>
      <c r="U503" s="187"/>
      <c r="V503" s="187"/>
      <c r="W503" s="189" t="str">
        <f t="shared" si="712"/>
        <v/>
      </c>
      <c r="X503" s="189"/>
      <c r="Y503" s="189"/>
      <c r="Z503" s="189"/>
      <c r="AA503" s="190"/>
      <c r="AB503" s="186"/>
      <c r="AC503" s="344"/>
      <c r="AD503" s="186"/>
      <c r="AE503" s="186"/>
      <c r="AF503" s="186"/>
      <c r="AG503" s="186"/>
      <c r="AH503" s="186"/>
      <c r="AI503" s="191"/>
      <c r="AJ503" s="191"/>
      <c r="AK503" s="186"/>
      <c r="AL503" s="186"/>
      <c r="AM503" s="186"/>
      <c r="AN503" s="344"/>
      <c r="AO503" s="186"/>
      <c r="AP503" s="193"/>
      <c r="AQ503" s="193"/>
      <c r="AR503" s="191"/>
      <c r="AS503" s="194"/>
      <c r="AT503" s="195"/>
      <c r="AU503" s="425"/>
      <c r="AV503" s="425"/>
      <c r="AW503" s="425"/>
      <c r="AX503" s="425"/>
      <c r="AY503" s="425"/>
      <c r="AZ503" s="425"/>
      <c r="BA503" s="425"/>
      <c r="BB503" s="425"/>
      <c r="BC503" s="440"/>
      <c r="BD503" s="404">
        <f>SUM($AS$4:AS503)</f>
        <v>2890.8454761904713</v>
      </c>
      <c r="BE503" s="405">
        <f>SUM($AR$4:AR503)</f>
        <v>4972.1999999999625</v>
      </c>
      <c r="BF503" s="330"/>
      <c r="BG503" s="330"/>
    </row>
    <row r="504" spans="1:59" ht="15.75" customHeight="1">
      <c r="A504" s="227" t="s">
        <v>2035</v>
      </c>
      <c r="B504" s="204"/>
      <c r="C504" s="182"/>
      <c r="D504" s="182"/>
      <c r="E504" s="233" t="s">
        <v>2258</v>
      </c>
      <c r="F504" s="184"/>
      <c r="G504" s="185"/>
      <c r="H504" s="186"/>
      <c r="I504" s="186">
        <v>1</v>
      </c>
      <c r="J504" s="186"/>
      <c r="K504" s="187"/>
      <c r="L504" s="186"/>
      <c r="M504" s="186"/>
      <c r="N504" s="186"/>
      <c r="O504" s="187"/>
      <c r="P504" s="187"/>
      <c r="Q504" s="187"/>
      <c r="R504" s="187"/>
      <c r="S504" s="187"/>
      <c r="T504" s="187"/>
      <c r="U504" s="187"/>
      <c r="V504" s="187"/>
      <c r="W504" s="189" t="str">
        <f t="shared" si="712"/>
        <v/>
      </c>
      <c r="X504" s="189"/>
      <c r="Y504" s="189"/>
      <c r="Z504" s="189"/>
      <c r="AA504" s="190"/>
      <c r="AB504" s="186"/>
      <c r="AC504" s="344"/>
      <c r="AD504" s="186"/>
      <c r="AE504" s="186"/>
      <c r="AF504" s="186"/>
      <c r="AG504" s="186"/>
      <c r="AH504" s="186"/>
      <c r="AI504" s="191"/>
      <c r="AJ504" s="191"/>
      <c r="AK504" s="186"/>
      <c r="AL504" s="186"/>
      <c r="AM504" s="186"/>
      <c r="AN504" s="344"/>
      <c r="AO504" s="186"/>
      <c r="AP504" s="193"/>
      <c r="AQ504" s="193"/>
      <c r="AR504" s="191"/>
      <c r="AS504" s="194"/>
      <c r="AT504" s="195"/>
      <c r="AU504" s="425"/>
      <c r="AV504" s="425"/>
      <c r="AW504" s="425"/>
      <c r="AX504" s="425"/>
      <c r="AY504" s="425"/>
      <c r="AZ504" s="425"/>
      <c r="BA504" s="425"/>
      <c r="BB504" s="425"/>
      <c r="BC504" s="440"/>
      <c r="BD504" s="404">
        <f>SUM($AS$4:AS504)</f>
        <v>2890.8454761904713</v>
      </c>
      <c r="BE504" s="405">
        <f>SUM($AR$4:AR504)</f>
        <v>4972.1999999999625</v>
      </c>
      <c r="BF504" s="330"/>
      <c r="BG504" s="330"/>
    </row>
    <row r="505" spans="1:59" ht="15.75" customHeight="1">
      <c r="A505" s="227" t="s">
        <v>2035</v>
      </c>
      <c r="B505" s="204">
        <v>45035</v>
      </c>
      <c r="C505" s="182" t="s">
        <v>2259</v>
      </c>
      <c r="D505" s="182" t="s">
        <v>133</v>
      </c>
      <c r="E505" s="233"/>
      <c r="F505" s="184"/>
      <c r="G505" s="291" t="s">
        <v>75</v>
      </c>
      <c r="H505" s="186"/>
      <c r="I505" s="186"/>
      <c r="J505" s="186"/>
      <c r="K505" s="187"/>
      <c r="L505" s="186"/>
      <c r="M505" s="186"/>
      <c r="N505" s="186"/>
      <c r="O505" s="187" t="s">
        <v>76</v>
      </c>
      <c r="P505" s="187" t="s">
        <v>77</v>
      </c>
      <c r="Q505" s="187" t="s">
        <v>78</v>
      </c>
      <c r="R505" s="187">
        <v>18</v>
      </c>
      <c r="S505" s="187">
        <v>0</v>
      </c>
      <c r="T505" s="187">
        <v>18</v>
      </c>
      <c r="U505" s="187" t="s">
        <v>78</v>
      </c>
      <c r="V505" s="188">
        <f t="shared" ref="V505" si="716">IF(ISBLANK(O505),"",(IF(O505=UPPER("IB"),0.005,0.01)))</f>
        <v>0.01</v>
      </c>
      <c r="W505" s="189">
        <f t="shared" si="712"/>
        <v>1600</v>
      </c>
      <c r="X505" s="189"/>
      <c r="Y505" s="189" t="s">
        <v>2214</v>
      </c>
      <c r="Z505" s="189" t="s">
        <v>1317</v>
      </c>
      <c r="AA505" s="190">
        <v>0.01</v>
      </c>
      <c r="AB505" s="186"/>
      <c r="AC505" s="344"/>
      <c r="AD505" s="186"/>
      <c r="AE505" s="186"/>
      <c r="AF505" s="186"/>
      <c r="AG505" s="186"/>
      <c r="AH505" s="186"/>
      <c r="AI505" s="191">
        <f>-0.025*W505</f>
        <v>-40</v>
      </c>
      <c r="AJ505" s="191">
        <f t="shared" ref="AJ505" si="717">AI505*(R505-S505)</f>
        <v>-720</v>
      </c>
      <c r="AK505" s="186"/>
      <c r="AL505" s="186"/>
      <c r="AM505" s="186" t="s">
        <v>1985</v>
      </c>
      <c r="AN505" s="344" t="s">
        <v>87</v>
      </c>
      <c r="AO505" s="186" t="s">
        <v>2260</v>
      </c>
      <c r="AP505" s="193">
        <v>0</v>
      </c>
      <c r="AQ505" s="193">
        <f t="shared" si="713"/>
        <v>0.01</v>
      </c>
      <c r="AR505" s="191">
        <f t="shared" si="714"/>
        <v>288</v>
      </c>
      <c r="AS505" s="194">
        <f t="shared" si="715"/>
        <v>16</v>
      </c>
      <c r="AT505" s="195" t="s">
        <v>77</v>
      </c>
      <c r="AU505" s="425"/>
      <c r="AV505" s="425"/>
      <c r="AW505" s="425"/>
      <c r="AX505" s="425"/>
      <c r="AY505" s="425"/>
      <c r="AZ505" s="425"/>
      <c r="BA505" s="425"/>
      <c r="BB505" s="425"/>
      <c r="BC505" s="440"/>
      <c r="BD505" s="404">
        <f>SUM($AS$4:AS505)</f>
        <v>2906.8454761904713</v>
      </c>
      <c r="BE505" s="405">
        <f>SUM($AR$4:AR505)</f>
        <v>5260.1999999999625</v>
      </c>
      <c r="BF505" s="330"/>
      <c r="BG505" s="330"/>
    </row>
    <row r="506" spans="1:59" ht="15.75" customHeight="1">
      <c r="A506" s="227" t="s">
        <v>2035</v>
      </c>
      <c r="B506" s="204">
        <v>45035</v>
      </c>
      <c r="C506" s="182" t="s">
        <v>2261</v>
      </c>
      <c r="D506" s="182" t="s">
        <v>133</v>
      </c>
      <c r="E506" s="233"/>
      <c r="F506" s="184"/>
      <c r="G506" s="368" t="s">
        <v>2126</v>
      </c>
      <c r="H506" s="186"/>
      <c r="I506" s="186"/>
      <c r="J506" s="186"/>
      <c r="K506" s="187"/>
      <c r="L506" s="186"/>
      <c r="M506" s="186"/>
      <c r="N506" s="186"/>
      <c r="O506" s="187"/>
      <c r="P506" s="187"/>
      <c r="Q506" s="187"/>
      <c r="R506" s="187"/>
      <c r="S506" s="187"/>
      <c r="T506" s="187"/>
      <c r="U506" s="187"/>
      <c r="V506" s="188" t="str">
        <f t="shared" ref="V506:V507" si="718">IF(ISBLANK(O506),"",(IF(O506=UPPER("IB"),0.005,0.01)))</f>
        <v/>
      </c>
      <c r="W506" s="189" t="str">
        <f t="shared" si="712"/>
        <v/>
      </c>
      <c r="X506" s="189"/>
      <c r="Y506" s="189"/>
      <c r="Z506" s="189"/>
      <c r="AA506" s="190"/>
      <c r="AB506" s="186"/>
      <c r="AC506" s="344"/>
      <c r="AD506" s="186"/>
      <c r="AE506" s="186"/>
      <c r="AF506" s="186"/>
      <c r="AG506" s="186"/>
      <c r="AH506" s="186"/>
      <c r="AI506" s="191"/>
      <c r="AJ506" s="191"/>
      <c r="AK506" s="186"/>
      <c r="AL506" s="186"/>
      <c r="AM506" s="186"/>
      <c r="AN506" s="344"/>
      <c r="AO506" s="186"/>
      <c r="AP506" s="193"/>
      <c r="AQ506" s="193"/>
      <c r="AR506" s="191"/>
      <c r="AS506" s="194"/>
      <c r="AT506" s="195"/>
      <c r="AU506" s="425" t="s">
        <v>2262</v>
      </c>
      <c r="AV506" s="425"/>
      <c r="AW506" s="425"/>
      <c r="AX506" s="425"/>
      <c r="AY506" s="425"/>
      <c r="AZ506" s="425"/>
      <c r="BA506" s="425"/>
      <c r="BB506" s="425"/>
      <c r="BC506" s="440"/>
      <c r="BD506" s="404">
        <f>SUM($AS$4:AS506)</f>
        <v>2906.8454761904713</v>
      </c>
      <c r="BE506" s="405">
        <f>SUM($AR$4:AR506)</f>
        <v>5260.1999999999625</v>
      </c>
      <c r="BF506" s="330"/>
      <c r="BG506" s="330"/>
    </row>
    <row r="507" spans="1:59" ht="15.75" customHeight="1">
      <c r="A507" s="227" t="s">
        <v>2035</v>
      </c>
      <c r="B507" s="204">
        <v>45035</v>
      </c>
      <c r="C507" s="182" t="s">
        <v>2263</v>
      </c>
      <c r="D507" s="182" t="s">
        <v>133</v>
      </c>
      <c r="E507" s="233"/>
      <c r="F507" s="184"/>
      <c r="G507" s="291" t="s">
        <v>2264</v>
      </c>
      <c r="H507" s="186"/>
      <c r="I507" s="186"/>
      <c r="J507" s="186"/>
      <c r="K507" s="187"/>
      <c r="L507" s="186"/>
      <c r="M507" s="186"/>
      <c r="N507" s="186"/>
      <c r="O507" s="187" t="s">
        <v>76</v>
      </c>
      <c r="P507" s="187" t="s">
        <v>77</v>
      </c>
      <c r="Q507" s="187" t="s">
        <v>238</v>
      </c>
      <c r="R507" s="187">
        <v>16</v>
      </c>
      <c r="S507" s="187">
        <v>0</v>
      </c>
      <c r="T507" s="187">
        <v>16</v>
      </c>
      <c r="U507" s="187" t="s">
        <v>78</v>
      </c>
      <c r="V507" s="188">
        <f t="shared" si="718"/>
        <v>0.01</v>
      </c>
      <c r="W507" s="189">
        <f t="shared" si="712"/>
        <v>1600</v>
      </c>
      <c r="X507" s="189"/>
      <c r="Y507" s="189" t="s">
        <v>2265</v>
      </c>
      <c r="Z507" s="189" t="s">
        <v>2266</v>
      </c>
      <c r="AA507" s="190">
        <v>0.06</v>
      </c>
      <c r="AB507" s="186"/>
      <c r="AC507" s="344">
        <v>8</v>
      </c>
      <c r="AD507" s="186" t="s">
        <v>2267</v>
      </c>
      <c r="AE507" s="186"/>
      <c r="AF507" s="186"/>
      <c r="AG507" s="186"/>
      <c r="AH507" s="186"/>
      <c r="AI507" s="191">
        <f>-0.02*W507</f>
        <v>-32</v>
      </c>
      <c r="AJ507" s="191">
        <f t="shared" ref="AJ507" si="719">AI507*(R507-S507)</f>
        <v>-512</v>
      </c>
      <c r="AK507" s="186"/>
      <c r="AL507" s="186"/>
      <c r="AM507" s="186" t="s">
        <v>2268</v>
      </c>
      <c r="AN507" s="344" t="s">
        <v>87</v>
      </c>
      <c r="AO507" s="186" t="s">
        <v>2269</v>
      </c>
      <c r="AP507" s="193">
        <f>((0.05*8)+(0.05*4)+(0.05*4))/16</f>
        <v>0.05</v>
      </c>
      <c r="AQ507" s="193">
        <f t="shared" ref="AQ507:AQ508" si="720">IF(ISBLANK(AP507),,IF(U507="S",AA507-AP507,AP507-AA507))</f>
        <v>9.999999999999995E-3</v>
      </c>
      <c r="AR507" s="191">
        <f t="shared" ref="AR507:AR508" si="721">AS507*R507</f>
        <v>255.99999999999989</v>
      </c>
      <c r="AS507" s="194">
        <f t="shared" ref="AS507:AS508" si="722">IF(ISBLANK(AP507),,(AQ507*W507))</f>
        <v>15.999999999999993</v>
      </c>
      <c r="AT507" s="195" t="s">
        <v>77</v>
      </c>
      <c r="AU507" s="425" t="s">
        <v>2270</v>
      </c>
      <c r="AV507" s="425" t="s">
        <v>2271</v>
      </c>
      <c r="AW507" s="425" t="s">
        <v>2272</v>
      </c>
      <c r="AX507" s="425"/>
      <c r="AY507" s="425"/>
      <c r="AZ507" s="425"/>
      <c r="BA507" s="425"/>
      <c r="BB507" s="425"/>
      <c r="BC507" s="440"/>
      <c r="BD507" s="404">
        <f>SUM($AS$4:AS507)</f>
        <v>2922.8454761904713</v>
      </c>
      <c r="BE507" s="405">
        <f>SUM($AR$4:AR507)</f>
        <v>5516.1999999999625</v>
      </c>
      <c r="BF507" s="330"/>
      <c r="BG507" s="330"/>
    </row>
    <row r="508" spans="1:59" ht="15.75" customHeight="1">
      <c r="A508" s="227" t="s">
        <v>2035</v>
      </c>
      <c r="B508" s="204">
        <v>45035</v>
      </c>
      <c r="C508" s="182" t="s">
        <v>2273</v>
      </c>
      <c r="D508" s="182" t="s">
        <v>133</v>
      </c>
      <c r="E508" s="233"/>
      <c r="F508" s="184"/>
      <c r="G508" s="291" t="s">
        <v>163</v>
      </c>
      <c r="H508" s="186"/>
      <c r="I508" s="186"/>
      <c r="J508" s="186"/>
      <c r="K508" s="187"/>
      <c r="L508" s="186"/>
      <c r="M508" s="186"/>
      <c r="N508" s="186"/>
      <c r="O508" s="187" t="s">
        <v>76</v>
      </c>
      <c r="P508" s="187" t="s">
        <v>77</v>
      </c>
      <c r="Q508" s="187" t="s">
        <v>78</v>
      </c>
      <c r="R508" s="187">
        <v>10</v>
      </c>
      <c r="S508" s="187">
        <v>6</v>
      </c>
      <c r="T508" s="187">
        <v>10</v>
      </c>
      <c r="U508" s="187" t="s">
        <v>22</v>
      </c>
      <c r="V508" s="188">
        <f t="shared" ref="V508" si="723">IF(ISBLANK(O508),"",(IF(O508=UPPER("IB"),0.005,0.01)))</f>
        <v>0.01</v>
      </c>
      <c r="W508" s="189">
        <f t="shared" si="712"/>
        <v>1600</v>
      </c>
      <c r="X508" s="189" t="s">
        <v>80</v>
      </c>
      <c r="Y508" s="189" t="s">
        <v>2274</v>
      </c>
      <c r="Z508" s="189" t="s">
        <v>511</v>
      </c>
      <c r="AA508" s="190">
        <v>-0.1</v>
      </c>
      <c r="AB508" s="186"/>
      <c r="AC508" s="344">
        <v>-0.12</v>
      </c>
      <c r="AD508" s="186"/>
      <c r="AE508" s="186"/>
      <c r="AF508" s="186"/>
      <c r="AG508" s="186"/>
      <c r="AH508" s="186"/>
      <c r="AI508" s="191">
        <f t="shared" ref="AI508" si="724">-0.025*W508</f>
        <v>-40</v>
      </c>
      <c r="AJ508" s="191">
        <f t="shared" ref="AJ508" si="725">AI508*(R508-S508)</f>
        <v>-160</v>
      </c>
      <c r="AK508" s="186"/>
      <c r="AL508" s="186"/>
      <c r="AM508" s="186" t="s">
        <v>846</v>
      </c>
      <c r="AN508" s="344" t="s">
        <v>97</v>
      </c>
      <c r="AO508" s="186" t="s">
        <v>2275</v>
      </c>
      <c r="AP508" s="193">
        <f>((-0.11*4)+(-0.1*6))/10</f>
        <v>-0.10400000000000001</v>
      </c>
      <c r="AQ508" s="193">
        <f t="shared" si="720"/>
        <v>-4.0000000000000036E-3</v>
      </c>
      <c r="AR508" s="191">
        <f t="shared" si="721"/>
        <v>-64.000000000000057</v>
      </c>
      <c r="AS508" s="194">
        <f t="shared" si="722"/>
        <v>-6.4000000000000057</v>
      </c>
      <c r="AT508" s="195" t="s">
        <v>211</v>
      </c>
      <c r="AU508" s="425" t="s">
        <v>2276</v>
      </c>
      <c r="AV508" s="425" t="s">
        <v>2277</v>
      </c>
      <c r="AW508" s="425"/>
      <c r="AX508" s="425"/>
      <c r="AY508" s="425"/>
      <c r="AZ508" s="425"/>
      <c r="BA508" s="425"/>
      <c r="BB508" s="425"/>
      <c r="BC508" s="440"/>
      <c r="BD508" s="404">
        <f>SUM($AS$4:AS508)</f>
        <v>2916.4454761904713</v>
      </c>
      <c r="BE508" s="405">
        <f>SUM($AR$4:AR508)</f>
        <v>5452.1999999999625</v>
      </c>
      <c r="BF508" s="330"/>
      <c r="BG508" s="330"/>
    </row>
    <row r="509" spans="1:59" ht="15.75" customHeight="1">
      <c r="A509" s="227" t="s">
        <v>2035</v>
      </c>
      <c r="B509" s="204">
        <v>45036</v>
      </c>
      <c r="C509" s="182" t="s">
        <v>191</v>
      </c>
      <c r="D509" s="182" t="s">
        <v>2278</v>
      </c>
      <c r="E509" s="233" t="s">
        <v>2279</v>
      </c>
      <c r="F509" s="184"/>
      <c r="G509" s="185"/>
      <c r="H509" s="186"/>
      <c r="I509" s="186"/>
      <c r="J509" s="186">
        <v>1</v>
      </c>
      <c r="K509" s="187" t="s">
        <v>97</v>
      </c>
      <c r="L509" s="186"/>
      <c r="M509" s="186"/>
      <c r="N509" s="186"/>
      <c r="O509" s="187"/>
      <c r="P509" s="187"/>
      <c r="Q509" s="187"/>
      <c r="R509" s="187"/>
      <c r="S509" s="187"/>
      <c r="T509" s="187"/>
      <c r="U509" s="187"/>
      <c r="V509" s="187"/>
      <c r="W509" s="189" t="str">
        <f t="shared" si="712"/>
        <v/>
      </c>
      <c r="X509" s="189"/>
      <c r="Y509" s="189"/>
      <c r="Z509" s="189" t="s">
        <v>511</v>
      </c>
      <c r="AA509" s="190"/>
      <c r="AB509" s="186"/>
      <c r="AC509" s="344"/>
      <c r="AD509" s="186"/>
      <c r="AE509" s="186"/>
      <c r="AF509" s="186"/>
      <c r="AG509" s="186"/>
      <c r="AH509" s="186"/>
      <c r="AI509" s="191"/>
      <c r="AJ509" s="191"/>
      <c r="AK509" s="186"/>
      <c r="AL509" s="186"/>
      <c r="AM509" s="186"/>
      <c r="AN509" s="344"/>
      <c r="AO509" s="186"/>
      <c r="AP509" s="193"/>
      <c r="AQ509" s="193"/>
      <c r="AR509" s="191"/>
      <c r="AS509" s="194"/>
      <c r="AT509" s="195"/>
      <c r="AU509" s="425"/>
      <c r="AV509" s="425"/>
      <c r="AW509" s="425"/>
      <c r="AX509" s="425"/>
      <c r="AY509" s="425"/>
      <c r="AZ509" s="425"/>
      <c r="BA509" s="425"/>
      <c r="BB509" s="425"/>
      <c r="BC509" s="440"/>
      <c r="BD509" s="404">
        <f>SUM($AS$4:AS509)</f>
        <v>2916.4454761904713</v>
      </c>
      <c r="BE509" s="405">
        <f>SUM($AR$4:AR509)</f>
        <v>5452.1999999999625</v>
      </c>
      <c r="BF509" s="330"/>
      <c r="BG509" s="330"/>
    </row>
    <row r="510" spans="1:59" ht="15.75" customHeight="1">
      <c r="A510" s="227" t="s">
        <v>2035</v>
      </c>
      <c r="B510" s="204"/>
      <c r="C510" s="182"/>
      <c r="D510" s="182"/>
      <c r="E510" s="233" t="s">
        <v>2280</v>
      </c>
      <c r="F510" s="184" t="s">
        <v>2281</v>
      </c>
      <c r="G510" s="185"/>
      <c r="H510" s="186"/>
      <c r="I510" s="186"/>
      <c r="J510" s="186">
        <v>1</v>
      </c>
      <c r="K510" s="187" t="s">
        <v>97</v>
      </c>
      <c r="L510" s="186"/>
      <c r="M510" s="186"/>
      <c r="N510" s="186"/>
      <c r="O510" s="187"/>
      <c r="P510" s="187"/>
      <c r="Q510" s="187"/>
      <c r="R510" s="187"/>
      <c r="S510" s="187"/>
      <c r="T510" s="187"/>
      <c r="U510" s="187"/>
      <c r="V510" s="187"/>
      <c r="W510" s="189" t="str">
        <f t="shared" si="712"/>
        <v/>
      </c>
      <c r="X510" s="189"/>
      <c r="Y510" s="189"/>
      <c r="Z510" s="189"/>
      <c r="AA510" s="190"/>
      <c r="AB510" s="186"/>
      <c r="AC510" s="344"/>
      <c r="AD510" s="186"/>
      <c r="AE510" s="186"/>
      <c r="AF510" s="186"/>
      <c r="AG510" s="186"/>
      <c r="AH510" s="186"/>
      <c r="AI510" s="191"/>
      <c r="AJ510" s="191"/>
      <c r="AK510" s="186"/>
      <c r="AL510" s="186"/>
      <c r="AM510" s="186"/>
      <c r="AN510" s="344"/>
      <c r="AO510" s="186"/>
      <c r="AP510" s="193"/>
      <c r="AQ510" s="193"/>
      <c r="AR510" s="191"/>
      <c r="AS510" s="194"/>
      <c r="AT510" s="195"/>
      <c r="AU510" s="425"/>
      <c r="AV510" s="425"/>
      <c r="AW510" s="425"/>
      <c r="AX510" s="425"/>
      <c r="AY510" s="425"/>
      <c r="AZ510" s="425"/>
      <c r="BA510" s="425"/>
      <c r="BB510" s="425"/>
      <c r="BC510" s="440"/>
      <c r="BD510" s="404">
        <f>SUM($AS$4:AS510)</f>
        <v>2916.4454761904713</v>
      </c>
      <c r="BE510" s="405">
        <f>SUM($AR$4:AR510)</f>
        <v>5452.1999999999625</v>
      </c>
      <c r="BF510" s="330"/>
      <c r="BG510" s="330"/>
    </row>
    <row r="511" spans="1:59" ht="15.75" customHeight="1">
      <c r="A511" s="227" t="s">
        <v>2035</v>
      </c>
      <c r="B511" s="204">
        <v>45036</v>
      </c>
      <c r="C511" s="182" t="s">
        <v>593</v>
      </c>
      <c r="D511" s="182" t="s">
        <v>74</v>
      </c>
      <c r="E511" s="233" t="s">
        <v>2282</v>
      </c>
      <c r="F511" s="184"/>
      <c r="G511" s="185"/>
      <c r="H511" s="186"/>
      <c r="I511" s="186"/>
      <c r="J511" s="186"/>
      <c r="K511" s="187"/>
      <c r="L511" s="186"/>
      <c r="M511" s="186"/>
      <c r="N511" s="186"/>
      <c r="O511" s="187"/>
      <c r="P511" s="187"/>
      <c r="Q511" s="187"/>
      <c r="R511" s="187"/>
      <c r="S511" s="187"/>
      <c r="T511" s="187"/>
      <c r="U511" s="187"/>
      <c r="V511" s="187"/>
      <c r="W511" s="189" t="str">
        <f t="shared" si="712"/>
        <v/>
      </c>
      <c r="X511" s="189"/>
      <c r="Y511" s="189"/>
      <c r="Z511" s="189"/>
      <c r="AA511" s="190"/>
      <c r="AB511" s="186"/>
      <c r="AC511" s="344"/>
      <c r="AD511" s="186"/>
      <c r="AE511" s="186"/>
      <c r="AF511" s="186"/>
      <c r="AG511" s="186"/>
      <c r="AH511" s="186"/>
      <c r="AI511" s="191"/>
      <c r="AJ511" s="191"/>
      <c r="AK511" s="186"/>
      <c r="AL511" s="186"/>
      <c r="AM511" s="186"/>
      <c r="AN511" s="344"/>
      <c r="AO511" s="186"/>
      <c r="AP511" s="193"/>
      <c r="AQ511" s="193"/>
      <c r="AR511" s="191"/>
      <c r="AS511" s="194"/>
      <c r="AT511" s="195"/>
      <c r="AU511" s="425" t="s">
        <v>2283</v>
      </c>
      <c r="AV511" s="425" t="s">
        <v>511</v>
      </c>
      <c r="AW511" s="425"/>
      <c r="AX511" s="425" t="s">
        <v>2284</v>
      </c>
      <c r="AY511" s="425" t="s">
        <v>2285</v>
      </c>
      <c r="AZ511" s="425" t="s">
        <v>2286</v>
      </c>
      <c r="BA511" s="425" t="s">
        <v>511</v>
      </c>
      <c r="BB511" s="425"/>
      <c r="BC511" s="440"/>
      <c r="BD511" s="404">
        <f>SUM($AS$4:AS511)</f>
        <v>2916.4454761904713</v>
      </c>
      <c r="BE511" s="405">
        <f>SUM($AR$4:AR511)</f>
        <v>5452.1999999999625</v>
      </c>
      <c r="BF511" s="330"/>
      <c r="BG511" s="330"/>
    </row>
    <row r="512" spans="1:59" ht="15.75" customHeight="1">
      <c r="A512" s="227" t="s">
        <v>2035</v>
      </c>
      <c r="B512" s="204">
        <v>45036</v>
      </c>
      <c r="C512" s="182" t="s">
        <v>2287</v>
      </c>
      <c r="D512" s="182" t="s">
        <v>74</v>
      </c>
      <c r="E512" s="233"/>
      <c r="F512" s="184"/>
      <c r="G512" s="291" t="s">
        <v>2126</v>
      </c>
      <c r="H512" s="186"/>
      <c r="I512" s="186"/>
      <c r="J512" s="186"/>
      <c r="K512" s="187"/>
      <c r="L512" s="186"/>
      <c r="M512" s="186"/>
      <c r="N512" s="186"/>
      <c r="O512" s="187" t="s">
        <v>76</v>
      </c>
      <c r="P512" s="187" t="s">
        <v>77</v>
      </c>
      <c r="Q512" s="187" t="s">
        <v>78</v>
      </c>
      <c r="R512" s="187">
        <v>10</v>
      </c>
      <c r="S512" s="187">
        <v>7</v>
      </c>
      <c r="T512" s="187">
        <v>8</v>
      </c>
      <c r="U512" s="187" t="s">
        <v>22</v>
      </c>
      <c r="V512" s="188">
        <f t="shared" ref="V512" si="726">IF(ISBLANK(O512),"",(IF(O512=UPPER("IB"),0.005,0.01)))</f>
        <v>0.01</v>
      </c>
      <c r="W512" s="189">
        <f t="shared" si="712"/>
        <v>1600</v>
      </c>
      <c r="X512" s="189" t="s">
        <v>80</v>
      </c>
      <c r="Y512" s="189" t="s">
        <v>2228</v>
      </c>
      <c r="Z512" s="189"/>
      <c r="AA512" s="190">
        <v>-0.06</v>
      </c>
      <c r="AB512" s="186"/>
      <c r="AC512" s="344">
        <v>-9</v>
      </c>
      <c r="AD512" s="186"/>
      <c r="AE512" s="186"/>
      <c r="AF512" s="186"/>
      <c r="AG512" s="186"/>
      <c r="AH512" s="186"/>
      <c r="AI512" s="191">
        <f t="shared" ref="AI512" si="727">-0.025*W512</f>
        <v>-40</v>
      </c>
      <c r="AJ512" s="191">
        <f t="shared" ref="AJ512" si="728">AI512*(R512-S512)</f>
        <v>-120</v>
      </c>
      <c r="AK512" s="186"/>
      <c r="AL512" s="186"/>
      <c r="AM512" s="186" t="s">
        <v>733</v>
      </c>
      <c r="AN512" s="344" t="s">
        <v>97</v>
      </c>
      <c r="AO512" s="186" t="s">
        <v>2288</v>
      </c>
      <c r="AP512" s="193">
        <f>((-0.05*5)+(-0.06*2)+(-0.1*3))/10</f>
        <v>-6.7000000000000004E-2</v>
      </c>
      <c r="AQ512" s="193">
        <f t="shared" ref="AQ512" si="729">IF(ISBLANK(AP512),,IF(U512="S",AA512-AP512,AP512-AA512))</f>
        <v>-7.0000000000000062E-3</v>
      </c>
      <c r="AR512" s="191">
        <f t="shared" ref="AR512" si="730">AS512*R512</f>
        <v>-112.0000000000001</v>
      </c>
      <c r="AS512" s="194">
        <f t="shared" ref="AS512" si="731">IF(ISBLANK(AP512),,(AQ512*W512))</f>
        <v>-11.20000000000001</v>
      </c>
      <c r="AT512" s="195" t="s">
        <v>211</v>
      </c>
      <c r="AU512" s="425" t="s">
        <v>2289</v>
      </c>
      <c r="AV512" s="425"/>
      <c r="AW512" s="425"/>
      <c r="AX512" s="425" t="s">
        <v>2290</v>
      </c>
      <c r="AY512" s="425" t="s">
        <v>2291</v>
      </c>
      <c r="AZ512" s="425" t="s">
        <v>511</v>
      </c>
      <c r="BA512" s="425"/>
      <c r="BB512" s="425"/>
      <c r="BC512" s="440"/>
      <c r="BD512" s="404">
        <f>SUM($AS$4:AS512)</f>
        <v>2905.2454761904714</v>
      </c>
      <c r="BE512" s="405">
        <f>SUM($AR$4:AR512)</f>
        <v>5340.1999999999625</v>
      </c>
      <c r="BF512" s="330"/>
      <c r="BG512" s="330"/>
    </row>
    <row r="513" spans="1:59" ht="15.75" customHeight="1">
      <c r="A513" s="227" t="s">
        <v>2035</v>
      </c>
      <c r="B513" s="204">
        <v>45036</v>
      </c>
      <c r="C513" s="182" t="s">
        <v>2219</v>
      </c>
      <c r="D513" s="182" t="s">
        <v>74</v>
      </c>
      <c r="E513" s="233" t="s">
        <v>2292</v>
      </c>
      <c r="F513" s="184" t="s">
        <v>2293</v>
      </c>
      <c r="G513" s="185"/>
      <c r="H513" s="186"/>
      <c r="I513" s="186"/>
      <c r="J513" s="186"/>
      <c r="K513" s="187" t="s">
        <v>87</v>
      </c>
      <c r="L513" s="186"/>
      <c r="M513" s="186"/>
      <c r="N513" s="186"/>
      <c r="O513" s="187"/>
      <c r="P513" s="187"/>
      <c r="Q513" s="187"/>
      <c r="R513" s="187"/>
      <c r="S513" s="187"/>
      <c r="T513" s="187"/>
      <c r="U513" s="187"/>
      <c r="V513" s="187"/>
      <c r="W513" s="189" t="str">
        <f t="shared" si="712"/>
        <v/>
      </c>
      <c r="X513" s="189"/>
      <c r="Y513" s="189"/>
      <c r="Z513" s="189"/>
      <c r="AA513" s="190"/>
      <c r="AB513" s="186"/>
      <c r="AC513" s="344"/>
      <c r="AD513" s="186"/>
      <c r="AE513" s="186"/>
      <c r="AF513" s="186"/>
      <c r="AG513" s="186"/>
      <c r="AH513" s="186"/>
      <c r="AI513" s="191"/>
      <c r="AJ513" s="191"/>
      <c r="AK513" s="186"/>
      <c r="AL513" s="186"/>
      <c r="AM513" s="186"/>
      <c r="AN513" s="344"/>
      <c r="AO513" s="186"/>
      <c r="AP513" s="193"/>
      <c r="AQ513" s="193"/>
      <c r="AR513" s="191"/>
      <c r="AS513" s="194"/>
      <c r="AT513" s="195"/>
      <c r="AU513" s="425" t="s">
        <v>2294</v>
      </c>
      <c r="AV513" s="425"/>
      <c r="AW513" s="425"/>
      <c r="AX513" s="425"/>
      <c r="AY513" s="425"/>
      <c r="AZ513" s="425"/>
      <c r="BA513" s="425"/>
      <c r="BB513" s="425"/>
      <c r="BC513" s="440"/>
      <c r="BD513" s="404">
        <f>SUM($AS$4:AS513)</f>
        <v>2905.2454761904714</v>
      </c>
      <c r="BE513" s="405">
        <f>SUM($AR$4:AR513)</f>
        <v>5340.1999999999625</v>
      </c>
      <c r="BF513" s="330"/>
      <c r="BG513" s="330"/>
    </row>
    <row r="514" spans="1:59" ht="15.75" customHeight="1">
      <c r="A514" s="227" t="s">
        <v>2035</v>
      </c>
      <c r="B514" s="204">
        <v>45036</v>
      </c>
      <c r="C514" s="182" t="s">
        <v>1695</v>
      </c>
      <c r="D514" s="182" t="s">
        <v>74</v>
      </c>
      <c r="E514" s="233" t="s">
        <v>2295</v>
      </c>
      <c r="F514" s="184" t="s">
        <v>2296</v>
      </c>
      <c r="G514" s="185"/>
      <c r="H514" s="186">
        <v>1</v>
      </c>
      <c r="I514" s="186"/>
      <c r="J514" s="186"/>
      <c r="K514" s="187" t="s">
        <v>97</v>
      </c>
      <c r="L514" s="186"/>
      <c r="M514" s="186"/>
      <c r="N514" s="186"/>
      <c r="O514" s="187"/>
      <c r="P514" s="187"/>
      <c r="Q514" s="187"/>
      <c r="R514" s="187"/>
      <c r="S514" s="187"/>
      <c r="T514" s="187"/>
      <c r="U514" s="187"/>
      <c r="V514" s="187"/>
      <c r="W514" s="189" t="str">
        <f t="shared" si="712"/>
        <v/>
      </c>
      <c r="X514" s="189"/>
      <c r="Y514" s="189"/>
      <c r="Z514" s="189"/>
      <c r="AA514" s="190"/>
      <c r="AB514" s="186"/>
      <c r="AC514" s="344"/>
      <c r="AD514" s="186"/>
      <c r="AE514" s="186"/>
      <c r="AF514" s="186"/>
      <c r="AG514" s="186"/>
      <c r="AH514" s="186"/>
      <c r="AI514" s="191"/>
      <c r="AJ514" s="191"/>
      <c r="AK514" s="186"/>
      <c r="AL514" s="186"/>
      <c r="AM514" s="186"/>
      <c r="AN514" s="344"/>
      <c r="AO514" s="186"/>
      <c r="AP514" s="193"/>
      <c r="AQ514" s="193"/>
      <c r="AR514" s="191"/>
      <c r="AS514" s="194"/>
      <c r="AT514" s="195"/>
      <c r="AU514" s="425"/>
      <c r="AV514" s="425"/>
      <c r="AW514" s="425"/>
      <c r="AX514" s="425"/>
      <c r="AY514" s="425"/>
      <c r="AZ514" s="425"/>
      <c r="BA514" s="425"/>
      <c r="BB514" s="425"/>
      <c r="BC514" s="440" t="s">
        <v>511</v>
      </c>
      <c r="BD514" s="404">
        <f>SUM($AS$4:AS514)</f>
        <v>2905.2454761904714</v>
      </c>
      <c r="BE514" s="405">
        <f>SUM($AR$4:AR514)</f>
        <v>5340.1999999999625</v>
      </c>
      <c r="BF514" s="330"/>
      <c r="BG514" s="330"/>
    </row>
    <row r="515" spans="1:59" ht="15.75" customHeight="1">
      <c r="A515" s="227" t="s">
        <v>2035</v>
      </c>
      <c r="B515" s="204" t="s">
        <v>2297</v>
      </c>
      <c r="C515" s="182" t="s">
        <v>2298</v>
      </c>
      <c r="D515" s="182" t="s">
        <v>74</v>
      </c>
      <c r="E515" s="233"/>
      <c r="F515" s="184"/>
      <c r="G515" s="291" t="s">
        <v>2126</v>
      </c>
      <c r="H515" s="186"/>
      <c r="I515" s="186"/>
      <c r="J515" s="186"/>
      <c r="K515" s="187"/>
      <c r="L515" s="186"/>
      <c r="M515" s="186"/>
      <c r="N515" s="186"/>
      <c r="O515" s="187" t="s">
        <v>76</v>
      </c>
      <c r="P515" s="187" t="s">
        <v>77</v>
      </c>
      <c r="Q515" s="187" t="s">
        <v>78</v>
      </c>
      <c r="R515" s="187">
        <v>11</v>
      </c>
      <c r="S515" s="187">
        <v>0</v>
      </c>
      <c r="T515" s="187">
        <v>9</v>
      </c>
      <c r="U515" s="187" t="s">
        <v>22</v>
      </c>
      <c r="V515" s="188">
        <f t="shared" ref="V515" si="732">IF(ISBLANK(O515),"",(IF(O515=UPPER("IB"),0.005,0.01)))</f>
        <v>0.01</v>
      </c>
      <c r="W515" s="189">
        <f t="shared" si="712"/>
        <v>1600</v>
      </c>
      <c r="X515" s="189" t="s">
        <v>80</v>
      </c>
      <c r="Y515" s="189"/>
      <c r="Z515" s="189"/>
      <c r="AA515" s="190">
        <v>-0.06</v>
      </c>
      <c r="AB515" s="186"/>
      <c r="AC515" s="344">
        <v>-9</v>
      </c>
      <c r="AD515" s="186"/>
      <c r="AE515" s="186"/>
      <c r="AF515" s="186"/>
      <c r="AG515" s="186"/>
      <c r="AH515" s="186"/>
      <c r="AI515" s="191">
        <f>-0.03*W515</f>
        <v>-48</v>
      </c>
      <c r="AJ515" s="191">
        <f t="shared" ref="AJ515:AJ516" si="733">AI515*(R515-S515)</f>
        <v>-528</v>
      </c>
      <c r="AK515" s="186"/>
      <c r="AL515" s="186"/>
      <c r="AM515" s="186" t="s">
        <v>733</v>
      </c>
      <c r="AN515" s="344" t="s">
        <v>97</v>
      </c>
      <c r="AO515" s="186" t="s">
        <v>2299</v>
      </c>
      <c r="AP515" s="193">
        <v>-0.1</v>
      </c>
      <c r="AQ515" s="193">
        <f t="shared" ref="AQ515" si="734">IF(ISBLANK(AP515),,IF(U515="S",AA515-AP515,AP515-AA515))</f>
        <v>-4.0000000000000008E-2</v>
      </c>
      <c r="AR515" s="191">
        <f t="shared" ref="AR515" si="735">AS515*R515</f>
        <v>-704.00000000000011</v>
      </c>
      <c r="AS515" s="194">
        <f t="shared" ref="AS515" si="736">IF(ISBLANK(AP515),,(AQ515*W515))</f>
        <v>-64.000000000000014</v>
      </c>
      <c r="AT515" s="195" t="s">
        <v>211</v>
      </c>
      <c r="AU515" s="425" t="s">
        <v>2300</v>
      </c>
      <c r="AV515" s="425" t="s">
        <v>2301</v>
      </c>
      <c r="AW515" s="425" t="s">
        <v>2302</v>
      </c>
      <c r="AX515" s="425"/>
      <c r="AY515" s="425"/>
      <c r="AZ515" s="425"/>
      <c r="BA515" s="425" t="s">
        <v>2303</v>
      </c>
      <c r="BB515" s="435" t="s">
        <v>2304</v>
      </c>
      <c r="BC515" s="440" t="s">
        <v>511</v>
      </c>
      <c r="BD515" s="404">
        <f>SUM($AS$4:AS515)</f>
        <v>2841.2454761904714</v>
      </c>
      <c r="BE515" s="405">
        <f>SUM($AR$4:AR515)</f>
        <v>4636.1999999999625</v>
      </c>
      <c r="BF515" s="330"/>
      <c r="BG515" s="330"/>
    </row>
    <row r="516" spans="1:59" ht="15.75" customHeight="1">
      <c r="A516" s="227" t="s">
        <v>2035</v>
      </c>
      <c r="B516" s="204">
        <v>45036</v>
      </c>
      <c r="C516" s="182" t="s">
        <v>2305</v>
      </c>
      <c r="D516" s="182" t="s">
        <v>74</v>
      </c>
      <c r="E516" s="233"/>
      <c r="F516" s="184"/>
      <c r="G516" s="291" t="s">
        <v>163</v>
      </c>
      <c r="H516" s="186"/>
      <c r="I516" s="186"/>
      <c r="J516" s="186"/>
      <c r="K516" s="187"/>
      <c r="L516" s="186"/>
      <c r="M516" s="186"/>
      <c r="N516" s="186"/>
      <c r="O516" s="187" t="s">
        <v>76</v>
      </c>
      <c r="P516" s="187" t="s">
        <v>77</v>
      </c>
      <c r="Q516" s="187" t="s">
        <v>78</v>
      </c>
      <c r="R516" s="187">
        <v>15</v>
      </c>
      <c r="S516" s="187">
        <v>0</v>
      </c>
      <c r="T516" s="187">
        <v>14</v>
      </c>
      <c r="U516" s="187" t="s">
        <v>22</v>
      </c>
      <c r="V516" s="188">
        <f t="shared" ref="V516" si="737">IF(ISBLANK(O516),"",(IF(O516=UPPER("IB"),0.005,0.01)))</f>
        <v>0.01</v>
      </c>
      <c r="W516" s="189">
        <f t="shared" si="712"/>
        <v>1600</v>
      </c>
      <c r="X516" s="189" t="s">
        <v>80</v>
      </c>
      <c r="Y516" s="189"/>
      <c r="Z516" s="189"/>
      <c r="AA516" s="190">
        <v>-0.11</v>
      </c>
      <c r="AB516" s="186"/>
      <c r="AC516" s="344"/>
      <c r="AD516" s="186"/>
      <c r="AE516" s="186"/>
      <c r="AF516" s="186"/>
      <c r="AG516" s="186"/>
      <c r="AH516" s="186"/>
      <c r="AI516" s="191">
        <f>-0.02*W516</f>
        <v>-32</v>
      </c>
      <c r="AJ516" s="191">
        <f t="shared" si="733"/>
        <v>-480</v>
      </c>
      <c r="AK516" s="186"/>
      <c r="AL516" s="186"/>
      <c r="AM516" s="186" t="s">
        <v>571</v>
      </c>
      <c r="AN516" s="344" t="s">
        <v>97</v>
      </c>
      <c r="AO516" s="186" t="s">
        <v>2275</v>
      </c>
      <c r="AP516" s="193">
        <v>-0.1</v>
      </c>
      <c r="AQ516" s="193">
        <f t="shared" ref="AQ516" si="738">IF(ISBLANK(AP516),,IF(U516="S",AA516-AP516,AP516-AA516))</f>
        <v>9.999999999999995E-3</v>
      </c>
      <c r="AR516" s="191">
        <f t="shared" ref="AR516" si="739">AS516*R516</f>
        <v>239.99999999999989</v>
      </c>
      <c r="AS516" s="194">
        <f t="shared" ref="AS516" si="740">IF(ISBLANK(AP516),,(AQ516*W516))</f>
        <v>15.999999999999993</v>
      </c>
      <c r="AT516" s="195" t="s">
        <v>77</v>
      </c>
      <c r="AU516" s="425" t="s">
        <v>2306</v>
      </c>
      <c r="AV516" s="425" t="s">
        <v>2307</v>
      </c>
      <c r="AW516" s="425" t="s">
        <v>2308</v>
      </c>
      <c r="AX516" s="425" t="s">
        <v>2309</v>
      </c>
      <c r="AY516" s="425" t="s">
        <v>511</v>
      </c>
      <c r="AZ516" s="425"/>
      <c r="BA516" s="425" t="s">
        <v>2310</v>
      </c>
      <c r="BB516" s="425" t="s">
        <v>2311</v>
      </c>
      <c r="BC516" s="440" t="s">
        <v>511</v>
      </c>
      <c r="BD516" s="404">
        <f>SUM($AS$4:AS516)</f>
        <v>2857.2454761904714</v>
      </c>
      <c r="BE516" s="405">
        <f>SUM($AR$4:AR516)</f>
        <v>4876.1999999999625</v>
      </c>
      <c r="BF516" s="330"/>
      <c r="BG516" s="330"/>
    </row>
    <row r="517" spans="1:59" ht="15.75" customHeight="1">
      <c r="A517" s="227" t="s">
        <v>2035</v>
      </c>
      <c r="B517" s="204">
        <v>45037</v>
      </c>
      <c r="C517" s="182" t="s">
        <v>2312</v>
      </c>
      <c r="D517" s="182" t="s">
        <v>93</v>
      </c>
      <c r="E517" s="233"/>
      <c r="F517" s="184"/>
      <c r="G517" s="291" t="s">
        <v>75</v>
      </c>
      <c r="H517" s="186"/>
      <c r="I517" s="186"/>
      <c r="J517" s="186"/>
      <c r="K517" s="187"/>
      <c r="L517" s="186"/>
      <c r="M517" s="186"/>
      <c r="N517" s="186"/>
      <c r="O517" s="187" t="s">
        <v>76</v>
      </c>
      <c r="P517" s="187" t="s">
        <v>77</v>
      </c>
      <c r="Q517" s="187" t="s">
        <v>78</v>
      </c>
      <c r="R517" s="187">
        <v>28</v>
      </c>
      <c r="S517" s="187">
        <v>14</v>
      </c>
      <c r="T517" s="187">
        <v>14</v>
      </c>
      <c r="U517" s="187" t="s">
        <v>22</v>
      </c>
      <c r="V517" s="188">
        <f t="shared" ref="V517:V518" si="741">IF(ISBLANK(O517),"",(IF(O517=UPPER("IB"),0.005,0.01)))</f>
        <v>0.01</v>
      </c>
      <c r="W517" s="189">
        <f t="shared" si="712"/>
        <v>1600</v>
      </c>
      <c r="X517" s="189" t="s">
        <v>80</v>
      </c>
      <c r="Y517" s="189" t="s">
        <v>2313</v>
      </c>
      <c r="Z517" s="189" t="s">
        <v>511</v>
      </c>
      <c r="AA517" s="190">
        <v>-0.01</v>
      </c>
      <c r="AB517" s="186"/>
      <c r="AC517" s="344"/>
      <c r="AD517" s="186"/>
      <c r="AE517" s="186"/>
      <c r="AF517" s="186"/>
      <c r="AG517" s="186"/>
      <c r="AH517" s="186"/>
      <c r="AI517" s="191">
        <f>-0.03*W517</f>
        <v>-48</v>
      </c>
      <c r="AJ517" s="191">
        <f t="shared" ref="AJ517" si="742">AI517*(R517-S517)</f>
        <v>-672</v>
      </c>
      <c r="AK517" s="186"/>
      <c r="AL517" s="186"/>
      <c r="AM517" s="186" t="s">
        <v>2314</v>
      </c>
      <c r="AN517" s="344" t="s">
        <v>97</v>
      </c>
      <c r="AO517" s="186" t="s">
        <v>2315</v>
      </c>
      <c r="AP517" s="193">
        <f>((-0.01*14)+(-0.04*14))/28</f>
        <v>-2.5000000000000001E-2</v>
      </c>
      <c r="AQ517" s="193">
        <f t="shared" ref="AQ517" si="743">IF(ISBLANK(AP517),,IF(U517="S",AA517-AP517,AP517-AA517))</f>
        <v>-1.5000000000000001E-2</v>
      </c>
      <c r="AR517" s="191">
        <f t="shared" ref="AR517" si="744">AS517*R517</f>
        <v>-672.00000000000011</v>
      </c>
      <c r="AS517" s="194">
        <f t="shared" ref="AS517" si="745">IF(ISBLANK(AP517),,(AQ517*W517))</f>
        <v>-24.000000000000004</v>
      </c>
      <c r="AT517" s="195" t="s">
        <v>211</v>
      </c>
      <c r="AU517" s="425" t="s">
        <v>2316</v>
      </c>
      <c r="AV517" s="425" t="s">
        <v>2317</v>
      </c>
      <c r="AW517" s="425" t="s">
        <v>2318</v>
      </c>
      <c r="AX517" s="425"/>
      <c r="AY517" s="425"/>
      <c r="AZ517" s="425"/>
      <c r="BA517" s="425"/>
      <c r="BB517" s="425"/>
      <c r="BC517" s="440"/>
      <c r="BD517" s="404">
        <f>SUM($AS$4:AS517)</f>
        <v>2833.2454761904714</v>
      </c>
      <c r="BE517" s="405">
        <f>SUM($AR$4:AR517)</f>
        <v>4204.1999999999625</v>
      </c>
      <c r="BF517" s="330"/>
      <c r="BG517" s="330"/>
    </row>
    <row r="518" spans="1:59" ht="15.75" customHeight="1">
      <c r="A518" s="227" t="s">
        <v>2035</v>
      </c>
      <c r="B518" s="204">
        <v>45037</v>
      </c>
      <c r="C518" s="182" t="s">
        <v>2234</v>
      </c>
      <c r="D518" s="182" t="s">
        <v>93</v>
      </c>
      <c r="E518" s="233"/>
      <c r="F518" s="184"/>
      <c r="G518" s="369" t="s">
        <v>2126</v>
      </c>
      <c r="H518" s="186"/>
      <c r="I518" s="186"/>
      <c r="J518" s="186"/>
      <c r="K518" s="187"/>
      <c r="L518" s="186"/>
      <c r="M518" s="186"/>
      <c r="N518" s="186"/>
      <c r="O518" s="187" t="s">
        <v>76</v>
      </c>
      <c r="P518" s="187" t="s">
        <v>77</v>
      </c>
      <c r="Q518" s="187" t="s">
        <v>78</v>
      </c>
      <c r="R518" s="187">
        <v>21</v>
      </c>
      <c r="S518" s="187">
        <v>0</v>
      </c>
      <c r="T518" s="187">
        <v>21</v>
      </c>
      <c r="U518" s="187" t="s">
        <v>22</v>
      </c>
      <c r="V518" s="188">
        <f t="shared" si="741"/>
        <v>0.01</v>
      </c>
      <c r="W518" s="189">
        <f t="shared" si="712"/>
        <v>1600</v>
      </c>
      <c r="X518" s="189"/>
      <c r="Y518" s="189" t="s">
        <v>2228</v>
      </c>
      <c r="Z518" s="189"/>
      <c r="AA518" s="190">
        <v>-7.0000000000000007E-2</v>
      </c>
      <c r="AB518" s="186"/>
      <c r="AC518" s="344"/>
      <c r="AD518" s="186"/>
      <c r="AE518" s="186"/>
      <c r="AF518" s="186"/>
      <c r="AG518" s="186"/>
      <c r="AH518" s="186"/>
      <c r="AI518" s="191">
        <f>-0.025*W518</f>
        <v>-40</v>
      </c>
      <c r="AJ518" s="191">
        <f t="shared" ref="AJ518" si="746">AI518*(R518-S518)</f>
        <v>-840</v>
      </c>
      <c r="AK518" s="186"/>
      <c r="AL518" s="186"/>
      <c r="AM518" s="186" t="s">
        <v>733</v>
      </c>
      <c r="AN518" s="344" t="s">
        <v>97</v>
      </c>
      <c r="AO518" s="186" t="s">
        <v>2319</v>
      </c>
      <c r="AP518" s="193">
        <f>((-0.09*16)+(-0.09*5))/21</f>
        <v>-0.09</v>
      </c>
      <c r="AQ518" s="193">
        <f t="shared" ref="AQ518" si="747">IF(ISBLANK(AP518),,IF(U518="S",AA518-AP518,AP518-AA518))</f>
        <v>-1.999999999999999E-2</v>
      </c>
      <c r="AR518" s="191">
        <f t="shared" ref="AR518" si="748">AS518*R518</f>
        <v>-671.99999999999966</v>
      </c>
      <c r="AS518" s="194">
        <f t="shared" ref="AS518" si="749">IF(ISBLANK(AP518),,(AQ518*W518))</f>
        <v>-31.999999999999986</v>
      </c>
      <c r="AT518" s="195" t="s">
        <v>211</v>
      </c>
      <c r="AU518" s="425"/>
      <c r="AV518" s="425"/>
      <c r="AW518" s="425"/>
      <c r="AX518" s="425"/>
      <c r="AY518" s="425"/>
      <c r="AZ518" s="425"/>
      <c r="BA518" s="425"/>
      <c r="BB518" s="425"/>
      <c r="BC518" s="440"/>
      <c r="BD518" s="404">
        <f>SUM($AS$4:AS518)</f>
        <v>2801.2454761904714</v>
      </c>
      <c r="BE518" s="405">
        <f>SUM($AR$4:AR518)</f>
        <v>3532.199999999963</v>
      </c>
      <c r="BF518" s="330"/>
      <c r="BG518" s="330"/>
    </row>
    <row r="519" spans="1:59" ht="15.75" customHeight="1">
      <c r="A519" s="227" t="s">
        <v>2035</v>
      </c>
      <c r="B519" s="204">
        <v>45037</v>
      </c>
      <c r="C519" s="182" t="s">
        <v>2234</v>
      </c>
      <c r="D519" s="182" t="s">
        <v>93</v>
      </c>
      <c r="E519" s="233" t="s">
        <v>2320</v>
      </c>
      <c r="F519" s="184"/>
      <c r="G519" s="185"/>
      <c r="H519" s="186"/>
      <c r="I519" s="186"/>
      <c r="J519" s="186">
        <v>1</v>
      </c>
      <c r="K519" s="187" t="s">
        <v>97</v>
      </c>
      <c r="L519" s="186"/>
      <c r="M519" s="186"/>
      <c r="N519" s="186"/>
      <c r="O519" s="187"/>
      <c r="P519" s="187"/>
      <c r="Q519" s="187"/>
      <c r="R519" s="187"/>
      <c r="S519" s="187"/>
      <c r="T519" s="187"/>
      <c r="U519" s="187"/>
      <c r="V519" s="188" t="str">
        <f t="shared" ref="V519:V524" si="750">IF(ISBLANK(O519),"",(IF(O519=UPPER("IB"),0.005,0.01)))</f>
        <v/>
      </c>
      <c r="W519" s="189" t="str">
        <f t="shared" si="712"/>
        <v/>
      </c>
      <c r="X519" s="189"/>
      <c r="Y519" s="189"/>
      <c r="Z519" s="189"/>
      <c r="AA519" s="190"/>
      <c r="AB519" s="186"/>
      <c r="AC519" s="344"/>
      <c r="AD519" s="186"/>
      <c r="AE519" s="186"/>
      <c r="AF519" s="186"/>
      <c r="AG519" s="186"/>
      <c r="AH519" s="186"/>
      <c r="AI519" s="191"/>
      <c r="AJ519" s="191"/>
      <c r="AK519" s="186"/>
      <c r="AL519" s="186"/>
      <c r="AM519" s="186"/>
      <c r="AN519" s="344"/>
      <c r="AO519" s="186"/>
      <c r="AP519" s="193"/>
      <c r="AQ519" s="193"/>
      <c r="AR519" s="191"/>
      <c r="AS519" s="194"/>
      <c r="AT519" s="195"/>
      <c r="AU519" s="425"/>
      <c r="AV519" s="425"/>
      <c r="AW519" s="425"/>
      <c r="AX519" s="425"/>
      <c r="AY519" s="425"/>
      <c r="AZ519" s="425"/>
      <c r="BA519" s="425"/>
      <c r="BB519" s="425"/>
      <c r="BC519" s="440"/>
      <c r="BD519" s="404">
        <f>SUM($AS$4:AS519)</f>
        <v>2801.2454761904714</v>
      </c>
      <c r="BE519" s="405">
        <f>SUM($AR$4:AR519)</f>
        <v>3532.199999999963</v>
      </c>
      <c r="BF519" s="330"/>
      <c r="BG519" s="330"/>
    </row>
    <row r="520" spans="1:59" ht="15.75" customHeight="1">
      <c r="A520" s="227" t="s">
        <v>2035</v>
      </c>
      <c r="B520" s="204">
        <v>45037</v>
      </c>
      <c r="C520" s="182" t="s">
        <v>1455</v>
      </c>
      <c r="D520" s="182" t="s">
        <v>93</v>
      </c>
      <c r="E520" s="233" t="s">
        <v>2321</v>
      </c>
      <c r="F520" s="184" t="s">
        <v>2322</v>
      </c>
      <c r="G520" s="185"/>
      <c r="H520" s="186">
        <v>1</v>
      </c>
      <c r="I520" s="186"/>
      <c r="J520" s="186"/>
      <c r="K520" s="187" t="s">
        <v>87</v>
      </c>
      <c r="L520" s="186"/>
      <c r="M520" s="186"/>
      <c r="N520" s="186"/>
      <c r="O520" s="187"/>
      <c r="P520" s="187"/>
      <c r="Q520" s="187"/>
      <c r="R520" s="187"/>
      <c r="S520" s="187"/>
      <c r="T520" s="187"/>
      <c r="U520" s="187"/>
      <c r="V520" s="188" t="str">
        <f t="shared" si="750"/>
        <v/>
      </c>
      <c r="W520" s="189" t="str">
        <f t="shared" si="712"/>
        <v/>
      </c>
      <c r="X520" s="189"/>
      <c r="Y520" s="189"/>
      <c r="Z520" s="189"/>
      <c r="AA520" s="190"/>
      <c r="AB520" s="186"/>
      <c r="AC520" s="344"/>
      <c r="AD520" s="186"/>
      <c r="AE520" s="186"/>
      <c r="AF520" s="186"/>
      <c r="AG520" s="186"/>
      <c r="AH520" s="186"/>
      <c r="AI520" s="191"/>
      <c r="AJ520" s="191"/>
      <c r="AK520" s="186"/>
      <c r="AL520" s="186"/>
      <c r="AM520" s="186"/>
      <c r="AN520" s="344"/>
      <c r="AO520" s="186"/>
      <c r="AP520" s="193"/>
      <c r="AQ520" s="193"/>
      <c r="AR520" s="191"/>
      <c r="AS520" s="194"/>
      <c r="AT520" s="195"/>
      <c r="AU520" s="451" t="s">
        <v>2323</v>
      </c>
      <c r="AV520" s="425" t="s">
        <v>2324</v>
      </c>
      <c r="AW520" s="425" t="s">
        <v>2325</v>
      </c>
      <c r="AX520" s="425" t="s">
        <v>2326</v>
      </c>
      <c r="AY520" s="425" t="s">
        <v>2327</v>
      </c>
      <c r="AZ520" s="425" t="s">
        <v>2328</v>
      </c>
      <c r="BA520" s="425" t="s">
        <v>2329</v>
      </c>
      <c r="BB520" s="425" t="s">
        <v>2330</v>
      </c>
      <c r="BC520" s="440"/>
      <c r="BD520" s="404">
        <f>SUM($AS$4:AS520)</f>
        <v>2801.2454761904714</v>
      </c>
      <c r="BE520" s="405">
        <f>SUM($AR$4:AR520)</f>
        <v>3532.199999999963</v>
      </c>
      <c r="BF520" s="330"/>
      <c r="BG520" s="330"/>
    </row>
    <row r="521" spans="1:59" ht="15.75" customHeight="1">
      <c r="A521" s="227" t="s">
        <v>2035</v>
      </c>
      <c r="B521" s="204">
        <v>45041</v>
      </c>
      <c r="C521" s="182" t="s">
        <v>1169</v>
      </c>
      <c r="D521" s="182" t="s">
        <v>128</v>
      </c>
      <c r="E521" s="233" t="s">
        <v>2331</v>
      </c>
      <c r="F521" s="184"/>
      <c r="G521" s="185"/>
      <c r="H521" s="186"/>
      <c r="I521" s="186"/>
      <c r="J521" s="186">
        <v>1</v>
      </c>
      <c r="K521" s="187" t="s">
        <v>97</v>
      </c>
      <c r="L521" s="186"/>
      <c r="M521" s="186"/>
      <c r="N521" s="186"/>
      <c r="O521" s="187"/>
      <c r="P521" s="187"/>
      <c r="Q521" s="187"/>
      <c r="R521" s="187"/>
      <c r="S521" s="187"/>
      <c r="T521" s="187"/>
      <c r="U521" s="187"/>
      <c r="V521" s="188" t="str">
        <f t="shared" si="750"/>
        <v/>
      </c>
      <c r="W521" s="189" t="str">
        <f t="shared" si="712"/>
        <v/>
      </c>
      <c r="X521" s="189"/>
      <c r="Y521" s="189"/>
      <c r="Z521" s="189"/>
      <c r="AA521" s="190"/>
      <c r="AB521" s="186"/>
      <c r="AC521" s="344"/>
      <c r="AD521" s="186"/>
      <c r="AE521" s="186"/>
      <c r="AF521" s="186"/>
      <c r="AG521" s="186"/>
      <c r="AH521" s="186"/>
      <c r="AI521" s="191"/>
      <c r="AJ521" s="191"/>
      <c r="AK521" s="186"/>
      <c r="AL521" s="186"/>
      <c r="AM521" s="186"/>
      <c r="AN521" s="344"/>
      <c r="AO521" s="186"/>
      <c r="AP521" s="193"/>
      <c r="AQ521" s="193"/>
      <c r="AR521" s="191"/>
      <c r="AS521" s="194"/>
      <c r="AT521" s="195"/>
      <c r="AU521" s="425" t="s">
        <v>2332</v>
      </c>
      <c r="AV521" s="425" t="s">
        <v>511</v>
      </c>
      <c r="AW521" s="425"/>
      <c r="AX521" s="425"/>
      <c r="AY521" s="425"/>
      <c r="AZ521" s="425"/>
      <c r="BA521" s="425"/>
      <c r="BB521" s="425"/>
      <c r="BC521" s="440"/>
      <c r="BD521" s="404">
        <f>SUM($AS$4:AS521)</f>
        <v>2801.2454761904714</v>
      </c>
      <c r="BE521" s="405">
        <f>SUM($AR$4:AR521)</f>
        <v>3532.199999999963</v>
      </c>
      <c r="BF521" s="330"/>
      <c r="BG521" s="330"/>
    </row>
    <row r="522" spans="1:59" ht="15.75" customHeight="1">
      <c r="A522" s="227" t="s">
        <v>2035</v>
      </c>
      <c r="B522" s="204"/>
      <c r="C522" s="182"/>
      <c r="D522" s="182"/>
      <c r="E522" s="233" t="s">
        <v>2333</v>
      </c>
      <c r="F522" s="184"/>
      <c r="G522" s="185"/>
      <c r="H522" s="186">
        <v>1</v>
      </c>
      <c r="I522" s="186"/>
      <c r="J522" s="186"/>
      <c r="K522" s="187" t="s">
        <v>87</v>
      </c>
      <c r="L522" s="186"/>
      <c r="M522" s="186"/>
      <c r="N522" s="186"/>
      <c r="O522" s="187"/>
      <c r="P522" s="187"/>
      <c r="Q522" s="187"/>
      <c r="R522" s="187"/>
      <c r="S522" s="187"/>
      <c r="T522" s="187"/>
      <c r="U522" s="187"/>
      <c r="V522" s="188" t="str">
        <f t="shared" si="750"/>
        <v/>
      </c>
      <c r="W522" s="189" t="str">
        <f t="shared" si="712"/>
        <v/>
      </c>
      <c r="X522" s="189"/>
      <c r="Y522" s="189"/>
      <c r="Z522" s="189"/>
      <c r="AA522" s="190"/>
      <c r="AB522" s="186"/>
      <c r="AC522" s="344"/>
      <c r="AD522" s="186"/>
      <c r="AE522" s="186"/>
      <c r="AF522" s="186"/>
      <c r="AG522" s="186"/>
      <c r="AH522" s="186"/>
      <c r="AI522" s="191"/>
      <c r="AJ522" s="191"/>
      <c r="AK522" s="186"/>
      <c r="AL522" s="186"/>
      <c r="AM522" s="186"/>
      <c r="AN522" s="344"/>
      <c r="AO522" s="186"/>
      <c r="AP522" s="193"/>
      <c r="AQ522" s="193"/>
      <c r="AR522" s="191"/>
      <c r="AS522" s="194"/>
      <c r="AT522" s="195"/>
      <c r="AU522" s="425" t="s">
        <v>2334</v>
      </c>
      <c r="AV522" s="425" t="s">
        <v>511</v>
      </c>
      <c r="AW522" s="425"/>
      <c r="AX522" s="425"/>
      <c r="AY522" s="425"/>
      <c r="AZ522" s="425"/>
      <c r="BA522" s="425"/>
      <c r="BB522" s="425"/>
      <c r="BC522" s="440"/>
      <c r="BD522" s="404">
        <f>SUM($AS$4:AS522)</f>
        <v>2801.2454761904714</v>
      </c>
      <c r="BE522" s="405">
        <f>SUM($AR$4:AR522)</f>
        <v>3532.199999999963</v>
      </c>
      <c r="BF522" s="330"/>
      <c r="BG522" s="330"/>
    </row>
    <row r="523" spans="1:59" ht="15.75" customHeight="1">
      <c r="A523" s="227" t="s">
        <v>2035</v>
      </c>
      <c r="B523" s="204"/>
      <c r="C523" s="182"/>
      <c r="D523" s="182"/>
      <c r="E523" s="233" t="s">
        <v>2335</v>
      </c>
      <c r="F523" s="184"/>
      <c r="G523" s="185"/>
      <c r="H523" s="186"/>
      <c r="I523" s="186"/>
      <c r="J523" s="186"/>
      <c r="K523" s="187"/>
      <c r="L523" s="186"/>
      <c r="M523" s="186"/>
      <c r="N523" s="186"/>
      <c r="O523" s="187"/>
      <c r="P523" s="187"/>
      <c r="Q523" s="187"/>
      <c r="R523" s="187"/>
      <c r="S523" s="187"/>
      <c r="T523" s="187"/>
      <c r="U523" s="187"/>
      <c r="V523" s="282"/>
      <c r="W523" s="189" t="str">
        <f t="shared" si="712"/>
        <v/>
      </c>
      <c r="X523" s="189"/>
      <c r="Y523" s="189"/>
      <c r="Z523" s="189"/>
      <c r="AA523" s="190"/>
      <c r="AB523" s="186"/>
      <c r="AC523" s="344"/>
      <c r="AD523" s="186"/>
      <c r="AE523" s="186"/>
      <c r="AF523" s="186"/>
      <c r="AG523" s="186"/>
      <c r="AH523" s="186"/>
      <c r="AI523" s="191"/>
      <c r="AJ523" s="191"/>
      <c r="AK523" s="186"/>
      <c r="AL523" s="186"/>
      <c r="AM523" s="186"/>
      <c r="AN523" s="344"/>
      <c r="AO523" s="186"/>
      <c r="AP523" s="193"/>
      <c r="AQ523" s="193"/>
      <c r="AR523" s="191"/>
      <c r="AS523" s="194"/>
      <c r="AT523" s="195"/>
      <c r="AU523" s="425"/>
      <c r="AV523" s="425"/>
      <c r="AW523" s="425"/>
      <c r="AX523" s="425"/>
      <c r="AY523" s="425"/>
      <c r="AZ523" s="425"/>
      <c r="BA523" s="425"/>
      <c r="BB523" s="425"/>
      <c r="BC523" s="440"/>
      <c r="BD523" s="404">
        <f>SUM($AS$4:AS523)</f>
        <v>2801.2454761904714</v>
      </c>
      <c r="BE523" s="405">
        <f>SUM($AR$4:AR523)</f>
        <v>3532.199999999963</v>
      </c>
      <c r="BF523" s="330"/>
      <c r="BG523" s="330"/>
    </row>
    <row r="524" spans="1:59" ht="15.75" customHeight="1">
      <c r="A524" s="227" t="s">
        <v>2035</v>
      </c>
      <c r="B524" s="204">
        <v>45041</v>
      </c>
      <c r="C524" s="182" t="s">
        <v>2336</v>
      </c>
      <c r="D524" s="182" t="s">
        <v>128</v>
      </c>
      <c r="E524" s="233"/>
      <c r="F524" s="184"/>
      <c r="G524" s="291" t="s">
        <v>75</v>
      </c>
      <c r="H524" s="186"/>
      <c r="I524" s="186"/>
      <c r="J524" s="186"/>
      <c r="K524" s="187"/>
      <c r="L524" s="186"/>
      <c r="M524" s="186"/>
      <c r="N524" s="186"/>
      <c r="O524" s="187" t="s">
        <v>76</v>
      </c>
      <c r="P524" s="187" t="s">
        <v>77</v>
      </c>
      <c r="Q524" s="187" t="s">
        <v>78</v>
      </c>
      <c r="R524" s="187">
        <v>24</v>
      </c>
      <c r="S524" s="187">
        <v>3</v>
      </c>
      <c r="T524" s="187">
        <v>24</v>
      </c>
      <c r="U524" s="187" t="s">
        <v>22</v>
      </c>
      <c r="V524" s="188">
        <f t="shared" si="750"/>
        <v>0.01</v>
      </c>
      <c r="W524" s="189">
        <f t="shared" si="712"/>
        <v>1600</v>
      </c>
      <c r="X524" s="189" t="s">
        <v>2337</v>
      </c>
      <c r="Y524" s="189"/>
      <c r="Z524" s="189"/>
      <c r="AA524" s="190">
        <v>-0.03</v>
      </c>
      <c r="AB524" s="186"/>
      <c r="AC524" s="344"/>
      <c r="AD524" s="186"/>
      <c r="AE524" s="186"/>
      <c r="AF524" s="186"/>
      <c r="AG524" s="186"/>
      <c r="AH524" s="186"/>
      <c r="AI524" s="191">
        <f t="shared" ref="AI524" si="751">-0.025*W524</f>
        <v>-40</v>
      </c>
      <c r="AJ524" s="191">
        <f t="shared" ref="AJ524" si="752">AI524*(R524-S524)</f>
        <v>-840</v>
      </c>
      <c r="AK524" s="186"/>
      <c r="AL524" s="186"/>
      <c r="AM524" s="186" t="s">
        <v>2338</v>
      </c>
      <c r="AN524" s="344" t="s">
        <v>87</v>
      </c>
      <c r="AO524" s="186" t="s">
        <v>2339</v>
      </c>
      <c r="AP524" s="193">
        <f>((-0.03*21)+(-0.04*3))/24</f>
        <v>-3.125E-2</v>
      </c>
      <c r="AQ524" s="193">
        <f t="shared" ref="AQ524" si="753">IF(ISBLANK(AP524),,IF(U524="S",AA524-AP524,AP524-AA524))</f>
        <v>-1.2500000000000011E-3</v>
      </c>
      <c r="AR524" s="191">
        <f t="shared" ref="AR524" si="754">AS524*R524</f>
        <v>-48.000000000000043</v>
      </c>
      <c r="AS524" s="194">
        <f t="shared" ref="AS524" si="755">IF(ISBLANK(AP524),,(AQ524*W524))</f>
        <v>-2.0000000000000018</v>
      </c>
      <c r="AT524" s="195" t="s">
        <v>211</v>
      </c>
      <c r="AU524" s="425"/>
      <c r="AV524" s="425"/>
      <c r="AW524" s="425"/>
      <c r="AX524" s="425"/>
      <c r="AY524" s="425"/>
      <c r="AZ524" s="425"/>
      <c r="BA524" s="425"/>
      <c r="BB524" s="425"/>
      <c r="BC524" s="440"/>
      <c r="BD524" s="404">
        <f>SUM($AS$4:AS524)</f>
        <v>2799.2454761904714</v>
      </c>
      <c r="BE524" s="405">
        <f>SUM($AR$4:AR524)</f>
        <v>3484.199999999963</v>
      </c>
      <c r="BF524" s="330"/>
      <c r="BG524" s="330"/>
    </row>
    <row r="525" spans="1:59" ht="15.75" customHeight="1">
      <c r="A525" s="227" t="s">
        <v>2035</v>
      </c>
      <c r="B525" s="204"/>
      <c r="C525" s="182"/>
      <c r="D525" s="182"/>
      <c r="E525" s="233"/>
      <c r="F525" s="184"/>
      <c r="G525" s="185"/>
      <c r="H525" s="186"/>
      <c r="I525" s="186"/>
      <c r="J525" s="186"/>
      <c r="K525" s="187"/>
      <c r="L525" s="186"/>
      <c r="M525" s="186"/>
      <c r="N525" s="186"/>
      <c r="O525" s="187"/>
      <c r="P525" s="187"/>
      <c r="Q525" s="187"/>
      <c r="R525" s="187"/>
      <c r="S525" s="187"/>
      <c r="T525" s="187"/>
      <c r="U525" s="187"/>
      <c r="V525" s="187"/>
      <c r="W525" s="189" t="str">
        <f t="shared" si="712"/>
        <v/>
      </c>
      <c r="X525" s="189"/>
      <c r="Y525" s="189"/>
      <c r="Z525" s="189"/>
      <c r="AA525" s="190"/>
      <c r="AB525" s="186"/>
      <c r="AC525" s="344"/>
      <c r="AD525" s="186"/>
      <c r="AE525" s="186"/>
      <c r="AF525" s="186"/>
      <c r="AG525" s="186"/>
      <c r="AH525" s="186"/>
      <c r="AI525" s="191"/>
      <c r="AJ525" s="191"/>
      <c r="AK525" s="186"/>
      <c r="AL525" s="186"/>
      <c r="AM525" s="186"/>
      <c r="AN525" s="344"/>
      <c r="AO525" s="186"/>
      <c r="AP525" s="193"/>
      <c r="AQ525" s="193"/>
      <c r="AR525" s="191"/>
      <c r="AS525" s="194"/>
      <c r="AT525" s="195"/>
      <c r="AU525" s="425" t="s">
        <v>2334</v>
      </c>
      <c r="AV525" s="425" t="s">
        <v>2340</v>
      </c>
      <c r="AW525" s="425" t="s">
        <v>2341</v>
      </c>
      <c r="AX525" s="425"/>
      <c r="AY525" s="425"/>
      <c r="AZ525" s="425"/>
      <c r="BA525" s="425"/>
      <c r="BB525" s="425"/>
      <c r="BC525" s="440"/>
      <c r="BD525" s="404">
        <f>SUM($AS$4:AS525)</f>
        <v>2799.2454761904714</v>
      </c>
      <c r="BE525" s="405">
        <f>SUM($AR$4:AR525)</f>
        <v>3484.199999999963</v>
      </c>
      <c r="BF525" s="330"/>
      <c r="BG525" s="330"/>
    </row>
    <row r="526" spans="1:59" ht="15.75" customHeight="1">
      <c r="A526" s="227" t="s">
        <v>2035</v>
      </c>
      <c r="B526" s="204">
        <v>45042</v>
      </c>
      <c r="C526" s="182" t="s">
        <v>2062</v>
      </c>
      <c r="D526" s="182" t="s">
        <v>133</v>
      </c>
      <c r="E526" s="233" t="s">
        <v>2342</v>
      </c>
      <c r="F526" s="184" t="s">
        <v>2343</v>
      </c>
      <c r="G526" s="185"/>
      <c r="H526" s="186"/>
      <c r="I526" s="186"/>
      <c r="J526" s="186">
        <v>1</v>
      </c>
      <c r="K526" s="187" t="s">
        <v>97</v>
      </c>
      <c r="L526" s="186"/>
      <c r="M526" s="186"/>
      <c r="N526" s="186"/>
      <c r="O526" s="187"/>
      <c r="P526" s="187"/>
      <c r="Q526" s="187"/>
      <c r="R526" s="187"/>
      <c r="S526" s="187"/>
      <c r="T526" s="187"/>
      <c r="U526" s="187"/>
      <c r="V526" s="187"/>
      <c r="W526" s="189" t="str">
        <f t="shared" si="712"/>
        <v/>
      </c>
      <c r="X526" s="189"/>
      <c r="Y526" s="189"/>
      <c r="Z526" s="189"/>
      <c r="AA526" s="190"/>
      <c r="AB526" s="186"/>
      <c r="AC526" s="344"/>
      <c r="AD526" s="186"/>
      <c r="AE526" s="186"/>
      <c r="AF526" s="186"/>
      <c r="AG526" s="186"/>
      <c r="AH526" s="186"/>
      <c r="AI526" s="191"/>
      <c r="AJ526" s="191"/>
      <c r="AK526" s="186"/>
      <c r="AL526" s="186"/>
      <c r="AM526" s="186"/>
      <c r="AN526" s="344"/>
      <c r="AO526" s="186"/>
      <c r="AP526" s="193"/>
      <c r="AQ526" s="193"/>
      <c r="AR526" s="191"/>
      <c r="AS526" s="194"/>
      <c r="AT526" s="195"/>
      <c r="AU526" s="425"/>
      <c r="AV526" s="425"/>
      <c r="AW526" s="425"/>
      <c r="AX526" s="425"/>
      <c r="AY526" s="425"/>
      <c r="AZ526" s="425"/>
      <c r="BA526" s="425"/>
      <c r="BB526" s="425"/>
      <c r="BC526" s="440"/>
      <c r="BD526" s="404">
        <f>SUM($AS$4:AS526)</f>
        <v>2799.2454761904714</v>
      </c>
      <c r="BE526" s="405">
        <f>SUM($AR$4:AR526)</f>
        <v>3484.199999999963</v>
      </c>
      <c r="BF526" s="330"/>
      <c r="BG526" s="330"/>
    </row>
    <row r="527" spans="1:59" ht="15.75" customHeight="1">
      <c r="A527" s="227" t="s">
        <v>2035</v>
      </c>
      <c r="B527" s="204"/>
      <c r="C527" s="182"/>
      <c r="D527" s="182"/>
      <c r="E527" s="233" t="s">
        <v>2344</v>
      </c>
      <c r="F527" s="184"/>
      <c r="G527" s="185"/>
      <c r="H527" s="186">
        <v>1</v>
      </c>
      <c r="I527" s="186"/>
      <c r="J527" s="186"/>
      <c r="K527" s="187" t="s">
        <v>87</v>
      </c>
      <c r="L527" s="186"/>
      <c r="M527" s="186"/>
      <c r="N527" s="186"/>
      <c r="O527" s="187"/>
      <c r="P527" s="187"/>
      <c r="Q527" s="187"/>
      <c r="R527" s="187"/>
      <c r="S527" s="187"/>
      <c r="T527" s="187"/>
      <c r="U527" s="187"/>
      <c r="V527" s="187"/>
      <c r="W527" s="189" t="str">
        <f t="shared" si="712"/>
        <v/>
      </c>
      <c r="X527" s="189"/>
      <c r="Y527" s="189"/>
      <c r="Z527" s="189"/>
      <c r="AA527" s="190"/>
      <c r="AB527" s="186"/>
      <c r="AC527" s="344"/>
      <c r="AD527" s="186"/>
      <c r="AE527" s="186"/>
      <c r="AF527" s="186"/>
      <c r="AG527" s="186"/>
      <c r="AH527" s="186"/>
      <c r="AI527" s="191"/>
      <c r="AJ527" s="191"/>
      <c r="AK527" s="186"/>
      <c r="AL527" s="186"/>
      <c r="AM527" s="186"/>
      <c r="AN527" s="344"/>
      <c r="AO527" s="186"/>
      <c r="AP527" s="193"/>
      <c r="AQ527" s="193"/>
      <c r="AR527" s="191"/>
      <c r="AS527" s="194"/>
      <c r="AT527" s="195"/>
      <c r="AU527" s="425"/>
      <c r="AV527" s="425"/>
      <c r="AW527" s="425"/>
      <c r="AX527" s="425"/>
      <c r="AY527" s="425"/>
      <c r="AZ527" s="425"/>
      <c r="BA527" s="425"/>
      <c r="BB527" s="425"/>
      <c r="BC527" s="440"/>
      <c r="BD527" s="404">
        <f>SUM($AS$4:AS527)</f>
        <v>2799.2454761904714</v>
      </c>
      <c r="BE527" s="405">
        <f>SUM($AR$4:AR527)</f>
        <v>3484.199999999963</v>
      </c>
      <c r="BF527" s="330"/>
      <c r="BG527" s="330"/>
    </row>
    <row r="528" spans="1:59" ht="15.75" customHeight="1">
      <c r="A528" s="227" t="s">
        <v>2035</v>
      </c>
      <c r="B528" s="204"/>
      <c r="C528" s="182"/>
      <c r="D528" s="182"/>
      <c r="E528" s="233" t="s">
        <v>2345</v>
      </c>
      <c r="F528" s="184"/>
      <c r="G528" s="185"/>
      <c r="H528" s="186"/>
      <c r="I528" s="186"/>
      <c r="J528" s="186">
        <v>1</v>
      </c>
      <c r="K528" s="187" t="s">
        <v>97</v>
      </c>
      <c r="L528" s="186"/>
      <c r="M528" s="186"/>
      <c r="N528" s="186"/>
      <c r="O528" s="187"/>
      <c r="P528" s="187"/>
      <c r="Q528" s="187"/>
      <c r="R528" s="187"/>
      <c r="S528" s="187"/>
      <c r="T528" s="187"/>
      <c r="U528" s="187"/>
      <c r="V528" s="187"/>
      <c r="W528" s="189" t="str">
        <f t="shared" si="712"/>
        <v/>
      </c>
      <c r="X528" s="189"/>
      <c r="Y528" s="189"/>
      <c r="Z528" s="189"/>
      <c r="AA528" s="190"/>
      <c r="AB528" s="186"/>
      <c r="AC528" s="344"/>
      <c r="AD528" s="186"/>
      <c r="AE528" s="186"/>
      <c r="AF528" s="186"/>
      <c r="AG528" s="186"/>
      <c r="AH528" s="186"/>
      <c r="AI528" s="191"/>
      <c r="AJ528" s="191"/>
      <c r="AK528" s="186"/>
      <c r="AL528" s="186"/>
      <c r="AM528" s="186"/>
      <c r="AN528" s="344"/>
      <c r="AO528" s="186"/>
      <c r="AP528" s="193"/>
      <c r="AQ528" s="193"/>
      <c r="AR528" s="191"/>
      <c r="AS528" s="194"/>
      <c r="AT528" s="195"/>
      <c r="AU528" s="425"/>
      <c r="AV528" s="425"/>
      <c r="AW528" s="425"/>
      <c r="AX528" s="425"/>
      <c r="AY528" s="425"/>
      <c r="AZ528" s="425"/>
      <c r="BA528" s="425"/>
      <c r="BB528" s="425"/>
      <c r="BC528" s="440"/>
      <c r="BD528" s="404">
        <f>SUM($AS$4:AS528)</f>
        <v>2799.2454761904714</v>
      </c>
      <c r="BE528" s="405">
        <f>SUM($AR$4:AR528)</f>
        <v>3484.199999999963</v>
      </c>
      <c r="BF528" s="330"/>
      <c r="BG528" s="330"/>
    </row>
    <row r="529" spans="1:59" ht="15.75" customHeight="1">
      <c r="A529" s="227" t="s">
        <v>2035</v>
      </c>
      <c r="B529" s="204">
        <v>45042</v>
      </c>
      <c r="C529" s="182" t="s">
        <v>664</v>
      </c>
      <c r="D529" s="182" t="s">
        <v>133</v>
      </c>
      <c r="E529" s="182"/>
      <c r="F529" s="184"/>
      <c r="G529" s="291" t="s">
        <v>163</v>
      </c>
      <c r="H529" s="186"/>
      <c r="I529" s="186"/>
      <c r="J529" s="186"/>
      <c r="K529" s="187"/>
      <c r="L529" s="186">
        <v>1</v>
      </c>
      <c r="M529" s="186">
        <v>1</v>
      </c>
      <c r="N529" s="186"/>
      <c r="O529" s="187" t="s">
        <v>76</v>
      </c>
      <c r="P529" s="187" t="s">
        <v>77</v>
      </c>
      <c r="Q529" s="187" t="s">
        <v>78</v>
      </c>
      <c r="R529" s="187">
        <v>20</v>
      </c>
      <c r="S529" s="187">
        <v>0</v>
      </c>
      <c r="T529" s="187">
        <v>20</v>
      </c>
      <c r="U529" s="187" t="s">
        <v>78</v>
      </c>
      <c r="V529" s="188">
        <f t="shared" ref="V529:V536" si="756">IF(ISBLANK(O529),"",(IF(O529=UPPER("IB"),0.005,0.01)))</f>
        <v>0.01</v>
      </c>
      <c r="W529" s="189">
        <f t="shared" si="712"/>
        <v>1600</v>
      </c>
      <c r="X529" s="189" t="s">
        <v>2346</v>
      </c>
      <c r="Y529" s="189"/>
      <c r="Z529" s="189"/>
      <c r="AA529" s="190">
        <v>-0.08</v>
      </c>
      <c r="AB529" s="186"/>
      <c r="AC529" s="344"/>
      <c r="AD529" s="186"/>
      <c r="AE529" s="186"/>
      <c r="AF529" s="186"/>
      <c r="AG529" s="186"/>
      <c r="AH529" s="186"/>
      <c r="AI529" s="191">
        <f>-0.01*W529</f>
        <v>-16</v>
      </c>
      <c r="AJ529" s="191">
        <f t="shared" ref="AJ529:AJ530" si="757">AI529*(R529-S529)</f>
        <v>-320</v>
      </c>
      <c r="AK529" s="186"/>
      <c r="AL529" s="186"/>
      <c r="AM529" s="186" t="s">
        <v>2347</v>
      </c>
      <c r="AN529" s="344" t="s">
        <v>376</v>
      </c>
      <c r="AO529" s="186" t="s">
        <v>2348</v>
      </c>
      <c r="AP529" s="193">
        <v>-0.1</v>
      </c>
      <c r="AQ529" s="193">
        <f t="shared" ref="AQ529" si="758">IF(ISBLANK(AP529),,IF(U529="S",AA529-AP529,AP529-AA529))</f>
        <v>2.0000000000000004E-2</v>
      </c>
      <c r="AR529" s="191">
        <f t="shared" ref="AR529" si="759">AS529*R529</f>
        <v>640.00000000000011</v>
      </c>
      <c r="AS529" s="194">
        <f t="shared" ref="AS529" si="760">IF(ISBLANK(AP529),,(AQ529*W529))</f>
        <v>32.000000000000007</v>
      </c>
      <c r="AT529" s="195" t="s">
        <v>77</v>
      </c>
      <c r="AU529" s="425"/>
      <c r="AV529" s="425"/>
      <c r="AW529" s="425"/>
      <c r="AX529" s="425"/>
      <c r="AY529" s="425"/>
      <c r="AZ529" s="425"/>
      <c r="BA529" s="425"/>
      <c r="BB529" s="425"/>
      <c r="BC529" s="440"/>
      <c r="BD529" s="404">
        <f>SUM($AS$4:AS529)</f>
        <v>2831.2454761904714</v>
      </c>
      <c r="BE529" s="405">
        <f>SUM($AR$4:AR529)</f>
        <v>4124.1999999999634</v>
      </c>
      <c r="BF529" s="330"/>
      <c r="BG529" s="330"/>
    </row>
    <row r="530" spans="1:59" ht="15.75" customHeight="1">
      <c r="A530" s="227" t="s">
        <v>2035</v>
      </c>
      <c r="B530" s="204">
        <v>45042</v>
      </c>
      <c r="C530" s="182" t="s">
        <v>664</v>
      </c>
      <c r="D530" s="182" t="s">
        <v>133</v>
      </c>
      <c r="E530" s="233"/>
      <c r="F530" s="184"/>
      <c r="G530" s="291" t="s">
        <v>558</v>
      </c>
      <c r="H530" s="186"/>
      <c r="I530" s="186"/>
      <c r="J530" s="186"/>
      <c r="K530" s="187"/>
      <c r="L530" s="186">
        <v>1</v>
      </c>
      <c r="M530" s="186">
        <v>1</v>
      </c>
      <c r="N530" s="186"/>
      <c r="O530" s="187" t="s">
        <v>76</v>
      </c>
      <c r="P530" s="187" t="s">
        <v>77</v>
      </c>
      <c r="Q530" s="187" t="s">
        <v>78</v>
      </c>
      <c r="R530" s="187">
        <v>6</v>
      </c>
      <c r="S530" s="187">
        <v>5</v>
      </c>
      <c r="T530" s="187">
        <v>6</v>
      </c>
      <c r="U530" s="187" t="s">
        <v>22</v>
      </c>
      <c r="V530" s="188">
        <f t="shared" si="756"/>
        <v>0.01</v>
      </c>
      <c r="W530" s="189">
        <f t="shared" si="712"/>
        <v>1600</v>
      </c>
      <c r="X530" s="189" t="s">
        <v>2349</v>
      </c>
      <c r="Y530" s="189" t="s">
        <v>511</v>
      </c>
      <c r="Z530" s="189"/>
      <c r="AA530" s="190">
        <v>-0.02</v>
      </c>
      <c r="AB530" s="186"/>
      <c r="AC530" s="344"/>
      <c r="AD530" s="186"/>
      <c r="AE530" s="186"/>
      <c r="AF530" s="186"/>
      <c r="AG530" s="186"/>
      <c r="AH530" s="186"/>
      <c r="AI530" s="191">
        <f>-0.01*W530</f>
        <v>-16</v>
      </c>
      <c r="AJ530" s="191">
        <f t="shared" si="757"/>
        <v>-16</v>
      </c>
      <c r="AK530" s="186"/>
      <c r="AL530" s="186"/>
      <c r="AM530" s="186" t="s">
        <v>2350</v>
      </c>
      <c r="AN530" s="344" t="s">
        <v>376</v>
      </c>
      <c r="AO530" s="186" t="s">
        <v>2351</v>
      </c>
      <c r="AP530" s="193">
        <f>((0.02*3)+(0.03*2)+(0.02*1))/6</f>
        <v>2.3333333333333331E-2</v>
      </c>
      <c r="AQ530" s="193">
        <f t="shared" ref="AQ530" si="761">IF(ISBLANK(AP530),,IF(U530="S",AA530-AP530,AP530-AA530))</f>
        <v>4.3333333333333335E-2</v>
      </c>
      <c r="AR530" s="191">
        <f t="shared" ref="AR530" si="762">AS530*R530</f>
        <v>416.00000000000006</v>
      </c>
      <c r="AS530" s="194">
        <f t="shared" ref="AS530" si="763">IF(ISBLANK(AP530),,(AQ530*W530))</f>
        <v>69.333333333333343</v>
      </c>
      <c r="AT530" s="195" t="s">
        <v>77</v>
      </c>
      <c r="AU530" s="425"/>
      <c r="AV530" s="425"/>
      <c r="AW530" s="425"/>
      <c r="AX530" s="425"/>
      <c r="AY530" s="425"/>
      <c r="AZ530" s="425"/>
      <c r="BA530" s="425"/>
      <c r="BB530" s="425"/>
      <c r="BC530" s="440"/>
      <c r="BD530" s="404">
        <f>SUM($AS$4:AS530)</f>
        <v>2900.5788095238049</v>
      </c>
      <c r="BE530" s="405">
        <f>SUM($AR$4:AR530)</f>
        <v>4540.1999999999634</v>
      </c>
      <c r="BF530" s="330"/>
      <c r="BG530" s="330"/>
    </row>
    <row r="531" spans="1:59" ht="15.75" customHeight="1">
      <c r="A531" s="227" t="s">
        <v>2035</v>
      </c>
      <c r="B531" s="204"/>
      <c r="C531" s="182"/>
      <c r="D531" s="182"/>
      <c r="E531" s="233" t="s">
        <v>2352</v>
      </c>
      <c r="F531" s="184"/>
      <c r="G531" s="185"/>
      <c r="H531" s="186"/>
      <c r="I531" s="186"/>
      <c r="J531" s="186"/>
      <c r="K531" s="187"/>
      <c r="L531" s="186"/>
      <c r="M531" s="186"/>
      <c r="N531" s="186"/>
      <c r="O531" s="187"/>
      <c r="P531" s="187"/>
      <c r="Q531" s="187"/>
      <c r="R531" s="187"/>
      <c r="S531" s="187"/>
      <c r="T531" s="187"/>
      <c r="U531" s="187"/>
      <c r="V531" s="188" t="str">
        <f t="shared" si="756"/>
        <v/>
      </c>
      <c r="W531" s="189" t="str">
        <f t="shared" si="712"/>
        <v/>
      </c>
      <c r="X531" s="189"/>
      <c r="Y531" s="189"/>
      <c r="Z531" s="189"/>
      <c r="AA531" s="190"/>
      <c r="AB531" s="186"/>
      <c r="AC531" s="344"/>
      <c r="AD531" s="186"/>
      <c r="AE531" s="186"/>
      <c r="AF531" s="186"/>
      <c r="AG531" s="186"/>
      <c r="AH531" s="186"/>
      <c r="AI531" s="191"/>
      <c r="AJ531" s="191"/>
      <c r="AK531" s="186"/>
      <c r="AL531" s="186"/>
      <c r="AM531" s="186"/>
      <c r="AN531" s="344"/>
      <c r="AO531" s="186"/>
      <c r="AP531" s="193"/>
      <c r="AQ531" s="193">
        <f t="shared" ref="AQ531:AQ536" si="764">IF(ISBLANK(AP531),,IF(U531="S",AA531-AP531,AP531-AA531))</f>
        <v>0</v>
      </c>
      <c r="AR531" s="191">
        <f t="shared" ref="AR531:AR536" si="765">AS531*R531</f>
        <v>0</v>
      </c>
      <c r="AS531" s="194">
        <f t="shared" ref="AS531:AS536" si="766">IF(ISBLANK(AP531),,(AQ531*W531))</f>
        <v>0</v>
      </c>
      <c r="AT531" s="195"/>
      <c r="AU531" s="425" t="s">
        <v>2353</v>
      </c>
      <c r="AV531" s="425" t="s">
        <v>2354</v>
      </c>
      <c r="AW531" s="425" t="s">
        <v>2355</v>
      </c>
      <c r="AX531" s="425" t="s">
        <v>511</v>
      </c>
      <c r="AY531" s="425"/>
      <c r="AZ531" s="425"/>
      <c r="BA531" s="425"/>
      <c r="BB531" s="425"/>
      <c r="BC531" s="440"/>
      <c r="BD531" s="404">
        <f>SUM($AS$4:AS531)</f>
        <v>2900.5788095238049</v>
      </c>
      <c r="BE531" s="405">
        <f>SUM($AR$4:AR531)</f>
        <v>4540.1999999999634</v>
      </c>
      <c r="BF531" s="330"/>
      <c r="BG531" s="330"/>
    </row>
    <row r="532" spans="1:59" ht="15.75" customHeight="1">
      <c r="A532" s="227" t="s">
        <v>2035</v>
      </c>
      <c r="B532" s="204"/>
      <c r="C532" s="182"/>
      <c r="D532" s="182"/>
      <c r="E532" s="233"/>
      <c r="F532" s="184"/>
      <c r="G532" s="185"/>
      <c r="H532" s="186"/>
      <c r="I532" s="186"/>
      <c r="J532" s="186"/>
      <c r="K532" s="187"/>
      <c r="L532" s="186"/>
      <c r="M532" s="186"/>
      <c r="N532" s="186"/>
      <c r="O532" s="187"/>
      <c r="P532" s="187"/>
      <c r="Q532" s="187"/>
      <c r="R532" s="187"/>
      <c r="S532" s="187"/>
      <c r="T532" s="187"/>
      <c r="U532" s="187"/>
      <c r="V532" s="188" t="str">
        <f t="shared" si="756"/>
        <v/>
      </c>
      <c r="W532" s="189" t="str">
        <f t="shared" si="712"/>
        <v/>
      </c>
      <c r="X532" s="189"/>
      <c r="Y532" s="189"/>
      <c r="Z532" s="189"/>
      <c r="AA532" s="190"/>
      <c r="AB532" s="186"/>
      <c r="AC532" s="344"/>
      <c r="AD532" s="186"/>
      <c r="AE532" s="186"/>
      <c r="AF532" s="186"/>
      <c r="AG532" s="186"/>
      <c r="AH532" s="186"/>
      <c r="AI532" s="191"/>
      <c r="AJ532" s="191"/>
      <c r="AK532" s="186"/>
      <c r="AL532" s="186"/>
      <c r="AM532" s="186"/>
      <c r="AN532" s="344"/>
      <c r="AO532" s="186"/>
      <c r="AP532" s="193"/>
      <c r="AQ532" s="193">
        <f t="shared" si="764"/>
        <v>0</v>
      </c>
      <c r="AR532" s="191">
        <f t="shared" si="765"/>
        <v>0</v>
      </c>
      <c r="AS532" s="194">
        <f t="shared" si="766"/>
        <v>0</v>
      </c>
      <c r="AT532" s="195"/>
      <c r="AU532" s="425"/>
      <c r="AV532" s="425"/>
      <c r="AW532" s="425"/>
      <c r="AX532" s="425"/>
      <c r="AY532" s="425"/>
      <c r="AZ532" s="425"/>
      <c r="BA532" s="425"/>
      <c r="BB532" s="425"/>
      <c r="BC532" s="440"/>
      <c r="BD532" s="404">
        <f>SUM($AS$4:AS532)</f>
        <v>2900.5788095238049</v>
      </c>
      <c r="BE532" s="405">
        <f>SUM($AR$4:AR532)</f>
        <v>4540.1999999999634</v>
      </c>
      <c r="BF532" s="330"/>
      <c r="BG532" s="330"/>
    </row>
    <row r="533" spans="1:59" ht="15.75" customHeight="1">
      <c r="A533" s="227" t="s">
        <v>2035</v>
      </c>
      <c r="B533" s="204"/>
      <c r="C533" s="182"/>
      <c r="D533" s="182"/>
      <c r="E533" s="233"/>
      <c r="F533" s="184"/>
      <c r="G533" s="185"/>
      <c r="H533" s="186"/>
      <c r="I533" s="186"/>
      <c r="J533" s="186"/>
      <c r="K533" s="187"/>
      <c r="L533" s="186"/>
      <c r="M533" s="186"/>
      <c r="N533" s="186"/>
      <c r="O533" s="187"/>
      <c r="P533" s="187"/>
      <c r="Q533" s="187"/>
      <c r="R533" s="187"/>
      <c r="S533" s="187"/>
      <c r="T533" s="187"/>
      <c r="U533" s="187"/>
      <c r="V533" s="188" t="str">
        <f t="shared" si="756"/>
        <v/>
      </c>
      <c r="W533" s="189" t="str">
        <f t="shared" si="712"/>
        <v/>
      </c>
      <c r="X533" s="189"/>
      <c r="Y533" s="189"/>
      <c r="Z533" s="189"/>
      <c r="AA533" s="190"/>
      <c r="AB533" s="186"/>
      <c r="AC533" s="344"/>
      <c r="AD533" s="186"/>
      <c r="AE533" s="186"/>
      <c r="AF533" s="186"/>
      <c r="AG533" s="186"/>
      <c r="AH533" s="186"/>
      <c r="AI533" s="191"/>
      <c r="AJ533" s="191"/>
      <c r="AK533" s="186"/>
      <c r="AL533" s="186"/>
      <c r="AM533" s="186"/>
      <c r="AN533" s="344"/>
      <c r="AO533" s="186"/>
      <c r="AP533" s="193"/>
      <c r="AQ533" s="193">
        <f t="shared" si="764"/>
        <v>0</v>
      </c>
      <c r="AR533" s="191">
        <f t="shared" si="765"/>
        <v>0</v>
      </c>
      <c r="AS533" s="194">
        <f t="shared" si="766"/>
        <v>0</v>
      </c>
      <c r="AT533" s="195"/>
      <c r="AU533" s="435" t="s">
        <v>2356</v>
      </c>
      <c r="AV533" s="435" t="s">
        <v>2357</v>
      </c>
      <c r="AW533" s="435" t="s">
        <v>2358</v>
      </c>
      <c r="AX533" s="435" t="s">
        <v>2359</v>
      </c>
      <c r="AY533" s="435" t="s">
        <v>2247</v>
      </c>
      <c r="AZ533" s="435" t="s">
        <v>2304</v>
      </c>
      <c r="BA533" s="425" t="s">
        <v>511</v>
      </c>
      <c r="BB533" s="425"/>
      <c r="BC533" s="440"/>
      <c r="BD533" s="404">
        <f>SUM($AS$4:AS533)</f>
        <v>2900.5788095238049</v>
      </c>
      <c r="BE533" s="405">
        <f>SUM($AR$4:AR533)</f>
        <v>4540.1999999999634</v>
      </c>
      <c r="BF533" s="330"/>
      <c r="BG533" s="330"/>
    </row>
    <row r="534" spans="1:59" ht="15.75" customHeight="1">
      <c r="A534" s="281" t="s">
        <v>2360</v>
      </c>
      <c r="B534" s="281"/>
      <c r="C534" s="218"/>
      <c r="D534" s="218"/>
      <c r="E534" s="219"/>
      <c r="F534" s="220"/>
      <c r="G534" s="218"/>
      <c r="H534" s="218"/>
      <c r="I534" s="218"/>
      <c r="J534" s="218"/>
      <c r="K534" s="221"/>
      <c r="L534" s="218"/>
      <c r="M534" s="218"/>
      <c r="N534" s="218"/>
      <c r="O534" s="221"/>
      <c r="P534" s="221"/>
      <c r="Q534" s="221"/>
      <c r="R534" s="221"/>
      <c r="S534" s="221"/>
      <c r="T534" s="221"/>
      <c r="U534" s="221"/>
      <c r="V534" s="222" t="str">
        <f t="shared" si="756"/>
        <v/>
      </c>
      <c r="W534" s="222" t="str">
        <f t="shared" si="712"/>
        <v/>
      </c>
      <c r="X534" s="222"/>
      <c r="Y534" s="222"/>
      <c r="Z534" s="222"/>
      <c r="AA534" s="223"/>
      <c r="AB534" s="218"/>
      <c r="AC534" s="346"/>
      <c r="AD534" s="218"/>
      <c r="AE534" s="218"/>
      <c r="AF534" s="218"/>
      <c r="AG534" s="218"/>
      <c r="AH534" s="218"/>
      <c r="AI534" s="218"/>
      <c r="AJ534" s="218"/>
      <c r="AK534" s="218"/>
      <c r="AL534" s="218"/>
      <c r="AM534" s="218"/>
      <c r="AN534" s="346"/>
      <c r="AO534" s="218"/>
      <c r="AP534" s="225"/>
      <c r="AQ534" s="218"/>
      <c r="AR534" s="218"/>
      <c r="AS534" s="218"/>
      <c r="AT534" s="226"/>
      <c r="AU534" s="432"/>
      <c r="AV534" s="432"/>
      <c r="AW534" s="432"/>
      <c r="AX534" s="432"/>
      <c r="AY534" s="432"/>
      <c r="AZ534" s="432"/>
      <c r="BA534" s="432"/>
      <c r="BB534" s="432"/>
      <c r="BC534" s="432"/>
      <c r="BD534" s="404">
        <f>SUM($AS$4:AS534)</f>
        <v>2900.5788095238049</v>
      </c>
      <c r="BE534" s="405">
        <f>SUM($AR$4:AR534)</f>
        <v>4540.1999999999634</v>
      </c>
      <c r="BF534" s="330"/>
      <c r="BG534" s="330"/>
    </row>
    <row r="535" spans="1:59" ht="15.75" customHeight="1">
      <c r="A535" s="227" t="s">
        <v>2361</v>
      </c>
      <c r="B535" s="204"/>
      <c r="C535" s="182"/>
      <c r="D535" s="182"/>
      <c r="E535" s="233"/>
      <c r="F535" s="184"/>
      <c r="G535" s="185"/>
      <c r="H535" s="186"/>
      <c r="I535" s="186"/>
      <c r="J535" s="186"/>
      <c r="K535" s="187"/>
      <c r="L535" s="186"/>
      <c r="M535" s="186"/>
      <c r="N535" s="186"/>
      <c r="O535" s="187"/>
      <c r="P535" s="187"/>
      <c r="Q535" s="187"/>
      <c r="R535" s="187"/>
      <c r="S535" s="187"/>
      <c r="T535" s="187"/>
      <c r="U535" s="187"/>
      <c r="V535" s="188" t="str">
        <f t="shared" si="756"/>
        <v/>
      </c>
      <c r="W535" s="189" t="str">
        <f t="shared" si="712"/>
        <v/>
      </c>
      <c r="X535" s="189"/>
      <c r="Y535" s="189"/>
      <c r="Z535" s="189"/>
      <c r="AA535" s="190"/>
      <c r="AB535" s="186"/>
      <c r="AC535" s="344"/>
      <c r="AD535" s="186"/>
      <c r="AE535" s="186"/>
      <c r="AF535" s="186"/>
      <c r="AG535" s="186"/>
      <c r="AH535" s="186"/>
      <c r="AI535" s="191"/>
      <c r="AJ535" s="191"/>
      <c r="AK535" s="186"/>
      <c r="AL535" s="186"/>
      <c r="AM535" s="186"/>
      <c r="AN535" s="344"/>
      <c r="AO535" s="186"/>
      <c r="AP535" s="193"/>
      <c r="AQ535" s="193"/>
      <c r="AR535" s="191"/>
      <c r="AS535" s="194"/>
      <c r="AT535" s="195"/>
      <c r="AU535" s="425" t="s">
        <v>2362</v>
      </c>
      <c r="AV535" s="425" t="s">
        <v>2363</v>
      </c>
      <c r="AW535" s="425" t="s">
        <v>2364</v>
      </c>
      <c r="AX535" s="425" t="s">
        <v>2365</v>
      </c>
      <c r="AY535" s="425" t="s">
        <v>511</v>
      </c>
      <c r="AZ535" s="425"/>
      <c r="BA535" s="425" t="s">
        <v>2366</v>
      </c>
      <c r="BB535" s="425"/>
      <c r="BC535" s="440"/>
      <c r="BD535" s="404">
        <f>SUM($AS$4:AS535)</f>
        <v>2900.5788095238049</v>
      </c>
      <c r="BE535" s="405">
        <f>SUM($AR$4:AR535)</f>
        <v>4540.1999999999634</v>
      </c>
      <c r="BF535" s="330"/>
      <c r="BG535" s="330"/>
    </row>
    <row r="536" spans="1:59" ht="15.75" customHeight="1">
      <c r="A536" s="227" t="s">
        <v>2361</v>
      </c>
      <c r="B536" s="204">
        <v>45048</v>
      </c>
      <c r="C536" s="182" t="s">
        <v>2367</v>
      </c>
      <c r="D536" s="182" t="s">
        <v>128</v>
      </c>
      <c r="E536" s="233"/>
      <c r="F536" s="184"/>
      <c r="G536" s="185" t="s">
        <v>2368</v>
      </c>
      <c r="H536" s="186"/>
      <c r="I536" s="186"/>
      <c r="J536" s="186"/>
      <c r="K536" s="187"/>
      <c r="L536" s="186"/>
      <c r="M536" s="186">
        <v>2</v>
      </c>
      <c r="N536" s="186"/>
      <c r="O536" s="187" t="s">
        <v>1039</v>
      </c>
      <c r="P536" s="187"/>
      <c r="Q536" s="187" t="s">
        <v>666</v>
      </c>
      <c r="R536" s="187">
        <v>2</v>
      </c>
      <c r="S536" s="187">
        <v>0</v>
      </c>
      <c r="T536" s="187">
        <v>2</v>
      </c>
      <c r="U536" s="187" t="s">
        <v>78</v>
      </c>
      <c r="V536" s="188">
        <f t="shared" si="756"/>
        <v>5.0000000000000001E-3</v>
      </c>
      <c r="W536" s="189">
        <f t="shared" si="712"/>
        <v>1726.0000000000002</v>
      </c>
      <c r="X536" s="189" t="s">
        <v>2369</v>
      </c>
      <c r="Y536" s="189" t="s">
        <v>2370</v>
      </c>
      <c r="Z536" s="189"/>
      <c r="AA536" s="190">
        <v>96.405000000000001</v>
      </c>
      <c r="AB536" s="186"/>
      <c r="AC536" s="344"/>
      <c r="AD536" s="186"/>
      <c r="AE536" s="186"/>
      <c r="AF536" s="186"/>
      <c r="AG536" s="186"/>
      <c r="AH536" s="186"/>
      <c r="AI536" s="191"/>
      <c r="AJ536" s="191"/>
      <c r="AK536" s="186"/>
      <c r="AL536" s="186"/>
      <c r="AM536" s="186" t="s">
        <v>919</v>
      </c>
      <c r="AN536" s="344" t="s">
        <v>87</v>
      </c>
      <c r="AO536" s="186" t="s">
        <v>2371</v>
      </c>
      <c r="AP536" s="193">
        <v>96.405000000000001</v>
      </c>
      <c r="AQ536" s="193">
        <f t="shared" si="764"/>
        <v>0</v>
      </c>
      <c r="AR536" s="191">
        <f t="shared" si="765"/>
        <v>0</v>
      </c>
      <c r="AS536" s="194">
        <f t="shared" si="766"/>
        <v>0</v>
      </c>
      <c r="AT536" s="195" t="s">
        <v>97</v>
      </c>
      <c r="AU536" s="425" t="s">
        <v>2372</v>
      </c>
      <c r="AV536" s="425" t="s">
        <v>2373</v>
      </c>
      <c r="AW536" s="425" t="s">
        <v>2374</v>
      </c>
      <c r="AX536" s="425" t="s">
        <v>2375</v>
      </c>
      <c r="AY536" s="425" t="s">
        <v>2376</v>
      </c>
      <c r="AZ536" s="425" t="s">
        <v>2377</v>
      </c>
      <c r="BA536" s="425" t="s">
        <v>511</v>
      </c>
      <c r="BB536" s="425"/>
      <c r="BC536" s="440"/>
      <c r="BD536" s="404">
        <f>SUM($AS$4:AS536)</f>
        <v>2900.5788095238049</v>
      </c>
      <c r="BE536" s="405">
        <f>SUM($AR$4:AR536)</f>
        <v>4540.1999999999634</v>
      </c>
      <c r="BF536" s="330"/>
      <c r="BG536" s="330"/>
    </row>
    <row r="537" spans="1:59" ht="15.75" customHeight="1">
      <c r="A537" s="227" t="s">
        <v>2361</v>
      </c>
      <c r="B537" s="204">
        <v>45048</v>
      </c>
      <c r="C537" s="198">
        <v>0.41666666666666669</v>
      </c>
      <c r="D537" s="182" t="s">
        <v>128</v>
      </c>
      <c r="E537" s="233" t="s">
        <v>2378</v>
      </c>
      <c r="F537" s="184" t="s">
        <v>2379</v>
      </c>
      <c r="G537" s="185"/>
      <c r="H537" s="186">
        <v>1</v>
      </c>
      <c r="I537" s="186"/>
      <c r="J537" s="186"/>
      <c r="K537" s="187" t="s">
        <v>87</v>
      </c>
      <c r="L537" s="186"/>
      <c r="M537" s="186"/>
      <c r="N537" s="186"/>
      <c r="O537" s="187"/>
      <c r="P537" s="187"/>
      <c r="Q537" s="187"/>
      <c r="R537" s="187"/>
      <c r="S537" s="187"/>
      <c r="T537" s="187"/>
      <c r="U537" s="187"/>
      <c r="V537" s="188" t="str">
        <f t="shared" ref="V537:V538" si="767">IF(ISBLANK(O537),"",(IF(O537=UPPER("IB"),0.005,0.01)))</f>
        <v/>
      </c>
      <c r="W537" s="189" t="str">
        <f t="shared" ref="W537:W538" si="768">IF(ISBLANK(O537),"",IF(O537="IB",8.63*200,IF(O537="IR",16*100,IF(O537="YT",20*100,IF(O537="YT-XT",24*200,IF(O537="TED",80*100))))))</f>
        <v/>
      </c>
      <c r="X537" s="189"/>
      <c r="Y537" s="189"/>
      <c r="Z537" s="189"/>
      <c r="AA537" s="190"/>
      <c r="AB537" s="186"/>
      <c r="AC537" s="344"/>
      <c r="AD537" s="186"/>
      <c r="AE537" s="186"/>
      <c r="AF537" s="186"/>
      <c r="AG537" s="186"/>
      <c r="AH537" s="186"/>
      <c r="AI537" s="191"/>
      <c r="AJ537" s="191"/>
      <c r="AK537" s="186"/>
      <c r="AL537" s="186"/>
      <c r="AM537" s="186"/>
      <c r="AN537" s="344"/>
      <c r="AO537" s="186"/>
      <c r="AP537" s="193"/>
      <c r="AQ537" s="193"/>
      <c r="AR537" s="191"/>
      <c r="AS537" s="194"/>
      <c r="AT537" s="195"/>
      <c r="AU537" s="425" t="s">
        <v>2380</v>
      </c>
      <c r="AV537" s="425"/>
      <c r="AW537" s="425"/>
      <c r="AX537" s="425"/>
      <c r="AY537" s="425"/>
      <c r="AZ537" s="425"/>
      <c r="BA537" s="425"/>
      <c r="BB537" s="425"/>
      <c r="BC537" s="440"/>
      <c r="BD537" s="404">
        <f>SUM($AS$4:AS537)</f>
        <v>2900.5788095238049</v>
      </c>
      <c r="BE537" s="405">
        <f>SUM($AR$4:AR537)</f>
        <v>4540.1999999999634</v>
      </c>
      <c r="BF537" s="330"/>
      <c r="BG537" s="330"/>
    </row>
    <row r="538" spans="1:59" ht="15.75" customHeight="1">
      <c r="A538" s="227" t="s">
        <v>2361</v>
      </c>
      <c r="B538" s="204">
        <v>45048</v>
      </c>
      <c r="C538" s="182" t="s">
        <v>664</v>
      </c>
      <c r="D538" s="182" t="s">
        <v>128</v>
      </c>
      <c r="E538" s="233"/>
      <c r="F538" s="184"/>
      <c r="G538" s="185" t="s">
        <v>163</v>
      </c>
      <c r="H538" s="186"/>
      <c r="I538" s="186"/>
      <c r="J538" s="186"/>
      <c r="K538" s="187"/>
      <c r="L538" s="186">
        <v>1</v>
      </c>
      <c r="M538" s="186">
        <v>1</v>
      </c>
      <c r="N538" s="186"/>
      <c r="O538" s="187" t="s">
        <v>76</v>
      </c>
      <c r="P538" s="187" t="s">
        <v>77</v>
      </c>
      <c r="Q538" s="187" t="s">
        <v>78</v>
      </c>
      <c r="R538" s="187">
        <v>7</v>
      </c>
      <c r="S538" s="187">
        <v>0</v>
      </c>
      <c r="T538" s="187">
        <v>7</v>
      </c>
      <c r="U538" s="187" t="s">
        <v>22</v>
      </c>
      <c r="V538" s="188">
        <f t="shared" si="767"/>
        <v>0.01</v>
      </c>
      <c r="W538" s="189">
        <f t="shared" si="768"/>
        <v>1600</v>
      </c>
      <c r="X538" s="189" t="s">
        <v>2381</v>
      </c>
      <c r="Y538" s="189"/>
      <c r="Z538" s="189"/>
      <c r="AA538" s="190">
        <v>-0.13</v>
      </c>
      <c r="AB538" s="186"/>
      <c r="AC538" s="344"/>
      <c r="AD538" s="186"/>
      <c r="AE538" s="186"/>
      <c r="AF538" s="186"/>
      <c r="AG538" s="186"/>
      <c r="AH538" s="186"/>
      <c r="AI538" s="191"/>
      <c r="AJ538" s="191"/>
      <c r="AK538" s="186"/>
      <c r="AL538" s="186"/>
      <c r="AM538" s="186" t="s">
        <v>2382</v>
      </c>
      <c r="AN538" s="344" t="s">
        <v>87</v>
      </c>
      <c r="AO538" s="186" t="s">
        <v>1124</v>
      </c>
      <c r="AP538" s="193">
        <v>-0.13</v>
      </c>
      <c r="AQ538" s="193">
        <f t="shared" ref="AQ538" si="769">IF(ISBLANK(AP538),,IF(U538="S",AA538-AP538,AP538-AA538))</f>
        <v>0</v>
      </c>
      <c r="AR538" s="191">
        <f t="shared" ref="AR538" si="770">AS538*R538</f>
        <v>0</v>
      </c>
      <c r="AS538" s="194">
        <f t="shared" ref="AS538" si="771">IF(ISBLANK(AP538),,(AQ538*W538))</f>
        <v>0</v>
      </c>
      <c r="AT538" s="195" t="s">
        <v>97</v>
      </c>
      <c r="AU538" s="425" t="s">
        <v>2383</v>
      </c>
      <c r="AV538" s="425" t="s">
        <v>511</v>
      </c>
      <c r="AW538" s="425"/>
      <c r="AX538" s="425"/>
      <c r="AY538" s="425"/>
      <c r="AZ538" s="425"/>
      <c r="BA538" s="425"/>
      <c r="BB538" s="425"/>
      <c r="BC538" s="440"/>
      <c r="BD538" s="404">
        <f>SUM($AS$4:AS538)</f>
        <v>2900.5788095238049</v>
      </c>
      <c r="BE538" s="405">
        <f>SUM($AR$4:AR538)</f>
        <v>4540.1999999999634</v>
      </c>
      <c r="BF538" s="330"/>
      <c r="BG538" s="330"/>
    </row>
    <row r="539" spans="1:59" ht="15.75" customHeight="1">
      <c r="A539" s="227" t="s">
        <v>2361</v>
      </c>
      <c r="B539" s="204">
        <v>45048</v>
      </c>
      <c r="C539" s="182" t="s">
        <v>664</v>
      </c>
      <c r="D539" s="182" t="s">
        <v>128</v>
      </c>
      <c r="E539" s="233"/>
      <c r="F539" s="184"/>
      <c r="G539" s="185" t="s">
        <v>2045</v>
      </c>
      <c r="H539" s="186"/>
      <c r="I539" s="186"/>
      <c r="J539" s="186"/>
      <c r="K539" s="187"/>
      <c r="L539" s="186">
        <v>1</v>
      </c>
      <c r="M539" s="186">
        <v>1</v>
      </c>
      <c r="N539" s="186"/>
      <c r="O539" s="187" t="s">
        <v>76</v>
      </c>
      <c r="P539" s="187" t="s">
        <v>119</v>
      </c>
      <c r="Q539" s="187" t="s">
        <v>78</v>
      </c>
      <c r="R539" s="187">
        <v>9</v>
      </c>
      <c r="S539" s="187">
        <v>0</v>
      </c>
      <c r="T539" s="187">
        <v>9</v>
      </c>
      <c r="U539" s="187" t="s">
        <v>22</v>
      </c>
      <c r="V539" s="188">
        <f t="shared" ref="V539:V541" si="772">IF(ISBLANK(O539),"",(IF(O539=UPPER("IB"),0.005,0.01)))</f>
        <v>0.01</v>
      </c>
      <c r="W539" s="189">
        <f t="shared" ref="W539" si="773">IF(ISBLANK(O539),"",IF(O539="IB",8.63*200,IF(O539="IR",16*100,IF(O539="YT",20*100,IF(O539="YT-XT",24*200,IF(O539="TED",80*100))))))</f>
        <v>1600</v>
      </c>
      <c r="X539" s="189" t="s">
        <v>2381</v>
      </c>
      <c r="Y539" s="189"/>
      <c r="Z539" s="189"/>
      <c r="AA539" s="190">
        <v>-0.12</v>
      </c>
      <c r="AB539" s="186"/>
      <c r="AC539" s="344"/>
      <c r="AD539" s="186"/>
      <c r="AE539" s="186"/>
      <c r="AF539" s="186"/>
      <c r="AG539" s="186"/>
      <c r="AH539" s="186"/>
      <c r="AI539" s="191"/>
      <c r="AJ539" s="191"/>
      <c r="AK539" s="186"/>
      <c r="AL539" s="186"/>
      <c r="AM539" s="186" t="s">
        <v>2382</v>
      </c>
      <c r="AN539" s="344" t="s">
        <v>87</v>
      </c>
      <c r="AO539" s="186" t="s">
        <v>1124</v>
      </c>
      <c r="AP539" s="193">
        <v>-0.12</v>
      </c>
      <c r="AQ539" s="193">
        <f t="shared" ref="AQ539" si="774">IF(ISBLANK(AP539),,IF(U539="S",AA539-AP539,AP539-AA539))</f>
        <v>0</v>
      </c>
      <c r="AR539" s="191">
        <f t="shared" ref="AR539" si="775">AS539*R539</f>
        <v>0</v>
      </c>
      <c r="AS539" s="194">
        <f t="shared" ref="AS539" si="776">IF(ISBLANK(AP539),,(AQ539*W539))</f>
        <v>0</v>
      </c>
      <c r="AT539" s="195" t="s">
        <v>97</v>
      </c>
      <c r="AU539" s="425" t="s">
        <v>2383</v>
      </c>
      <c r="AV539" s="425" t="s">
        <v>511</v>
      </c>
      <c r="AW539" s="425"/>
      <c r="AX539" s="425"/>
      <c r="AY539" s="425"/>
      <c r="AZ539" s="425"/>
      <c r="BA539" s="425"/>
      <c r="BB539" s="425"/>
      <c r="BC539" s="440"/>
      <c r="BD539" s="404">
        <f>SUM($AS$4:AS539)</f>
        <v>2900.5788095238049</v>
      </c>
      <c r="BE539" s="405">
        <f>SUM($AR$4:AR539)</f>
        <v>4540.1999999999634</v>
      </c>
      <c r="BF539" s="330"/>
      <c r="BG539" s="330"/>
    </row>
    <row r="540" spans="1:59" ht="15.75" customHeight="1">
      <c r="A540" s="227" t="s">
        <v>2361</v>
      </c>
      <c r="B540" s="204">
        <v>45048</v>
      </c>
      <c r="C540" s="182" t="s">
        <v>664</v>
      </c>
      <c r="D540" s="182" t="s">
        <v>128</v>
      </c>
      <c r="E540" s="233"/>
      <c r="F540" s="184"/>
      <c r="G540" s="185" t="s">
        <v>558</v>
      </c>
      <c r="H540" s="186"/>
      <c r="I540" s="186"/>
      <c r="J540" s="186"/>
      <c r="K540" s="187"/>
      <c r="L540" s="186">
        <v>1</v>
      </c>
      <c r="M540" s="186"/>
      <c r="N540" s="186"/>
      <c r="O540" s="187" t="s">
        <v>76</v>
      </c>
      <c r="P540" s="187" t="s">
        <v>77</v>
      </c>
      <c r="Q540" s="187" t="s">
        <v>78</v>
      </c>
      <c r="R540" s="187">
        <v>8</v>
      </c>
      <c r="S540" s="187">
        <v>0</v>
      </c>
      <c r="T540" s="187">
        <v>8</v>
      </c>
      <c r="U540" s="187" t="s">
        <v>78</v>
      </c>
      <c r="V540" s="188">
        <f t="shared" si="772"/>
        <v>0.01</v>
      </c>
      <c r="W540" s="189">
        <f t="shared" si="712"/>
        <v>1600</v>
      </c>
      <c r="X540" s="189" t="s">
        <v>2384</v>
      </c>
      <c r="Y540" s="189"/>
      <c r="Z540" s="189"/>
      <c r="AA540" s="190">
        <v>0.12</v>
      </c>
      <c r="AB540" s="186"/>
      <c r="AC540" s="344"/>
      <c r="AD540" s="186"/>
      <c r="AE540" s="186"/>
      <c r="AF540" s="186"/>
      <c r="AG540" s="186"/>
      <c r="AH540" s="186"/>
      <c r="AI540" s="191">
        <f t="shared" ref="AI540:AI547" si="777">-0.01*W540</f>
        <v>-16</v>
      </c>
      <c r="AJ540" s="191">
        <f t="shared" ref="AJ540:AJ547" si="778">AI540*(R540-S540)</f>
        <v>-128</v>
      </c>
      <c r="AK540" s="186"/>
      <c r="AL540" s="186"/>
      <c r="AM540" s="186" t="s">
        <v>2385</v>
      </c>
      <c r="AN540" s="344" t="s">
        <v>376</v>
      </c>
      <c r="AO540" s="186" t="s">
        <v>1124</v>
      </c>
      <c r="AP540" s="193">
        <v>0.11</v>
      </c>
      <c r="AQ540" s="193">
        <f t="shared" ref="AQ540" si="779">IF(ISBLANK(AP540),,IF(U540="S",AA540-AP540,AP540-AA540))</f>
        <v>9.999999999999995E-3</v>
      </c>
      <c r="AR540" s="191">
        <f t="shared" ref="AR540" si="780">AS540*R540</f>
        <v>127.99999999999994</v>
      </c>
      <c r="AS540" s="194">
        <f t="shared" ref="AS540" si="781">IF(ISBLANK(AP540),,(AQ540*W540))</f>
        <v>15.999999999999993</v>
      </c>
      <c r="AT540" s="195" t="s">
        <v>77</v>
      </c>
      <c r="AU540" s="425"/>
      <c r="AV540" s="425"/>
      <c r="AW540" s="425"/>
      <c r="AX540" s="425"/>
      <c r="AY540" s="425"/>
      <c r="AZ540" s="425"/>
      <c r="BA540" s="425"/>
      <c r="BB540" s="425"/>
      <c r="BC540" s="440"/>
      <c r="BD540" s="404">
        <f>SUM($AS$4:AS540)</f>
        <v>2916.5788095238049</v>
      </c>
      <c r="BE540" s="405">
        <f>SUM($AR$4:AR540)</f>
        <v>4668.1999999999634</v>
      </c>
      <c r="BF540" s="330"/>
      <c r="BG540" s="330"/>
    </row>
    <row r="541" spans="1:59" ht="15.75" customHeight="1">
      <c r="A541" s="227" t="s">
        <v>2361</v>
      </c>
      <c r="B541" s="204">
        <v>45048</v>
      </c>
      <c r="C541" s="182" t="s">
        <v>664</v>
      </c>
      <c r="D541" s="182" t="s">
        <v>128</v>
      </c>
      <c r="E541" s="233"/>
      <c r="F541" s="184"/>
      <c r="G541" s="185" t="s">
        <v>2126</v>
      </c>
      <c r="H541" s="186"/>
      <c r="I541" s="186"/>
      <c r="J541" s="186"/>
      <c r="K541" s="187"/>
      <c r="L541" s="186">
        <v>1</v>
      </c>
      <c r="M541" s="186"/>
      <c r="N541" s="186"/>
      <c r="O541" s="187" t="s">
        <v>76</v>
      </c>
      <c r="P541" s="187" t="s">
        <v>77</v>
      </c>
      <c r="Q541" s="187" t="s">
        <v>78</v>
      </c>
      <c r="R541" s="187">
        <v>29</v>
      </c>
      <c r="S541" s="187">
        <v>0</v>
      </c>
      <c r="T541" s="187">
        <v>29</v>
      </c>
      <c r="U541" s="187" t="s">
        <v>22</v>
      </c>
      <c r="V541" s="188">
        <f t="shared" si="772"/>
        <v>0.01</v>
      </c>
      <c r="W541" s="189">
        <f t="shared" ref="W541" si="782">IF(ISBLANK(O541),"",IF(O541="IB",8.63*200,IF(O541="IR",16*100,IF(O541="YT",20*100,IF(O541="YT-XT",24*200,IF(O541="TED",80*100))))))</f>
        <v>1600</v>
      </c>
      <c r="X541" s="189" t="s">
        <v>2386</v>
      </c>
      <c r="Y541" s="189"/>
      <c r="Z541" s="189"/>
      <c r="AA541" s="190">
        <v>-0.1196</v>
      </c>
      <c r="AB541" s="186"/>
      <c r="AC541" s="344"/>
      <c r="AD541" s="186"/>
      <c r="AE541" s="186"/>
      <c r="AF541" s="186"/>
      <c r="AG541" s="186"/>
      <c r="AH541" s="186"/>
      <c r="AI541" s="191">
        <f t="shared" si="777"/>
        <v>-16</v>
      </c>
      <c r="AJ541" s="191">
        <f t="shared" si="778"/>
        <v>-464</v>
      </c>
      <c r="AK541" s="186"/>
      <c r="AL541" s="186"/>
      <c r="AM541" s="186" t="s">
        <v>2382</v>
      </c>
      <c r="AN541" s="344" t="s">
        <v>87</v>
      </c>
      <c r="AO541" s="186" t="s">
        <v>1124</v>
      </c>
      <c r="AP541" s="193">
        <v>-0.12620000000000001</v>
      </c>
      <c r="AQ541" s="193">
        <f t="shared" ref="AQ541" si="783">IF(ISBLANK(AP541),,IF(U541="S",AA541-AP541,AP541-AA541))</f>
        <v>-6.6000000000000086E-3</v>
      </c>
      <c r="AR541" s="191">
        <f t="shared" ref="AR541" si="784">AS541*R541</f>
        <v>-306.24000000000035</v>
      </c>
      <c r="AS541" s="194">
        <f t="shared" ref="AS541" si="785">IF(ISBLANK(AP541),,(AQ541*W541))</f>
        <v>-10.560000000000013</v>
      </c>
      <c r="AT541" s="195" t="s">
        <v>211</v>
      </c>
      <c r="AU541" s="425"/>
      <c r="AV541" s="425"/>
      <c r="AW541" s="425"/>
      <c r="AX541" s="425"/>
      <c r="AY541" s="425"/>
      <c r="AZ541" s="425"/>
      <c r="BA541" s="425"/>
      <c r="BB541" s="425"/>
      <c r="BC541" s="440"/>
      <c r="BD541" s="404">
        <f>SUM($AS$4:AS541)</f>
        <v>2906.018809523805</v>
      </c>
      <c r="BE541" s="405">
        <f>SUM($AR$4:AR541)</f>
        <v>4361.9599999999627</v>
      </c>
      <c r="BF541" s="330"/>
      <c r="BG541" s="330"/>
    </row>
    <row r="542" spans="1:59" ht="15.75" customHeight="1">
      <c r="A542" s="227" t="s">
        <v>2361</v>
      </c>
      <c r="B542" s="204">
        <v>45048</v>
      </c>
      <c r="C542" s="182" t="s">
        <v>664</v>
      </c>
      <c r="D542" s="182" t="s">
        <v>128</v>
      </c>
      <c r="E542" s="233"/>
      <c r="F542" s="184"/>
      <c r="G542" s="185" t="s">
        <v>2126</v>
      </c>
      <c r="H542" s="186"/>
      <c r="I542" s="186"/>
      <c r="J542" s="186"/>
      <c r="K542" s="187"/>
      <c r="L542" s="186">
        <v>1</v>
      </c>
      <c r="M542" s="186"/>
      <c r="N542" s="186"/>
      <c r="O542" s="187" t="s">
        <v>76</v>
      </c>
      <c r="P542" s="187" t="s">
        <v>77</v>
      </c>
      <c r="Q542" s="187" t="s">
        <v>78</v>
      </c>
      <c r="R542" s="187">
        <v>1</v>
      </c>
      <c r="S542" s="187">
        <v>0</v>
      </c>
      <c r="T542" s="187">
        <v>1</v>
      </c>
      <c r="U542" s="187" t="s">
        <v>22</v>
      </c>
      <c r="V542" s="188">
        <f t="shared" ref="V542:V543" si="786">IF(ISBLANK(O542),"",(IF(O542=UPPER("IB"),0.005,0.01)))</f>
        <v>0.01</v>
      </c>
      <c r="W542" s="189">
        <f t="shared" ref="W542" si="787">IF(ISBLANK(O542),"",IF(O542="IB",8.63*200,IF(O542="IR",16*100,IF(O542="YT",20*100,IF(O542="YT-XT",24*200,IF(O542="TED",80*100))))))</f>
        <v>1600</v>
      </c>
      <c r="X542" s="189" t="s">
        <v>1533</v>
      </c>
      <c r="Y542" s="189"/>
      <c r="Z542" s="189"/>
      <c r="AA542" s="190">
        <v>-0.13</v>
      </c>
      <c r="AB542" s="186"/>
      <c r="AC542" s="344"/>
      <c r="AD542" s="186"/>
      <c r="AE542" s="186"/>
      <c r="AF542" s="186"/>
      <c r="AG542" s="186"/>
      <c r="AH542" s="186"/>
      <c r="AI542" s="191">
        <f t="shared" si="777"/>
        <v>-16</v>
      </c>
      <c r="AJ542" s="191">
        <f t="shared" si="778"/>
        <v>-16</v>
      </c>
      <c r="AK542" s="186"/>
      <c r="AL542" s="186"/>
      <c r="AM542" s="186" t="s">
        <v>2382</v>
      </c>
      <c r="AN542" s="344" t="s">
        <v>87</v>
      </c>
      <c r="AO542" s="186" t="s">
        <v>1124</v>
      </c>
      <c r="AP542" s="193">
        <v>-0.12</v>
      </c>
      <c r="AQ542" s="193">
        <f t="shared" ref="AQ542" si="788">IF(ISBLANK(AP542),,IF(U542="S",AA542-AP542,AP542-AA542))</f>
        <v>1.0000000000000009E-2</v>
      </c>
      <c r="AR542" s="191">
        <f t="shared" ref="AR542" si="789">AS542*R542</f>
        <v>16.000000000000014</v>
      </c>
      <c r="AS542" s="194">
        <f t="shared" ref="AS542" si="790">IF(ISBLANK(AP542),,(AQ542*W542))</f>
        <v>16.000000000000014</v>
      </c>
      <c r="AT542" s="195" t="s">
        <v>77</v>
      </c>
      <c r="AU542" s="425"/>
      <c r="AV542" s="425"/>
      <c r="AW542" s="425"/>
      <c r="AX542" s="425"/>
      <c r="AY542" s="425"/>
      <c r="AZ542" s="425"/>
      <c r="BA542" s="425"/>
      <c r="BB542" s="425"/>
      <c r="BC542" s="440"/>
      <c r="BD542" s="404">
        <f>SUM($AS$4:AS542)</f>
        <v>2922.018809523805</v>
      </c>
      <c r="BE542" s="405">
        <f>SUM($AR$4:AR542)</f>
        <v>4377.9599999999627</v>
      </c>
      <c r="BF542" s="330"/>
      <c r="BG542" s="330"/>
    </row>
    <row r="543" spans="1:59" ht="15.75" customHeight="1">
      <c r="A543" s="227" t="s">
        <v>2361</v>
      </c>
      <c r="B543" s="204">
        <v>45048</v>
      </c>
      <c r="C543" s="182" t="s">
        <v>664</v>
      </c>
      <c r="D543" s="182" t="s">
        <v>128</v>
      </c>
      <c r="E543" s="233"/>
      <c r="F543" s="184"/>
      <c r="G543" s="185" t="s">
        <v>2051</v>
      </c>
      <c r="H543" s="186"/>
      <c r="I543" s="186"/>
      <c r="J543" s="186"/>
      <c r="K543" s="187"/>
      <c r="L543" s="186">
        <v>1</v>
      </c>
      <c r="M543" s="186"/>
      <c r="N543" s="186"/>
      <c r="O543" s="187" t="s">
        <v>76</v>
      </c>
      <c r="P543" s="187" t="s">
        <v>119</v>
      </c>
      <c r="Q543" s="187" t="s">
        <v>78</v>
      </c>
      <c r="R543" s="187">
        <v>15</v>
      </c>
      <c r="S543" s="187">
        <v>0</v>
      </c>
      <c r="T543" s="187">
        <v>15</v>
      </c>
      <c r="U543" s="187" t="s">
        <v>22</v>
      </c>
      <c r="V543" s="188">
        <f t="shared" si="786"/>
        <v>0.01</v>
      </c>
      <c r="W543" s="189">
        <f t="shared" si="712"/>
        <v>1600</v>
      </c>
      <c r="X543" s="189" t="s">
        <v>2387</v>
      </c>
      <c r="Y543" s="189"/>
      <c r="Z543" s="189"/>
      <c r="AA543" s="190">
        <v>-0.09</v>
      </c>
      <c r="AB543" s="186"/>
      <c r="AC543" s="344"/>
      <c r="AD543" s="186"/>
      <c r="AE543" s="186"/>
      <c r="AF543" s="186"/>
      <c r="AG543" s="186"/>
      <c r="AH543" s="186"/>
      <c r="AI543" s="191">
        <f t="shared" si="777"/>
        <v>-16</v>
      </c>
      <c r="AJ543" s="191">
        <f t="shared" si="778"/>
        <v>-240</v>
      </c>
      <c r="AK543" s="186"/>
      <c r="AL543" s="186"/>
      <c r="AM543" s="186" t="s">
        <v>2382</v>
      </c>
      <c r="AN543" s="344" t="s">
        <v>87</v>
      </c>
      <c r="AO543" s="186" t="s">
        <v>1124</v>
      </c>
      <c r="AP543" s="193">
        <f>((-0.08*10)+(-0.08*5))/15</f>
        <v>-8.0000000000000016E-2</v>
      </c>
      <c r="AQ543" s="193">
        <f t="shared" ref="AQ543" si="791">IF(ISBLANK(AP543),,IF(U543="S",AA543-AP543,AP543-AA543))</f>
        <v>9.9999999999999811E-3</v>
      </c>
      <c r="AR543" s="191">
        <f t="shared" ref="AR543" si="792">AS543*R543</f>
        <v>239.99999999999955</v>
      </c>
      <c r="AS543" s="194">
        <f t="shared" ref="AS543" si="793">IF(ISBLANK(AP543),,(AQ543*W543))</f>
        <v>15.99999999999997</v>
      </c>
      <c r="AT543" s="195" t="s">
        <v>77</v>
      </c>
      <c r="AU543" s="425"/>
      <c r="AV543" s="425"/>
      <c r="AW543" s="425"/>
      <c r="AX543" s="425"/>
      <c r="AY543" s="425"/>
      <c r="AZ543" s="425"/>
      <c r="BA543" s="425"/>
      <c r="BB543" s="425"/>
      <c r="BC543" s="440"/>
      <c r="BD543" s="404">
        <f>SUM($AS$4:AS543)</f>
        <v>2938.018809523805</v>
      </c>
      <c r="BE543" s="405">
        <f>SUM($AR$4:AR543)</f>
        <v>4617.9599999999627</v>
      </c>
      <c r="BF543" s="330"/>
      <c r="BG543" s="330"/>
    </row>
    <row r="544" spans="1:59" ht="15.75" customHeight="1">
      <c r="A544" s="227" t="s">
        <v>2361</v>
      </c>
      <c r="B544" s="204">
        <v>45048</v>
      </c>
      <c r="C544" s="182" t="s">
        <v>2388</v>
      </c>
      <c r="D544" s="182" t="s">
        <v>128</v>
      </c>
      <c r="E544" s="233" t="s">
        <v>2389</v>
      </c>
      <c r="F544" s="184" t="s">
        <v>2390</v>
      </c>
      <c r="G544" s="185"/>
      <c r="H544" s="186"/>
      <c r="I544" s="186">
        <v>1</v>
      </c>
      <c r="J544" s="186"/>
      <c r="K544" s="187"/>
      <c r="L544" s="186"/>
      <c r="M544" s="186"/>
      <c r="N544" s="186"/>
      <c r="O544" s="187"/>
      <c r="P544" s="187"/>
      <c r="Q544" s="187"/>
      <c r="R544" s="187"/>
      <c r="S544" s="187"/>
      <c r="T544" s="187"/>
      <c r="U544" s="187"/>
      <c r="V544" s="188" t="str">
        <f t="shared" ref="V544:V547" si="794">IF(ISBLANK(O544),"",(IF(O544=UPPER("IB"),0.005,0.01)))</f>
        <v/>
      </c>
      <c r="W544" s="189" t="str">
        <f t="shared" ref="W544:W547" si="795">IF(ISBLANK(O544),"",IF(O544="IB",8.63*200,IF(O544="IR",16*100,IF(O544="YT",20*100,IF(O544="YT-XT",24*200,IF(O544="TED",80*100))))))</f>
        <v/>
      </c>
      <c r="X544" s="189"/>
      <c r="Y544" s="189"/>
      <c r="Z544" s="189"/>
      <c r="AA544" s="190"/>
      <c r="AB544" s="186"/>
      <c r="AC544" s="344"/>
      <c r="AD544" s="186"/>
      <c r="AE544" s="186"/>
      <c r="AF544" s="186"/>
      <c r="AG544" s="186"/>
      <c r="AH544" s="186"/>
      <c r="AI544" s="191"/>
      <c r="AJ544" s="191"/>
      <c r="AK544" s="186"/>
      <c r="AL544" s="186"/>
      <c r="AM544" s="186"/>
      <c r="AN544" s="344"/>
      <c r="AO544" s="186"/>
      <c r="AP544" s="193"/>
      <c r="AQ544" s="193"/>
      <c r="AR544" s="191"/>
      <c r="AS544" s="194"/>
      <c r="AT544" s="195"/>
      <c r="AU544" s="425"/>
      <c r="AV544" s="425"/>
      <c r="AW544" s="425"/>
      <c r="AX544" s="425"/>
      <c r="AY544" s="425"/>
      <c r="AZ544" s="425"/>
      <c r="BA544" s="425"/>
      <c r="BB544" s="425"/>
      <c r="BC544" s="440"/>
      <c r="BD544" s="404">
        <f>SUM($AS$4:AS544)</f>
        <v>2938.018809523805</v>
      </c>
      <c r="BE544" s="405">
        <f>SUM($AR$4:AR544)</f>
        <v>4617.9599999999627</v>
      </c>
      <c r="BF544" s="330"/>
      <c r="BG544" s="330"/>
    </row>
    <row r="545" spans="1:59" ht="15.75" customHeight="1">
      <c r="A545" s="227" t="s">
        <v>2361</v>
      </c>
      <c r="B545" s="204"/>
      <c r="C545" s="182"/>
      <c r="D545" s="182"/>
      <c r="E545" s="233" t="s">
        <v>2391</v>
      </c>
      <c r="F545" s="184"/>
      <c r="G545" s="185"/>
      <c r="H545" s="186"/>
      <c r="I545" s="186"/>
      <c r="J545" s="186">
        <v>1</v>
      </c>
      <c r="K545" s="187" t="s">
        <v>97</v>
      </c>
      <c r="L545" s="186"/>
      <c r="M545" s="186"/>
      <c r="N545" s="186"/>
      <c r="O545" s="187"/>
      <c r="P545" s="187"/>
      <c r="Q545" s="187"/>
      <c r="R545" s="187"/>
      <c r="S545" s="187"/>
      <c r="T545" s="187"/>
      <c r="U545" s="187"/>
      <c r="V545" s="188" t="str">
        <f t="shared" si="794"/>
        <v/>
      </c>
      <c r="W545" s="189" t="str">
        <f t="shared" si="795"/>
        <v/>
      </c>
      <c r="X545" s="189"/>
      <c r="Y545" s="189"/>
      <c r="Z545" s="189"/>
      <c r="AA545" s="190"/>
      <c r="AB545" s="186"/>
      <c r="AC545" s="344"/>
      <c r="AD545" s="186"/>
      <c r="AE545" s="186"/>
      <c r="AF545" s="186"/>
      <c r="AG545" s="186"/>
      <c r="AH545" s="186"/>
      <c r="AI545" s="191"/>
      <c r="AJ545" s="191"/>
      <c r="AK545" s="186"/>
      <c r="AL545" s="186"/>
      <c r="AM545" s="186"/>
      <c r="AN545" s="344"/>
      <c r="AO545" s="186"/>
      <c r="AP545" s="193"/>
      <c r="AQ545" s="193"/>
      <c r="AR545" s="191"/>
      <c r="AS545" s="194"/>
      <c r="AT545" s="195"/>
      <c r="AU545" s="425"/>
      <c r="AV545" s="425"/>
      <c r="AW545" s="425"/>
      <c r="AX545" s="425"/>
      <c r="AY545" s="425"/>
      <c r="AZ545" s="425"/>
      <c r="BA545" s="425"/>
      <c r="BB545" s="425"/>
      <c r="BC545" s="440"/>
      <c r="BD545" s="404">
        <f>SUM($AS$4:AS545)</f>
        <v>2938.018809523805</v>
      </c>
      <c r="BE545" s="405">
        <f>SUM($AR$4:AR545)</f>
        <v>4617.9599999999627</v>
      </c>
      <c r="BF545" s="330"/>
      <c r="BG545" s="330"/>
    </row>
    <row r="546" spans="1:59" ht="15.75" customHeight="1">
      <c r="A546" s="227" t="s">
        <v>2361</v>
      </c>
      <c r="B546" s="204">
        <v>45048</v>
      </c>
      <c r="C546" s="182" t="s">
        <v>2392</v>
      </c>
      <c r="D546" s="182" t="s">
        <v>128</v>
      </c>
      <c r="E546" s="233" t="s">
        <v>2393</v>
      </c>
      <c r="F546" s="184"/>
      <c r="G546" s="185"/>
      <c r="H546" s="186"/>
      <c r="I546" s="186"/>
      <c r="J546" s="186"/>
      <c r="K546" s="187"/>
      <c r="L546" s="186"/>
      <c r="M546" s="186"/>
      <c r="N546" s="186"/>
      <c r="O546" s="187"/>
      <c r="P546" s="187"/>
      <c r="Q546" s="187"/>
      <c r="R546" s="187"/>
      <c r="S546" s="187"/>
      <c r="T546" s="187"/>
      <c r="U546" s="187"/>
      <c r="V546" s="188" t="str">
        <f t="shared" si="794"/>
        <v/>
      </c>
      <c r="W546" s="189" t="str">
        <f t="shared" si="795"/>
        <v/>
      </c>
      <c r="X546" s="189"/>
      <c r="Y546" s="189"/>
      <c r="Z546" s="189"/>
      <c r="AA546" s="190"/>
      <c r="AB546" s="186"/>
      <c r="AC546" s="344"/>
      <c r="AD546" s="186"/>
      <c r="AE546" s="186"/>
      <c r="AF546" s="186"/>
      <c r="AG546" s="186"/>
      <c r="AH546" s="186"/>
      <c r="AI546" s="191"/>
      <c r="AJ546" s="191"/>
      <c r="AK546" s="186"/>
      <c r="AL546" s="186"/>
      <c r="AM546" s="186"/>
      <c r="AN546" s="344"/>
      <c r="AO546" s="186"/>
      <c r="AP546" s="193"/>
      <c r="AQ546" s="193"/>
      <c r="AR546" s="191"/>
      <c r="AS546" s="194"/>
      <c r="AT546" s="195"/>
      <c r="AU546" s="425"/>
      <c r="AV546" s="425"/>
      <c r="AW546" s="425"/>
      <c r="AX546" s="425"/>
      <c r="AY546" s="425"/>
      <c r="AZ546" s="425"/>
      <c r="BA546" s="425"/>
      <c r="BB546" s="425"/>
      <c r="BC546" s="440"/>
      <c r="BD546" s="404">
        <f>SUM($AS$4:AS546)</f>
        <v>2938.018809523805</v>
      </c>
      <c r="BE546" s="405">
        <f>SUM($AR$4:AR546)</f>
        <v>4617.9599999999627</v>
      </c>
      <c r="BF546" s="330"/>
      <c r="BG546" s="330"/>
    </row>
    <row r="547" spans="1:59" ht="15.75" customHeight="1">
      <c r="A547" s="227" t="s">
        <v>2361</v>
      </c>
      <c r="B547" s="204">
        <v>45048</v>
      </c>
      <c r="C547" s="182" t="s">
        <v>2394</v>
      </c>
      <c r="D547" s="182" t="s">
        <v>128</v>
      </c>
      <c r="E547" s="233"/>
      <c r="F547" s="184"/>
      <c r="G547" s="291" t="s">
        <v>75</v>
      </c>
      <c r="H547" s="186"/>
      <c r="I547" s="186"/>
      <c r="J547" s="186"/>
      <c r="K547" s="187"/>
      <c r="L547" s="186">
        <v>1</v>
      </c>
      <c r="M547" s="186"/>
      <c r="N547" s="186"/>
      <c r="O547" s="187" t="s">
        <v>76</v>
      </c>
      <c r="P547" s="187" t="s">
        <v>77</v>
      </c>
      <c r="Q547" s="187" t="s">
        <v>78</v>
      </c>
      <c r="R547" s="187">
        <v>7</v>
      </c>
      <c r="S547" s="187">
        <v>0</v>
      </c>
      <c r="T547" s="187">
        <v>7</v>
      </c>
      <c r="U547" s="187" t="s">
        <v>78</v>
      </c>
      <c r="V547" s="188">
        <f t="shared" si="794"/>
        <v>0.01</v>
      </c>
      <c r="W547" s="189">
        <f t="shared" si="795"/>
        <v>1600</v>
      </c>
      <c r="X547" s="189" t="s">
        <v>80</v>
      </c>
      <c r="Y547" s="189"/>
      <c r="Z547" s="189"/>
      <c r="AA547" s="190">
        <v>-0.03</v>
      </c>
      <c r="AB547" s="186"/>
      <c r="AC547" s="344"/>
      <c r="AD547" s="186"/>
      <c r="AE547" s="186"/>
      <c r="AF547" s="186"/>
      <c r="AG547" s="186"/>
      <c r="AH547" s="186"/>
      <c r="AI547" s="191">
        <f t="shared" si="777"/>
        <v>-16</v>
      </c>
      <c r="AJ547" s="191">
        <f t="shared" si="778"/>
        <v>-112</v>
      </c>
      <c r="AK547" s="186"/>
      <c r="AL547" s="186"/>
      <c r="AM547" s="186" t="s">
        <v>1008</v>
      </c>
      <c r="AN547" s="344" t="s">
        <v>87</v>
      </c>
      <c r="AO547" s="186" t="s">
        <v>2093</v>
      </c>
      <c r="AP547" s="193">
        <v>-0.04</v>
      </c>
      <c r="AQ547" s="193">
        <f t="shared" ref="AQ547" si="796">IF(ISBLANK(AP547),,IF(U547="S",AA547-AP547,AP547-AA547))</f>
        <v>1.0000000000000002E-2</v>
      </c>
      <c r="AR547" s="191">
        <f t="shared" ref="AR547" si="797">AS547*R547</f>
        <v>112.00000000000003</v>
      </c>
      <c r="AS547" s="194">
        <f t="shared" ref="AS547" si="798">IF(ISBLANK(AP547),,(AQ547*W547))</f>
        <v>16.000000000000004</v>
      </c>
      <c r="AT547" s="195" t="s">
        <v>77</v>
      </c>
      <c r="AU547" s="425" t="s">
        <v>2395</v>
      </c>
      <c r="AV547" s="425" t="s">
        <v>511</v>
      </c>
      <c r="AW547" s="425"/>
      <c r="AX547" s="425"/>
      <c r="AY547" s="425"/>
      <c r="AZ547" s="425"/>
      <c r="BA547" s="425"/>
      <c r="BB547" s="425"/>
      <c r="BC547" s="440"/>
      <c r="BD547" s="404">
        <f>SUM($AS$4:AS547)</f>
        <v>2954.018809523805</v>
      </c>
      <c r="BE547" s="405">
        <f>SUM($AR$4:AR547)</f>
        <v>4729.9599999999627</v>
      </c>
      <c r="BF547" s="330"/>
      <c r="BG547" s="330"/>
    </row>
    <row r="548" spans="1:59" ht="15.75" customHeight="1">
      <c r="A548" s="227" t="s">
        <v>2361</v>
      </c>
      <c r="B548" s="204">
        <v>45048</v>
      </c>
      <c r="C548" s="182" t="s">
        <v>2396</v>
      </c>
      <c r="D548" s="182" t="s">
        <v>128</v>
      </c>
      <c r="E548" s="233"/>
      <c r="F548" s="184"/>
      <c r="G548" s="291" t="s">
        <v>2051</v>
      </c>
      <c r="H548" s="186"/>
      <c r="I548" s="186"/>
      <c r="J548" s="186"/>
      <c r="K548" s="187"/>
      <c r="L548" s="186">
        <v>1</v>
      </c>
      <c r="M548" s="186"/>
      <c r="N548" s="186"/>
      <c r="O548" s="187" t="s">
        <v>76</v>
      </c>
      <c r="P548" s="187" t="s">
        <v>119</v>
      </c>
      <c r="Q548" s="187" t="s">
        <v>78</v>
      </c>
      <c r="R548" s="187">
        <v>5</v>
      </c>
      <c r="S548" s="187">
        <v>0</v>
      </c>
      <c r="T548" s="187">
        <v>5</v>
      </c>
      <c r="U548" s="187" t="s">
        <v>78</v>
      </c>
      <c r="V548" s="188">
        <f t="shared" ref="V548:V551" si="799">IF(ISBLANK(O548),"",(IF(O548=UPPER("IB"),0.005,0.01)))</f>
        <v>0.01</v>
      </c>
      <c r="W548" s="189">
        <f t="shared" ref="W548" si="800">IF(ISBLANK(O548),"",IF(O548="IB",8.63*200,IF(O548="IR",16*100,IF(O548="YT",20*100,IF(O548="YT-XT",24*200,IF(O548="TED",80*100))))))</f>
        <v>1600</v>
      </c>
      <c r="X548" s="189" t="s">
        <v>80</v>
      </c>
      <c r="Y548" s="189"/>
      <c r="Z548" s="189"/>
      <c r="AA548" s="190">
        <v>-7.0000000000000007E-2</v>
      </c>
      <c r="AB548" s="186"/>
      <c r="AC548" s="344"/>
      <c r="AD548" s="186"/>
      <c r="AE548" s="186"/>
      <c r="AF548" s="186"/>
      <c r="AG548" s="186"/>
      <c r="AH548" s="186"/>
      <c r="AI548" s="191">
        <f>-0.02*W548</f>
        <v>-32</v>
      </c>
      <c r="AJ548" s="191">
        <f t="shared" ref="AJ548" si="801">AI548*(R548-S548)</f>
        <v>-160</v>
      </c>
      <c r="AK548" s="186"/>
      <c r="AL548" s="186"/>
      <c r="AM548" s="186" t="s">
        <v>786</v>
      </c>
      <c r="AN548" s="344" t="s">
        <v>97</v>
      </c>
      <c r="AO548" s="186" t="s">
        <v>2397</v>
      </c>
      <c r="AP548" s="193">
        <v>-0.08</v>
      </c>
      <c r="AQ548" s="193">
        <f t="shared" ref="AQ548" si="802">IF(ISBLANK(AP548),,IF(U548="S",AA548-AP548,AP548-AA548))</f>
        <v>9.999999999999995E-3</v>
      </c>
      <c r="AR548" s="191">
        <f t="shared" ref="AR548" si="803">AS548*R548</f>
        <v>79.999999999999972</v>
      </c>
      <c r="AS548" s="194">
        <f t="shared" ref="AS548" si="804">IF(ISBLANK(AP548),,(AQ548*W548))</f>
        <v>15.999999999999993</v>
      </c>
      <c r="AT548" s="195" t="s">
        <v>77</v>
      </c>
      <c r="AU548" s="425"/>
      <c r="AV548" s="425"/>
      <c r="AW548" s="425"/>
      <c r="AX548" s="425"/>
      <c r="AY548" s="425"/>
      <c r="AZ548" s="425"/>
      <c r="BA548" s="425"/>
      <c r="BB548" s="425"/>
      <c r="BC548" s="440"/>
      <c r="BD548" s="404">
        <f>SUM($AS$4:AS548)</f>
        <v>2970.018809523805</v>
      </c>
      <c r="BE548" s="405">
        <f>SUM($AR$4:AR548)</f>
        <v>4809.9599999999627</v>
      </c>
      <c r="BF548" s="330"/>
      <c r="BG548" s="330"/>
    </row>
    <row r="549" spans="1:59" ht="15.75" customHeight="1">
      <c r="A549" s="227" t="s">
        <v>2361</v>
      </c>
      <c r="B549" s="204">
        <v>45049</v>
      </c>
      <c r="C549" s="182" t="s">
        <v>2001</v>
      </c>
      <c r="D549" s="182" t="s">
        <v>133</v>
      </c>
      <c r="E549" s="233" t="s">
        <v>2398</v>
      </c>
      <c r="F549" s="184"/>
      <c r="G549" s="185"/>
      <c r="H549" s="186">
        <v>1</v>
      </c>
      <c r="I549" s="186"/>
      <c r="J549" s="186"/>
      <c r="K549" s="187" t="s">
        <v>87</v>
      </c>
      <c r="L549" s="186"/>
      <c r="M549" s="186"/>
      <c r="N549" s="186"/>
      <c r="O549" s="187"/>
      <c r="P549" s="187"/>
      <c r="Q549" s="187"/>
      <c r="R549" s="187"/>
      <c r="S549" s="187"/>
      <c r="T549" s="187"/>
      <c r="U549" s="187"/>
      <c r="V549" s="188" t="str">
        <f t="shared" si="799"/>
        <v/>
      </c>
      <c r="W549" s="189" t="str">
        <f t="shared" si="712"/>
        <v/>
      </c>
      <c r="X549" s="189"/>
      <c r="Y549" s="189"/>
      <c r="Z549" s="189"/>
      <c r="AA549" s="190"/>
      <c r="AB549" s="186"/>
      <c r="AC549" s="344"/>
      <c r="AD549" s="186"/>
      <c r="AE549" s="186"/>
      <c r="AF549" s="186"/>
      <c r="AG549" s="186"/>
      <c r="AH549" s="186"/>
      <c r="AI549" s="191"/>
      <c r="AJ549" s="191"/>
      <c r="AK549" s="186"/>
      <c r="AL549" s="186"/>
      <c r="AM549" s="186"/>
      <c r="AN549" s="344"/>
      <c r="AO549" s="186"/>
      <c r="AP549" s="193"/>
      <c r="AQ549" s="193"/>
      <c r="AR549" s="191"/>
      <c r="AS549" s="194"/>
      <c r="AT549" s="195"/>
      <c r="AU549" s="425"/>
      <c r="AV549" s="425"/>
      <c r="AW549" s="425"/>
      <c r="AX549" s="425"/>
      <c r="AY549" s="425"/>
      <c r="AZ549" s="425"/>
      <c r="BA549" s="425"/>
      <c r="BB549" s="425"/>
      <c r="BC549" s="440"/>
      <c r="BD549" s="404">
        <f>SUM($AS$4:AS549)</f>
        <v>2970.018809523805</v>
      </c>
      <c r="BE549" s="405">
        <f>SUM($AR$4:AR549)</f>
        <v>4809.9599999999627</v>
      </c>
      <c r="BF549" s="330"/>
      <c r="BG549" s="330"/>
    </row>
    <row r="550" spans="1:59" ht="15.75" customHeight="1">
      <c r="A550" s="227" t="s">
        <v>2361</v>
      </c>
      <c r="B550" s="204">
        <v>45049</v>
      </c>
      <c r="C550" s="182" t="s">
        <v>1462</v>
      </c>
      <c r="D550" s="182" t="s">
        <v>133</v>
      </c>
      <c r="E550" s="233" t="s">
        <v>2399</v>
      </c>
      <c r="F550" s="184"/>
      <c r="G550" s="185"/>
      <c r="H550" s="186"/>
      <c r="I550" s="186"/>
      <c r="J550" s="186"/>
      <c r="K550" s="187"/>
      <c r="L550" s="186"/>
      <c r="M550" s="186"/>
      <c r="N550" s="186"/>
      <c r="O550" s="187"/>
      <c r="P550" s="187"/>
      <c r="Q550" s="187"/>
      <c r="R550" s="187"/>
      <c r="S550" s="187"/>
      <c r="T550" s="187"/>
      <c r="U550" s="187"/>
      <c r="V550" s="282"/>
      <c r="W550" s="187"/>
      <c r="X550" s="189"/>
      <c r="Y550" s="189"/>
      <c r="Z550" s="189"/>
      <c r="AA550" s="190"/>
      <c r="AB550" s="186"/>
      <c r="AC550" s="344"/>
      <c r="AD550" s="186"/>
      <c r="AE550" s="186"/>
      <c r="AF550" s="186"/>
      <c r="AG550" s="186"/>
      <c r="AH550" s="186"/>
      <c r="AI550" s="191"/>
      <c r="AJ550" s="191"/>
      <c r="AK550" s="186"/>
      <c r="AL550" s="186"/>
      <c r="AM550" s="186"/>
      <c r="AN550" s="344"/>
      <c r="AO550" s="186"/>
      <c r="AP550" s="193"/>
      <c r="AQ550" s="193"/>
      <c r="AR550" s="191"/>
      <c r="AS550" s="194"/>
      <c r="AT550" s="195"/>
      <c r="AU550" s="425"/>
      <c r="AV550" s="425"/>
      <c r="AW550" s="425"/>
      <c r="AX550" s="425" t="s">
        <v>2400</v>
      </c>
      <c r="AY550" s="425" t="s">
        <v>2401</v>
      </c>
      <c r="AZ550" s="425" t="s">
        <v>511</v>
      </c>
      <c r="BA550" s="425"/>
      <c r="BB550" s="425"/>
      <c r="BC550" s="440"/>
      <c r="BD550" s="404">
        <f>SUM($AS$4:AS550)</f>
        <v>2970.018809523805</v>
      </c>
      <c r="BE550" s="405">
        <f>SUM($AR$4:AR550)</f>
        <v>4809.9599999999627</v>
      </c>
      <c r="BF550" s="330"/>
      <c r="BG550" s="330"/>
    </row>
    <row r="551" spans="1:59" ht="15.75" customHeight="1">
      <c r="A551" s="227" t="s">
        <v>2361</v>
      </c>
      <c r="B551" s="204">
        <v>45050</v>
      </c>
      <c r="C551" s="182" t="s">
        <v>2402</v>
      </c>
      <c r="D551" s="182" t="s">
        <v>74</v>
      </c>
      <c r="E551" s="233"/>
      <c r="F551" s="184"/>
      <c r="G551" s="291" t="s">
        <v>75</v>
      </c>
      <c r="H551" s="186"/>
      <c r="I551" s="186"/>
      <c r="J551" s="186"/>
      <c r="K551" s="187"/>
      <c r="L551" s="186">
        <v>1</v>
      </c>
      <c r="M551" s="186"/>
      <c r="N551" s="186"/>
      <c r="O551" s="187" t="s">
        <v>76</v>
      </c>
      <c r="P551" s="187" t="s">
        <v>77</v>
      </c>
      <c r="Q551" s="187" t="s">
        <v>78</v>
      </c>
      <c r="R551" s="187">
        <v>10</v>
      </c>
      <c r="S551" s="187">
        <v>0</v>
      </c>
      <c r="T551" s="187">
        <v>10</v>
      </c>
      <c r="U551" s="187" t="s">
        <v>22</v>
      </c>
      <c r="V551" s="188">
        <f t="shared" si="799"/>
        <v>0.01</v>
      </c>
      <c r="W551" s="189">
        <f t="shared" si="712"/>
        <v>1600</v>
      </c>
      <c r="X551" s="189" t="s">
        <v>80</v>
      </c>
      <c r="Y551" s="189" t="s">
        <v>2403</v>
      </c>
      <c r="Z551" s="189"/>
      <c r="AA551" s="190">
        <v>-7.0000000000000007E-2</v>
      </c>
      <c r="AB551" s="186"/>
      <c r="AC551" s="344"/>
      <c r="AD551" s="186"/>
      <c r="AE551" s="186"/>
      <c r="AF551" s="186"/>
      <c r="AG551" s="186"/>
      <c r="AH551" s="186"/>
      <c r="AI551" s="191">
        <f>-0.03*W551</f>
        <v>-48</v>
      </c>
      <c r="AJ551" s="191">
        <f t="shared" ref="AJ551:AJ553" si="805">AI551*(R551-S551)</f>
        <v>-480</v>
      </c>
      <c r="AK551" s="186"/>
      <c r="AL551" s="186"/>
      <c r="AM551" s="186" t="s">
        <v>2404</v>
      </c>
      <c r="AN551" s="344" t="s">
        <v>87</v>
      </c>
      <c r="AO551" s="235">
        <v>0.33333333333333331</v>
      </c>
      <c r="AP551" s="193">
        <v>-0.1</v>
      </c>
      <c r="AQ551" s="193">
        <f t="shared" ref="AQ551:AQ553" si="806">IF(ISBLANK(AP551),,IF(U551="S",AA551-AP551,AP551-AA551))</f>
        <v>-0.03</v>
      </c>
      <c r="AR551" s="191">
        <f t="shared" ref="AR551:AR553" si="807">AS551*R551</f>
        <v>-480</v>
      </c>
      <c r="AS551" s="194">
        <f t="shared" ref="AS551:AS553" si="808">IF(ISBLANK(AP551),,(AQ551*W551))</f>
        <v>-48</v>
      </c>
      <c r="AT551" s="195" t="s">
        <v>211</v>
      </c>
      <c r="AU551" s="425" t="s">
        <v>2405</v>
      </c>
      <c r="AV551" s="425" t="s">
        <v>2406</v>
      </c>
      <c r="AW551" s="425" t="s">
        <v>2407</v>
      </c>
      <c r="AX551" s="425" t="s">
        <v>2408</v>
      </c>
      <c r="AY551" s="425" t="s">
        <v>2409</v>
      </c>
      <c r="AZ551" s="425"/>
      <c r="BA551" s="425"/>
      <c r="BB551" s="425"/>
      <c r="BC551" s="440"/>
      <c r="BD551" s="404">
        <f>SUM($AS$4:AS551)</f>
        <v>2922.018809523805</v>
      </c>
      <c r="BE551" s="405">
        <f>SUM($AR$4:AR551)</f>
        <v>4329.9599999999627</v>
      </c>
      <c r="BF551" s="330"/>
      <c r="BG551" s="330"/>
    </row>
    <row r="552" spans="1:59" ht="15.75" customHeight="1">
      <c r="A552" s="227" t="s">
        <v>2361</v>
      </c>
      <c r="B552" s="204">
        <v>45050</v>
      </c>
      <c r="C552" s="182" t="s">
        <v>2410</v>
      </c>
      <c r="D552" s="182" t="s">
        <v>74</v>
      </c>
      <c r="E552" s="233"/>
      <c r="F552" s="184"/>
      <c r="G552" s="291" t="s">
        <v>75</v>
      </c>
      <c r="H552" s="186"/>
      <c r="I552" s="186"/>
      <c r="J552" s="186"/>
      <c r="K552" s="187"/>
      <c r="L552" s="186">
        <v>1</v>
      </c>
      <c r="M552" s="186"/>
      <c r="N552" s="186"/>
      <c r="O552" s="187" t="s">
        <v>76</v>
      </c>
      <c r="P552" s="187" t="s">
        <v>77</v>
      </c>
      <c r="Q552" s="187" t="s">
        <v>78</v>
      </c>
      <c r="R552" s="187">
        <v>15</v>
      </c>
      <c r="S552" s="187">
        <v>0</v>
      </c>
      <c r="T552" s="187">
        <v>15</v>
      </c>
      <c r="U552" s="187" t="s">
        <v>22</v>
      </c>
      <c r="V552" s="188">
        <f t="shared" ref="V552" si="809">IF(ISBLANK(O552),"",(IF(O552=UPPER("IB"),0.005,0.01)))</f>
        <v>0.01</v>
      </c>
      <c r="W552" s="189">
        <f t="shared" ref="W552" si="810">IF(ISBLANK(O552),"",IF(O552="IB",8.63*200,IF(O552="IR",16*100,IF(O552="YT",20*100,IF(O552="YT-XT",24*200,IF(O552="TED",80*100))))))</f>
        <v>1600</v>
      </c>
      <c r="X552" s="189" t="s">
        <v>2411</v>
      </c>
      <c r="Y552" s="189"/>
      <c r="Z552" s="189"/>
      <c r="AA552" s="190">
        <v>-0.08</v>
      </c>
      <c r="AB552" s="186"/>
      <c r="AC552" s="344"/>
      <c r="AD552" s="186"/>
      <c r="AE552" s="186"/>
      <c r="AF552" s="186"/>
      <c r="AG552" s="186"/>
      <c r="AH552" s="186"/>
      <c r="AI552" s="191">
        <f>-0.03*W552</f>
        <v>-48</v>
      </c>
      <c r="AJ552" s="191">
        <f t="shared" si="805"/>
        <v>-720</v>
      </c>
      <c r="AK552" s="186"/>
      <c r="AL552" s="186"/>
      <c r="AM552" s="186" t="s">
        <v>2404</v>
      </c>
      <c r="AN552" s="344" t="s">
        <v>87</v>
      </c>
      <c r="AO552" s="186" t="s">
        <v>2074</v>
      </c>
      <c r="AP552" s="193">
        <f>((-0.1*5)+(-0.12*10))/15</f>
        <v>-0.11333333333333333</v>
      </c>
      <c r="AQ552" s="193">
        <f t="shared" si="806"/>
        <v>-3.3333333333333326E-2</v>
      </c>
      <c r="AR552" s="191">
        <f t="shared" si="807"/>
        <v>-799.99999999999977</v>
      </c>
      <c r="AS552" s="194">
        <f t="shared" si="808"/>
        <v>-53.333333333333321</v>
      </c>
      <c r="AT552" s="195" t="s">
        <v>211</v>
      </c>
      <c r="AU552" s="425"/>
      <c r="AV552" s="425"/>
      <c r="AW552" s="425"/>
      <c r="AX552" s="425"/>
      <c r="AY552" s="425"/>
      <c r="AZ552" s="425"/>
      <c r="BA552" s="425"/>
      <c r="BB552" s="425"/>
      <c r="BC552" s="440"/>
      <c r="BD552" s="404">
        <f>SUM($AS$4:AS552)</f>
        <v>2868.6854761904715</v>
      </c>
      <c r="BE552" s="405">
        <f>SUM($AR$4:AR552)</f>
        <v>3529.9599999999627</v>
      </c>
      <c r="BF552" s="330"/>
      <c r="BG552" s="330"/>
    </row>
    <row r="553" spans="1:59" ht="15.75" customHeight="1">
      <c r="A553" s="227" t="s">
        <v>2361</v>
      </c>
      <c r="B553" s="204">
        <v>45050</v>
      </c>
      <c r="C553" s="182" t="s">
        <v>2410</v>
      </c>
      <c r="D553" s="182" t="s">
        <v>74</v>
      </c>
      <c r="E553" s="233"/>
      <c r="F553" s="184"/>
      <c r="G553" s="291" t="s">
        <v>2126</v>
      </c>
      <c r="H553" s="186"/>
      <c r="I553" s="186"/>
      <c r="J553" s="186"/>
      <c r="K553" s="187"/>
      <c r="L553" s="186">
        <v>1</v>
      </c>
      <c r="M553" s="186"/>
      <c r="N553" s="186"/>
      <c r="O553" s="187" t="s">
        <v>76</v>
      </c>
      <c r="P553" s="187" t="s">
        <v>77</v>
      </c>
      <c r="Q553" s="187" t="s">
        <v>78</v>
      </c>
      <c r="R553" s="187">
        <v>17</v>
      </c>
      <c r="S553" s="187">
        <v>7</v>
      </c>
      <c r="T553" s="187">
        <v>17</v>
      </c>
      <c r="U553" s="187" t="s">
        <v>22</v>
      </c>
      <c r="V553" s="188">
        <f t="shared" ref="V553" si="811">IF(ISBLANK(O553),"",(IF(O553=UPPER("IB"),0.005,0.01)))</f>
        <v>0.01</v>
      </c>
      <c r="W553" s="189">
        <f t="shared" ref="W553" si="812">IF(ISBLANK(O553),"",IF(O553="IB",8.63*200,IF(O553="IR",16*100,IF(O553="YT",20*100,IF(O553="YT-XT",24*200,IF(O553="TED",80*100))))))</f>
        <v>1600</v>
      </c>
      <c r="X553" s="189" t="s">
        <v>80</v>
      </c>
      <c r="Y553" s="189"/>
      <c r="Z553" s="189"/>
      <c r="AA553" s="190">
        <v>-0.16</v>
      </c>
      <c r="AB553" s="186"/>
      <c r="AC553" s="344"/>
      <c r="AD553" s="186"/>
      <c r="AE553" s="186"/>
      <c r="AF553" s="186"/>
      <c r="AG553" s="186"/>
      <c r="AH553" s="186"/>
      <c r="AI553" s="191">
        <f t="shared" ref="AI553" si="813">-0.02*W553</f>
        <v>-32</v>
      </c>
      <c r="AJ553" s="191">
        <f t="shared" si="805"/>
        <v>-320</v>
      </c>
      <c r="AK553" s="186"/>
      <c r="AL553" s="186"/>
      <c r="AM553" s="186" t="s">
        <v>924</v>
      </c>
      <c r="AN553" s="344" t="s">
        <v>87</v>
      </c>
      <c r="AO553" s="186" t="s">
        <v>1034</v>
      </c>
      <c r="AP553" s="193">
        <f>((-0.15*7)+(-0.15*10))/17</f>
        <v>-0.15</v>
      </c>
      <c r="AQ553" s="193">
        <f t="shared" si="806"/>
        <v>1.0000000000000009E-2</v>
      </c>
      <c r="AR553" s="191">
        <f t="shared" si="807"/>
        <v>272.00000000000023</v>
      </c>
      <c r="AS553" s="194">
        <f t="shared" si="808"/>
        <v>16.000000000000014</v>
      </c>
      <c r="AT553" s="195" t="s">
        <v>77</v>
      </c>
      <c r="AU553" s="425"/>
      <c r="AV553" s="425"/>
      <c r="AW553" s="425"/>
      <c r="AX553" s="425"/>
      <c r="AY553" s="425"/>
      <c r="AZ553" s="425"/>
      <c r="BA553" s="425"/>
      <c r="BB553" s="425"/>
      <c r="BC553" s="440"/>
      <c r="BD553" s="404">
        <f>SUM($AS$4:AS553)</f>
        <v>2884.6854761904715</v>
      </c>
      <c r="BE553" s="405">
        <f>SUM($AR$4:AR553)</f>
        <v>3801.9599999999627</v>
      </c>
      <c r="BF553" s="330"/>
      <c r="BG553" s="330"/>
    </row>
    <row r="554" spans="1:59" ht="15.75" customHeight="1">
      <c r="A554" s="227" t="s">
        <v>2361</v>
      </c>
      <c r="B554" s="204">
        <v>45050</v>
      </c>
      <c r="C554" s="182" t="s">
        <v>1679</v>
      </c>
      <c r="D554" s="182" t="s">
        <v>74</v>
      </c>
      <c r="E554" s="233"/>
      <c r="F554" s="184"/>
      <c r="G554" s="291" t="s">
        <v>2412</v>
      </c>
      <c r="H554" s="186"/>
      <c r="I554" s="186"/>
      <c r="J554" s="186"/>
      <c r="K554" s="187"/>
      <c r="L554" s="186">
        <v>1</v>
      </c>
      <c r="M554" s="186"/>
      <c r="N554" s="186"/>
      <c r="O554" s="187" t="s">
        <v>2413</v>
      </c>
      <c r="P554" s="187" t="s">
        <v>2241</v>
      </c>
      <c r="Q554" s="187" t="s">
        <v>666</v>
      </c>
      <c r="R554" s="187">
        <v>1</v>
      </c>
      <c r="S554" s="187">
        <v>0</v>
      </c>
      <c r="T554" s="187">
        <v>1</v>
      </c>
      <c r="U554" s="187" t="s">
        <v>78</v>
      </c>
      <c r="V554" s="188">
        <f t="shared" ref="V554" si="814">IF(ISBLANK(O554),"",(IF(O554=UPPER("IB"),0.005,0.01)))</f>
        <v>0.01</v>
      </c>
      <c r="W554" s="189">
        <f t="shared" ref="W554:W556" si="815">IF(ISBLANK(O554),"",IF(O554="IB",8.63*200,IF(O554="IR",16*100,IF(O554="YT",20*100,IF(O554="YT-XT",24*200,IF(O554="TED",80*100))))))</f>
        <v>2000</v>
      </c>
      <c r="X554" s="189" t="s">
        <v>2414</v>
      </c>
      <c r="Y554" s="189" t="s">
        <v>511</v>
      </c>
      <c r="Z554" s="189"/>
      <c r="AA554" s="190">
        <v>97</v>
      </c>
      <c r="AB554" s="186"/>
      <c r="AC554" s="344">
        <v>97.03</v>
      </c>
      <c r="AD554" s="186" t="s">
        <v>2415</v>
      </c>
      <c r="AE554" s="186" t="s">
        <v>2416</v>
      </c>
      <c r="AF554" s="186"/>
      <c r="AG554" s="186"/>
      <c r="AH554" s="308" t="s">
        <v>2417</v>
      </c>
      <c r="AI554" s="191">
        <f>-0.03*W554</f>
        <v>-60</v>
      </c>
      <c r="AJ554" s="191">
        <f t="shared" ref="AJ554" si="816">AI554*(R554-S554)</f>
        <v>-60</v>
      </c>
      <c r="AK554" s="186"/>
      <c r="AL554" s="186"/>
      <c r="AM554" s="186" t="s">
        <v>1273</v>
      </c>
      <c r="AN554" s="344" t="s">
        <v>87</v>
      </c>
      <c r="AO554" s="186" t="s">
        <v>2418</v>
      </c>
      <c r="AP554" s="193">
        <v>97</v>
      </c>
      <c r="AQ554" s="193">
        <f t="shared" ref="AQ554" si="817">IF(ISBLANK(AP554),,IF(U554="S",AA554-AP554,AP554-AA554))</f>
        <v>0</v>
      </c>
      <c r="AR554" s="191">
        <f t="shared" ref="AR554" si="818">AS554*R554</f>
        <v>0</v>
      </c>
      <c r="AS554" s="194">
        <f t="shared" ref="AS554" si="819">IF(ISBLANK(AP554),,(AQ554*W554))</f>
        <v>0</v>
      </c>
      <c r="AT554" s="195" t="s">
        <v>97</v>
      </c>
      <c r="AU554" s="425" t="s">
        <v>2419</v>
      </c>
      <c r="AV554" s="425"/>
      <c r="AW554" s="425"/>
      <c r="AX554" s="425"/>
      <c r="AY554" s="425"/>
      <c r="AZ554" s="425"/>
      <c r="BA554" s="425"/>
      <c r="BB554" s="425"/>
      <c r="BC554" s="440"/>
      <c r="BD554" s="404">
        <f>SUM($AS$4:AS554)</f>
        <v>2884.6854761904715</v>
      </c>
      <c r="BE554" s="405">
        <f>SUM($AR$4:AR554)</f>
        <v>3801.9599999999627</v>
      </c>
      <c r="BF554" s="330"/>
      <c r="BG554" s="330"/>
    </row>
    <row r="555" spans="1:59" ht="15.75" customHeight="1">
      <c r="A555" s="227" t="s">
        <v>2361</v>
      </c>
      <c r="B555" s="204">
        <v>45050</v>
      </c>
      <c r="C555" s="182" t="s">
        <v>2418</v>
      </c>
      <c r="D555" s="182" t="s">
        <v>74</v>
      </c>
      <c r="E555" s="233"/>
      <c r="F555" s="184"/>
      <c r="G555" s="185" t="s">
        <v>118</v>
      </c>
      <c r="H555" s="186"/>
      <c r="I555" s="186"/>
      <c r="J555" s="186"/>
      <c r="K555" s="187"/>
      <c r="L555" s="186"/>
      <c r="M555" s="186"/>
      <c r="N555" s="186"/>
      <c r="O555" s="187"/>
      <c r="P555" s="187"/>
      <c r="Q555" s="187"/>
      <c r="R555" s="187"/>
      <c r="S555" s="187"/>
      <c r="T555" s="187"/>
      <c r="U555" s="187"/>
      <c r="V555" s="188"/>
      <c r="W555" s="189"/>
      <c r="X555" s="189"/>
      <c r="Y555" s="189"/>
      <c r="Z555" s="189"/>
      <c r="AA555" s="190"/>
      <c r="AB555" s="186"/>
      <c r="AC555" s="344"/>
      <c r="AD555" s="186"/>
      <c r="AE555" s="186"/>
      <c r="AF555" s="186"/>
      <c r="AG555" s="186"/>
      <c r="AH555" s="186"/>
      <c r="AI555" s="191"/>
      <c r="AJ555" s="191"/>
      <c r="AK555" s="186"/>
      <c r="AL555" s="186"/>
      <c r="AM555" s="186"/>
      <c r="AN555" s="344"/>
      <c r="AO555" s="186"/>
      <c r="AP555" s="193"/>
      <c r="AQ555" s="193"/>
      <c r="AR555" s="191"/>
      <c r="AS555" s="194"/>
      <c r="AT555" s="195"/>
      <c r="AU555" s="425" t="s">
        <v>2420</v>
      </c>
      <c r="AV555" s="425"/>
      <c r="AW555" s="425"/>
      <c r="AX555" s="425"/>
      <c r="AY555" s="425"/>
      <c r="AZ555" s="425"/>
      <c r="BA555" s="425"/>
      <c r="BB555" s="425"/>
      <c r="BC555" s="440"/>
      <c r="BD555" s="404">
        <f>SUM($AS$4:AS555)</f>
        <v>2884.6854761904715</v>
      </c>
      <c r="BE555" s="405">
        <f>SUM($AR$4:AR555)</f>
        <v>3801.9599999999627</v>
      </c>
      <c r="BF555" s="330"/>
      <c r="BG555" s="330"/>
    </row>
    <row r="556" spans="1:59" ht="15.75" customHeight="1">
      <c r="A556" s="227" t="s">
        <v>2361</v>
      </c>
      <c r="B556" s="204">
        <v>45050</v>
      </c>
      <c r="C556" s="182" t="s">
        <v>2418</v>
      </c>
      <c r="D556" s="182" t="s">
        <v>74</v>
      </c>
      <c r="E556" s="233"/>
      <c r="F556" s="184"/>
      <c r="G556" s="291" t="s">
        <v>75</v>
      </c>
      <c r="H556" s="186"/>
      <c r="I556" s="186"/>
      <c r="J556" s="186"/>
      <c r="K556" s="187"/>
      <c r="L556" s="186">
        <v>1</v>
      </c>
      <c r="M556" s="186"/>
      <c r="N556" s="186"/>
      <c r="O556" s="187" t="s">
        <v>76</v>
      </c>
      <c r="P556" s="187" t="s">
        <v>77</v>
      </c>
      <c r="Q556" s="187" t="s">
        <v>78</v>
      </c>
      <c r="R556" s="187">
        <v>16</v>
      </c>
      <c r="S556" s="187">
        <v>5</v>
      </c>
      <c r="T556" s="187">
        <v>16</v>
      </c>
      <c r="U556" s="187" t="s">
        <v>22</v>
      </c>
      <c r="V556" s="188">
        <f t="shared" ref="V556" si="820">IF(ISBLANK(O556),"",(IF(O556=UPPER("IB"),0.005,0.01)))</f>
        <v>0.01</v>
      </c>
      <c r="W556" s="189">
        <f t="shared" si="815"/>
        <v>1600</v>
      </c>
      <c r="X556" s="189" t="s">
        <v>2411</v>
      </c>
      <c r="Y556" s="189"/>
      <c r="Z556" s="189"/>
      <c r="AA556" s="190">
        <v>-9.8070000000000004E-2</v>
      </c>
      <c r="AB556" s="186"/>
      <c r="AC556" s="344"/>
      <c r="AD556" s="186"/>
      <c r="AE556" s="186"/>
      <c r="AF556" s="186"/>
      <c r="AG556" s="186"/>
      <c r="AH556" s="186"/>
      <c r="AI556" s="191">
        <f>-0.02*W556</f>
        <v>-32</v>
      </c>
      <c r="AJ556" s="191">
        <f t="shared" ref="AJ556" si="821">AI556*(R556-S556)</f>
        <v>-352</v>
      </c>
      <c r="AK556" s="186"/>
      <c r="AL556" s="186"/>
      <c r="AM556" s="186" t="s">
        <v>1763</v>
      </c>
      <c r="AN556" s="344" t="s">
        <v>87</v>
      </c>
      <c r="AO556" s="186" t="s">
        <v>2421</v>
      </c>
      <c r="AP556" s="193">
        <f>((-0.12*5)+(-0.11*11))/16</f>
        <v>-0.113125</v>
      </c>
      <c r="AQ556" s="193">
        <f t="shared" ref="AQ556" si="822">IF(ISBLANK(AP556),,IF(U556="S",AA556-AP556,AP556-AA556))</f>
        <v>-1.5054999999999999E-2</v>
      </c>
      <c r="AR556" s="191">
        <f t="shared" ref="AR556" si="823">AS556*R556</f>
        <v>-385.40799999999996</v>
      </c>
      <c r="AS556" s="194">
        <f t="shared" ref="AS556" si="824">IF(ISBLANK(AP556),,(AQ556*W556))</f>
        <v>-24.087999999999997</v>
      </c>
      <c r="AT556" s="195" t="s">
        <v>211</v>
      </c>
      <c r="AU556" s="425"/>
      <c r="AV556" s="425"/>
      <c r="AW556" s="425"/>
      <c r="AX556" s="425"/>
      <c r="AY556" s="425"/>
      <c r="AZ556" s="425"/>
      <c r="BA556" s="425"/>
      <c r="BB556" s="425"/>
      <c r="BC556" s="440"/>
      <c r="BD556" s="404">
        <f>SUM($AS$4:AS556)</f>
        <v>2860.5974761904713</v>
      </c>
      <c r="BE556" s="405">
        <f>SUM($AR$4:AR556)</f>
        <v>3416.5519999999628</v>
      </c>
      <c r="BF556" s="330"/>
      <c r="BG556" s="330"/>
    </row>
    <row r="557" spans="1:59" ht="15.75" customHeight="1">
      <c r="A557" s="227" t="s">
        <v>2361</v>
      </c>
      <c r="B557" s="204">
        <v>45050</v>
      </c>
      <c r="C557" s="182" t="s">
        <v>2421</v>
      </c>
      <c r="D557" s="182" t="s">
        <v>74</v>
      </c>
      <c r="E557" s="233"/>
      <c r="F557" s="184"/>
      <c r="G557" s="291" t="s">
        <v>2422</v>
      </c>
      <c r="H557" s="186"/>
      <c r="I557" s="186"/>
      <c r="J557" s="186"/>
      <c r="K557" s="187"/>
      <c r="L557" s="186">
        <v>1</v>
      </c>
      <c r="M557" s="186">
        <v>1</v>
      </c>
      <c r="N557" s="186"/>
      <c r="O557" s="187" t="s">
        <v>76</v>
      </c>
      <c r="P557" s="187" t="s">
        <v>77</v>
      </c>
      <c r="Q557" s="187" t="s">
        <v>238</v>
      </c>
      <c r="R557" s="187">
        <v>10</v>
      </c>
      <c r="S557" s="187">
        <v>2</v>
      </c>
      <c r="T557" s="187">
        <v>10</v>
      </c>
      <c r="U557" s="187" t="s">
        <v>78</v>
      </c>
      <c r="V557" s="188">
        <f t="shared" ref="V557" si="825">IF(ISBLANK(O557),"",(IF(O557=UPPER("IB"),0.005,0.01)))</f>
        <v>0.01</v>
      </c>
      <c r="W557" s="189">
        <f t="shared" ref="W557" si="826">IF(ISBLANK(O557),"",IF(O557="IB",8.63*200,IF(O557="IR",16*100,IF(O557="YT",20*100,IF(O557="YT-XT",24*200,IF(O557="TED",80*100))))))</f>
        <v>1600</v>
      </c>
      <c r="X557" s="189"/>
      <c r="Y557" s="189" t="s">
        <v>2423</v>
      </c>
      <c r="Z557" s="189" t="s">
        <v>2424</v>
      </c>
      <c r="AA557" s="190">
        <v>0.1</v>
      </c>
      <c r="AB557" s="186"/>
      <c r="AC557" s="344" t="s">
        <v>2425</v>
      </c>
      <c r="AD557" s="186"/>
      <c r="AE557" s="186" t="s">
        <v>2426</v>
      </c>
      <c r="AF557" s="186"/>
      <c r="AG557" s="186"/>
      <c r="AH557" s="186"/>
      <c r="AI557" s="191">
        <f>-0.04*W557</f>
        <v>-64</v>
      </c>
      <c r="AJ557" s="191">
        <f t="shared" ref="AJ557" si="827">AI557*(R557-S557)</f>
        <v>-512</v>
      </c>
      <c r="AK557" s="186" t="s">
        <v>2427</v>
      </c>
      <c r="AL557" s="186"/>
      <c r="AM557" s="186" t="s">
        <v>733</v>
      </c>
      <c r="AN557" s="344" t="s">
        <v>97</v>
      </c>
      <c r="AO557" s="186" t="s">
        <v>2428</v>
      </c>
      <c r="AP557" s="193">
        <f>((0.05*3)+(0.06*7))/10</f>
        <v>5.7000000000000009E-2</v>
      </c>
      <c r="AQ557" s="193">
        <f t="shared" ref="AQ557:AQ558" si="828">IF(ISBLANK(AP557),,IF(U557="S",AA557-AP557,AP557-AA557))</f>
        <v>4.2999999999999997E-2</v>
      </c>
      <c r="AR557" s="191">
        <f t="shared" ref="AR557:AR558" si="829">AS557*R557</f>
        <v>688</v>
      </c>
      <c r="AS557" s="194">
        <f t="shared" ref="AS557:AS558" si="830">IF(ISBLANK(AP557),,(AQ557*W557))</f>
        <v>68.8</v>
      </c>
      <c r="AT557" s="195" t="s">
        <v>77</v>
      </c>
      <c r="AU557" s="425" t="s">
        <v>2429</v>
      </c>
      <c r="AV557" s="425" t="s">
        <v>2430</v>
      </c>
      <c r="AW557" s="425" t="s">
        <v>2431</v>
      </c>
      <c r="AX557" s="425" t="s">
        <v>2432</v>
      </c>
      <c r="AY557" s="425" t="s">
        <v>511</v>
      </c>
      <c r="AZ557" s="425"/>
      <c r="BA557" s="425"/>
      <c r="BB557" s="425"/>
      <c r="BC557" s="440"/>
      <c r="BD557" s="404">
        <f>SUM($AS$4:AS557)</f>
        <v>2929.3974761904715</v>
      </c>
      <c r="BE557" s="405">
        <f>SUM($AR$4:AR557)</f>
        <v>4104.5519999999633</v>
      </c>
      <c r="BF557" s="330"/>
      <c r="BG557" s="330"/>
    </row>
    <row r="558" spans="1:59" ht="15.75" customHeight="1">
      <c r="A558" s="227" t="s">
        <v>2361</v>
      </c>
      <c r="B558" s="204">
        <v>45050</v>
      </c>
      <c r="C558" s="182" t="s">
        <v>2433</v>
      </c>
      <c r="D558" s="182" t="s">
        <v>74</v>
      </c>
      <c r="E558" s="233"/>
      <c r="F558" s="184"/>
      <c r="G558" s="291" t="s">
        <v>2434</v>
      </c>
      <c r="H558" s="186"/>
      <c r="I558" s="186"/>
      <c r="J558" s="186"/>
      <c r="K558" s="187"/>
      <c r="L558" s="186">
        <v>1</v>
      </c>
      <c r="M558" s="186">
        <v>2</v>
      </c>
      <c r="N558" s="186"/>
      <c r="O558" s="187" t="s">
        <v>76</v>
      </c>
      <c r="P558" s="187" t="s">
        <v>119</v>
      </c>
      <c r="Q558" s="187" t="s">
        <v>238</v>
      </c>
      <c r="R558" s="187">
        <v>10</v>
      </c>
      <c r="S558" s="187">
        <v>0</v>
      </c>
      <c r="T558" s="187">
        <v>10</v>
      </c>
      <c r="U558" s="187" t="s">
        <v>78</v>
      </c>
      <c r="V558" s="188">
        <f t="shared" ref="V558" si="831">IF(ISBLANK(O558),"",(IF(O558=UPPER("IB"),0.005,0.01)))</f>
        <v>0.01</v>
      </c>
      <c r="W558" s="189">
        <f t="shared" ref="W558:W559" si="832">IF(ISBLANK(O558),"",IF(O558="IB",8.63*200,IF(O558="IR",16*100,IF(O558="YT",20*100,IF(O558="YT-XT",24*200,IF(O558="TED",80*100))))))</f>
        <v>1600</v>
      </c>
      <c r="X558" s="189"/>
      <c r="Y558" s="189"/>
      <c r="Z558" s="189" t="s">
        <v>2435</v>
      </c>
      <c r="AA558" s="190">
        <v>-0.02</v>
      </c>
      <c r="AB558" s="186"/>
      <c r="AC558" s="344" t="s">
        <v>2436</v>
      </c>
      <c r="AD558" s="186" t="s">
        <v>2437</v>
      </c>
      <c r="AE558" s="186">
        <v>-0.03</v>
      </c>
      <c r="AF558" s="186"/>
      <c r="AG558" s="186"/>
      <c r="AH558" s="186"/>
      <c r="AI558" s="191">
        <f>-0.03*W558</f>
        <v>-48</v>
      </c>
      <c r="AJ558" s="191">
        <f t="shared" ref="AJ558" si="833">AI558*(R558-S558)</f>
        <v>-480</v>
      </c>
      <c r="AK558" s="186"/>
      <c r="AL558" s="186"/>
      <c r="AM558" s="186" t="s">
        <v>752</v>
      </c>
      <c r="AN558" s="344" t="s">
        <v>97</v>
      </c>
      <c r="AO558" s="186" t="s">
        <v>2438</v>
      </c>
      <c r="AP558" s="193">
        <f>((-0.03*5)+(-0.03*5))/10</f>
        <v>-0.03</v>
      </c>
      <c r="AQ558" s="193">
        <f t="shared" si="828"/>
        <v>9.9999999999999985E-3</v>
      </c>
      <c r="AR558" s="191">
        <f t="shared" si="829"/>
        <v>159.99999999999997</v>
      </c>
      <c r="AS558" s="194">
        <f t="shared" si="830"/>
        <v>15.999999999999998</v>
      </c>
      <c r="AT558" s="195" t="s">
        <v>77</v>
      </c>
      <c r="AU558" s="425" t="s">
        <v>2439</v>
      </c>
      <c r="AV558" s="425" t="s">
        <v>2440</v>
      </c>
      <c r="AW558" s="425" t="s">
        <v>511</v>
      </c>
      <c r="AX558" s="425" t="s">
        <v>511</v>
      </c>
      <c r="AY558" s="425"/>
      <c r="AZ558" s="425"/>
      <c r="BA558" s="425"/>
      <c r="BB558" s="425"/>
      <c r="BC558" s="440"/>
      <c r="BD558" s="404">
        <f>SUM($AS$4:AS558)</f>
        <v>2945.3974761904715</v>
      </c>
      <c r="BE558" s="405">
        <f>SUM($AR$4:AR558)</f>
        <v>4264.5519999999633</v>
      </c>
      <c r="BF558" s="330"/>
      <c r="BG558" s="330"/>
    </row>
    <row r="559" spans="1:59" ht="15.75" customHeight="1">
      <c r="A559" s="227" t="s">
        <v>2361</v>
      </c>
      <c r="B559" s="204">
        <v>45050</v>
      </c>
      <c r="C559" s="182" t="s">
        <v>2103</v>
      </c>
      <c r="D559" s="182" t="s">
        <v>74</v>
      </c>
      <c r="E559" s="233" t="s">
        <v>2441</v>
      </c>
      <c r="F559" s="184" t="s">
        <v>2442</v>
      </c>
      <c r="G559" s="185"/>
      <c r="H559" s="186"/>
      <c r="I559" s="186"/>
      <c r="J559" s="186"/>
      <c r="K559" s="187"/>
      <c r="L559" s="186"/>
      <c r="M559" s="186"/>
      <c r="N559" s="186"/>
      <c r="O559" s="187"/>
      <c r="P559" s="187"/>
      <c r="Q559" s="187"/>
      <c r="R559" s="187"/>
      <c r="S559" s="187"/>
      <c r="T559" s="187"/>
      <c r="U559" s="187"/>
      <c r="V559" s="187"/>
      <c r="W559" s="189" t="str">
        <f t="shared" si="832"/>
        <v/>
      </c>
      <c r="X559" s="189"/>
      <c r="Y559" s="189"/>
      <c r="Z559" s="189"/>
      <c r="AA559" s="190"/>
      <c r="AB559" s="186"/>
      <c r="AC559" s="344"/>
      <c r="AD559" s="186"/>
      <c r="AE559" s="186"/>
      <c r="AF559" s="186"/>
      <c r="AG559" s="186"/>
      <c r="AH559" s="186"/>
      <c r="AI559" s="191"/>
      <c r="AJ559" s="191"/>
      <c r="AK559" s="186"/>
      <c r="AL559" s="186"/>
      <c r="AM559" s="186"/>
      <c r="AN559" s="344"/>
      <c r="AO559" s="186"/>
      <c r="AP559" s="193"/>
      <c r="AQ559" s="193"/>
      <c r="AR559" s="191"/>
      <c r="AS559" s="194"/>
      <c r="AT559" s="195"/>
      <c r="AU559" s="425" t="s">
        <v>2443</v>
      </c>
      <c r="AV559" s="425" t="s">
        <v>511</v>
      </c>
      <c r="AW559" s="425"/>
      <c r="AX559" s="437"/>
      <c r="AY559" s="425"/>
      <c r="AZ559" s="425"/>
      <c r="BA559" s="425"/>
      <c r="BB559" s="425"/>
      <c r="BC559" s="440"/>
      <c r="BD559" s="404">
        <f>SUM($AS$4:AS559)</f>
        <v>2945.3974761904715</v>
      </c>
      <c r="BE559" s="405">
        <f>SUM($AR$4:AR559)</f>
        <v>4264.5519999999633</v>
      </c>
      <c r="BF559" s="330"/>
      <c r="BG559" s="330"/>
    </row>
    <row r="560" spans="1:59" ht="15.75" customHeight="1">
      <c r="A560" s="227" t="s">
        <v>2361</v>
      </c>
      <c r="B560" s="204">
        <v>45051</v>
      </c>
      <c r="C560" s="182" t="s">
        <v>2444</v>
      </c>
      <c r="D560" s="182" t="s">
        <v>93</v>
      </c>
      <c r="E560" s="233"/>
      <c r="F560" s="184"/>
      <c r="G560" s="185" t="s">
        <v>2445</v>
      </c>
      <c r="H560" s="186"/>
      <c r="I560" s="186"/>
      <c r="J560" s="186"/>
      <c r="K560" s="187"/>
      <c r="L560" s="186"/>
      <c r="M560" s="186"/>
      <c r="N560" s="186"/>
      <c r="O560" s="187"/>
      <c r="P560" s="187"/>
      <c r="Q560" s="187"/>
      <c r="R560" s="187"/>
      <c r="S560" s="187"/>
      <c r="T560" s="187"/>
      <c r="U560" s="187"/>
      <c r="V560" s="188"/>
      <c r="W560" s="189"/>
      <c r="X560" s="189"/>
      <c r="Y560" s="189"/>
      <c r="Z560" s="189"/>
      <c r="AA560" s="190"/>
      <c r="AB560" s="186"/>
      <c r="AC560" s="344" t="s">
        <v>2446</v>
      </c>
      <c r="AD560" s="186"/>
      <c r="AE560" s="186">
        <v>-3</v>
      </c>
      <c r="AF560" s="186"/>
      <c r="AG560" s="186"/>
      <c r="AH560" s="186"/>
      <c r="AI560" s="191"/>
      <c r="AJ560" s="191"/>
      <c r="AK560" s="186"/>
      <c r="AL560" s="186"/>
      <c r="AM560" s="186"/>
      <c r="AN560" s="344"/>
      <c r="AO560" s="186"/>
      <c r="AP560" s="193"/>
      <c r="AQ560" s="193"/>
      <c r="AR560" s="191"/>
      <c r="AS560" s="194"/>
      <c r="AT560" s="195"/>
      <c r="AU560" s="425" t="s">
        <v>2447</v>
      </c>
      <c r="AV560" s="425"/>
      <c r="AW560" s="425"/>
      <c r="AX560" s="437"/>
      <c r="AY560" s="425"/>
      <c r="AZ560" s="425"/>
      <c r="BA560" s="425"/>
      <c r="BB560" s="425"/>
      <c r="BC560" s="440"/>
      <c r="BD560" s="404">
        <f>SUM($AS$4:AS560)</f>
        <v>2945.3974761904715</v>
      </c>
      <c r="BE560" s="405">
        <f>SUM($AR$4:AR560)</f>
        <v>4264.5519999999633</v>
      </c>
      <c r="BF560" s="330"/>
      <c r="BG560" s="330"/>
    </row>
    <row r="561" spans="1:59" ht="15.75" customHeight="1">
      <c r="A561" s="227" t="s">
        <v>2361</v>
      </c>
      <c r="B561" s="204">
        <v>45051</v>
      </c>
      <c r="C561" s="182" t="s">
        <v>1695</v>
      </c>
      <c r="D561" s="182" t="s">
        <v>93</v>
      </c>
      <c r="E561" s="233" t="s">
        <v>2448</v>
      </c>
      <c r="F561" s="184"/>
      <c r="G561" s="185"/>
      <c r="H561" s="186">
        <v>1</v>
      </c>
      <c r="I561" s="186"/>
      <c r="J561" s="186"/>
      <c r="K561" s="187" t="s">
        <v>87</v>
      </c>
      <c r="L561" s="186"/>
      <c r="M561" s="186"/>
      <c r="N561" s="186"/>
      <c r="O561" s="187"/>
      <c r="P561" s="187"/>
      <c r="Q561" s="187"/>
      <c r="R561" s="187"/>
      <c r="S561" s="187"/>
      <c r="T561" s="187"/>
      <c r="U561" s="187"/>
      <c r="V561" s="188" t="str">
        <f t="shared" ref="V561:V562" si="834">IF(ISBLANK(O561),"",(IF(O561=UPPER("IB"),0.005,0.01)))</f>
        <v/>
      </c>
      <c r="W561" s="189" t="str">
        <f t="shared" ref="W561:W562" si="835">IF(ISBLANK(O561),"",IF(O561="IB",8.63*200,IF(O561="IR",16*100,IF(O561="YT",20*100,IF(O561="YT-XT",24*200,IF(O561="TED",80*100))))))</f>
        <v/>
      </c>
      <c r="X561" s="189"/>
      <c r="Y561" s="189"/>
      <c r="Z561" s="189"/>
      <c r="AA561" s="190"/>
      <c r="AB561" s="186"/>
      <c r="AC561" s="344"/>
      <c r="AD561" s="186"/>
      <c r="AE561" s="186"/>
      <c r="AF561" s="186"/>
      <c r="AG561" s="186"/>
      <c r="AH561" s="186"/>
      <c r="AI561" s="191"/>
      <c r="AJ561" s="191"/>
      <c r="AK561" s="186"/>
      <c r="AL561" s="186"/>
      <c r="AM561" s="186"/>
      <c r="AN561" s="344"/>
      <c r="AO561" s="186"/>
      <c r="AP561" s="193"/>
      <c r="AQ561" s="193"/>
      <c r="AR561" s="191"/>
      <c r="AS561" s="194"/>
      <c r="AT561" s="195"/>
      <c r="AU561" s="425"/>
      <c r="AV561" s="425"/>
      <c r="AW561" s="425"/>
      <c r="AX561" s="437"/>
      <c r="AY561" s="425"/>
      <c r="AZ561" s="425"/>
      <c r="BA561" s="425"/>
      <c r="BB561" s="425"/>
      <c r="BC561" s="440"/>
      <c r="BD561" s="404">
        <f>SUM($AS$4:AS561)</f>
        <v>2945.3974761904715</v>
      </c>
      <c r="BE561" s="405">
        <f>SUM($AR$4:AR561)</f>
        <v>4264.5519999999633</v>
      </c>
      <c r="BF561" s="330"/>
      <c r="BG561" s="330"/>
    </row>
    <row r="562" spans="1:59" ht="15.75" customHeight="1">
      <c r="A562" s="227" t="s">
        <v>2361</v>
      </c>
      <c r="B562" s="204">
        <v>45051</v>
      </c>
      <c r="C562" s="182" t="s">
        <v>664</v>
      </c>
      <c r="D562" s="182" t="s">
        <v>2449</v>
      </c>
      <c r="E562" s="233"/>
      <c r="F562" s="184"/>
      <c r="G562" s="291" t="s">
        <v>558</v>
      </c>
      <c r="H562" s="186"/>
      <c r="I562" s="186"/>
      <c r="J562" s="186"/>
      <c r="K562" s="187"/>
      <c r="L562" s="186"/>
      <c r="M562" s="186">
        <v>1</v>
      </c>
      <c r="N562" s="186"/>
      <c r="O562" s="187" t="s">
        <v>76</v>
      </c>
      <c r="P562" s="187" t="s">
        <v>77</v>
      </c>
      <c r="Q562" s="187" t="s">
        <v>78</v>
      </c>
      <c r="R562" s="187">
        <v>10</v>
      </c>
      <c r="S562" s="187">
        <v>7</v>
      </c>
      <c r="T562" s="187">
        <v>10</v>
      </c>
      <c r="U562" s="187" t="s">
        <v>78</v>
      </c>
      <c r="V562" s="188">
        <f t="shared" si="834"/>
        <v>0.01</v>
      </c>
      <c r="W562" s="189">
        <f t="shared" si="835"/>
        <v>1600</v>
      </c>
      <c r="X562" s="189" t="s">
        <v>2450</v>
      </c>
      <c r="Y562" s="189" t="s">
        <v>2451</v>
      </c>
      <c r="Z562" s="189" t="s">
        <v>511</v>
      </c>
      <c r="AA562" s="190">
        <v>0.01</v>
      </c>
      <c r="AB562" s="186">
        <v>0</v>
      </c>
      <c r="AC562" s="372" t="s">
        <v>2452</v>
      </c>
      <c r="AD562" s="186" t="s">
        <v>511</v>
      </c>
      <c r="AE562" s="186" t="s">
        <v>2453</v>
      </c>
      <c r="AF562" s="186"/>
      <c r="AG562" s="186"/>
      <c r="AH562" s="186"/>
      <c r="AI562" s="191">
        <f>-0.01*W562</f>
        <v>-16</v>
      </c>
      <c r="AJ562" s="191">
        <f t="shared" ref="AJ562" si="836">AI562*(R562-S562)</f>
        <v>-48</v>
      </c>
      <c r="AK562" s="186"/>
      <c r="AL562" s="186"/>
      <c r="AM562" s="186" t="s">
        <v>2454</v>
      </c>
      <c r="AN562" s="344" t="s">
        <v>97</v>
      </c>
      <c r="AO562" s="186" t="s">
        <v>2455</v>
      </c>
      <c r="AP562" s="193">
        <f>((-0.01*3)+(-0.03*4)+(-0.01*1)+(-0.02*1)+(-0.04*1))/10</f>
        <v>-2.1999999999999999E-2</v>
      </c>
      <c r="AQ562" s="193">
        <f t="shared" ref="AQ562" si="837">IF(ISBLANK(AP562),,IF(U562="S",AA562-AP562,AP562-AA562))</f>
        <v>3.2000000000000001E-2</v>
      </c>
      <c r="AR562" s="191">
        <f t="shared" ref="AR562" si="838">AS562*R562</f>
        <v>512</v>
      </c>
      <c r="AS562" s="194">
        <f t="shared" ref="AS562" si="839">IF(ISBLANK(AP562),,(AQ562*W562))</f>
        <v>51.2</v>
      </c>
      <c r="AT562" s="195" t="s">
        <v>77</v>
      </c>
      <c r="AU562" s="425" t="s">
        <v>2456</v>
      </c>
      <c r="AV562" s="425" t="s">
        <v>2457</v>
      </c>
      <c r="AW562" s="425" t="s">
        <v>2458</v>
      </c>
      <c r="AX562" s="425" t="s">
        <v>511</v>
      </c>
      <c r="AY562" s="425"/>
      <c r="AZ562" s="425"/>
      <c r="BA562" s="425"/>
      <c r="BB562" s="425"/>
      <c r="BC562" s="440"/>
      <c r="BD562" s="404">
        <f>SUM($AS$4:AS562)</f>
        <v>2996.5974761904713</v>
      </c>
      <c r="BE562" s="405">
        <f>SUM($AR$4:AR562)</f>
        <v>4776.5519999999633</v>
      </c>
      <c r="BF562" s="330"/>
      <c r="BG562" s="330"/>
    </row>
    <row r="563" spans="1:59" ht="15.75" customHeight="1">
      <c r="A563" s="227" t="s">
        <v>2361</v>
      </c>
      <c r="B563" s="204">
        <v>45052</v>
      </c>
      <c r="C563" s="182" t="s">
        <v>2459</v>
      </c>
      <c r="D563" s="182" t="s">
        <v>93</v>
      </c>
      <c r="E563" s="233"/>
      <c r="F563" s="184"/>
      <c r="G563" s="291" t="s">
        <v>2460</v>
      </c>
      <c r="H563" s="186"/>
      <c r="I563" s="186"/>
      <c r="J563" s="186"/>
      <c r="K563" s="187"/>
      <c r="L563" s="186">
        <v>1</v>
      </c>
      <c r="M563" s="186">
        <v>1</v>
      </c>
      <c r="N563" s="186"/>
      <c r="O563" s="187" t="s">
        <v>76</v>
      </c>
      <c r="P563" s="187" t="s">
        <v>77</v>
      </c>
      <c r="Q563" s="187" t="s">
        <v>78</v>
      </c>
      <c r="R563" s="187">
        <v>10</v>
      </c>
      <c r="S563" s="187">
        <v>0</v>
      </c>
      <c r="T563" s="187">
        <v>10</v>
      </c>
      <c r="U563" s="187" t="s">
        <v>78</v>
      </c>
      <c r="V563" s="188">
        <f t="shared" ref="V563" si="840">IF(ISBLANK(O563),"",(IF(O563=UPPER("IB"),0.005,0.01)))</f>
        <v>0.01</v>
      </c>
      <c r="W563" s="189">
        <f t="shared" ref="W563:W574" si="841">IF(ISBLANK(O563),"",IF(O563="IB",8.63*200,IF(O563="IR",16*100,IF(O563="YT",20*100,IF(O563="YT-XT",24*200,IF(O563="TED",80*100))))))</f>
        <v>1600</v>
      </c>
      <c r="X563" s="189" t="s">
        <v>2461</v>
      </c>
      <c r="Y563" s="189"/>
      <c r="Z563" s="189" t="s">
        <v>2462</v>
      </c>
      <c r="AA563" s="190">
        <v>-0.26</v>
      </c>
      <c r="AB563" s="186"/>
      <c r="AC563" s="344">
        <v>-11</v>
      </c>
      <c r="AD563" s="186"/>
      <c r="AE563" s="186">
        <v>-14</v>
      </c>
      <c r="AF563" s="186"/>
      <c r="AG563" s="186"/>
      <c r="AH563" s="186"/>
      <c r="AI563" s="191">
        <f t="shared" ref="AI563" si="842">-0.02*W563</f>
        <v>-32</v>
      </c>
      <c r="AJ563" s="191">
        <f t="shared" ref="AJ563" si="843">AI563*(R563-S563)</f>
        <v>-320</v>
      </c>
      <c r="AK563" s="186"/>
      <c r="AL563" s="186"/>
      <c r="AM563" s="186" t="s">
        <v>1374</v>
      </c>
      <c r="AN563" s="344" t="s">
        <v>87</v>
      </c>
      <c r="AO563" s="186" t="s">
        <v>2463</v>
      </c>
      <c r="AP563" s="193">
        <v>-0.28000000000000003</v>
      </c>
      <c r="AQ563" s="193">
        <f t="shared" ref="AQ563" si="844">IF(ISBLANK(AP563),,IF(U563="S",AA563-AP563,AP563-AA563))</f>
        <v>2.0000000000000018E-2</v>
      </c>
      <c r="AR563" s="191">
        <f t="shared" ref="AR563" si="845">AS563*R563</f>
        <v>320.00000000000028</v>
      </c>
      <c r="AS563" s="194">
        <f t="shared" ref="AS563" si="846">IF(ISBLANK(AP563),,(AQ563*W563))</f>
        <v>32.000000000000028</v>
      </c>
      <c r="AT563" s="195" t="s">
        <v>77</v>
      </c>
      <c r="AU563" s="425" t="s">
        <v>2464</v>
      </c>
      <c r="AV563" s="425" t="s">
        <v>2465</v>
      </c>
      <c r="AW563" s="425" t="s">
        <v>2466</v>
      </c>
      <c r="AX563" s="425"/>
      <c r="AY563" s="425"/>
      <c r="AZ563" s="425"/>
      <c r="BA563" s="425"/>
      <c r="BB563" s="425"/>
      <c r="BC563" s="440"/>
      <c r="BD563" s="404">
        <f>SUM($AS$4:AS563)</f>
        <v>3028.5974761904713</v>
      </c>
      <c r="BE563" s="405">
        <f>SUM($AR$4:AR563)</f>
        <v>5096.5519999999633</v>
      </c>
      <c r="BF563" s="330"/>
      <c r="BG563" s="330"/>
    </row>
    <row r="564" spans="1:59" ht="15.75" customHeight="1">
      <c r="A564" s="227" t="s">
        <v>2361</v>
      </c>
      <c r="B564" s="204"/>
      <c r="C564" s="182"/>
      <c r="D564" s="182"/>
      <c r="E564" s="233"/>
      <c r="F564" s="184"/>
      <c r="G564" s="185"/>
      <c r="H564" s="186"/>
      <c r="I564" s="186"/>
      <c r="J564" s="186"/>
      <c r="K564" s="187"/>
      <c r="L564" s="186"/>
      <c r="M564" s="186"/>
      <c r="N564" s="186"/>
      <c r="O564" s="187"/>
      <c r="P564" s="187"/>
      <c r="Q564" s="187"/>
      <c r="R564" s="187"/>
      <c r="S564" s="187"/>
      <c r="T564" s="187"/>
      <c r="U564" s="187"/>
      <c r="V564" s="187"/>
      <c r="W564" s="189" t="str">
        <f t="shared" si="841"/>
        <v/>
      </c>
      <c r="X564" s="189"/>
      <c r="Y564" s="189"/>
      <c r="Z564" s="189"/>
      <c r="AA564" s="190"/>
      <c r="AB564" s="186"/>
      <c r="AC564" s="344"/>
      <c r="AD564" s="186"/>
      <c r="AE564" s="186"/>
      <c r="AF564" s="186"/>
      <c r="AG564" s="186"/>
      <c r="AH564" s="186"/>
      <c r="AI564" s="191"/>
      <c r="AJ564" s="191"/>
      <c r="AK564" s="186"/>
      <c r="AL564" s="186"/>
      <c r="AM564" s="186"/>
      <c r="AN564" s="344"/>
      <c r="AO564" s="186"/>
      <c r="AP564" s="193"/>
      <c r="AQ564" s="193"/>
      <c r="AR564" s="191"/>
      <c r="AS564" s="194"/>
      <c r="AT564" s="195"/>
      <c r="AU564" s="425" t="s">
        <v>2467</v>
      </c>
      <c r="AV564" s="425" t="s">
        <v>2468</v>
      </c>
      <c r="AW564" s="425" t="s">
        <v>2469</v>
      </c>
      <c r="AX564" s="425" t="s">
        <v>2470</v>
      </c>
      <c r="AY564" s="425" t="s">
        <v>511</v>
      </c>
      <c r="AZ564" s="425"/>
      <c r="BA564" s="425"/>
      <c r="BB564" s="425"/>
      <c r="BC564" s="440"/>
      <c r="BD564" s="404">
        <f>SUM($AS$4:AS564)</f>
        <v>3028.5974761904713</v>
      </c>
      <c r="BE564" s="405">
        <f>SUM($AR$4:AR564)</f>
        <v>5096.5519999999633</v>
      </c>
      <c r="BF564" s="330"/>
      <c r="BG564" s="330"/>
    </row>
    <row r="565" spans="1:59" ht="15.75" customHeight="1">
      <c r="A565" s="227" t="s">
        <v>2361</v>
      </c>
      <c r="B565" s="204">
        <v>45054</v>
      </c>
      <c r="C565" s="182" t="s">
        <v>990</v>
      </c>
      <c r="D565" s="182" t="s">
        <v>114</v>
      </c>
      <c r="E565" s="233"/>
      <c r="F565" s="184"/>
      <c r="G565" s="291" t="s">
        <v>2471</v>
      </c>
      <c r="H565" s="186"/>
      <c r="I565" s="186"/>
      <c r="J565" s="186"/>
      <c r="K565" s="187"/>
      <c r="L565" s="186">
        <v>1</v>
      </c>
      <c r="M565" s="186">
        <v>1</v>
      </c>
      <c r="N565" s="186"/>
      <c r="O565" s="187" t="s">
        <v>76</v>
      </c>
      <c r="P565" s="187" t="s">
        <v>77</v>
      </c>
      <c r="Q565" s="187" t="s">
        <v>238</v>
      </c>
      <c r="R565" s="187">
        <v>10</v>
      </c>
      <c r="S565" s="187">
        <v>5</v>
      </c>
      <c r="T565" s="187">
        <v>10</v>
      </c>
      <c r="U565" s="187" t="s">
        <v>78</v>
      </c>
      <c r="V565" s="188">
        <f t="shared" ref="V565" si="847">IF(ISBLANK(O565),"",(IF(O565=UPPER("IB"),0.005,0.01)))</f>
        <v>0.01</v>
      </c>
      <c r="W565" s="189">
        <f t="shared" ref="W565" si="848">IF(ISBLANK(O565),"",IF(O565="IB",8.63*200,IF(O565="IR",16*100,IF(O565="YT",20*100,IF(O565="YT-XT",24*200,IF(O565="TED",80*100))))))</f>
        <v>1600</v>
      </c>
      <c r="X565" s="189" t="s">
        <v>2472</v>
      </c>
      <c r="Y565" s="189" t="s">
        <v>2473</v>
      </c>
      <c r="Z565" s="189" t="s">
        <v>2435</v>
      </c>
      <c r="AA565" s="190">
        <v>-0.01</v>
      </c>
      <c r="AB565" s="186"/>
      <c r="AC565" s="344">
        <v>1</v>
      </c>
      <c r="AD565" s="186"/>
      <c r="AE565" s="186">
        <v>-14</v>
      </c>
      <c r="AF565" s="186"/>
      <c r="AG565" s="186" t="s">
        <v>2474</v>
      </c>
      <c r="AH565" s="186"/>
      <c r="AI565" s="191">
        <f>-0.03*W565</f>
        <v>-48</v>
      </c>
      <c r="AJ565" s="191">
        <f t="shared" ref="AJ565:AJ567" si="849">AI565*(R565-S565)</f>
        <v>-240</v>
      </c>
      <c r="AK565" s="186"/>
      <c r="AL565" s="186"/>
      <c r="AM565" s="186" t="s">
        <v>2475</v>
      </c>
      <c r="AN565" s="344" t="s">
        <v>97</v>
      </c>
      <c r="AO565" s="186" t="s">
        <v>2476</v>
      </c>
      <c r="AP565" s="193">
        <f>((-0.02*5)+(-0.03*5))/10</f>
        <v>-2.5000000000000001E-2</v>
      </c>
      <c r="AQ565" s="193">
        <f t="shared" ref="AQ565:AQ566" si="850">IF(ISBLANK(AP565),,IF(U565="S",AA565-AP565,AP565-AA565))</f>
        <v>1.5000000000000001E-2</v>
      </c>
      <c r="AR565" s="191">
        <f t="shared" ref="AR565:AR566" si="851">AS565*R565</f>
        <v>240.00000000000003</v>
      </c>
      <c r="AS565" s="194">
        <f t="shared" ref="AS565:AS566" si="852">IF(ISBLANK(AP565),,(AQ565*W565))</f>
        <v>24.000000000000004</v>
      </c>
      <c r="AT565" s="195" t="s">
        <v>77</v>
      </c>
      <c r="AU565" s="425" t="s">
        <v>2477</v>
      </c>
      <c r="AV565" s="425" t="s">
        <v>2478</v>
      </c>
      <c r="AW565" s="425"/>
      <c r="AX565" s="425"/>
      <c r="AY565" s="425"/>
      <c r="AZ565" s="425"/>
      <c r="BA565" s="425"/>
      <c r="BB565" s="425"/>
      <c r="BC565" s="440"/>
      <c r="BD565" s="404">
        <f>SUM($AS$4:AS565)</f>
        <v>3052.5974761904713</v>
      </c>
      <c r="BE565" s="405">
        <f>SUM($AR$4:AR565)</f>
        <v>5336.5519999999633</v>
      </c>
      <c r="BF565" s="330"/>
      <c r="BG565" s="330"/>
    </row>
    <row r="566" spans="1:59" ht="15.75" customHeight="1">
      <c r="A566" s="227" t="s">
        <v>2361</v>
      </c>
      <c r="B566" s="204" t="s">
        <v>2479</v>
      </c>
      <c r="C566" s="182" t="s">
        <v>2480</v>
      </c>
      <c r="D566" s="182" t="s">
        <v>114</v>
      </c>
      <c r="E566" s="233"/>
      <c r="F566" s="184"/>
      <c r="G566" s="291" t="s">
        <v>75</v>
      </c>
      <c r="H566" s="186"/>
      <c r="I566" s="186"/>
      <c r="J566" s="186"/>
      <c r="K566" s="187"/>
      <c r="L566" s="186">
        <v>1</v>
      </c>
      <c r="M566" s="186"/>
      <c r="N566" s="186"/>
      <c r="O566" s="187" t="s">
        <v>76</v>
      </c>
      <c r="P566" s="187" t="s">
        <v>77</v>
      </c>
      <c r="Q566" s="187" t="s">
        <v>78</v>
      </c>
      <c r="R566" s="187">
        <v>7</v>
      </c>
      <c r="S566" s="187">
        <v>7</v>
      </c>
      <c r="T566" s="187">
        <v>7</v>
      </c>
      <c r="U566" s="187" t="s">
        <v>78</v>
      </c>
      <c r="V566" s="188">
        <f t="shared" ref="V566:V567" si="853">IF(ISBLANK(O566),"",(IF(O566=UPPER("IB"),0.005,0.01)))</f>
        <v>0.01</v>
      </c>
      <c r="W566" s="189">
        <f t="shared" ref="W566:W567" si="854">IF(ISBLANK(O566),"",IF(O566="IB",8.63*200,IF(O566="IR",16*100,IF(O566="YT",20*100,IF(O566="YT-XT",24*200,IF(O566="TED",80*100))))))</f>
        <v>1600</v>
      </c>
      <c r="X566" s="189" t="s">
        <v>2481</v>
      </c>
      <c r="Y566" s="189" t="s">
        <v>2482</v>
      </c>
      <c r="Z566" s="189" t="s">
        <v>511</v>
      </c>
      <c r="AA566" s="190">
        <v>-0.06</v>
      </c>
      <c r="AB566" s="186"/>
      <c r="AC566" s="344"/>
      <c r="AD566" s="186"/>
      <c r="AE566" s="186"/>
      <c r="AF566" s="186"/>
      <c r="AG566" s="186"/>
      <c r="AH566" s="186"/>
      <c r="AI566" s="191">
        <f t="shared" ref="AI566" si="855">-0.02*W566</f>
        <v>-32</v>
      </c>
      <c r="AJ566" s="191">
        <f t="shared" si="849"/>
        <v>0</v>
      </c>
      <c r="AK566" s="186"/>
      <c r="AL566" s="186"/>
      <c r="AM566" s="186" t="s">
        <v>786</v>
      </c>
      <c r="AN566" s="344" t="s">
        <v>97</v>
      </c>
      <c r="AO566" s="186" t="s">
        <v>2483</v>
      </c>
      <c r="AP566" s="193">
        <f>((-0.07*7))/7</f>
        <v>-7.0000000000000007E-2</v>
      </c>
      <c r="AQ566" s="193">
        <f t="shared" si="850"/>
        <v>1.0000000000000009E-2</v>
      </c>
      <c r="AR566" s="191">
        <f t="shared" si="851"/>
        <v>112.0000000000001</v>
      </c>
      <c r="AS566" s="194">
        <f t="shared" si="852"/>
        <v>16.000000000000014</v>
      </c>
      <c r="AT566" s="195" t="s">
        <v>77</v>
      </c>
      <c r="AU566" s="425" t="s">
        <v>2484</v>
      </c>
      <c r="AV566" s="425" t="s">
        <v>2485</v>
      </c>
      <c r="AW566" s="425" t="s">
        <v>2486</v>
      </c>
      <c r="AX566" s="425" t="s">
        <v>511</v>
      </c>
      <c r="AY566" s="425"/>
      <c r="AZ566" s="425"/>
      <c r="BA566" s="425"/>
      <c r="BB566" s="425"/>
      <c r="BC566" s="440"/>
      <c r="BD566" s="404">
        <f>SUM($AS$4:AS566)</f>
        <v>3068.5974761904713</v>
      </c>
      <c r="BE566" s="405">
        <f>SUM($AR$4:AR566)</f>
        <v>5448.5519999999633</v>
      </c>
      <c r="BF566" s="330"/>
      <c r="BG566" s="330"/>
    </row>
    <row r="567" spans="1:59" ht="15.75" customHeight="1">
      <c r="A567" s="227" t="s">
        <v>2361</v>
      </c>
      <c r="B567" s="204">
        <v>45054</v>
      </c>
      <c r="C567" s="182" t="s">
        <v>1303</v>
      </c>
      <c r="D567" s="182" t="s">
        <v>114</v>
      </c>
      <c r="E567" s="233"/>
      <c r="F567" s="184"/>
      <c r="G567" s="294" t="s">
        <v>2487</v>
      </c>
      <c r="H567" s="186"/>
      <c r="I567" s="186"/>
      <c r="J567" s="186"/>
      <c r="K567" s="187"/>
      <c r="L567" s="186">
        <v>1</v>
      </c>
      <c r="M567" s="186">
        <v>2</v>
      </c>
      <c r="N567" s="186"/>
      <c r="O567" s="187" t="s">
        <v>76</v>
      </c>
      <c r="P567" s="187" t="s">
        <v>119</v>
      </c>
      <c r="Q567" s="187" t="s">
        <v>238</v>
      </c>
      <c r="R567" s="187">
        <v>10</v>
      </c>
      <c r="S567" s="187">
        <v>0</v>
      </c>
      <c r="T567" s="187">
        <v>10</v>
      </c>
      <c r="U567" s="187" t="s">
        <v>78</v>
      </c>
      <c r="V567" s="188">
        <f t="shared" si="853"/>
        <v>0.01</v>
      </c>
      <c r="W567" s="189">
        <f t="shared" si="854"/>
        <v>1600</v>
      </c>
      <c r="X567" s="189" t="s">
        <v>2488</v>
      </c>
      <c r="Y567" s="189" t="s">
        <v>2489</v>
      </c>
      <c r="Z567" s="189" t="s">
        <v>2490</v>
      </c>
      <c r="AA567" s="190">
        <v>0.02</v>
      </c>
      <c r="AB567" s="186"/>
      <c r="AC567" s="344">
        <v>1</v>
      </c>
      <c r="AD567" s="186"/>
      <c r="AE567" s="186" t="s">
        <v>2436</v>
      </c>
      <c r="AF567" s="186"/>
      <c r="AG567" s="186" t="s">
        <v>2491</v>
      </c>
      <c r="AH567" s="186"/>
      <c r="AI567" s="191">
        <f>-0.04*W567</f>
        <v>-64</v>
      </c>
      <c r="AJ567" s="191">
        <f t="shared" si="849"/>
        <v>-640</v>
      </c>
      <c r="AK567" s="186"/>
      <c r="AL567" s="186"/>
      <c r="AM567" s="186" t="s">
        <v>884</v>
      </c>
      <c r="AN567" s="344" t="s">
        <v>77</v>
      </c>
      <c r="AO567" s="186" t="s">
        <v>2492</v>
      </c>
      <c r="AP567" s="193">
        <f>((0.01*5)+(0.01*5))/10</f>
        <v>0.01</v>
      </c>
      <c r="AQ567" s="193">
        <f t="shared" ref="AQ567" si="856">IF(ISBLANK(AP567),,IF(U567="S",AA567-AP567,AP567-AA567))</f>
        <v>0.01</v>
      </c>
      <c r="AR567" s="191">
        <f t="shared" ref="AR567" si="857">AS567*R567</f>
        <v>160</v>
      </c>
      <c r="AS567" s="194">
        <f t="shared" ref="AS567" si="858">IF(ISBLANK(AP567),,(AQ567*W567))</f>
        <v>16</v>
      </c>
      <c r="AT567" s="195" t="s">
        <v>77</v>
      </c>
      <c r="AU567" s="425" t="s">
        <v>2493</v>
      </c>
      <c r="AV567" s="425" t="s">
        <v>2494</v>
      </c>
      <c r="AW567" s="425" t="s">
        <v>2495</v>
      </c>
      <c r="AX567" s="425"/>
      <c r="AY567" s="425"/>
      <c r="AZ567" s="425"/>
      <c r="BA567" s="425"/>
      <c r="BB567" s="425"/>
      <c r="BC567" s="440"/>
      <c r="BD567" s="404">
        <f>SUM($AS$4:AS567)</f>
        <v>3084.5974761904713</v>
      </c>
      <c r="BE567" s="405">
        <f>SUM($AR$4:AR567)</f>
        <v>5608.5519999999633</v>
      </c>
      <c r="BF567" s="330"/>
      <c r="BG567" s="330"/>
    </row>
    <row r="568" spans="1:59" ht="15.75" customHeight="1">
      <c r="A568" s="227" t="s">
        <v>2361</v>
      </c>
      <c r="B568" s="204">
        <v>45055</v>
      </c>
      <c r="C568" s="182" t="s">
        <v>2001</v>
      </c>
      <c r="D568" s="182" t="s">
        <v>128</v>
      </c>
      <c r="E568" s="233" t="s">
        <v>2496</v>
      </c>
      <c r="F568" s="184" t="s">
        <v>2390</v>
      </c>
      <c r="G568" s="185"/>
      <c r="H568" s="186"/>
      <c r="I568" s="186">
        <v>1</v>
      </c>
      <c r="J568" s="186"/>
      <c r="K568" s="187"/>
      <c r="L568" s="186"/>
      <c r="M568" s="186"/>
      <c r="N568" s="186"/>
      <c r="O568" s="187"/>
      <c r="P568" s="187"/>
      <c r="Q568" s="187"/>
      <c r="R568" s="187"/>
      <c r="S568" s="187"/>
      <c r="T568" s="187"/>
      <c r="U568" s="187"/>
      <c r="V568" s="187"/>
      <c r="W568" s="189" t="str">
        <f t="shared" si="841"/>
        <v/>
      </c>
      <c r="X568" s="189"/>
      <c r="Y568" s="189"/>
      <c r="Z568" s="189"/>
      <c r="AA568" s="190"/>
      <c r="AB568" s="186"/>
      <c r="AC568" s="344"/>
      <c r="AD568" s="186"/>
      <c r="AE568" s="186"/>
      <c r="AF568" s="186"/>
      <c r="AG568" s="186"/>
      <c r="AH568" s="186"/>
      <c r="AI568" s="191"/>
      <c r="AJ568" s="191"/>
      <c r="AK568" s="186"/>
      <c r="AL568" s="186"/>
      <c r="AM568" s="186"/>
      <c r="AN568" s="344"/>
      <c r="AO568" s="186"/>
      <c r="AP568" s="193"/>
      <c r="AQ568" s="193"/>
      <c r="AR568" s="191"/>
      <c r="AS568" s="194"/>
      <c r="AT568" s="195"/>
      <c r="AU568" s="425"/>
      <c r="AV568" s="425"/>
      <c r="AW568" s="425" t="s">
        <v>511</v>
      </c>
      <c r="AX568" s="437"/>
      <c r="AY568" s="425"/>
      <c r="AZ568" s="425"/>
      <c r="BA568" s="425"/>
      <c r="BB568" s="425"/>
      <c r="BC568" s="440"/>
      <c r="BD568" s="404">
        <f>SUM($AS$4:AS568)</f>
        <v>3084.5974761904713</v>
      </c>
      <c r="BE568" s="405">
        <f>SUM($AR$4:AR568)</f>
        <v>5608.5519999999633</v>
      </c>
      <c r="BF568" s="330"/>
      <c r="BG568" s="330"/>
    </row>
    <row r="569" spans="1:59" ht="15.75" customHeight="1">
      <c r="A569" s="227" t="s">
        <v>2361</v>
      </c>
      <c r="B569" s="204">
        <v>45056</v>
      </c>
      <c r="C569" s="182" t="s">
        <v>1709</v>
      </c>
      <c r="D569" s="182" t="s">
        <v>133</v>
      </c>
      <c r="E569" s="233" t="s">
        <v>2497</v>
      </c>
      <c r="F569" s="184" t="s">
        <v>2498</v>
      </c>
      <c r="G569" s="185"/>
      <c r="H569" s="186"/>
      <c r="I569" s="186">
        <v>1</v>
      </c>
      <c r="J569" s="186"/>
      <c r="K569" s="187"/>
      <c r="L569" s="186"/>
      <c r="M569" s="186"/>
      <c r="N569" s="186"/>
      <c r="O569" s="187"/>
      <c r="P569" s="187"/>
      <c r="Q569" s="187"/>
      <c r="R569" s="187"/>
      <c r="S569" s="187"/>
      <c r="T569" s="187"/>
      <c r="U569" s="187"/>
      <c r="V569" s="187"/>
      <c r="W569" s="189" t="str">
        <f t="shared" si="841"/>
        <v/>
      </c>
      <c r="X569" s="189"/>
      <c r="Y569" s="189"/>
      <c r="Z569" s="189"/>
      <c r="AA569" s="190"/>
      <c r="AB569" s="186"/>
      <c r="AC569" s="344"/>
      <c r="AD569" s="186"/>
      <c r="AE569" s="186"/>
      <c r="AF569" s="186"/>
      <c r="AG569" s="186"/>
      <c r="AH569" s="186"/>
      <c r="AI569" s="191"/>
      <c r="AJ569" s="191"/>
      <c r="AK569" s="186"/>
      <c r="AL569" s="186"/>
      <c r="AM569" s="186"/>
      <c r="AN569" s="344"/>
      <c r="AO569" s="186"/>
      <c r="AP569" s="193"/>
      <c r="AQ569" s="193"/>
      <c r="AR569" s="191"/>
      <c r="AS569" s="194"/>
      <c r="AT569" s="195"/>
      <c r="AU569" s="425"/>
      <c r="AV569" s="425"/>
      <c r="AW569" s="425"/>
      <c r="AX569" s="437"/>
      <c r="AY569" s="425"/>
      <c r="AZ569" s="425"/>
      <c r="BA569" s="425"/>
      <c r="BB569" s="425"/>
      <c r="BC569" s="440"/>
      <c r="BD569" s="404">
        <f>SUM($AS$4:AS569)</f>
        <v>3084.5974761904713</v>
      </c>
      <c r="BE569" s="405">
        <f>SUM($AR$4:AR569)</f>
        <v>5608.5519999999633</v>
      </c>
      <c r="BF569" s="330"/>
      <c r="BG569" s="330"/>
    </row>
    <row r="570" spans="1:59" ht="15.75" customHeight="1">
      <c r="A570" s="227" t="s">
        <v>2361</v>
      </c>
      <c r="B570" s="204"/>
      <c r="C570" s="182"/>
      <c r="D570" s="182"/>
      <c r="E570" s="233" t="s">
        <v>2499</v>
      </c>
      <c r="F570" s="184" t="s">
        <v>2500</v>
      </c>
      <c r="G570" s="185"/>
      <c r="H570" s="186"/>
      <c r="I570" s="186">
        <v>1</v>
      </c>
      <c r="J570" s="186"/>
      <c r="K570" s="187"/>
      <c r="L570" s="186"/>
      <c r="M570" s="186"/>
      <c r="N570" s="186"/>
      <c r="O570" s="187"/>
      <c r="P570" s="187"/>
      <c r="Q570" s="187"/>
      <c r="R570" s="187"/>
      <c r="S570" s="187"/>
      <c r="T570" s="187"/>
      <c r="U570" s="187"/>
      <c r="V570" s="187"/>
      <c r="W570" s="189" t="str">
        <f t="shared" si="841"/>
        <v/>
      </c>
      <c r="X570" s="189"/>
      <c r="Y570" s="189"/>
      <c r="Z570" s="189"/>
      <c r="AA570" s="190"/>
      <c r="AB570" s="186"/>
      <c r="AC570" s="344"/>
      <c r="AD570" s="186"/>
      <c r="AE570" s="186"/>
      <c r="AF570" s="186"/>
      <c r="AG570" s="186"/>
      <c r="AH570" s="186"/>
      <c r="AI570" s="191"/>
      <c r="AJ570" s="191"/>
      <c r="AK570" s="186"/>
      <c r="AL570" s="186"/>
      <c r="AM570" s="186"/>
      <c r="AN570" s="344"/>
      <c r="AO570" s="186"/>
      <c r="AP570" s="193"/>
      <c r="AQ570" s="193"/>
      <c r="AR570" s="191"/>
      <c r="AS570" s="194"/>
      <c r="AT570" s="195"/>
      <c r="AU570" s="425"/>
      <c r="AV570" s="425"/>
      <c r="AW570" s="425"/>
      <c r="AX570" s="437"/>
      <c r="AY570" s="425"/>
      <c r="AZ570" s="425"/>
      <c r="BA570" s="425"/>
      <c r="BB570" s="425"/>
      <c r="BC570" s="440"/>
      <c r="BD570" s="404">
        <f>SUM($AS$4:AS570)</f>
        <v>3084.5974761904713</v>
      </c>
      <c r="BE570" s="405">
        <f>SUM($AR$4:AR570)</f>
        <v>5608.5519999999633</v>
      </c>
      <c r="BF570" s="330"/>
      <c r="BG570" s="330"/>
    </row>
    <row r="571" spans="1:59" ht="15.75" customHeight="1">
      <c r="A571" s="227" t="s">
        <v>2361</v>
      </c>
      <c r="B571" s="204"/>
      <c r="C571" s="182"/>
      <c r="D571" s="182"/>
      <c r="E571" s="233" t="s">
        <v>2501</v>
      </c>
      <c r="F571" s="184"/>
      <c r="G571" s="185"/>
      <c r="H571" s="186"/>
      <c r="I571" s="186"/>
      <c r="J571" s="186">
        <v>1</v>
      </c>
      <c r="K571" s="187" t="s">
        <v>97</v>
      </c>
      <c r="L571" s="186"/>
      <c r="M571" s="186"/>
      <c r="N571" s="186"/>
      <c r="O571" s="187"/>
      <c r="P571" s="187"/>
      <c r="Q571" s="187"/>
      <c r="R571" s="187"/>
      <c r="S571" s="187"/>
      <c r="T571" s="187"/>
      <c r="U571" s="187"/>
      <c r="V571" s="187"/>
      <c r="W571" s="189" t="str">
        <f t="shared" si="841"/>
        <v/>
      </c>
      <c r="X571" s="189"/>
      <c r="Y571" s="189"/>
      <c r="Z571" s="189"/>
      <c r="AA571" s="190"/>
      <c r="AB571" s="186"/>
      <c r="AC571" s="344"/>
      <c r="AD571" s="186"/>
      <c r="AE571" s="186"/>
      <c r="AF571" s="186"/>
      <c r="AG571" s="186"/>
      <c r="AH571" s="186"/>
      <c r="AI571" s="191"/>
      <c r="AJ571" s="191"/>
      <c r="AK571" s="186"/>
      <c r="AL571" s="186"/>
      <c r="AM571" s="186"/>
      <c r="AN571" s="344"/>
      <c r="AO571" s="186"/>
      <c r="AP571" s="193"/>
      <c r="AQ571" s="193"/>
      <c r="AR571" s="191"/>
      <c r="AS571" s="194"/>
      <c r="AT571" s="195"/>
      <c r="AU571" s="425"/>
      <c r="AV571" s="425"/>
      <c r="AW571" s="425"/>
      <c r="AX571" s="437"/>
      <c r="AY571" s="425"/>
      <c r="AZ571" s="425"/>
      <c r="BA571" s="425"/>
      <c r="BB571" s="425"/>
      <c r="BC571" s="440"/>
      <c r="BD571" s="404">
        <f>SUM($AS$4:AS571)</f>
        <v>3084.5974761904713</v>
      </c>
      <c r="BE571" s="405">
        <f>SUM($AR$4:AR571)</f>
        <v>5608.5519999999633</v>
      </c>
      <c r="BF571" s="330"/>
      <c r="BG571" s="330"/>
    </row>
    <row r="572" spans="1:59" ht="15.75" customHeight="1">
      <c r="A572" s="227" t="s">
        <v>2361</v>
      </c>
      <c r="B572" s="204"/>
      <c r="C572" s="182"/>
      <c r="D572" s="182"/>
      <c r="E572" s="233" t="s">
        <v>2502</v>
      </c>
      <c r="F572" s="184"/>
      <c r="G572" s="185"/>
      <c r="H572" s="186"/>
      <c r="I572" s="186">
        <v>1</v>
      </c>
      <c r="J572" s="186"/>
      <c r="K572" s="187"/>
      <c r="L572" s="186"/>
      <c r="M572" s="186"/>
      <c r="N572" s="186"/>
      <c r="O572" s="187"/>
      <c r="P572" s="187"/>
      <c r="Q572" s="187"/>
      <c r="R572" s="187"/>
      <c r="S572" s="187"/>
      <c r="T572" s="187"/>
      <c r="U572" s="187"/>
      <c r="V572" s="187"/>
      <c r="W572" s="189" t="str">
        <f t="shared" si="841"/>
        <v/>
      </c>
      <c r="X572" s="189"/>
      <c r="Y572" s="189"/>
      <c r="Z572" s="189"/>
      <c r="AA572" s="190"/>
      <c r="AB572" s="186"/>
      <c r="AC572" s="344"/>
      <c r="AD572" s="186"/>
      <c r="AE572" s="186"/>
      <c r="AF572" s="186"/>
      <c r="AG572" s="186"/>
      <c r="AH572" s="186"/>
      <c r="AI572" s="191"/>
      <c r="AJ572" s="191"/>
      <c r="AK572" s="186"/>
      <c r="AL572" s="186"/>
      <c r="AM572" s="186"/>
      <c r="AN572" s="344"/>
      <c r="AO572" s="186"/>
      <c r="AP572" s="193"/>
      <c r="AQ572" s="193"/>
      <c r="AR572" s="191"/>
      <c r="AS572" s="194"/>
      <c r="AT572" s="195"/>
      <c r="AU572" s="425"/>
      <c r="AV572" s="425"/>
      <c r="AW572" s="425"/>
      <c r="AX572" s="437"/>
      <c r="AY572" s="425"/>
      <c r="AZ572" s="425"/>
      <c r="BA572" s="425"/>
      <c r="BB572" s="425"/>
      <c r="BC572" s="440"/>
      <c r="BD572" s="404">
        <f>SUM($AS$4:AS572)</f>
        <v>3084.5974761904713</v>
      </c>
      <c r="BE572" s="405">
        <f>SUM($AR$4:AR572)</f>
        <v>5608.5519999999633</v>
      </c>
      <c r="BF572" s="330"/>
      <c r="BG572" s="330"/>
    </row>
    <row r="573" spans="1:59" ht="15.75" customHeight="1">
      <c r="A573" s="227" t="s">
        <v>2361</v>
      </c>
      <c r="B573" s="204">
        <v>45057</v>
      </c>
      <c r="C573" s="182" t="s">
        <v>2503</v>
      </c>
      <c r="D573" s="182" t="s">
        <v>74</v>
      </c>
      <c r="E573" s="233"/>
      <c r="F573" s="184"/>
      <c r="G573" s="185" t="s">
        <v>75</v>
      </c>
      <c r="H573" s="186"/>
      <c r="I573" s="186"/>
      <c r="J573" s="186"/>
      <c r="K573" s="187"/>
      <c r="L573" s="186">
        <v>1</v>
      </c>
      <c r="M573" s="186">
        <v>1</v>
      </c>
      <c r="N573" s="186"/>
      <c r="O573" s="187" t="s">
        <v>76</v>
      </c>
      <c r="P573" s="187" t="s">
        <v>77</v>
      </c>
      <c r="Q573" s="187" t="s">
        <v>78</v>
      </c>
      <c r="R573" s="187">
        <v>7</v>
      </c>
      <c r="S573" s="187">
        <v>0</v>
      </c>
      <c r="T573" s="187">
        <v>7</v>
      </c>
      <c r="U573" s="187" t="s">
        <v>22</v>
      </c>
      <c r="V573" s="188">
        <f t="shared" ref="V573:V574" si="859">IF(ISBLANK(O573),"",(IF(O573=UPPER("IB"),0.005,0.01)))</f>
        <v>0.01</v>
      </c>
      <c r="W573" s="189">
        <f t="shared" si="841"/>
        <v>1600</v>
      </c>
      <c r="X573" s="189" t="s">
        <v>80</v>
      </c>
      <c r="Y573" s="189"/>
      <c r="Z573" s="189"/>
      <c r="AA573" s="190">
        <v>-0.1</v>
      </c>
      <c r="AB573" s="186"/>
      <c r="AC573" s="344"/>
      <c r="AD573" s="186"/>
      <c r="AE573" s="186"/>
      <c r="AF573" s="186"/>
      <c r="AG573" s="186"/>
      <c r="AH573" s="186"/>
      <c r="AI573" s="191"/>
      <c r="AJ573" s="191"/>
      <c r="AK573" s="186"/>
      <c r="AL573" s="186"/>
      <c r="AM573" s="186" t="s">
        <v>2504</v>
      </c>
      <c r="AN573" s="344" t="s">
        <v>376</v>
      </c>
      <c r="AO573" s="186" t="s">
        <v>2505</v>
      </c>
      <c r="AP573" s="193">
        <v>-0.09</v>
      </c>
      <c r="AQ573" s="193">
        <f t="shared" ref="AQ573" si="860">IF(ISBLANK(AP573),,IF(U573="S",AA573-AP573,AP573-AA573))</f>
        <v>1.0000000000000009E-2</v>
      </c>
      <c r="AR573" s="191">
        <f t="shared" ref="AR573" si="861">AS573*R573</f>
        <v>112.0000000000001</v>
      </c>
      <c r="AS573" s="194">
        <f t="shared" ref="AS573" si="862">IF(ISBLANK(AP573),,(AQ573*W573))</f>
        <v>16.000000000000014</v>
      </c>
      <c r="AT573" s="195" t="s">
        <v>77</v>
      </c>
      <c r="AU573" s="425" t="s">
        <v>2506</v>
      </c>
      <c r="AV573" s="425" t="s">
        <v>395</v>
      </c>
      <c r="AW573" s="425"/>
      <c r="AX573" s="425" t="s">
        <v>1417</v>
      </c>
      <c r="AY573" s="425"/>
      <c r="AZ573" s="425"/>
      <c r="BA573" s="425"/>
      <c r="BB573" s="425"/>
      <c r="BC573" s="440"/>
      <c r="BD573" s="404">
        <f>SUM($AS$4:AS573)</f>
        <v>3100.5974761904713</v>
      </c>
      <c r="BE573" s="405">
        <f>SUM($AR$4:AR573)</f>
        <v>5720.5519999999633</v>
      </c>
      <c r="BF573" s="330"/>
      <c r="BG573" s="330"/>
    </row>
    <row r="574" spans="1:59" ht="15.75" customHeight="1">
      <c r="A574" s="227" t="s">
        <v>2361</v>
      </c>
      <c r="B574" s="204">
        <v>45057</v>
      </c>
      <c r="C574" s="182" t="s">
        <v>2507</v>
      </c>
      <c r="D574" s="182" t="s">
        <v>74</v>
      </c>
      <c r="E574" s="233"/>
      <c r="F574" s="184"/>
      <c r="G574" s="291" t="s">
        <v>558</v>
      </c>
      <c r="H574" s="186"/>
      <c r="I574" s="186"/>
      <c r="J574" s="186"/>
      <c r="K574" s="187"/>
      <c r="L574" s="186">
        <v>1</v>
      </c>
      <c r="M574" s="186">
        <v>1</v>
      </c>
      <c r="N574" s="186"/>
      <c r="O574" s="187" t="s">
        <v>76</v>
      </c>
      <c r="P574" s="187" t="s">
        <v>77</v>
      </c>
      <c r="Q574" s="187" t="s">
        <v>78</v>
      </c>
      <c r="R574" s="187">
        <v>3</v>
      </c>
      <c r="S574" s="187">
        <v>3</v>
      </c>
      <c r="T574" s="187">
        <v>3</v>
      </c>
      <c r="U574" s="187" t="s">
        <v>78</v>
      </c>
      <c r="V574" s="188">
        <f t="shared" si="859"/>
        <v>0.01</v>
      </c>
      <c r="W574" s="189">
        <f t="shared" si="841"/>
        <v>1600</v>
      </c>
      <c r="X574" s="189" t="s">
        <v>80</v>
      </c>
      <c r="Y574" s="189"/>
      <c r="Z574" s="189"/>
      <c r="AA574" s="190">
        <v>-0.01</v>
      </c>
      <c r="AB574" s="186"/>
      <c r="AC574" s="344"/>
      <c r="AD574" s="186"/>
      <c r="AE574" s="186"/>
      <c r="AF574" s="186"/>
      <c r="AG574" s="186"/>
      <c r="AH574" s="186"/>
      <c r="AI574" s="191"/>
      <c r="AJ574" s="191"/>
      <c r="AK574" s="186"/>
      <c r="AL574" s="186"/>
      <c r="AM574" s="186" t="s">
        <v>2508</v>
      </c>
      <c r="AN574" s="344" t="s">
        <v>87</v>
      </c>
      <c r="AO574" s="186" t="s">
        <v>2509</v>
      </c>
      <c r="AP574" s="193">
        <v>-0.02</v>
      </c>
      <c r="AQ574" s="193">
        <f t="shared" ref="AQ574" si="863">IF(ISBLANK(AP574),,IF(U574="S",AA574-AP574,AP574-AA574))</f>
        <v>0.01</v>
      </c>
      <c r="AR574" s="191">
        <f t="shared" ref="AR574" si="864">AS574*R574</f>
        <v>48</v>
      </c>
      <c r="AS574" s="194">
        <f t="shared" ref="AS574" si="865">IF(ISBLANK(AP574),,(AQ574*W574))</f>
        <v>16</v>
      </c>
      <c r="AT574" s="195" t="s">
        <v>77</v>
      </c>
      <c r="AU574" s="425"/>
      <c r="AV574" s="425"/>
      <c r="AW574" s="425"/>
      <c r="AX574" s="425"/>
      <c r="AY574" s="425"/>
      <c r="AZ574" s="425"/>
      <c r="BA574" s="425"/>
      <c r="BB574" s="425"/>
      <c r="BC574" s="440"/>
      <c r="BD574" s="404">
        <f>SUM($AS$4:AS574)</f>
        <v>3116.5974761904713</v>
      </c>
      <c r="BE574" s="405">
        <f>SUM($AR$4:AR574)</f>
        <v>5768.5519999999633</v>
      </c>
      <c r="BF574" s="330"/>
      <c r="BG574" s="330"/>
    </row>
    <row r="575" spans="1:59" ht="15.75" customHeight="1">
      <c r="A575" s="227" t="s">
        <v>2361</v>
      </c>
      <c r="B575" s="204">
        <v>45057</v>
      </c>
      <c r="C575" s="182" t="s">
        <v>2510</v>
      </c>
      <c r="D575" s="182" t="s">
        <v>74</v>
      </c>
      <c r="E575" s="233" t="s">
        <v>2511</v>
      </c>
      <c r="F575" s="184"/>
      <c r="G575" s="185"/>
      <c r="H575" s="186"/>
      <c r="I575" s="186"/>
      <c r="J575" s="186"/>
      <c r="K575" s="187"/>
      <c r="L575" s="186"/>
      <c r="M575" s="186"/>
      <c r="N575" s="186"/>
      <c r="O575" s="187"/>
      <c r="P575" s="187"/>
      <c r="Q575" s="187"/>
      <c r="R575" s="187"/>
      <c r="S575" s="187"/>
      <c r="T575" s="187"/>
      <c r="U575" s="187"/>
      <c r="V575" s="188" t="str">
        <f t="shared" ref="V575:V578" si="866">IF(ISBLANK(O575),"",(IF(O575=UPPER("IB"),0.005,0.01)))</f>
        <v/>
      </c>
      <c r="W575" s="189" t="str">
        <f t="shared" ref="W575:W578" si="867">IF(ISBLANK(O575),"",IF(O575="IB",8.63*200,IF(O575="IR",16*100,IF(O575="YT",20*100,IF(O575="YT-XT",24*200,IF(O575="TED",80*100))))))</f>
        <v/>
      </c>
      <c r="X575" s="189"/>
      <c r="Y575" s="189"/>
      <c r="Z575" s="189"/>
      <c r="AA575" s="190"/>
      <c r="AB575" s="186"/>
      <c r="AC575" s="344"/>
      <c r="AD575" s="186"/>
      <c r="AE575" s="186"/>
      <c r="AF575" s="186"/>
      <c r="AG575" s="186"/>
      <c r="AH575" s="186"/>
      <c r="AI575" s="191"/>
      <c r="AJ575" s="191"/>
      <c r="AK575" s="186"/>
      <c r="AL575" s="186"/>
      <c r="AM575" s="186"/>
      <c r="AN575" s="344"/>
      <c r="AO575" s="186"/>
      <c r="AP575" s="193"/>
      <c r="AQ575" s="193"/>
      <c r="AR575" s="191"/>
      <c r="AS575" s="194"/>
      <c r="AT575" s="195"/>
      <c r="AU575" s="425" t="s">
        <v>2512</v>
      </c>
      <c r="AV575" s="425" t="s">
        <v>2513</v>
      </c>
      <c r="AW575" s="425" t="s">
        <v>2514</v>
      </c>
      <c r="AX575" s="437" t="s">
        <v>2515</v>
      </c>
      <c r="AY575" s="425" t="s">
        <v>2516</v>
      </c>
      <c r="AZ575" s="425"/>
      <c r="BA575" s="425" t="s">
        <v>511</v>
      </c>
      <c r="BB575" s="425"/>
      <c r="BC575" s="440"/>
      <c r="BD575" s="404">
        <f>SUM($AS$4:AS575)</f>
        <v>3116.5974761904713</v>
      </c>
      <c r="BE575" s="405">
        <f>SUM($AR$4:AR575)</f>
        <v>5768.5519999999633</v>
      </c>
      <c r="BF575" s="330"/>
      <c r="BG575" s="330"/>
    </row>
    <row r="576" spans="1:59" ht="15.75" customHeight="1">
      <c r="A576" s="227" t="s">
        <v>2361</v>
      </c>
      <c r="B576" s="204">
        <v>45057</v>
      </c>
      <c r="C576" s="182" t="s">
        <v>1695</v>
      </c>
      <c r="D576" s="182" t="s">
        <v>74</v>
      </c>
      <c r="E576" s="233" t="s">
        <v>2517</v>
      </c>
      <c r="F576" s="184" t="s">
        <v>2518</v>
      </c>
      <c r="G576" s="185"/>
      <c r="H576" s="186"/>
      <c r="I576" s="186"/>
      <c r="J576" s="186"/>
      <c r="K576" s="187"/>
      <c r="L576" s="186"/>
      <c r="M576" s="186"/>
      <c r="N576" s="186"/>
      <c r="O576" s="187"/>
      <c r="P576" s="187"/>
      <c r="Q576" s="187"/>
      <c r="R576" s="187"/>
      <c r="S576" s="187"/>
      <c r="T576" s="187"/>
      <c r="U576" s="187"/>
      <c r="V576" s="188" t="str">
        <f t="shared" si="866"/>
        <v/>
      </c>
      <c r="W576" s="189" t="str">
        <f t="shared" si="867"/>
        <v/>
      </c>
      <c r="X576" s="189"/>
      <c r="Y576" s="189"/>
      <c r="Z576" s="189"/>
      <c r="AA576" s="190"/>
      <c r="AB576" s="186"/>
      <c r="AC576" s="344"/>
      <c r="AD576" s="186"/>
      <c r="AE576" s="186"/>
      <c r="AF576" s="186"/>
      <c r="AG576" s="186"/>
      <c r="AH576" s="186"/>
      <c r="AI576" s="191"/>
      <c r="AJ576" s="191"/>
      <c r="AK576" s="186"/>
      <c r="AL576" s="186"/>
      <c r="AM576" s="186"/>
      <c r="AN576" s="344"/>
      <c r="AO576" s="186"/>
      <c r="AP576" s="193"/>
      <c r="AQ576" s="193"/>
      <c r="AR576" s="191"/>
      <c r="AS576" s="194"/>
      <c r="AT576" s="195"/>
      <c r="AU576" s="427" t="s">
        <v>2519</v>
      </c>
      <c r="AV576" s="427" t="s">
        <v>2520</v>
      </c>
      <c r="AW576" s="427" t="s">
        <v>2521</v>
      </c>
      <c r="AX576" s="427" t="s">
        <v>2522</v>
      </c>
      <c r="AY576" s="425" t="s">
        <v>2523</v>
      </c>
      <c r="AZ576" s="425"/>
      <c r="BA576" s="425"/>
      <c r="BB576" s="425"/>
      <c r="BC576" s="440"/>
      <c r="BD576" s="404">
        <f>SUM($AS$4:AS576)</f>
        <v>3116.5974761904713</v>
      </c>
      <c r="BE576" s="405">
        <f>SUM($AR$4:AR576)</f>
        <v>5768.5519999999633</v>
      </c>
      <c r="BF576" s="330"/>
      <c r="BG576" s="330"/>
    </row>
    <row r="577" spans="1:59" ht="15.75" customHeight="1">
      <c r="A577" s="227" t="s">
        <v>2361</v>
      </c>
      <c r="B577" s="204"/>
      <c r="C577" s="182"/>
      <c r="D577" s="182"/>
      <c r="E577" s="233"/>
      <c r="F577" s="184"/>
      <c r="G577" s="185"/>
      <c r="H577" s="186"/>
      <c r="I577" s="186"/>
      <c r="J577" s="186"/>
      <c r="K577" s="187"/>
      <c r="L577" s="186"/>
      <c r="M577" s="186"/>
      <c r="N577" s="186"/>
      <c r="O577" s="187"/>
      <c r="P577" s="187"/>
      <c r="Q577" s="187"/>
      <c r="R577" s="187"/>
      <c r="S577" s="187"/>
      <c r="T577" s="187"/>
      <c r="U577" s="187"/>
      <c r="V577" s="188" t="str">
        <f t="shared" si="866"/>
        <v/>
      </c>
      <c r="W577" s="189" t="str">
        <f t="shared" si="867"/>
        <v/>
      </c>
      <c r="X577" s="189"/>
      <c r="Y577" s="189"/>
      <c r="Z577" s="189"/>
      <c r="AA577" s="190"/>
      <c r="AB577" s="186"/>
      <c r="AC577" s="344"/>
      <c r="AD577" s="186"/>
      <c r="AE577" s="186"/>
      <c r="AF577" s="186"/>
      <c r="AG577" s="186"/>
      <c r="AH577" s="186"/>
      <c r="AI577" s="191"/>
      <c r="AJ577" s="191"/>
      <c r="AK577" s="186"/>
      <c r="AL577" s="186"/>
      <c r="AM577" s="186"/>
      <c r="AN577" s="344"/>
      <c r="AO577" s="186"/>
      <c r="AP577" s="193"/>
      <c r="AQ577" s="193"/>
      <c r="AR577" s="191"/>
      <c r="AS577" s="194"/>
      <c r="AT577" s="195"/>
      <c r="AU577" s="425" t="s">
        <v>2524</v>
      </c>
      <c r="AV577" s="425" t="s">
        <v>2525</v>
      </c>
      <c r="AW577" s="425" t="s">
        <v>511</v>
      </c>
      <c r="AX577" s="437"/>
      <c r="AY577" s="425"/>
      <c r="AZ577" s="425"/>
      <c r="BA577" s="425"/>
      <c r="BB577" s="425"/>
      <c r="BC577" s="440"/>
      <c r="BD577" s="404">
        <f>SUM($AS$4:AS577)</f>
        <v>3116.5974761904713</v>
      </c>
      <c r="BE577" s="405">
        <f>SUM($AR$4:AR577)</f>
        <v>5768.5519999999633</v>
      </c>
      <c r="BF577" s="330"/>
      <c r="BG577" s="330"/>
    </row>
    <row r="578" spans="1:59" ht="15.75" customHeight="1">
      <c r="A578" s="227" t="s">
        <v>2361</v>
      </c>
      <c r="B578" s="204">
        <v>45061</v>
      </c>
      <c r="C578" s="182" t="s">
        <v>1358</v>
      </c>
      <c r="D578" s="182" t="s">
        <v>114</v>
      </c>
      <c r="E578" s="233"/>
      <c r="F578" s="184"/>
      <c r="G578" s="291" t="s">
        <v>2526</v>
      </c>
      <c r="H578" s="186"/>
      <c r="I578" s="186"/>
      <c r="J578" s="186"/>
      <c r="K578" s="187"/>
      <c r="L578" s="186">
        <v>1</v>
      </c>
      <c r="M578" s="186">
        <v>1</v>
      </c>
      <c r="N578" s="186"/>
      <c r="O578" s="187" t="s">
        <v>2240</v>
      </c>
      <c r="P578" s="187" t="s">
        <v>2241</v>
      </c>
      <c r="Q578" s="187"/>
      <c r="R578" s="187">
        <v>1</v>
      </c>
      <c r="S578" s="187">
        <v>0</v>
      </c>
      <c r="T578" s="187">
        <v>1</v>
      </c>
      <c r="U578" s="187" t="s">
        <v>22</v>
      </c>
      <c r="V578" s="188">
        <f t="shared" si="866"/>
        <v>0.01</v>
      </c>
      <c r="W578" s="189">
        <f t="shared" si="867"/>
        <v>4800</v>
      </c>
      <c r="X578" s="189" t="s">
        <v>2527</v>
      </c>
      <c r="Y578" s="189" t="s">
        <v>2528</v>
      </c>
      <c r="Z578" s="189"/>
      <c r="AA578" s="190">
        <v>0.31</v>
      </c>
      <c r="AB578" s="186" t="s">
        <v>511</v>
      </c>
      <c r="AC578" s="372" t="s">
        <v>2529</v>
      </c>
      <c r="AD578" s="186" t="s">
        <v>511</v>
      </c>
      <c r="AE578" s="186"/>
      <c r="AF578" s="186"/>
      <c r="AG578" s="186"/>
      <c r="AH578" s="186"/>
      <c r="AI578" s="191">
        <f>-0.05*W578</f>
        <v>-240</v>
      </c>
      <c r="AJ578" s="191">
        <f t="shared" ref="AJ578" si="868">AI578*(R578-S578)</f>
        <v>-240</v>
      </c>
      <c r="AK578" s="186"/>
      <c r="AL578" s="186"/>
      <c r="AM578" s="186" t="s">
        <v>1681</v>
      </c>
      <c r="AN578" s="344" t="s">
        <v>87</v>
      </c>
      <c r="AO578" s="186" t="s">
        <v>2530</v>
      </c>
      <c r="AP578" s="193">
        <v>0.315</v>
      </c>
      <c r="AQ578" s="193">
        <f t="shared" ref="AQ578" si="869">IF(ISBLANK(AP578),,IF(U578="S",AA578-AP578,AP578-AA578))</f>
        <v>5.0000000000000044E-3</v>
      </c>
      <c r="AR578" s="191">
        <f t="shared" ref="AR578" si="870">AS578*R578</f>
        <v>24.000000000000021</v>
      </c>
      <c r="AS578" s="194">
        <f t="shared" ref="AS578" si="871">IF(ISBLANK(AP578),,(AQ578*W578))</f>
        <v>24.000000000000021</v>
      </c>
      <c r="AT578" s="195" t="s">
        <v>77</v>
      </c>
      <c r="AU578" s="425" t="s">
        <v>2531</v>
      </c>
      <c r="AV578" s="425" t="s">
        <v>2532</v>
      </c>
      <c r="AW578" s="425" t="s">
        <v>511</v>
      </c>
      <c r="AX578" s="425" t="s">
        <v>1417</v>
      </c>
      <c r="AY578" s="425" t="s">
        <v>2163</v>
      </c>
      <c r="AZ578" s="425"/>
      <c r="BA578" s="425"/>
      <c r="BB578" s="425"/>
      <c r="BC578" s="440"/>
      <c r="BD578" s="404">
        <f>SUM($AS$4:AS578)</f>
        <v>3140.5974761904713</v>
      </c>
      <c r="BE578" s="405">
        <f>SUM($AR$4:AR578)</f>
        <v>5792.5519999999633</v>
      </c>
      <c r="BF578" s="330"/>
      <c r="BG578" s="330"/>
    </row>
    <row r="579" spans="1:59" ht="15.75" customHeight="1">
      <c r="A579" s="227" t="s">
        <v>2361</v>
      </c>
      <c r="B579" s="204"/>
      <c r="C579" s="182"/>
      <c r="D579" s="182"/>
      <c r="E579" s="233"/>
      <c r="F579" s="184"/>
      <c r="G579" s="185"/>
      <c r="H579" s="186"/>
      <c r="I579" s="186"/>
      <c r="J579" s="186"/>
      <c r="K579" s="187"/>
      <c r="L579" s="186"/>
      <c r="M579" s="186"/>
      <c r="N579" s="186"/>
      <c r="O579" s="187"/>
      <c r="P579" s="187"/>
      <c r="Q579" s="187"/>
      <c r="R579" s="187"/>
      <c r="S579" s="187"/>
      <c r="T579" s="187"/>
      <c r="U579" s="187"/>
      <c r="V579" s="188" t="str">
        <f t="shared" ref="V579:V583" si="872">IF(ISBLANK(O579),"",(IF(O579=UPPER("IB"),0.005,0.01)))</f>
        <v/>
      </c>
      <c r="W579" s="189" t="str">
        <f t="shared" ref="W579:W583" si="873">IF(ISBLANK(O579),"",IF(O579="IB",8.63*200,IF(O579="IR",16*100,IF(O579="YT",20*100,IF(O579="YT-XT",24*200,IF(O579="TED",80*100))))))</f>
        <v/>
      </c>
      <c r="X579" s="189"/>
      <c r="Y579" s="189"/>
      <c r="Z579" s="189"/>
      <c r="AA579" s="190"/>
      <c r="AB579" s="186"/>
      <c r="AC579" s="344"/>
      <c r="AD579" s="186"/>
      <c r="AE579" s="186"/>
      <c r="AF579" s="186"/>
      <c r="AG579" s="186"/>
      <c r="AH579" s="186"/>
      <c r="AI579" s="191"/>
      <c r="AJ579" s="191"/>
      <c r="AK579" s="186"/>
      <c r="AL579" s="186"/>
      <c r="AM579" s="186"/>
      <c r="AN579" s="344"/>
      <c r="AO579" s="186"/>
      <c r="AP579" s="193"/>
      <c r="AQ579" s="193"/>
      <c r="AR579" s="191"/>
      <c r="AS579" s="194"/>
      <c r="AT579" s="195"/>
      <c r="AU579" s="433" t="s">
        <v>652</v>
      </c>
      <c r="AV579" s="425" t="s">
        <v>2533</v>
      </c>
      <c r="AW579" s="425" t="s">
        <v>2534</v>
      </c>
      <c r="AX579" s="437" t="s">
        <v>2535</v>
      </c>
      <c r="AY579" s="425"/>
      <c r="AZ579" s="425"/>
      <c r="BA579" s="425" t="s">
        <v>2536</v>
      </c>
      <c r="BB579" s="425"/>
      <c r="BC579" s="440"/>
      <c r="BD579" s="404">
        <f>SUM($AS$4:AS579)</f>
        <v>3140.5974761904713</v>
      </c>
      <c r="BE579" s="405">
        <f>SUM($AR$4:AR579)</f>
        <v>5792.5519999999633</v>
      </c>
      <c r="BF579" s="330"/>
      <c r="BG579" s="330"/>
    </row>
    <row r="580" spans="1:59" ht="15.75" customHeight="1">
      <c r="A580" s="227" t="s">
        <v>2361</v>
      </c>
      <c r="B580" s="204">
        <v>45062</v>
      </c>
      <c r="C580" s="182" t="s">
        <v>1695</v>
      </c>
      <c r="D580" s="182" t="s">
        <v>128</v>
      </c>
      <c r="E580" s="233" t="s">
        <v>2537</v>
      </c>
      <c r="F580" s="184" t="s">
        <v>2538</v>
      </c>
      <c r="G580" s="185"/>
      <c r="H580" s="186"/>
      <c r="I580" s="186">
        <v>1</v>
      </c>
      <c r="J580" s="186"/>
      <c r="K580" s="187"/>
      <c r="L580" s="186"/>
      <c r="M580" s="186"/>
      <c r="N580" s="186"/>
      <c r="O580" s="187"/>
      <c r="P580" s="187"/>
      <c r="Q580" s="187"/>
      <c r="R580" s="187"/>
      <c r="S580" s="187"/>
      <c r="T580" s="187"/>
      <c r="U580" s="187"/>
      <c r="V580" s="188" t="str">
        <f t="shared" si="872"/>
        <v/>
      </c>
      <c r="W580" s="189" t="str">
        <f t="shared" si="873"/>
        <v/>
      </c>
      <c r="X580" s="189"/>
      <c r="Y580" s="189"/>
      <c r="Z580" s="189"/>
      <c r="AA580" s="190"/>
      <c r="AB580" s="186"/>
      <c r="AC580" s="344"/>
      <c r="AD580" s="186"/>
      <c r="AE580" s="186"/>
      <c r="AF580" s="186"/>
      <c r="AG580" s="186"/>
      <c r="AH580" s="186"/>
      <c r="AI580" s="191"/>
      <c r="AJ580" s="191"/>
      <c r="AK580" s="186"/>
      <c r="AL580" s="186"/>
      <c r="AM580" s="186"/>
      <c r="AN580" s="344"/>
      <c r="AO580" s="186"/>
      <c r="AP580" s="193"/>
      <c r="AQ580" s="193"/>
      <c r="AR580" s="191"/>
      <c r="AS580" s="194"/>
      <c r="AT580" s="195"/>
      <c r="AU580" s="425" t="s">
        <v>2539</v>
      </c>
      <c r="AV580" s="425" t="s">
        <v>2540</v>
      </c>
      <c r="AW580" s="425" t="s">
        <v>2541</v>
      </c>
      <c r="AX580" s="437" t="s">
        <v>511</v>
      </c>
      <c r="AY580" s="425"/>
      <c r="AZ580" s="425"/>
      <c r="BA580" s="425"/>
      <c r="BB580" s="425"/>
      <c r="BC580" s="440"/>
      <c r="BD580" s="404">
        <f>SUM($AS$4:AS580)</f>
        <v>3140.5974761904713</v>
      </c>
      <c r="BE580" s="405">
        <f>SUM($AR$4:AR580)</f>
        <v>5792.5519999999633</v>
      </c>
      <c r="BF580" s="330"/>
      <c r="BG580" s="330"/>
    </row>
    <row r="581" spans="1:59" ht="15.75" customHeight="1">
      <c r="A581" s="227" t="s">
        <v>2361</v>
      </c>
      <c r="B581" s="204"/>
      <c r="C581" s="182"/>
      <c r="D581" s="182"/>
      <c r="E581" s="233" t="s">
        <v>2542</v>
      </c>
      <c r="F581" s="184"/>
      <c r="G581" s="185"/>
      <c r="H581" s="186"/>
      <c r="I581" s="186"/>
      <c r="J581" s="186">
        <v>1</v>
      </c>
      <c r="K581" s="187" t="s">
        <v>97</v>
      </c>
      <c r="L581" s="186"/>
      <c r="M581" s="186"/>
      <c r="N581" s="186"/>
      <c r="O581" s="187"/>
      <c r="P581" s="187"/>
      <c r="Q581" s="187"/>
      <c r="R581" s="187"/>
      <c r="S581" s="187"/>
      <c r="T581" s="187"/>
      <c r="U581" s="187"/>
      <c r="V581" s="188" t="str">
        <f t="shared" si="872"/>
        <v/>
      </c>
      <c r="W581" s="189" t="str">
        <f t="shared" si="873"/>
        <v/>
      </c>
      <c r="X581" s="189"/>
      <c r="Y581" s="189"/>
      <c r="Z581" s="189"/>
      <c r="AA581" s="190"/>
      <c r="AB581" s="186"/>
      <c r="AC581" s="344"/>
      <c r="AD581" s="186"/>
      <c r="AE581" s="186"/>
      <c r="AF581" s="186"/>
      <c r="AG581" s="186"/>
      <c r="AH581" s="186"/>
      <c r="AI581" s="191"/>
      <c r="AJ581" s="191"/>
      <c r="AK581" s="186"/>
      <c r="AL581" s="186"/>
      <c r="AM581" s="186"/>
      <c r="AN581" s="344"/>
      <c r="AO581" s="186"/>
      <c r="AP581" s="193"/>
      <c r="AQ581" s="193"/>
      <c r="AR581" s="191"/>
      <c r="AS581" s="194"/>
      <c r="AT581" s="195"/>
      <c r="AU581" s="425"/>
      <c r="AV581" s="425"/>
      <c r="AW581" s="425"/>
      <c r="AX581" s="437"/>
      <c r="AY581" s="425"/>
      <c r="AZ581" s="425"/>
      <c r="BA581" s="425"/>
      <c r="BB581" s="425"/>
      <c r="BC581" s="440"/>
      <c r="BD581" s="404">
        <f>SUM($AS$4:AS581)</f>
        <v>3140.5974761904713</v>
      </c>
      <c r="BE581" s="405">
        <f>SUM($AR$4:AR581)</f>
        <v>5792.5519999999633</v>
      </c>
      <c r="BF581" s="330"/>
      <c r="BG581" s="330"/>
    </row>
    <row r="582" spans="1:59" ht="15.75" customHeight="1">
      <c r="A582" s="227" t="s">
        <v>2361</v>
      </c>
      <c r="B582" s="204">
        <v>45063</v>
      </c>
      <c r="C582" s="182" t="s">
        <v>2062</v>
      </c>
      <c r="D582" s="182" t="s">
        <v>133</v>
      </c>
      <c r="E582" s="233" t="s">
        <v>2543</v>
      </c>
      <c r="F582" s="184"/>
      <c r="G582" s="185"/>
      <c r="H582" s="186"/>
      <c r="I582" s="186"/>
      <c r="J582" s="186">
        <v>1</v>
      </c>
      <c r="K582" s="187" t="s">
        <v>97</v>
      </c>
      <c r="L582" s="186"/>
      <c r="M582" s="186"/>
      <c r="N582" s="186"/>
      <c r="O582" s="187"/>
      <c r="P582" s="187"/>
      <c r="Q582" s="187"/>
      <c r="R582" s="187"/>
      <c r="S582" s="187"/>
      <c r="T582" s="187"/>
      <c r="U582" s="187"/>
      <c r="V582" s="188" t="str">
        <f t="shared" si="872"/>
        <v/>
      </c>
      <c r="W582" s="189" t="str">
        <f t="shared" si="873"/>
        <v/>
      </c>
      <c r="X582" s="189"/>
      <c r="Y582" s="189"/>
      <c r="Z582" s="189"/>
      <c r="AA582" s="190"/>
      <c r="AB582" s="186"/>
      <c r="AC582" s="344"/>
      <c r="AD582" s="186"/>
      <c r="AE582" s="186"/>
      <c r="AF582" s="186"/>
      <c r="AG582" s="186"/>
      <c r="AH582" s="186"/>
      <c r="AI582" s="191"/>
      <c r="AJ582" s="191"/>
      <c r="AK582" s="186"/>
      <c r="AL582" s="186"/>
      <c r="AM582" s="186"/>
      <c r="AN582" s="344"/>
      <c r="AO582" s="186"/>
      <c r="AP582" s="193"/>
      <c r="AQ582" s="193"/>
      <c r="AR582" s="191"/>
      <c r="AS582" s="194"/>
      <c r="AT582" s="195"/>
      <c r="AU582" s="425"/>
      <c r="AV582" s="425"/>
      <c r="AW582" s="425"/>
      <c r="AX582" s="437"/>
      <c r="AY582" s="425"/>
      <c r="AZ582" s="425"/>
      <c r="BA582" s="425"/>
      <c r="BB582" s="425"/>
      <c r="BC582" s="440"/>
      <c r="BD582" s="404">
        <f>SUM($AS$4:AS582)</f>
        <v>3140.5974761904713</v>
      </c>
      <c r="BE582" s="405">
        <f>SUM($AR$4:AR582)</f>
        <v>5792.5519999999633</v>
      </c>
      <c r="BF582" s="330"/>
      <c r="BG582" s="330"/>
    </row>
    <row r="583" spans="1:59" ht="15.75" customHeight="1">
      <c r="A583" s="227" t="s">
        <v>2361</v>
      </c>
      <c r="B583" s="204">
        <v>45063</v>
      </c>
      <c r="C583" s="182" t="s">
        <v>664</v>
      </c>
      <c r="D583" s="182" t="s">
        <v>133</v>
      </c>
      <c r="E583" s="233"/>
      <c r="F583" s="184"/>
      <c r="G583" s="291" t="s">
        <v>75</v>
      </c>
      <c r="H583" s="186"/>
      <c r="I583" s="186"/>
      <c r="J583" s="186"/>
      <c r="K583" s="187"/>
      <c r="L583" s="186">
        <v>1</v>
      </c>
      <c r="M583" s="186"/>
      <c r="N583" s="186"/>
      <c r="O583" s="187" t="s">
        <v>76</v>
      </c>
      <c r="P583" s="187" t="s">
        <v>77</v>
      </c>
      <c r="Q583" s="187" t="s">
        <v>78</v>
      </c>
      <c r="R583" s="187">
        <v>6</v>
      </c>
      <c r="S583" s="187">
        <v>0</v>
      </c>
      <c r="T583" s="187">
        <v>6</v>
      </c>
      <c r="U583" s="187" t="s">
        <v>78</v>
      </c>
      <c r="V583" s="188">
        <f t="shared" si="872"/>
        <v>0.01</v>
      </c>
      <c r="W583" s="189">
        <f t="shared" si="873"/>
        <v>1600</v>
      </c>
      <c r="X583" s="189" t="s">
        <v>2544</v>
      </c>
      <c r="Y583" s="189"/>
      <c r="Z583" s="189"/>
      <c r="AA583" s="190">
        <v>-0.08</v>
      </c>
      <c r="AB583" s="186"/>
      <c r="AC583" s="344"/>
      <c r="AD583" s="186"/>
      <c r="AE583" s="186"/>
      <c r="AF583" s="186"/>
      <c r="AG583" s="186"/>
      <c r="AH583" s="186"/>
      <c r="AI583" s="191">
        <f>-0.03*W583</f>
        <v>-48</v>
      </c>
      <c r="AJ583" s="191">
        <f t="shared" ref="AJ583" si="874">AI583*(R583-S583)</f>
        <v>-288</v>
      </c>
      <c r="AK583" s="186" t="s">
        <v>2545</v>
      </c>
      <c r="AL583" s="186"/>
      <c r="AM583" s="186" t="s">
        <v>2546</v>
      </c>
      <c r="AN583" s="344" t="s">
        <v>87</v>
      </c>
      <c r="AO583" s="186" t="s">
        <v>2547</v>
      </c>
      <c r="AP583" s="193">
        <f>((-0.08*2)+(-0.08*4))/6</f>
        <v>-0.08</v>
      </c>
      <c r="AQ583" s="193">
        <f t="shared" ref="AQ583" si="875">IF(ISBLANK(AP583),,IF(U583="S",AA583-AP583,AP583-AA583))</f>
        <v>0</v>
      </c>
      <c r="AR583" s="191">
        <f t="shared" ref="AR583" si="876">AS583*R583</f>
        <v>0</v>
      </c>
      <c r="AS583" s="194">
        <f t="shared" ref="AS583" si="877">IF(ISBLANK(AP583),,(AQ583*W583))</f>
        <v>0</v>
      </c>
      <c r="AT583" s="195" t="s">
        <v>97</v>
      </c>
      <c r="AU583" s="425"/>
      <c r="AV583" s="425"/>
      <c r="AW583" s="425"/>
      <c r="AX583" s="437"/>
      <c r="AY583" s="425"/>
      <c r="AZ583" s="425"/>
      <c r="BA583" s="425"/>
      <c r="BB583" s="425"/>
      <c r="BC583" s="440"/>
      <c r="BD583" s="404">
        <f>SUM($AS$4:AS583)</f>
        <v>3140.5974761904713</v>
      </c>
      <c r="BE583" s="405">
        <f>SUM($AR$4:AR583)</f>
        <v>5792.5519999999633</v>
      </c>
      <c r="BF583" s="330"/>
      <c r="BG583" s="330"/>
    </row>
    <row r="584" spans="1:59" ht="15.75" customHeight="1">
      <c r="A584" s="227" t="s">
        <v>2361</v>
      </c>
      <c r="B584" s="204">
        <v>17</v>
      </c>
      <c r="C584" s="182" t="s">
        <v>2548</v>
      </c>
      <c r="D584" s="182" t="s">
        <v>133</v>
      </c>
      <c r="E584" s="233"/>
      <c r="F584" s="184"/>
      <c r="G584" s="185" t="s">
        <v>2549</v>
      </c>
      <c r="H584" s="186"/>
      <c r="I584" s="186"/>
      <c r="J584" s="186"/>
      <c r="K584" s="187"/>
      <c r="L584" s="186"/>
      <c r="M584" s="186"/>
      <c r="N584" s="186"/>
      <c r="O584" s="187"/>
      <c r="P584" s="187"/>
      <c r="Q584" s="187"/>
      <c r="R584" s="187"/>
      <c r="S584" s="187"/>
      <c r="T584" s="187"/>
      <c r="U584" s="187"/>
      <c r="V584" s="188"/>
      <c r="W584" s="189"/>
      <c r="X584" s="189"/>
      <c r="Y584" s="189"/>
      <c r="Z584" s="189"/>
      <c r="AA584" s="190"/>
      <c r="AB584" s="186"/>
      <c r="AC584" s="344"/>
      <c r="AD584" s="186"/>
      <c r="AE584" s="186"/>
      <c r="AF584" s="186"/>
      <c r="AG584" s="186"/>
      <c r="AH584" s="186"/>
      <c r="AI584" s="191"/>
      <c r="AJ584" s="191"/>
      <c r="AK584" s="186"/>
      <c r="AL584" s="186"/>
      <c r="AM584" s="186"/>
      <c r="AN584" s="344"/>
      <c r="AO584" s="186"/>
      <c r="AP584" s="193"/>
      <c r="AQ584" s="193"/>
      <c r="AR584" s="191"/>
      <c r="AS584" s="194"/>
      <c r="AT584" s="195"/>
      <c r="AU584" s="425"/>
      <c r="AV584" s="425"/>
      <c r="AW584" s="425"/>
      <c r="AX584" s="437"/>
      <c r="AY584" s="425"/>
      <c r="AZ584" s="425"/>
      <c r="BA584" s="425"/>
      <c r="BB584" s="425"/>
      <c r="BC584" s="440"/>
      <c r="BD584" s="404">
        <f>SUM($AS$4:AS584)</f>
        <v>3140.5974761904713</v>
      </c>
      <c r="BE584" s="405">
        <f>SUM($AR$4:AR584)</f>
        <v>5792.5519999999633</v>
      </c>
      <c r="BF584" s="330"/>
      <c r="BG584" s="330"/>
    </row>
    <row r="585" spans="1:59" ht="15.75" customHeight="1">
      <c r="A585" s="227" t="s">
        <v>2361</v>
      </c>
      <c r="B585" s="204">
        <v>45063</v>
      </c>
      <c r="C585" s="182" t="s">
        <v>2550</v>
      </c>
      <c r="D585" s="182" t="s">
        <v>133</v>
      </c>
      <c r="E585" s="233"/>
      <c r="F585" s="184"/>
      <c r="G585" s="291" t="s">
        <v>75</v>
      </c>
      <c r="H585" s="186"/>
      <c r="I585" s="186"/>
      <c r="J585" s="186"/>
      <c r="K585" s="187"/>
      <c r="L585" s="186">
        <v>1</v>
      </c>
      <c r="M585" s="186"/>
      <c r="N585" s="186"/>
      <c r="O585" s="187" t="s">
        <v>76</v>
      </c>
      <c r="P585" s="187" t="s">
        <v>77</v>
      </c>
      <c r="Q585" s="187" t="s">
        <v>78</v>
      </c>
      <c r="R585" s="187">
        <v>3</v>
      </c>
      <c r="S585" s="187">
        <v>0</v>
      </c>
      <c r="T585" s="187">
        <v>3</v>
      </c>
      <c r="U585" s="187" t="s">
        <v>78</v>
      </c>
      <c r="V585" s="188">
        <f t="shared" ref="V585:V586" si="878">IF(ISBLANK(O585),"",(IF(O585=UPPER("IB"),0.005,0.01)))</f>
        <v>0.01</v>
      </c>
      <c r="W585" s="189">
        <f t="shared" ref="W585" si="879">IF(ISBLANK(O585),"",IF(O585="IB",8.63*200,IF(O585="IR",16*100,IF(O585="YT",20*100,IF(O585="YT-XT",24*200,IF(O585="TED",80*100))))))</f>
        <v>1600</v>
      </c>
      <c r="X585" s="189" t="s">
        <v>2551</v>
      </c>
      <c r="Y585" s="189"/>
      <c r="Z585" s="189"/>
      <c r="AA585" s="190">
        <v>-0.06</v>
      </c>
      <c r="AB585" s="186"/>
      <c r="AC585" s="344">
        <v>3</v>
      </c>
      <c r="AD585" s="186" t="s">
        <v>2552</v>
      </c>
      <c r="AE585" s="186">
        <v>8</v>
      </c>
      <c r="AF585" s="186" t="s">
        <v>2553</v>
      </c>
      <c r="AG585" s="186" t="s">
        <v>2554</v>
      </c>
      <c r="AH585" s="186"/>
      <c r="AI585" s="191">
        <f>-0.03*W585</f>
        <v>-48</v>
      </c>
      <c r="AJ585" s="191">
        <f t="shared" ref="AJ585" si="880">AI585*(R585-S585)</f>
        <v>-144</v>
      </c>
      <c r="AK585" s="186"/>
      <c r="AL585" s="186"/>
      <c r="AM585" s="186" t="s">
        <v>2096</v>
      </c>
      <c r="AN585" s="344" t="s">
        <v>87</v>
      </c>
      <c r="AO585" s="186" t="s">
        <v>2555</v>
      </c>
      <c r="AP585" s="193">
        <v>-0.06</v>
      </c>
      <c r="AQ585" s="193">
        <f t="shared" ref="AQ585" si="881">IF(ISBLANK(AP585),,IF(U585="S",AA585-AP585,AP585-AA585))</f>
        <v>0</v>
      </c>
      <c r="AR585" s="191">
        <f t="shared" ref="AR585" si="882">AS585*R585</f>
        <v>0</v>
      </c>
      <c r="AS585" s="194">
        <f t="shared" ref="AS585" si="883">IF(ISBLANK(AP585),,(AQ585*W585))</f>
        <v>0</v>
      </c>
      <c r="AT585" s="195" t="s">
        <v>97</v>
      </c>
      <c r="AU585" s="425" t="s">
        <v>2556</v>
      </c>
      <c r="AV585" s="425"/>
      <c r="AW585" s="425"/>
      <c r="AX585" s="437"/>
      <c r="AY585" s="425"/>
      <c r="AZ585" s="425"/>
      <c r="BA585" s="425"/>
      <c r="BB585" s="425"/>
      <c r="BC585" s="440"/>
      <c r="BD585" s="404">
        <f>SUM($AS$4:AS585)</f>
        <v>3140.5974761904713</v>
      </c>
      <c r="BE585" s="405">
        <f>SUM($AR$4:AR585)</f>
        <v>5792.5519999999633</v>
      </c>
      <c r="BF585" s="330"/>
      <c r="BG585" s="330"/>
    </row>
    <row r="586" spans="1:59" ht="15.75" customHeight="1">
      <c r="A586" s="227" t="s">
        <v>2361</v>
      </c>
      <c r="B586" s="204">
        <v>45063</v>
      </c>
      <c r="C586" s="182" t="s">
        <v>2557</v>
      </c>
      <c r="D586" s="182" t="s">
        <v>133</v>
      </c>
      <c r="E586" s="233"/>
      <c r="F586" s="184"/>
      <c r="G586" s="291" t="s">
        <v>163</v>
      </c>
      <c r="H586" s="186"/>
      <c r="I586" s="186"/>
      <c r="J586" s="186"/>
      <c r="K586" s="187"/>
      <c r="L586" s="186"/>
      <c r="M586" s="186">
        <v>1</v>
      </c>
      <c r="N586" s="186"/>
      <c r="O586" s="187" t="s">
        <v>76</v>
      </c>
      <c r="P586" s="187" t="s">
        <v>77</v>
      </c>
      <c r="Q586" s="187" t="s">
        <v>78</v>
      </c>
      <c r="R586" s="187">
        <v>10</v>
      </c>
      <c r="S586" s="187">
        <v>0</v>
      </c>
      <c r="T586" s="187">
        <v>10</v>
      </c>
      <c r="U586" s="187" t="s">
        <v>78</v>
      </c>
      <c r="V586" s="188">
        <f t="shared" si="878"/>
        <v>0.01</v>
      </c>
      <c r="W586" s="189">
        <f t="shared" ref="W586:W595" si="884">IF(ISBLANK(O586),"",IF(O586="IB",8.63*200,IF(O586="IR",16*100,IF(O586="YT",20*100,IF(O586="YT-XT",24*200,IF(O586="TED",80*100))))))</f>
        <v>1600</v>
      </c>
      <c r="X586" s="189"/>
      <c r="Y586" s="189"/>
      <c r="Z586" s="189" t="s">
        <v>2558</v>
      </c>
      <c r="AA586" s="190">
        <v>-0.15</v>
      </c>
      <c r="AB586" s="186"/>
      <c r="AC586" s="344"/>
      <c r="AD586" s="186"/>
      <c r="AE586" s="186"/>
      <c r="AF586" s="186"/>
      <c r="AG586" s="186"/>
      <c r="AH586" s="186" t="s">
        <v>511</v>
      </c>
      <c r="AI586" s="191">
        <f t="shared" ref="AI586:AI587" si="885">-0.03*W586</f>
        <v>-48</v>
      </c>
      <c r="AJ586" s="191">
        <f t="shared" ref="AJ586:AJ587" si="886">AI586*(R586-S586)</f>
        <v>-480</v>
      </c>
      <c r="AK586" s="186"/>
      <c r="AL586" s="186"/>
      <c r="AM586" s="186" t="s">
        <v>752</v>
      </c>
      <c r="AN586" s="344" t="s">
        <v>97</v>
      </c>
      <c r="AO586" s="186" t="s">
        <v>2559</v>
      </c>
      <c r="AP586" s="193">
        <v>-0.15</v>
      </c>
      <c r="AQ586" s="193">
        <f t="shared" ref="AQ586" si="887">IF(ISBLANK(AP586),,IF(U586="S",AA586-AP586,AP586-AA586))</f>
        <v>0</v>
      </c>
      <c r="AR586" s="191">
        <f t="shared" ref="AR586" si="888">AS586*R586</f>
        <v>0</v>
      </c>
      <c r="AS586" s="194">
        <f t="shared" ref="AS586" si="889">IF(ISBLANK(AP586),,(AQ586*W586))</f>
        <v>0</v>
      </c>
      <c r="AT586" s="195" t="s">
        <v>97</v>
      </c>
      <c r="AU586" s="425" t="s">
        <v>2560</v>
      </c>
      <c r="AV586" s="425"/>
      <c r="AW586" s="425"/>
      <c r="AX586" s="437"/>
      <c r="AY586" s="425"/>
      <c r="AZ586" s="425"/>
      <c r="BA586" s="425"/>
      <c r="BB586" s="425"/>
      <c r="BC586" s="440"/>
      <c r="BD586" s="404">
        <f>SUM($AS$4:AS586)</f>
        <v>3140.5974761904713</v>
      </c>
      <c r="BE586" s="405">
        <f>SUM($AR$4:AR586)</f>
        <v>5792.5519999999633</v>
      </c>
      <c r="BF586" s="330"/>
      <c r="BG586" s="330"/>
    </row>
    <row r="587" spans="1:59" ht="15.75" customHeight="1">
      <c r="A587" s="227" t="s">
        <v>2361</v>
      </c>
      <c r="B587" s="204">
        <v>45064</v>
      </c>
      <c r="C587" s="182" t="s">
        <v>2561</v>
      </c>
      <c r="D587" s="182" t="s">
        <v>74</v>
      </c>
      <c r="E587" s="233"/>
      <c r="F587" s="184"/>
      <c r="G587" s="291" t="s">
        <v>2264</v>
      </c>
      <c r="H587" s="186"/>
      <c r="I587" s="186"/>
      <c r="J587" s="186"/>
      <c r="K587" s="187"/>
      <c r="L587" s="186">
        <v>1</v>
      </c>
      <c r="M587" s="186">
        <v>1</v>
      </c>
      <c r="N587" s="186"/>
      <c r="O587" s="187" t="s">
        <v>76</v>
      </c>
      <c r="P587" s="187" t="s">
        <v>77</v>
      </c>
      <c r="Q587" s="187" t="s">
        <v>238</v>
      </c>
      <c r="R587" s="187">
        <v>7</v>
      </c>
      <c r="S587" s="187">
        <v>4</v>
      </c>
      <c r="T587" s="187">
        <v>7</v>
      </c>
      <c r="U587" s="187" t="s">
        <v>78</v>
      </c>
      <c r="V587" s="188">
        <f t="shared" ref="V587" si="890">IF(ISBLANK(O587),"",(IF(O587=UPPER("IB"),0.005,0.01)))</f>
        <v>0.01</v>
      </c>
      <c r="W587" s="189">
        <f t="shared" si="884"/>
        <v>1600</v>
      </c>
      <c r="X587" s="189"/>
      <c r="Y587" s="189"/>
      <c r="Z587" s="189" t="s">
        <v>2562</v>
      </c>
      <c r="AA587" s="190">
        <v>7.0000000000000007E-2</v>
      </c>
      <c r="AB587" s="186"/>
      <c r="AC587" s="372" t="s">
        <v>2563</v>
      </c>
      <c r="AD587" s="186" t="s">
        <v>511</v>
      </c>
      <c r="AE587" s="186" t="s">
        <v>2564</v>
      </c>
      <c r="AF587" s="186"/>
      <c r="AG587" s="186" t="s">
        <v>2565</v>
      </c>
      <c r="AH587" s="186" t="s">
        <v>511</v>
      </c>
      <c r="AI587" s="191">
        <f t="shared" si="885"/>
        <v>-48</v>
      </c>
      <c r="AJ587" s="191">
        <f t="shared" si="886"/>
        <v>-144</v>
      </c>
      <c r="AK587" s="186" t="s">
        <v>2566</v>
      </c>
      <c r="AL587" s="186"/>
      <c r="AM587" s="186" t="s">
        <v>846</v>
      </c>
      <c r="AN587" s="344" t="s">
        <v>97</v>
      </c>
      <c r="AO587" s="186" t="s">
        <v>2567</v>
      </c>
      <c r="AP587" s="193">
        <f>((0.08*2)+(0.08*3)+(0.08*2))/7</f>
        <v>0.08</v>
      </c>
      <c r="AQ587" s="193">
        <f t="shared" ref="AQ587:AQ593" si="891">IF(ISBLANK(AP587),,IF(U587="S",AA587-AP587,AP587-AA587))</f>
        <v>-9.999999999999995E-3</v>
      </c>
      <c r="AR587" s="191">
        <f t="shared" ref="AR587:AR593" si="892">AS587*R587</f>
        <v>-111.99999999999994</v>
      </c>
      <c r="AS587" s="194">
        <f t="shared" ref="AS587:AS593" si="893">IF(ISBLANK(AP587),,(AQ587*W587))</f>
        <v>-15.999999999999993</v>
      </c>
      <c r="AT587" s="195" t="s">
        <v>211</v>
      </c>
      <c r="AU587" s="425" t="s">
        <v>2568</v>
      </c>
      <c r="AV587" s="425" t="s">
        <v>2569</v>
      </c>
      <c r="AW587" s="425" t="s">
        <v>2570</v>
      </c>
      <c r="AX587" s="425" t="s">
        <v>2571</v>
      </c>
      <c r="AY587" s="425"/>
      <c r="AZ587" s="425"/>
      <c r="BA587" s="425"/>
      <c r="BB587" s="425"/>
      <c r="BC587" s="440"/>
      <c r="BD587" s="404">
        <f>SUM($AS$4:AS587)</f>
        <v>3124.5974761904713</v>
      </c>
      <c r="BE587" s="405">
        <f>SUM($AR$4:AR587)</f>
        <v>5680.5519999999633</v>
      </c>
      <c r="BF587" s="330"/>
      <c r="BG587" s="330"/>
    </row>
    <row r="588" spans="1:59" ht="15.75" customHeight="1">
      <c r="A588" s="227" t="s">
        <v>2361</v>
      </c>
      <c r="B588" s="204">
        <v>45064</v>
      </c>
      <c r="C588" s="182" t="s">
        <v>2001</v>
      </c>
      <c r="D588" s="182" t="s">
        <v>74</v>
      </c>
      <c r="E588" s="233" t="s">
        <v>2572</v>
      </c>
      <c r="F588" s="184" t="s">
        <v>2573</v>
      </c>
      <c r="G588" s="185"/>
      <c r="H588" s="186"/>
      <c r="I588" s="186"/>
      <c r="J588" s="186">
        <v>1</v>
      </c>
      <c r="K588" s="187" t="s">
        <v>97</v>
      </c>
      <c r="L588" s="186"/>
      <c r="M588" s="186"/>
      <c r="N588" s="186"/>
      <c r="O588" s="187"/>
      <c r="P588" s="187"/>
      <c r="Q588" s="187"/>
      <c r="R588" s="187"/>
      <c r="S588" s="187"/>
      <c r="T588" s="187"/>
      <c r="U588" s="187"/>
      <c r="V588" s="187"/>
      <c r="W588" s="189" t="str">
        <f t="shared" ref="W588:W590" si="894">IF(ISBLANK(O588),"",IF(O588="IB",8.63*200,IF(O588="IR",16*100,IF(O588="YT",20*100,IF(O588="YT-XT",24*200,IF(O588="TED",80*100))))))</f>
        <v/>
      </c>
      <c r="X588" s="189"/>
      <c r="Y588" s="189"/>
      <c r="Z588" s="189"/>
      <c r="AA588" s="190"/>
      <c r="AB588" s="186"/>
      <c r="AC588" s="344"/>
      <c r="AD588" s="186"/>
      <c r="AE588" s="186"/>
      <c r="AF588" s="186"/>
      <c r="AG588" s="186"/>
      <c r="AH588" s="186"/>
      <c r="AI588" s="191"/>
      <c r="AJ588" s="187"/>
      <c r="AK588" s="186"/>
      <c r="AL588" s="186"/>
      <c r="AM588" s="186"/>
      <c r="AN588" s="344"/>
      <c r="AO588" s="186"/>
      <c r="AP588" s="193"/>
      <c r="AQ588" s="193"/>
      <c r="AR588" s="191"/>
      <c r="AS588" s="194"/>
      <c r="AT588" s="195"/>
      <c r="AU588" s="425"/>
      <c r="AV588" s="425" t="s">
        <v>511</v>
      </c>
      <c r="AW588" s="425"/>
      <c r="AX588" s="437"/>
      <c r="AY588" s="425"/>
      <c r="AZ588" s="425"/>
      <c r="BA588" s="425"/>
      <c r="BB588" s="425"/>
      <c r="BC588" s="440"/>
      <c r="BD588" s="404">
        <f>SUM($AS$4:AS588)</f>
        <v>3124.5974761904713</v>
      </c>
      <c r="BE588" s="405">
        <f>SUM($AR$4:AR588)</f>
        <v>5680.5519999999633</v>
      </c>
      <c r="BF588" s="330"/>
      <c r="BG588" s="330"/>
    </row>
    <row r="589" spans="1:59" ht="15.75" customHeight="1">
      <c r="A589" s="227" t="s">
        <v>2361</v>
      </c>
      <c r="B589" s="204"/>
      <c r="C589" s="182"/>
      <c r="D589" s="182"/>
      <c r="E589" s="233" t="s">
        <v>2574</v>
      </c>
      <c r="F589" s="184"/>
      <c r="G589" s="185"/>
      <c r="H589" s="186">
        <v>1</v>
      </c>
      <c r="I589" s="186"/>
      <c r="J589" s="186"/>
      <c r="K589" s="187" t="s">
        <v>97</v>
      </c>
      <c r="L589" s="186"/>
      <c r="M589" s="186"/>
      <c r="N589" s="186"/>
      <c r="O589" s="187"/>
      <c r="P589" s="187"/>
      <c r="Q589" s="187"/>
      <c r="R589" s="187"/>
      <c r="S589" s="187"/>
      <c r="T589" s="187"/>
      <c r="U589" s="187"/>
      <c r="V589" s="187"/>
      <c r="W589" s="189" t="str">
        <f t="shared" si="894"/>
        <v/>
      </c>
      <c r="X589" s="189"/>
      <c r="Y589" s="189"/>
      <c r="Z589" s="189"/>
      <c r="AA589" s="190"/>
      <c r="AB589" s="186"/>
      <c r="AC589" s="344"/>
      <c r="AD589" s="186"/>
      <c r="AE589" s="186"/>
      <c r="AF589" s="186"/>
      <c r="AG589" s="186"/>
      <c r="AH589" s="186"/>
      <c r="AI589" s="191"/>
      <c r="AJ589" s="187"/>
      <c r="AK589" s="186"/>
      <c r="AL589" s="186"/>
      <c r="AM589" s="186"/>
      <c r="AN589" s="344"/>
      <c r="AO589" s="186"/>
      <c r="AP589" s="193"/>
      <c r="AQ589" s="193"/>
      <c r="AR589" s="191"/>
      <c r="AS589" s="194"/>
      <c r="AT589" s="195"/>
      <c r="AU589" s="425"/>
      <c r="AV589" s="425"/>
      <c r="AW589" s="425"/>
      <c r="AX589" s="437"/>
      <c r="AY589" s="425"/>
      <c r="AZ589" s="425"/>
      <c r="BA589" s="425"/>
      <c r="BB589" s="425"/>
      <c r="BC589" s="440"/>
      <c r="BD589" s="404">
        <f>SUM($AS$4:AS589)</f>
        <v>3124.5974761904713</v>
      </c>
      <c r="BE589" s="405">
        <f>SUM($AR$4:AR589)</f>
        <v>5680.5519999999633</v>
      </c>
      <c r="BF589" s="330"/>
      <c r="BG589" s="330"/>
    </row>
    <row r="590" spans="1:59" ht="15.75" customHeight="1">
      <c r="A590" s="227" t="s">
        <v>2361</v>
      </c>
      <c r="B590" s="204">
        <v>45064</v>
      </c>
      <c r="C590" s="182" t="s">
        <v>664</v>
      </c>
      <c r="D590" s="182" t="s">
        <v>74</v>
      </c>
      <c r="E590" s="233"/>
      <c r="F590" s="184"/>
      <c r="G590" s="289" t="s">
        <v>2575</v>
      </c>
      <c r="H590" s="186"/>
      <c r="I590" s="186"/>
      <c r="J590" s="186"/>
      <c r="K590" s="187"/>
      <c r="L590" s="186">
        <v>1</v>
      </c>
      <c r="M590" s="186">
        <v>2</v>
      </c>
      <c r="N590" s="186"/>
      <c r="O590" s="187" t="s">
        <v>76</v>
      </c>
      <c r="P590" s="187" t="s">
        <v>77</v>
      </c>
      <c r="Q590" s="187" t="s">
        <v>238</v>
      </c>
      <c r="R590" s="187">
        <v>20</v>
      </c>
      <c r="S590" s="187">
        <v>20</v>
      </c>
      <c r="T590" s="187">
        <v>10</v>
      </c>
      <c r="U590" s="187" t="s">
        <v>78</v>
      </c>
      <c r="V590" s="188">
        <f t="shared" ref="V590" si="895">IF(ISBLANK(O590),"",(IF(O590=UPPER("IB"),0.005,0.01)))</f>
        <v>0.01</v>
      </c>
      <c r="W590" s="189">
        <f t="shared" si="894"/>
        <v>1600</v>
      </c>
      <c r="X590" s="189"/>
      <c r="Y590" s="189"/>
      <c r="Z590" s="189" t="s">
        <v>2576</v>
      </c>
      <c r="AA590" s="190">
        <v>0</v>
      </c>
      <c r="AB590" s="186"/>
      <c r="AC590" s="344" t="s">
        <v>2577</v>
      </c>
      <c r="AD590" s="186"/>
      <c r="AE590" s="186" t="s">
        <v>2578</v>
      </c>
      <c r="AF590" s="186" t="s">
        <v>511</v>
      </c>
      <c r="AG590" s="186"/>
      <c r="AH590" s="186" t="s">
        <v>511</v>
      </c>
      <c r="AI590" s="191">
        <f>-0.01*W590</f>
        <v>-16</v>
      </c>
      <c r="AJ590" s="191">
        <f t="shared" ref="AJ590" si="896">AI590*(R590-S590)</f>
        <v>0</v>
      </c>
      <c r="AK590" s="186" t="s">
        <v>2579</v>
      </c>
      <c r="AL590" s="186"/>
      <c r="AM590" s="186" t="s">
        <v>884</v>
      </c>
      <c r="AN590" s="344" t="s">
        <v>77</v>
      </c>
      <c r="AO590" s="186" t="s">
        <v>2580</v>
      </c>
      <c r="AP590" s="193">
        <f>((0*5)+(0*10)+(0*5))/20</f>
        <v>0</v>
      </c>
      <c r="AQ590" s="193">
        <f t="shared" si="891"/>
        <v>0</v>
      </c>
      <c r="AR590" s="191">
        <f t="shared" si="892"/>
        <v>0</v>
      </c>
      <c r="AS590" s="194">
        <f t="shared" si="893"/>
        <v>0</v>
      </c>
      <c r="AT590" s="195" t="s">
        <v>97</v>
      </c>
      <c r="AU590" s="425" t="s">
        <v>2581</v>
      </c>
      <c r="AV590" s="425" t="s">
        <v>2582</v>
      </c>
      <c r="AW590" s="427" t="s">
        <v>2583</v>
      </c>
      <c r="AX590" s="427" t="s">
        <v>2584</v>
      </c>
      <c r="AY590" s="425"/>
      <c r="AZ590" s="425"/>
      <c r="BA590" s="425"/>
      <c r="BB590" s="425"/>
      <c r="BC590" s="440"/>
      <c r="BD590" s="404">
        <f>SUM($AS$4:AS590)</f>
        <v>3124.5974761904713</v>
      </c>
      <c r="BE590" s="405">
        <f>SUM($AR$4:AR590)</f>
        <v>5680.5519999999633</v>
      </c>
      <c r="BF590" s="330"/>
      <c r="BG590" s="330"/>
    </row>
    <row r="591" spans="1:59" ht="15.75" customHeight="1">
      <c r="A591" s="227" t="s">
        <v>2361</v>
      </c>
      <c r="B591" s="204">
        <v>45064</v>
      </c>
      <c r="C591" s="182" t="s">
        <v>664</v>
      </c>
      <c r="D591" s="182" t="s">
        <v>74</v>
      </c>
      <c r="E591" s="233"/>
      <c r="F591" s="184"/>
      <c r="G591" s="185" t="s">
        <v>2051</v>
      </c>
      <c r="H591" s="186"/>
      <c r="I591" s="186"/>
      <c r="J591" s="186"/>
      <c r="K591" s="187"/>
      <c r="L591" s="186"/>
      <c r="M591" s="186"/>
      <c r="N591" s="186"/>
      <c r="O591" s="187"/>
      <c r="P591" s="187"/>
      <c r="Q591" s="187"/>
      <c r="R591" s="187"/>
      <c r="S591" s="187"/>
      <c r="T591" s="187"/>
      <c r="U591" s="187"/>
      <c r="V591" s="188"/>
      <c r="W591" s="189"/>
      <c r="X591" s="189"/>
      <c r="Y591" s="189"/>
      <c r="Z591" s="189"/>
      <c r="AA591" s="190"/>
      <c r="AB591" s="186"/>
      <c r="AC591" s="344"/>
      <c r="AD591" s="186"/>
      <c r="AE591" s="186"/>
      <c r="AF591" s="186"/>
      <c r="AG591" s="186"/>
      <c r="AH591" s="186"/>
      <c r="AI591" s="191"/>
      <c r="AJ591" s="191"/>
      <c r="AK591" s="186"/>
      <c r="AL591" s="186"/>
      <c r="AM591" s="186"/>
      <c r="AN591" s="344"/>
      <c r="AO591" s="186"/>
      <c r="AP591" s="193"/>
      <c r="AQ591" s="193"/>
      <c r="AR591" s="191"/>
      <c r="AS591" s="194"/>
      <c r="AT591" s="195"/>
      <c r="AU591" s="425" t="s">
        <v>2585</v>
      </c>
      <c r="AV591" s="425" t="s">
        <v>2586</v>
      </c>
      <c r="AW591" s="425" t="s">
        <v>2587</v>
      </c>
      <c r="AX591" s="437" t="s">
        <v>511</v>
      </c>
      <c r="AY591" s="425"/>
      <c r="AZ591" s="425"/>
      <c r="BA591" s="425"/>
      <c r="BB591" s="425"/>
      <c r="BC591" s="440"/>
      <c r="BD591" s="404">
        <f>SUM($AS$4:AS591)</f>
        <v>3124.5974761904713</v>
      </c>
      <c r="BE591" s="405">
        <f>SUM($AR$4:AR591)</f>
        <v>5680.5519999999633</v>
      </c>
      <c r="BF591" s="330"/>
      <c r="BG591" s="330"/>
    </row>
    <row r="592" spans="1:59" ht="15.75" customHeight="1">
      <c r="A592" s="227" t="s">
        <v>2361</v>
      </c>
      <c r="B592" s="204">
        <v>45064</v>
      </c>
      <c r="C592" s="182" t="s">
        <v>664</v>
      </c>
      <c r="D592" s="182" t="s">
        <v>74</v>
      </c>
      <c r="E592" s="233"/>
      <c r="F592" s="184"/>
      <c r="G592" s="291" t="s">
        <v>118</v>
      </c>
      <c r="H592" s="186"/>
      <c r="I592" s="186"/>
      <c r="J592" s="186"/>
      <c r="K592" s="187"/>
      <c r="L592" s="186">
        <v>1</v>
      </c>
      <c r="M592" s="186">
        <v>1</v>
      </c>
      <c r="N592" s="186"/>
      <c r="O592" s="187" t="s">
        <v>76</v>
      </c>
      <c r="P592" s="187" t="s">
        <v>119</v>
      </c>
      <c r="Q592" s="187" t="s">
        <v>78</v>
      </c>
      <c r="R592" s="187">
        <v>10</v>
      </c>
      <c r="S592" s="187">
        <v>5</v>
      </c>
      <c r="T592" s="187">
        <v>10</v>
      </c>
      <c r="U592" s="187" t="s">
        <v>22</v>
      </c>
      <c r="V592" s="188">
        <f t="shared" ref="V592:V594" si="897">IF(ISBLANK(O592),"",(IF(O592=UPPER("IB"),0.005,0.01)))</f>
        <v>0.01</v>
      </c>
      <c r="W592" s="189">
        <f t="shared" ref="W592:W594" si="898">IF(ISBLANK(O592),"",IF(O592="IB",8.63*200,IF(O592="IR",16*100,IF(O592="YT",20*100,IF(O592="YT-XT",24*200,IF(O592="TED",80*100))))))</f>
        <v>1600</v>
      </c>
      <c r="X592" s="189"/>
      <c r="Y592" s="189"/>
      <c r="Z592" s="189" t="s">
        <v>2588</v>
      </c>
      <c r="AA592" s="190">
        <v>-0.15</v>
      </c>
      <c r="AB592" s="186"/>
      <c r="AC592" s="344"/>
      <c r="AD592" s="186"/>
      <c r="AE592" s="186"/>
      <c r="AF592" s="186"/>
      <c r="AG592" s="186"/>
      <c r="AH592" s="186"/>
      <c r="AI592" s="191">
        <f>-0.02*W592</f>
        <v>-32</v>
      </c>
      <c r="AJ592" s="191">
        <f t="shared" ref="AJ592" si="899">AI592*(R592-S592)</f>
        <v>-160</v>
      </c>
      <c r="AK592" s="186"/>
      <c r="AL592" s="186"/>
      <c r="AM592" s="186" t="s">
        <v>1763</v>
      </c>
      <c r="AN592" s="344" t="s">
        <v>87</v>
      </c>
      <c r="AO592" s="186" t="s">
        <v>2589</v>
      </c>
      <c r="AP592" s="193">
        <v>-0.14000000000000001</v>
      </c>
      <c r="AQ592" s="193">
        <f t="shared" si="891"/>
        <v>9.9999999999999811E-3</v>
      </c>
      <c r="AR592" s="191">
        <f t="shared" si="892"/>
        <v>159.99999999999969</v>
      </c>
      <c r="AS592" s="194">
        <f t="shared" si="893"/>
        <v>15.99999999999997</v>
      </c>
      <c r="AT592" s="195" t="s">
        <v>77</v>
      </c>
      <c r="AU592" s="425"/>
      <c r="AV592" s="425"/>
      <c r="AW592" s="425" t="s">
        <v>2590</v>
      </c>
      <c r="AX592" s="425" t="s">
        <v>2591</v>
      </c>
      <c r="AY592" s="425" t="s">
        <v>511</v>
      </c>
      <c r="AZ592" s="425" t="s">
        <v>511</v>
      </c>
      <c r="BA592" s="425"/>
      <c r="BB592" s="425"/>
      <c r="BC592" s="440"/>
      <c r="BD592" s="404">
        <f>SUM($AS$4:AS592)</f>
        <v>3140.5974761904713</v>
      </c>
      <c r="BE592" s="405">
        <f>SUM($AR$4:AR592)</f>
        <v>5840.5519999999633</v>
      </c>
      <c r="BF592" s="330"/>
      <c r="BG592" s="330"/>
    </row>
    <row r="593" spans="1:59" ht="15.75" customHeight="1">
      <c r="A593" s="227" t="s">
        <v>2361</v>
      </c>
      <c r="B593" s="204">
        <v>45003</v>
      </c>
      <c r="C593" s="182" t="s">
        <v>2592</v>
      </c>
      <c r="D593" s="182" t="s">
        <v>74</v>
      </c>
      <c r="E593" s="233"/>
      <c r="F593" s="184"/>
      <c r="G593" s="291" t="s">
        <v>2526</v>
      </c>
      <c r="H593" s="186"/>
      <c r="I593" s="186"/>
      <c r="J593" s="186"/>
      <c r="K593" s="187"/>
      <c r="L593" s="186">
        <v>1</v>
      </c>
      <c r="M593" s="186">
        <v>1</v>
      </c>
      <c r="N593" s="186"/>
      <c r="O593" s="187" t="s">
        <v>2240</v>
      </c>
      <c r="P593" s="187" t="s">
        <v>2241</v>
      </c>
      <c r="Q593" s="187"/>
      <c r="R593" s="187">
        <v>1</v>
      </c>
      <c r="S593" s="187">
        <v>0</v>
      </c>
      <c r="T593" s="187">
        <v>1</v>
      </c>
      <c r="U593" s="187" t="s">
        <v>78</v>
      </c>
      <c r="V593" s="188">
        <f t="shared" si="897"/>
        <v>0.01</v>
      </c>
      <c r="W593" s="189">
        <f t="shared" si="898"/>
        <v>4800</v>
      </c>
      <c r="X593" s="189" t="s">
        <v>2593</v>
      </c>
      <c r="Y593" s="189" t="s">
        <v>2594</v>
      </c>
      <c r="Z593" s="189" t="s">
        <v>511</v>
      </c>
      <c r="AA593" s="190">
        <v>0.3</v>
      </c>
      <c r="AB593" s="186"/>
      <c r="AC593" s="344"/>
      <c r="AD593" s="186"/>
      <c r="AE593" s="186"/>
      <c r="AF593" s="186"/>
      <c r="AG593" s="186"/>
      <c r="AH593" s="186"/>
      <c r="AI593" s="191">
        <f>-0.02*W593</f>
        <v>-96</v>
      </c>
      <c r="AJ593" s="191">
        <f t="shared" ref="AJ593" si="900">AI593*(R593-S593)</f>
        <v>-96</v>
      </c>
      <c r="AK593" s="186"/>
      <c r="AL593" s="186"/>
      <c r="AM593" s="186" t="s">
        <v>1444</v>
      </c>
      <c r="AN593" s="344" t="s">
        <v>87</v>
      </c>
      <c r="AO593" s="186" t="s">
        <v>2595</v>
      </c>
      <c r="AP593" s="193">
        <v>0.28000000000000003</v>
      </c>
      <c r="AQ593" s="193">
        <f t="shared" si="891"/>
        <v>1.9999999999999962E-2</v>
      </c>
      <c r="AR593" s="191">
        <f t="shared" si="892"/>
        <v>95.999999999999815</v>
      </c>
      <c r="AS593" s="194">
        <f t="shared" si="893"/>
        <v>95.999999999999815</v>
      </c>
      <c r="AT593" s="195" t="s">
        <v>77</v>
      </c>
      <c r="AU593" s="425" t="s">
        <v>2596</v>
      </c>
      <c r="AV593" s="425" t="s">
        <v>511</v>
      </c>
      <c r="AW593" s="425"/>
      <c r="AX593" s="425"/>
      <c r="AY593" s="425"/>
      <c r="AZ593" s="425"/>
      <c r="BA593" s="425"/>
      <c r="BB593" s="425"/>
      <c r="BC593" s="440"/>
      <c r="BD593" s="404">
        <f>SUM($AS$4:AS593)</f>
        <v>3236.5974761904713</v>
      </c>
      <c r="BE593" s="405">
        <f>SUM($AR$4:AR593)</f>
        <v>5936.5519999999633</v>
      </c>
      <c r="BF593" s="330"/>
      <c r="BG593" s="330"/>
    </row>
    <row r="594" spans="1:59" ht="15.75" customHeight="1">
      <c r="A594" s="227" t="s">
        <v>2361</v>
      </c>
      <c r="B594" s="204">
        <v>45003</v>
      </c>
      <c r="C594" s="182" t="s">
        <v>2597</v>
      </c>
      <c r="D594" s="182" t="s">
        <v>74</v>
      </c>
      <c r="E594" s="233"/>
      <c r="F594" s="184"/>
      <c r="G594" s="289" t="s">
        <v>2598</v>
      </c>
      <c r="H594" s="186"/>
      <c r="I594" s="186"/>
      <c r="J594" s="186"/>
      <c r="K594" s="187"/>
      <c r="L594" s="186">
        <v>1</v>
      </c>
      <c r="M594" s="186">
        <v>2</v>
      </c>
      <c r="N594" s="186"/>
      <c r="O594" s="187" t="s">
        <v>76</v>
      </c>
      <c r="P594" s="187" t="s">
        <v>119</v>
      </c>
      <c r="Q594" s="187" t="s">
        <v>238</v>
      </c>
      <c r="R594" s="187">
        <v>20</v>
      </c>
      <c r="S594" s="187">
        <v>20</v>
      </c>
      <c r="T594" s="187">
        <v>10</v>
      </c>
      <c r="U594" s="187" t="s">
        <v>22</v>
      </c>
      <c r="V594" s="188">
        <f t="shared" si="897"/>
        <v>0.01</v>
      </c>
      <c r="W594" s="189">
        <f t="shared" si="898"/>
        <v>1600</v>
      </c>
      <c r="X594" s="189" t="s">
        <v>2599</v>
      </c>
      <c r="Y594" s="189"/>
      <c r="Z594" s="189" t="s">
        <v>2600</v>
      </c>
      <c r="AA594" s="190">
        <v>-0.04</v>
      </c>
      <c r="AB594" s="186"/>
      <c r="AC594" s="344"/>
      <c r="AD594" s="186"/>
      <c r="AE594" s="186" t="s">
        <v>2601</v>
      </c>
      <c r="AF594" s="186" t="s">
        <v>511</v>
      </c>
      <c r="AG594" s="186"/>
      <c r="AH594" s="186"/>
      <c r="AI594" s="191">
        <f>-0.01*W594</f>
        <v>-16</v>
      </c>
      <c r="AJ594" s="191">
        <f t="shared" ref="AJ594" si="901">AI594*(R594-S594)</f>
        <v>0</v>
      </c>
      <c r="AK594" s="186" t="s">
        <v>2579</v>
      </c>
      <c r="AL594" s="186"/>
      <c r="AM594" s="186" t="s">
        <v>2602</v>
      </c>
      <c r="AN594" s="344" t="s">
        <v>77</v>
      </c>
      <c r="AO594" s="308" t="s">
        <v>2603</v>
      </c>
      <c r="AP594" s="193">
        <f>((-0.02*5)+(0*5)+(-0.01*5)+(-0.01*5))/15</f>
        <v>-1.3333333333333334E-2</v>
      </c>
      <c r="AQ594" s="193">
        <f t="shared" ref="AQ594" si="902">IF(ISBLANK(AP594),,IF(U594="S",AA594-AP594,AP594-AA594))</f>
        <v>2.6666666666666665E-2</v>
      </c>
      <c r="AR594" s="191">
        <f t="shared" ref="AR594" si="903">AS594*R594</f>
        <v>853.33333333333326</v>
      </c>
      <c r="AS594" s="194">
        <f t="shared" ref="AS594" si="904">IF(ISBLANK(AP594),,(AQ594*W594))</f>
        <v>42.666666666666664</v>
      </c>
      <c r="AT594" s="195" t="s">
        <v>77</v>
      </c>
      <c r="AU594" s="425" t="s">
        <v>2604</v>
      </c>
      <c r="AV594" s="425" t="s">
        <v>2605</v>
      </c>
      <c r="AW594" s="427" t="s">
        <v>2606</v>
      </c>
      <c r="AX594" s="427" t="s">
        <v>2607</v>
      </c>
      <c r="AY594" s="425" t="s">
        <v>2608</v>
      </c>
      <c r="AZ594" s="425" t="s">
        <v>2609</v>
      </c>
      <c r="BA594" s="425" t="s">
        <v>511</v>
      </c>
      <c r="BB594" s="425"/>
      <c r="BC594" s="440"/>
      <c r="BD594" s="404">
        <f>SUM($AS$4:AS594)</f>
        <v>3279.2641428571378</v>
      </c>
      <c r="BE594" s="405">
        <f>SUM($AR$4:AR594)</f>
        <v>6789.8853333332963</v>
      </c>
      <c r="BF594" s="330"/>
      <c r="BG594" s="330"/>
    </row>
    <row r="595" spans="1:59" ht="15.75" customHeight="1">
      <c r="A595" s="227" t="s">
        <v>2361</v>
      </c>
      <c r="B595" s="204"/>
      <c r="C595" s="182"/>
      <c r="D595" s="182"/>
      <c r="E595" s="233"/>
      <c r="F595" s="184"/>
      <c r="G595" s="185"/>
      <c r="H595" s="186"/>
      <c r="I595" s="186"/>
      <c r="J595" s="186"/>
      <c r="K595" s="187"/>
      <c r="L595" s="186"/>
      <c r="M595" s="186"/>
      <c r="N595" s="186"/>
      <c r="O595" s="187"/>
      <c r="P595" s="187"/>
      <c r="Q595" s="187"/>
      <c r="R595" s="187"/>
      <c r="S595" s="187"/>
      <c r="T595" s="187"/>
      <c r="U595" s="187"/>
      <c r="V595" s="187"/>
      <c r="W595" s="189" t="str">
        <f t="shared" si="884"/>
        <v/>
      </c>
      <c r="X595" s="189"/>
      <c r="Y595" s="189"/>
      <c r="Z595" s="189"/>
      <c r="AA595" s="190"/>
      <c r="AB595" s="186"/>
      <c r="AC595" s="344"/>
      <c r="AD595" s="186"/>
      <c r="AE595" s="186"/>
      <c r="AF595" s="186"/>
      <c r="AG595" s="186"/>
      <c r="AH595" s="186"/>
      <c r="AI595" s="191"/>
      <c r="AJ595" s="191"/>
      <c r="AK595" s="186"/>
      <c r="AL595" s="186"/>
      <c r="AM595" s="186"/>
      <c r="AN595" s="344"/>
      <c r="AO595" s="186"/>
      <c r="AP595" s="193"/>
      <c r="AQ595" s="193"/>
      <c r="AR595" s="191"/>
      <c r="AS595" s="194"/>
      <c r="AT595" s="195"/>
      <c r="AU595" s="427" t="s">
        <v>2610</v>
      </c>
      <c r="AV595" s="425" t="s">
        <v>2611</v>
      </c>
      <c r="AW595" s="425" t="s">
        <v>2612</v>
      </c>
      <c r="AX595" s="425" t="s">
        <v>2613</v>
      </c>
      <c r="AY595" s="425" t="s">
        <v>2614</v>
      </c>
      <c r="AZ595" s="427" t="s">
        <v>2615</v>
      </c>
      <c r="BA595" s="427" t="s">
        <v>2616</v>
      </c>
      <c r="BB595" s="425"/>
      <c r="BC595" s="440"/>
      <c r="BD595" s="404">
        <f>SUM($AS$4:AS595)</f>
        <v>3279.2641428571378</v>
      </c>
      <c r="BE595" s="405">
        <f>SUM($AR$4:AR595)</f>
        <v>6789.8853333332963</v>
      </c>
      <c r="BF595" s="330"/>
      <c r="BG595" s="330"/>
    </row>
    <row r="596" spans="1:59" ht="15.75" customHeight="1">
      <c r="A596" s="227" t="s">
        <v>2361</v>
      </c>
      <c r="B596" s="204">
        <v>45065</v>
      </c>
      <c r="C596" s="182" t="s">
        <v>2617</v>
      </c>
      <c r="D596" s="182" t="s">
        <v>93</v>
      </c>
      <c r="E596" s="233"/>
      <c r="F596" s="184"/>
      <c r="G596" s="291" t="s">
        <v>163</v>
      </c>
      <c r="H596" s="186"/>
      <c r="I596" s="186"/>
      <c r="J596" s="186"/>
      <c r="K596" s="187"/>
      <c r="L596" s="186"/>
      <c r="M596" s="186">
        <v>1</v>
      </c>
      <c r="N596" s="186"/>
      <c r="O596" s="187" t="s">
        <v>76</v>
      </c>
      <c r="P596" s="187" t="s">
        <v>77</v>
      </c>
      <c r="Q596" s="187" t="s">
        <v>78</v>
      </c>
      <c r="R596" s="187">
        <v>10</v>
      </c>
      <c r="S596" s="187">
        <v>0</v>
      </c>
      <c r="T596" s="187">
        <v>10</v>
      </c>
      <c r="U596" s="187" t="s">
        <v>22</v>
      </c>
      <c r="V596" s="188">
        <f t="shared" ref="V596" si="905">IF(ISBLANK(O596),"",(IF(O596=UPPER("IB"),0.005,0.01)))</f>
        <v>0.01</v>
      </c>
      <c r="W596" s="189">
        <f t="shared" ref="W596:W617" si="906">IF(ISBLANK(O596),"",IF(O596="IB",8.63*200,IF(O596="IR",16*100,IF(O596="YT",20*100,IF(O596="YT-XT",24*200,IF(O596="TED",80*100))))))</f>
        <v>1600</v>
      </c>
      <c r="X596" s="189"/>
      <c r="Y596" s="189"/>
      <c r="Z596" s="189" t="s">
        <v>2618</v>
      </c>
      <c r="AA596" s="190">
        <v>-0.13</v>
      </c>
      <c r="AB596" s="186"/>
      <c r="AC596" s="344"/>
      <c r="AD596" s="186"/>
      <c r="AE596" s="186"/>
      <c r="AF596" s="186"/>
      <c r="AG596" s="186"/>
      <c r="AH596" s="186"/>
      <c r="AI596" s="191"/>
      <c r="AJ596" s="191"/>
      <c r="AK596" s="186"/>
      <c r="AL596" s="186"/>
      <c r="AM596" s="186" t="s">
        <v>786</v>
      </c>
      <c r="AN596" s="344" t="s">
        <v>97</v>
      </c>
      <c r="AO596" s="186" t="s">
        <v>2619</v>
      </c>
      <c r="AP596" s="193">
        <v>-0.13</v>
      </c>
      <c r="AQ596" s="193">
        <f t="shared" ref="AQ596" si="907">IF(ISBLANK(AP596),,IF(U596="S",AA596-AP596,AP596-AA596))</f>
        <v>0</v>
      </c>
      <c r="AR596" s="191">
        <f t="shared" ref="AR596" si="908">AS596*R596</f>
        <v>0</v>
      </c>
      <c r="AS596" s="194">
        <f t="shared" ref="AS596" si="909">IF(ISBLANK(AP596),,(AQ596*W596))</f>
        <v>0</v>
      </c>
      <c r="AT596" s="195" t="s">
        <v>97</v>
      </c>
      <c r="AU596" s="425" t="s">
        <v>2620</v>
      </c>
      <c r="AV596" s="425" t="s">
        <v>2621</v>
      </c>
      <c r="AW596" s="425" t="s">
        <v>511</v>
      </c>
      <c r="AX596" s="437"/>
      <c r="AY596" s="425"/>
      <c r="AZ596" s="425"/>
      <c r="BA596" s="425"/>
      <c r="BB596" s="425"/>
      <c r="BC596" s="440"/>
      <c r="BD596" s="404">
        <f>SUM($AS$4:AS596)</f>
        <v>3279.2641428571378</v>
      </c>
      <c r="BE596" s="405">
        <f>SUM($AR$4:AR596)</f>
        <v>6789.8853333332963</v>
      </c>
      <c r="BF596" s="330"/>
      <c r="BG596" s="330"/>
    </row>
    <row r="597" spans="1:59" ht="15.75" customHeight="1">
      <c r="A597" s="227" t="s">
        <v>2361</v>
      </c>
      <c r="B597" s="204"/>
      <c r="C597" s="182"/>
      <c r="D597" s="182"/>
      <c r="E597" s="233"/>
      <c r="F597" s="184"/>
      <c r="G597" s="185"/>
      <c r="H597" s="186"/>
      <c r="I597" s="186"/>
      <c r="J597" s="186"/>
      <c r="K597" s="187"/>
      <c r="L597" s="186"/>
      <c r="M597" s="186"/>
      <c r="N597" s="186"/>
      <c r="O597" s="187"/>
      <c r="P597" s="187"/>
      <c r="Q597" s="187"/>
      <c r="R597" s="187"/>
      <c r="S597" s="187"/>
      <c r="T597" s="187"/>
      <c r="U597" s="187"/>
      <c r="V597" s="187"/>
      <c r="W597" s="189" t="str">
        <f t="shared" si="906"/>
        <v/>
      </c>
      <c r="X597" s="189"/>
      <c r="Y597" s="189"/>
      <c r="Z597" s="189"/>
      <c r="AA597" s="190"/>
      <c r="AB597" s="186"/>
      <c r="AC597" s="344"/>
      <c r="AD597" s="186"/>
      <c r="AE597" s="186"/>
      <c r="AF597" s="186"/>
      <c r="AG597" s="186"/>
      <c r="AH597" s="186"/>
      <c r="AI597" s="191"/>
      <c r="AJ597" s="191"/>
      <c r="AK597" s="186"/>
      <c r="AL597" s="186"/>
      <c r="AM597" s="186"/>
      <c r="AN597" s="344"/>
      <c r="AO597" s="186"/>
      <c r="AP597" s="193"/>
      <c r="AQ597" s="193">
        <f t="shared" ref="AQ597:AQ599" si="910">IF(ISBLANK(AP597),,IF(U597="S",AA597-AP597,AP597-AA597))</f>
        <v>0</v>
      </c>
      <c r="AR597" s="191">
        <f t="shared" ref="AR597:AR599" si="911">AS597*R597</f>
        <v>0</v>
      </c>
      <c r="AS597" s="194">
        <f t="shared" ref="AS597:AS599" si="912">IF(ISBLANK(AP597),,(AQ597*W597))</f>
        <v>0</v>
      </c>
      <c r="AT597" s="195"/>
      <c r="AU597" s="425" t="s">
        <v>2622</v>
      </c>
      <c r="AV597" s="425" t="s">
        <v>2623</v>
      </c>
      <c r="AW597" s="425" t="s">
        <v>2624</v>
      </c>
      <c r="AX597" s="425" t="s">
        <v>2625</v>
      </c>
      <c r="AY597" s="425" t="s">
        <v>2626</v>
      </c>
      <c r="AZ597" s="425"/>
      <c r="BA597" s="425"/>
      <c r="BB597" s="425"/>
      <c r="BC597" s="440"/>
      <c r="BD597" s="404">
        <f>SUM($AS$4:AS597)</f>
        <v>3279.2641428571378</v>
      </c>
      <c r="BE597" s="405">
        <f>SUM($AR$4:AR597)</f>
        <v>6789.8853333332963</v>
      </c>
      <c r="BF597" s="330"/>
      <c r="BG597" s="330"/>
    </row>
    <row r="598" spans="1:59" ht="15.75" customHeight="1">
      <c r="A598" s="227" t="s">
        <v>2361</v>
      </c>
      <c r="B598" s="204">
        <v>45068</v>
      </c>
      <c r="C598" s="182" t="s">
        <v>272</v>
      </c>
      <c r="D598" s="182" t="s">
        <v>114</v>
      </c>
      <c r="E598" s="233"/>
      <c r="F598" s="184"/>
      <c r="G598" s="291" t="s">
        <v>558</v>
      </c>
      <c r="H598" s="186"/>
      <c r="I598" s="186"/>
      <c r="J598" s="186"/>
      <c r="K598" s="187"/>
      <c r="L598" s="186">
        <v>1</v>
      </c>
      <c r="M598" s="186"/>
      <c r="N598" s="186"/>
      <c r="O598" s="187" t="s">
        <v>76</v>
      </c>
      <c r="P598" s="187" t="s">
        <v>77</v>
      </c>
      <c r="Q598" s="187" t="s">
        <v>78</v>
      </c>
      <c r="R598" s="187">
        <v>5</v>
      </c>
      <c r="S598" s="187">
        <v>0</v>
      </c>
      <c r="T598" s="187">
        <v>5</v>
      </c>
      <c r="U598" s="187" t="s">
        <v>78</v>
      </c>
      <c r="V598" s="188">
        <f t="shared" ref="V598:V602" si="913">IF(ISBLANK(O598),"",(IF(O598=UPPER("IB"),0.005,0.01)))</f>
        <v>0.01</v>
      </c>
      <c r="W598" s="189">
        <f t="shared" ref="W598" si="914">IF(ISBLANK(O598),"",IF(O598="IB",8.63*200,IF(O598="IR",16*100,IF(O598="YT",20*100,IF(O598="YT-XT",24*200,IF(O598="TED",80*100))))))</f>
        <v>1600</v>
      </c>
      <c r="X598" s="189" t="s">
        <v>2627</v>
      </c>
      <c r="Y598" s="189"/>
      <c r="Z598" s="189"/>
      <c r="AA598" s="190">
        <v>0.1</v>
      </c>
      <c r="AB598" s="186"/>
      <c r="AC598" s="344">
        <v>12</v>
      </c>
      <c r="AD598" s="186" t="s">
        <v>1851</v>
      </c>
      <c r="AE598" s="186">
        <v>0.09</v>
      </c>
      <c r="AF598" s="186"/>
      <c r="AG598" s="186"/>
      <c r="AH598" s="186"/>
      <c r="AI598" s="191">
        <f t="shared" ref="AI598" si="915">-0.01*W598</f>
        <v>-16</v>
      </c>
      <c r="AJ598" s="191">
        <f t="shared" ref="AJ598" si="916">AI598*(R598-S598)</f>
        <v>-80</v>
      </c>
      <c r="AK598" s="186"/>
      <c r="AL598" s="186"/>
      <c r="AM598" s="186" t="s">
        <v>786</v>
      </c>
      <c r="AN598" s="344" t="s">
        <v>97</v>
      </c>
      <c r="AO598" s="186" t="s">
        <v>2628</v>
      </c>
      <c r="AP598" s="193">
        <v>0.12</v>
      </c>
      <c r="AQ598" s="193">
        <f t="shared" si="910"/>
        <v>-1.999999999999999E-2</v>
      </c>
      <c r="AR598" s="191">
        <f t="shared" si="911"/>
        <v>-159.99999999999994</v>
      </c>
      <c r="AS598" s="194">
        <f t="shared" si="912"/>
        <v>-31.999999999999986</v>
      </c>
      <c r="AT598" s="195" t="s">
        <v>211</v>
      </c>
      <c r="AU598" s="425" t="s">
        <v>2629</v>
      </c>
      <c r="AV598" s="425" t="s">
        <v>2630</v>
      </c>
      <c r="AW598" s="425"/>
      <c r="AX598" s="425"/>
      <c r="AY598" s="425"/>
      <c r="AZ598" s="425"/>
      <c r="BA598" s="425"/>
      <c r="BB598" s="425"/>
      <c r="BC598" s="440"/>
      <c r="BD598" s="404">
        <f>SUM($AS$4:AS598)</f>
        <v>3247.2641428571378</v>
      </c>
      <c r="BE598" s="405">
        <f>SUM($AR$4:AR598)</f>
        <v>6629.8853333332963</v>
      </c>
      <c r="BF598" s="330"/>
      <c r="BG598" s="330"/>
    </row>
    <row r="599" spans="1:59" ht="15.75" customHeight="1">
      <c r="A599" s="227" t="s">
        <v>2361</v>
      </c>
      <c r="B599" s="204">
        <v>45069</v>
      </c>
      <c r="C599" s="182" t="s">
        <v>2631</v>
      </c>
      <c r="D599" s="182" t="s">
        <v>128</v>
      </c>
      <c r="E599" s="233"/>
      <c r="F599" s="184"/>
      <c r="G599" s="291" t="s">
        <v>2632</v>
      </c>
      <c r="H599" s="186"/>
      <c r="I599" s="186"/>
      <c r="J599" s="186"/>
      <c r="K599" s="187"/>
      <c r="L599" s="186">
        <v>1</v>
      </c>
      <c r="M599" s="186"/>
      <c r="N599" s="186"/>
      <c r="O599" s="187" t="s">
        <v>2633</v>
      </c>
      <c r="P599" s="187"/>
      <c r="Q599" s="187"/>
      <c r="R599" s="187">
        <v>1</v>
      </c>
      <c r="S599" s="187">
        <v>0</v>
      </c>
      <c r="T599" s="187">
        <v>1</v>
      </c>
      <c r="U599" s="187" t="s">
        <v>78</v>
      </c>
      <c r="V599" s="188">
        <f t="shared" si="913"/>
        <v>0.01</v>
      </c>
      <c r="W599" s="189">
        <f t="shared" si="906"/>
        <v>8000</v>
      </c>
      <c r="X599" s="189" t="s">
        <v>2634</v>
      </c>
      <c r="Y599" s="189"/>
      <c r="Z599" s="189"/>
      <c r="AA599" s="190">
        <v>-0.49</v>
      </c>
      <c r="AB599" s="186"/>
      <c r="AC599" s="344"/>
      <c r="AD599" s="186"/>
      <c r="AE599" s="186"/>
      <c r="AF599" s="186"/>
      <c r="AG599" s="186"/>
      <c r="AH599" s="186"/>
      <c r="AI599" s="191">
        <f>-0.03*W599</f>
        <v>-240</v>
      </c>
      <c r="AJ599" s="191">
        <f t="shared" ref="AJ599" si="917">AI599*(R599-S599)</f>
        <v>-240</v>
      </c>
      <c r="AK599" s="186"/>
      <c r="AL599" s="186"/>
      <c r="AM599" s="186" t="s">
        <v>1008</v>
      </c>
      <c r="AN599" s="344" t="s">
        <v>87</v>
      </c>
      <c r="AO599" s="186" t="s">
        <v>2635</v>
      </c>
      <c r="AP599" s="193">
        <v>-0.5</v>
      </c>
      <c r="AQ599" s="193">
        <f t="shared" si="910"/>
        <v>1.0000000000000009E-2</v>
      </c>
      <c r="AR599" s="191">
        <f t="shared" si="911"/>
        <v>80.000000000000071</v>
      </c>
      <c r="AS599" s="194">
        <f t="shared" si="912"/>
        <v>80.000000000000071</v>
      </c>
      <c r="AT599" s="195" t="s">
        <v>77</v>
      </c>
      <c r="AU599" s="425" t="s">
        <v>2636</v>
      </c>
      <c r="AV599" s="425" t="s">
        <v>511</v>
      </c>
      <c r="AW599" s="425"/>
      <c r="AX599" s="425"/>
      <c r="AY599" s="425"/>
      <c r="AZ599" s="425"/>
      <c r="BA599" s="425"/>
      <c r="BB599" s="425"/>
      <c r="BC599" s="440"/>
      <c r="BD599" s="404">
        <f>SUM($AS$4:AS599)</f>
        <v>3327.2641428571378</v>
      </c>
      <c r="BE599" s="405">
        <f>SUM($AR$4:AR599)</f>
        <v>6709.8853333332963</v>
      </c>
      <c r="BF599" s="330"/>
      <c r="BG599" s="330"/>
    </row>
    <row r="600" spans="1:59" ht="15.75" customHeight="1">
      <c r="A600" s="227" t="s">
        <v>2361</v>
      </c>
      <c r="B600" s="204">
        <v>45069</v>
      </c>
      <c r="C600" s="182" t="s">
        <v>2637</v>
      </c>
      <c r="D600" s="182" t="s">
        <v>128</v>
      </c>
      <c r="E600" s="233"/>
      <c r="F600" s="184"/>
      <c r="G600" s="291" t="s">
        <v>2526</v>
      </c>
      <c r="H600" s="186"/>
      <c r="I600" s="186"/>
      <c r="J600" s="186"/>
      <c r="K600" s="187"/>
      <c r="L600" s="186">
        <v>1</v>
      </c>
      <c r="M600" s="186"/>
      <c r="N600" s="186"/>
      <c r="O600" s="187" t="s">
        <v>2240</v>
      </c>
      <c r="P600" s="187" t="s">
        <v>2241</v>
      </c>
      <c r="Q600" s="187"/>
      <c r="R600" s="187">
        <v>1</v>
      </c>
      <c r="S600" s="187">
        <v>0</v>
      </c>
      <c r="T600" s="187">
        <v>1</v>
      </c>
      <c r="U600" s="187" t="s">
        <v>22</v>
      </c>
      <c r="V600" s="188">
        <f t="shared" si="913"/>
        <v>0.01</v>
      </c>
      <c r="W600" s="189">
        <f t="shared" si="906"/>
        <v>4800</v>
      </c>
      <c r="X600" s="189" t="s">
        <v>2638</v>
      </c>
      <c r="Y600" s="189"/>
      <c r="Z600" s="189"/>
      <c r="AA600" s="190">
        <v>0.28000000000000003</v>
      </c>
      <c r="AB600" s="186"/>
      <c r="AC600" s="344">
        <v>27</v>
      </c>
      <c r="AD600" s="186" t="s">
        <v>2639</v>
      </c>
      <c r="AE600" s="186">
        <v>28.5</v>
      </c>
      <c r="AF600" s="186"/>
      <c r="AG600" s="186"/>
      <c r="AH600" s="186"/>
      <c r="AI600" s="191">
        <f>-0.03*W600</f>
        <v>-144</v>
      </c>
      <c r="AJ600" s="191">
        <f t="shared" ref="AJ600" si="918">AI600*(R600-S600)</f>
        <v>-144</v>
      </c>
      <c r="AK600" s="186"/>
      <c r="AL600" s="186"/>
      <c r="AM600" s="186" t="s">
        <v>1941</v>
      </c>
      <c r="AN600" s="344" t="s">
        <v>376</v>
      </c>
      <c r="AO600" s="186" t="s">
        <v>2640</v>
      </c>
      <c r="AP600" s="193">
        <v>0.28499999999999998</v>
      </c>
      <c r="AQ600" s="193">
        <f t="shared" ref="AQ600" si="919">IF(ISBLANK(AP600),,IF(U600="S",AA600-AP600,AP600-AA600))</f>
        <v>4.9999999999999489E-3</v>
      </c>
      <c r="AR600" s="191">
        <f t="shared" ref="AR600" si="920">AS600*R600</f>
        <v>23.999999999999755</v>
      </c>
      <c r="AS600" s="194">
        <f t="shared" ref="AS600" si="921">IF(ISBLANK(AP600),,(AQ600*W600))</f>
        <v>23.999999999999755</v>
      </c>
      <c r="AT600" s="195" t="s">
        <v>77</v>
      </c>
      <c r="AU600" s="425" t="s">
        <v>2641</v>
      </c>
      <c r="AV600" s="425"/>
      <c r="AW600" s="425"/>
      <c r="AX600" s="425"/>
      <c r="AY600" s="425"/>
      <c r="AZ600" s="425"/>
      <c r="BA600" s="425"/>
      <c r="BB600" s="425"/>
      <c r="BC600" s="440"/>
      <c r="BD600" s="404">
        <f>SUM($AS$4:AS600)</f>
        <v>3351.2641428571374</v>
      </c>
      <c r="BE600" s="405">
        <f>SUM($AR$4:AR600)</f>
        <v>6733.8853333332963</v>
      </c>
      <c r="BF600" s="330"/>
      <c r="BG600" s="330"/>
    </row>
    <row r="601" spans="1:59" ht="15.75" customHeight="1">
      <c r="A601" s="227" t="s">
        <v>2361</v>
      </c>
      <c r="B601" s="204">
        <v>45069</v>
      </c>
      <c r="C601" s="182" t="s">
        <v>2642</v>
      </c>
      <c r="D601" s="182" t="s">
        <v>128</v>
      </c>
      <c r="E601" s="233"/>
      <c r="F601" s="184"/>
      <c r="G601" s="438" t="s">
        <v>2643</v>
      </c>
      <c r="H601" s="186"/>
      <c r="I601" s="186"/>
      <c r="J601" s="186"/>
      <c r="K601" s="187"/>
      <c r="L601" s="186">
        <v>1</v>
      </c>
      <c r="M601" s="186">
        <v>2</v>
      </c>
      <c r="N601" s="186"/>
      <c r="O601" s="187" t="s">
        <v>76</v>
      </c>
      <c r="P601" s="187" t="s">
        <v>77</v>
      </c>
      <c r="Q601" s="187" t="s">
        <v>238</v>
      </c>
      <c r="R601" s="187">
        <v>10</v>
      </c>
      <c r="S601" s="187">
        <v>5</v>
      </c>
      <c r="T601" s="187">
        <v>10</v>
      </c>
      <c r="U601" s="187" t="s">
        <v>78</v>
      </c>
      <c r="V601" s="188">
        <f t="shared" si="913"/>
        <v>0.01</v>
      </c>
      <c r="W601" s="189">
        <f t="shared" si="906"/>
        <v>1600</v>
      </c>
      <c r="X601" s="189"/>
      <c r="Y601" s="189"/>
      <c r="Z601" s="189" t="s">
        <v>2576</v>
      </c>
      <c r="AA601" s="190">
        <v>0.01</v>
      </c>
      <c r="AB601" s="186"/>
      <c r="AC601" s="344"/>
      <c r="AD601" s="186"/>
      <c r="AE601" s="186"/>
      <c r="AF601" s="186"/>
      <c r="AG601" s="186"/>
      <c r="AH601" s="186"/>
      <c r="AI601" s="191">
        <f>-0.02*W601</f>
        <v>-32</v>
      </c>
      <c r="AJ601" s="191">
        <f t="shared" ref="AJ601" si="922">AI601*(R601-S601)</f>
        <v>-160</v>
      </c>
      <c r="AK601" s="186"/>
      <c r="AL601" s="186"/>
      <c r="AM601" s="186" t="s">
        <v>884</v>
      </c>
      <c r="AN601" s="344" t="s">
        <v>77</v>
      </c>
      <c r="AO601" s="186" t="s">
        <v>2644</v>
      </c>
      <c r="AP601" s="193">
        <f>((0*5)+(0*5))/10</f>
        <v>0</v>
      </c>
      <c r="AQ601" s="193">
        <f t="shared" ref="AQ601:AQ602" si="923">IF(ISBLANK(AP601),,IF(U601="S",AA601-AP601,AP601-AA601))</f>
        <v>0.01</v>
      </c>
      <c r="AR601" s="191">
        <f t="shared" ref="AR601:AR602" si="924">AS601*R601</f>
        <v>160</v>
      </c>
      <c r="AS601" s="194">
        <f t="shared" ref="AS601:AS602" si="925">IF(ISBLANK(AP601),,(AQ601*W601))</f>
        <v>16</v>
      </c>
      <c r="AT601" s="195" t="s">
        <v>77</v>
      </c>
      <c r="AU601" s="425" t="s">
        <v>2645</v>
      </c>
      <c r="AV601" s="425" t="s">
        <v>511</v>
      </c>
      <c r="AW601" s="425"/>
      <c r="AX601" s="425"/>
      <c r="AY601" s="425"/>
      <c r="AZ601" s="425"/>
      <c r="BA601" s="425"/>
      <c r="BB601" s="425"/>
      <c r="BC601" s="440"/>
      <c r="BD601" s="404">
        <f>SUM($AS$4:AS601)</f>
        <v>3367.2641428571374</v>
      </c>
      <c r="BE601" s="405">
        <f>SUM($AR$4:AR601)</f>
        <v>6893.8853333332963</v>
      </c>
      <c r="BF601" s="330"/>
      <c r="BG601" s="330"/>
    </row>
    <row r="602" spans="1:59" ht="15.75" customHeight="1">
      <c r="A602" s="227" t="s">
        <v>2361</v>
      </c>
      <c r="B602" s="204">
        <v>45069</v>
      </c>
      <c r="C602" s="182" t="s">
        <v>2642</v>
      </c>
      <c r="D602" s="182" t="s">
        <v>128</v>
      </c>
      <c r="E602" s="233"/>
      <c r="F602" s="184"/>
      <c r="G602" s="291" t="s">
        <v>163</v>
      </c>
      <c r="H602" s="186"/>
      <c r="I602" s="186"/>
      <c r="J602" s="186"/>
      <c r="K602" s="187"/>
      <c r="L602" s="186">
        <v>1</v>
      </c>
      <c r="M602" s="186"/>
      <c r="N602" s="186"/>
      <c r="O602" s="187" t="s">
        <v>76</v>
      </c>
      <c r="P602" s="187" t="s">
        <v>77</v>
      </c>
      <c r="Q602" s="187" t="s">
        <v>78</v>
      </c>
      <c r="R602" s="187">
        <v>10</v>
      </c>
      <c r="S602" s="187">
        <v>0</v>
      </c>
      <c r="T602" s="187">
        <v>10</v>
      </c>
      <c r="U602" s="187" t="s">
        <v>22</v>
      </c>
      <c r="V602" s="188">
        <f t="shared" si="913"/>
        <v>0.01</v>
      </c>
      <c r="W602" s="189">
        <f t="shared" ref="W602" si="926">IF(ISBLANK(O602),"",IF(O602="IB",8.63*200,IF(O602="IR",16*100,IF(O602="YT",20*100,IF(O602="YT-XT",24*200,IF(O602="TED",80*100))))))</f>
        <v>1600</v>
      </c>
      <c r="X602" s="189" t="s">
        <v>80</v>
      </c>
      <c r="Y602" s="189"/>
      <c r="Z602" s="189"/>
      <c r="AA602" s="190">
        <v>-0.1</v>
      </c>
      <c r="AB602" s="186"/>
      <c r="AC602" s="344"/>
      <c r="AD602" s="186"/>
      <c r="AE602" s="186"/>
      <c r="AF602" s="186"/>
      <c r="AG602" s="186"/>
      <c r="AH602" s="186"/>
      <c r="AI602" s="191">
        <f t="shared" ref="AI602:AI603" si="927">-0.02*W602</f>
        <v>-32</v>
      </c>
      <c r="AJ602" s="191">
        <f t="shared" ref="AJ602:AJ603" si="928">AI602*(R602-S602)</f>
        <v>-320</v>
      </c>
      <c r="AK602" s="186"/>
      <c r="AL602" s="186"/>
      <c r="AM602" s="186"/>
      <c r="AN602" s="344"/>
      <c r="AO602" s="186"/>
      <c r="AP602" s="193">
        <v>-0.1</v>
      </c>
      <c r="AQ602" s="193">
        <f t="shared" si="923"/>
        <v>0</v>
      </c>
      <c r="AR602" s="191">
        <f t="shared" si="924"/>
        <v>0</v>
      </c>
      <c r="AS602" s="194">
        <f t="shared" si="925"/>
        <v>0</v>
      </c>
      <c r="AT602" s="195" t="s">
        <v>97</v>
      </c>
      <c r="AU602" s="425"/>
      <c r="AV602" s="425"/>
      <c r="AW602" s="425"/>
      <c r="AX602" s="425"/>
      <c r="AY602" s="425"/>
      <c r="AZ602" s="425"/>
      <c r="BA602" s="425"/>
      <c r="BB602" s="425"/>
      <c r="BC602" s="440"/>
      <c r="BD602" s="404">
        <f>SUM($AS$4:AS602)</f>
        <v>3367.2641428571374</v>
      </c>
      <c r="BE602" s="405">
        <f>SUM($AR$4:AR602)</f>
        <v>6893.8853333332963</v>
      </c>
      <c r="BF602" s="330"/>
      <c r="BG602" s="330"/>
    </row>
    <row r="603" spans="1:59" ht="15.75" customHeight="1">
      <c r="A603" s="227" t="s">
        <v>2361</v>
      </c>
      <c r="B603" s="204">
        <v>45069</v>
      </c>
      <c r="C603" s="182" t="s">
        <v>2642</v>
      </c>
      <c r="D603" s="182" t="s">
        <v>128</v>
      </c>
      <c r="E603" s="233"/>
      <c r="F603" s="184"/>
      <c r="G603" s="291" t="s">
        <v>118</v>
      </c>
      <c r="H603" s="186"/>
      <c r="I603" s="186"/>
      <c r="J603" s="186"/>
      <c r="K603" s="187"/>
      <c r="L603" s="186">
        <v>1</v>
      </c>
      <c r="M603" s="186"/>
      <c r="N603" s="186"/>
      <c r="O603" s="187" t="s">
        <v>76</v>
      </c>
      <c r="P603" s="187" t="s">
        <v>77</v>
      </c>
      <c r="Q603" s="187" t="s">
        <v>78</v>
      </c>
      <c r="R603" s="187">
        <v>10</v>
      </c>
      <c r="S603" s="187">
        <v>0</v>
      </c>
      <c r="T603" s="187">
        <v>10</v>
      </c>
      <c r="U603" s="187" t="s">
        <v>22</v>
      </c>
      <c r="V603" s="188">
        <f t="shared" ref="V603:V605" si="929">IF(ISBLANK(O603),"",(IF(O603=UPPER("IB"),0.005,0.01)))</f>
        <v>0.01</v>
      </c>
      <c r="W603" s="189">
        <f t="shared" ref="W603" si="930">IF(ISBLANK(O603),"",IF(O603="IB",8.63*200,IF(O603="IR",16*100,IF(O603="YT",20*100,IF(O603="YT-XT",24*200,IF(O603="TED",80*100))))))</f>
        <v>1600</v>
      </c>
      <c r="X603" s="189"/>
      <c r="Y603" s="189"/>
      <c r="Z603" s="189" t="s">
        <v>2646</v>
      </c>
      <c r="AA603" s="190">
        <v>-0.11</v>
      </c>
      <c r="AB603" s="186"/>
      <c r="AC603" s="344"/>
      <c r="AD603" s="186"/>
      <c r="AE603" s="186"/>
      <c r="AF603" s="186"/>
      <c r="AG603" s="186"/>
      <c r="AH603" s="186"/>
      <c r="AI603" s="191">
        <f t="shared" si="927"/>
        <v>-32</v>
      </c>
      <c r="AJ603" s="191">
        <f t="shared" si="928"/>
        <v>-320</v>
      </c>
      <c r="AK603" s="186"/>
      <c r="AL603" s="186"/>
      <c r="AM603" s="186" t="s">
        <v>2647</v>
      </c>
      <c r="AN603" s="344" t="s">
        <v>376</v>
      </c>
      <c r="AO603" s="186" t="s">
        <v>2648</v>
      </c>
      <c r="AP603" s="193">
        <v>-0.11</v>
      </c>
      <c r="AQ603" s="193">
        <f t="shared" ref="AQ603" si="931">IF(ISBLANK(AP603),,IF(U603="S",AA603-AP603,AP603-AA603))</f>
        <v>0</v>
      </c>
      <c r="AR603" s="191">
        <f t="shared" ref="AR603" si="932">AS603*R603</f>
        <v>0</v>
      </c>
      <c r="AS603" s="194">
        <f t="shared" ref="AS603" si="933">IF(ISBLANK(AP603),,(AQ603*W603))</f>
        <v>0</v>
      </c>
      <c r="AT603" s="195" t="s">
        <v>97</v>
      </c>
      <c r="AU603" s="425"/>
      <c r="AV603" s="425"/>
      <c r="AW603" s="425"/>
      <c r="AX603" s="425"/>
      <c r="AY603" s="425"/>
      <c r="AZ603" s="425"/>
      <c r="BA603" s="425"/>
      <c r="BB603" s="425"/>
      <c r="BC603" s="440"/>
      <c r="BD603" s="404">
        <f>SUM($AS$4:AS603)</f>
        <v>3367.2641428571374</v>
      </c>
      <c r="BE603" s="405">
        <f>SUM($AR$4:AR603)</f>
        <v>6893.8853333332963</v>
      </c>
      <c r="BF603" s="330"/>
      <c r="BG603" s="330"/>
    </row>
    <row r="604" spans="1:59" ht="15.75" customHeight="1">
      <c r="A604" s="227" t="s">
        <v>2361</v>
      </c>
      <c r="B604" s="204">
        <v>45069</v>
      </c>
      <c r="C604" s="182" t="s">
        <v>1455</v>
      </c>
      <c r="D604" s="182" t="s">
        <v>128</v>
      </c>
      <c r="E604" s="233" t="s">
        <v>2649</v>
      </c>
      <c r="F604" s="184" t="s">
        <v>2390</v>
      </c>
      <c r="G604" s="185"/>
      <c r="H604" s="186">
        <v>1</v>
      </c>
      <c r="I604" s="186"/>
      <c r="J604" s="186"/>
      <c r="K604" s="187" t="s">
        <v>87</v>
      </c>
      <c r="L604" s="186"/>
      <c r="M604" s="186"/>
      <c r="N604" s="186"/>
      <c r="O604" s="187"/>
      <c r="P604" s="187"/>
      <c r="Q604" s="187"/>
      <c r="R604" s="187"/>
      <c r="S604" s="187"/>
      <c r="T604" s="187"/>
      <c r="U604" s="187"/>
      <c r="V604" s="188" t="str">
        <f t="shared" si="929"/>
        <v/>
      </c>
      <c r="W604" s="189" t="str">
        <f t="shared" si="906"/>
        <v/>
      </c>
      <c r="X604" s="189"/>
      <c r="Y604" s="189"/>
      <c r="Z604" s="189"/>
      <c r="AA604" s="190"/>
      <c r="AB604" s="186"/>
      <c r="AC604" s="344"/>
      <c r="AD604" s="186"/>
      <c r="AE604" s="186"/>
      <c r="AF604" s="186"/>
      <c r="AG604" s="186"/>
      <c r="AH604" s="186"/>
      <c r="AI604" s="191"/>
      <c r="AJ604" s="191"/>
      <c r="AK604" s="186"/>
      <c r="AL604" s="186"/>
      <c r="AM604" s="186"/>
      <c r="AN604" s="344"/>
      <c r="AO604" s="186"/>
      <c r="AP604" s="193"/>
      <c r="AQ604" s="193"/>
      <c r="AR604" s="191"/>
      <c r="AS604" s="194"/>
      <c r="AT604" s="195"/>
      <c r="AU604" s="425"/>
      <c r="AV604" s="425"/>
      <c r="AW604" s="425"/>
      <c r="AX604" s="425"/>
      <c r="AY604" s="425"/>
      <c r="AZ604" s="425"/>
      <c r="BA604" s="425"/>
      <c r="BB604" s="425"/>
      <c r="BC604" s="440"/>
      <c r="BD604" s="404">
        <f>SUM($AS$4:AS604)</f>
        <v>3367.2641428571374</v>
      </c>
      <c r="BE604" s="405">
        <f>SUM($AR$4:AR604)</f>
        <v>6893.8853333332963</v>
      </c>
      <c r="BF604" s="330"/>
      <c r="BG604" s="330"/>
    </row>
    <row r="605" spans="1:59" ht="15.75" customHeight="1">
      <c r="A605" s="227" t="s">
        <v>2361</v>
      </c>
      <c r="B605" s="204">
        <v>45070</v>
      </c>
      <c r="C605" s="182" t="s">
        <v>1905</v>
      </c>
      <c r="D605" s="182" t="s">
        <v>133</v>
      </c>
      <c r="E605" s="233"/>
      <c r="F605" s="184"/>
      <c r="G605" s="185" t="s">
        <v>2412</v>
      </c>
      <c r="H605" s="186"/>
      <c r="I605" s="186"/>
      <c r="J605" s="186"/>
      <c r="K605" s="187"/>
      <c r="L605" s="186"/>
      <c r="M605" s="186"/>
      <c r="N605" s="186"/>
      <c r="O605" s="187" t="s">
        <v>2413</v>
      </c>
      <c r="P605" s="187" t="s">
        <v>2241</v>
      </c>
      <c r="Q605" s="187" t="s">
        <v>666</v>
      </c>
      <c r="R605" s="187">
        <v>1</v>
      </c>
      <c r="S605" s="187">
        <v>0</v>
      </c>
      <c r="T605" s="187">
        <v>1</v>
      </c>
      <c r="U605" s="187" t="s">
        <v>78</v>
      </c>
      <c r="V605" s="188">
        <f t="shared" si="929"/>
        <v>0.01</v>
      </c>
      <c r="W605" s="189">
        <f t="shared" si="906"/>
        <v>2000</v>
      </c>
      <c r="X605" s="189"/>
      <c r="Y605" s="189"/>
      <c r="Z605" s="189"/>
      <c r="AA605" s="190">
        <v>96.63</v>
      </c>
      <c r="AB605" s="186"/>
      <c r="AC605" s="344"/>
      <c r="AD605" s="186"/>
      <c r="AE605" s="186"/>
      <c r="AF605" s="186"/>
      <c r="AG605" s="186"/>
      <c r="AH605" s="186"/>
      <c r="AI605" s="191"/>
      <c r="AJ605" s="191"/>
      <c r="AK605" s="186"/>
      <c r="AL605" s="186"/>
      <c r="AM605" s="186"/>
      <c r="AN605" s="344"/>
      <c r="AO605" s="186"/>
      <c r="AP605" s="193">
        <v>96.63</v>
      </c>
      <c r="AQ605" s="193">
        <f t="shared" ref="AQ605" si="934">IF(ISBLANK(AP605),,IF(U605="S",AA605-AP605,AP605-AA605))</f>
        <v>0</v>
      </c>
      <c r="AR605" s="191">
        <f t="shared" ref="AR605" si="935">AS605*R605</f>
        <v>0</v>
      </c>
      <c r="AS605" s="194">
        <f t="shared" ref="AS605" si="936">IF(ISBLANK(AP605),,(AQ605*W605))</f>
        <v>0</v>
      </c>
      <c r="AT605" s="195" t="s">
        <v>97</v>
      </c>
      <c r="AU605" s="425"/>
      <c r="AV605" s="425"/>
      <c r="AW605" s="425"/>
      <c r="AX605" s="425"/>
      <c r="AY605" s="425"/>
      <c r="AZ605" s="425"/>
      <c r="BA605" s="425"/>
      <c r="BB605" s="425"/>
      <c r="BC605" s="440"/>
      <c r="BD605" s="404">
        <f>SUM($AS$4:AS605)</f>
        <v>3367.2641428571374</v>
      </c>
      <c r="BE605" s="405">
        <f>SUM($AR$4:AR605)</f>
        <v>6893.8853333332963</v>
      </c>
      <c r="BF605" s="330"/>
      <c r="BG605" s="330"/>
    </row>
    <row r="606" spans="1:59" ht="15.75" customHeight="1">
      <c r="A606" s="227" t="s">
        <v>2361</v>
      </c>
      <c r="B606" s="204">
        <v>45070</v>
      </c>
      <c r="C606" s="182" t="s">
        <v>1169</v>
      </c>
      <c r="D606" s="182" t="s">
        <v>133</v>
      </c>
      <c r="E606" s="233" t="s">
        <v>2650</v>
      </c>
      <c r="F606" s="184"/>
      <c r="G606" s="185"/>
      <c r="H606" s="186"/>
      <c r="I606" s="186"/>
      <c r="J606" s="186">
        <v>1</v>
      </c>
      <c r="K606" s="187" t="s">
        <v>97</v>
      </c>
      <c r="L606" s="186"/>
      <c r="M606" s="186"/>
      <c r="N606" s="186"/>
      <c r="O606" s="187"/>
      <c r="P606" s="187"/>
      <c r="Q606" s="187"/>
      <c r="R606" s="187"/>
      <c r="S606" s="187"/>
      <c r="T606" s="187"/>
      <c r="U606" s="187"/>
      <c r="V606" s="187"/>
      <c r="W606" s="189" t="str">
        <f t="shared" si="906"/>
        <v/>
      </c>
      <c r="X606" s="189"/>
      <c r="Y606" s="189"/>
      <c r="Z606" s="189"/>
      <c r="AA606" s="190"/>
      <c r="AB606" s="186"/>
      <c r="AC606" s="344"/>
      <c r="AD606" s="186"/>
      <c r="AE606" s="186"/>
      <c r="AF606" s="186"/>
      <c r="AG606" s="186"/>
      <c r="AH606" s="186"/>
      <c r="AI606" s="191"/>
      <c r="AJ606" s="191"/>
      <c r="AK606" s="186"/>
      <c r="AL606" s="186"/>
      <c r="AM606" s="186"/>
      <c r="AN606" s="344"/>
      <c r="AO606" s="186"/>
      <c r="AP606" s="193"/>
      <c r="AQ606" s="193"/>
      <c r="AR606" s="191"/>
      <c r="AS606" s="194"/>
      <c r="AT606" s="195"/>
      <c r="AU606" s="425" t="s">
        <v>2651</v>
      </c>
      <c r="AV606" s="425"/>
      <c r="AW606" s="425"/>
      <c r="AX606" s="425"/>
      <c r="AY606" s="425"/>
      <c r="AZ606" s="425"/>
      <c r="BA606" s="425"/>
      <c r="BB606" s="425"/>
      <c r="BC606" s="440"/>
      <c r="BD606" s="404">
        <f>SUM($AS$4:AS606)</f>
        <v>3367.2641428571374</v>
      </c>
      <c r="BE606" s="405">
        <f>SUM($AR$4:AR606)</f>
        <v>6893.8853333332963</v>
      </c>
      <c r="BF606" s="330"/>
      <c r="BG606" s="330"/>
    </row>
    <row r="607" spans="1:59" ht="15.75" customHeight="1">
      <c r="A607" s="227" t="s">
        <v>2361</v>
      </c>
      <c r="B607" s="204">
        <v>45070</v>
      </c>
      <c r="C607" s="182" t="s">
        <v>2652</v>
      </c>
      <c r="D607" s="182" t="s">
        <v>133</v>
      </c>
      <c r="E607" s="233"/>
      <c r="F607" s="184"/>
      <c r="G607" s="438" t="s">
        <v>2653</v>
      </c>
      <c r="H607" s="186"/>
      <c r="I607" s="186"/>
      <c r="J607" s="186"/>
      <c r="K607" s="187"/>
      <c r="L607" s="186"/>
      <c r="M607" s="186">
        <v>2</v>
      </c>
      <c r="N607" s="186"/>
      <c r="O607" s="187" t="s">
        <v>76</v>
      </c>
      <c r="P607" s="187" t="s">
        <v>77</v>
      </c>
      <c r="Q607" s="187" t="s">
        <v>238</v>
      </c>
      <c r="R607" s="187">
        <v>10</v>
      </c>
      <c r="S607" s="187">
        <v>5</v>
      </c>
      <c r="T607" s="187">
        <v>10</v>
      </c>
      <c r="U607" s="187" t="s">
        <v>22</v>
      </c>
      <c r="V607" s="188">
        <f t="shared" ref="V607:V608" si="937">IF(ISBLANK(O607),"",(IF(O607=UPPER("IB"),0.005,0.01)))</f>
        <v>0.01</v>
      </c>
      <c r="W607" s="189">
        <f t="shared" ref="W607" si="938">IF(ISBLANK(O607),"",IF(O607="IB",8.63*200,IF(O607="IR",16*100,IF(O607="YT",20*100,IF(O607="YT-XT",24*200,IF(O607="TED",80*100))))))</f>
        <v>1600</v>
      </c>
      <c r="X607" s="189"/>
      <c r="Y607" s="189"/>
      <c r="Z607" s="189" t="s">
        <v>2654</v>
      </c>
      <c r="AA607" s="190">
        <v>-0.01</v>
      </c>
      <c r="AB607" s="186"/>
      <c r="AC607" s="344"/>
      <c r="AD607" s="186"/>
      <c r="AE607" s="186"/>
      <c r="AF607" s="186"/>
      <c r="AG607" s="186"/>
      <c r="AH607" s="186"/>
      <c r="AI607" s="191">
        <f t="shared" ref="AI607:AI610" si="939">-0.02*W607</f>
        <v>-32</v>
      </c>
      <c r="AJ607" s="191">
        <f t="shared" ref="AJ607:AJ610" si="940">AI607*(R607-S607)</f>
        <v>-160</v>
      </c>
      <c r="AK607" s="186" t="s">
        <v>2655</v>
      </c>
      <c r="AL607" s="186" t="s">
        <v>2656</v>
      </c>
      <c r="AM607" s="186" t="s">
        <v>884</v>
      </c>
      <c r="AN607" s="344" t="s">
        <v>77</v>
      </c>
      <c r="AO607" s="186" t="s">
        <v>2657</v>
      </c>
      <c r="AP607" s="193">
        <f>((0.01*5)+(0.01*5))/10</f>
        <v>0.01</v>
      </c>
      <c r="AQ607" s="193">
        <f t="shared" ref="AQ607:AQ610" si="941">IF(ISBLANK(AP607),,IF(U607="S",AA607-AP607,AP607-AA607))</f>
        <v>0.02</v>
      </c>
      <c r="AR607" s="191">
        <f t="shared" ref="AR607:AR610" si="942">AS607*R607</f>
        <v>320</v>
      </c>
      <c r="AS607" s="194">
        <f t="shared" ref="AS607:AS610" si="943">IF(ISBLANK(AP607),,(AQ607*W607))</f>
        <v>32</v>
      </c>
      <c r="AT607" s="195" t="s">
        <v>77</v>
      </c>
      <c r="AU607" s="425" t="s">
        <v>2658</v>
      </c>
      <c r="AV607" s="425" t="s">
        <v>511</v>
      </c>
      <c r="AW607" s="425"/>
      <c r="AX607" s="425"/>
      <c r="AY607" s="425"/>
      <c r="AZ607" s="425"/>
      <c r="BA607" s="425"/>
      <c r="BB607" s="425"/>
      <c r="BC607" s="440"/>
      <c r="BD607" s="404">
        <f>SUM($AS$4:AS607)</f>
        <v>3399.2641428571374</v>
      </c>
      <c r="BE607" s="405">
        <f>SUM($AR$4:AR607)</f>
        <v>7213.8853333332963</v>
      </c>
      <c r="BF607" s="330"/>
      <c r="BG607" s="330"/>
    </row>
    <row r="608" spans="1:59" ht="15.75" customHeight="1">
      <c r="A608" s="227" t="s">
        <v>2361</v>
      </c>
      <c r="B608" s="204">
        <v>45070</v>
      </c>
      <c r="C608" s="182" t="s">
        <v>2652</v>
      </c>
      <c r="D608" s="182" t="s">
        <v>133</v>
      </c>
      <c r="E608" s="233"/>
      <c r="F608" s="184"/>
      <c r="G608" s="291" t="s">
        <v>1645</v>
      </c>
      <c r="H608" s="186"/>
      <c r="I608" s="186"/>
      <c r="J608" s="186"/>
      <c r="K608" s="187"/>
      <c r="L608" s="186">
        <v>1</v>
      </c>
      <c r="M608" s="186"/>
      <c r="N608" s="186"/>
      <c r="O608" s="187" t="s">
        <v>76</v>
      </c>
      <c r="P608" s="187" t="s">
        <v>77</v>
      </c>
      <c r="Q608" s="187" t="s">
        <v>238</v>
      </c>
      <c r="R608" s="187">
        <v>5</v>
      </c>
      <c r="S608" s="187">
        <v>2</v>
      </c>
      <c r="T608" s="187">
        <v>5</v>
      </c>
      <c r="U608" s="187" t="s">
        <v>22</v>
      </c>
      <c r="V608" s="188">
        <f t="shared" si="937"/>
        <v>0.01</v>
      </c>
      <c r="W608" s="189">
        <f t="shared" si="906"/>
        <v>1600</v>
      </c>
      <c r="X608" s="189" t="s">
        <v>2659</v>
      </c>
      <c r="Y608" s="427" t="s">
        <v>2660</v>
      </c>
      <c r="Z608" s="189" t="s">
        <v>511</v>
      </c>
      <c r="AA608" s="190">
        <v>-0.01</v>
      </c>
      <c r="AB608" s="186"/>
      <c r="AC608" s="344"/>
      <c r="AD608" s="186"/>
      <c r="AE608" s="186" t="s">
        <v>618</v>
      </c>
      <c r="AF608" s="186"/>
      <c r="AG608" s="186"/>
      <c r="AH608" s="186"/>
      <c r="AI608" s="191">
        <f t="shared" si="939"/>
        <v>-32</v>
      </c>
      <c r="AJ608" s="191">
        <f t="shared" si="940"/>
        <v>-96</v>
      </c>
      <c r="AK608" s="186" t="s">
        <v>2655</v>
      </c>
      <c r="AL608" s="186" t="s">
        <v>2656</v>
      </c>
      <c r="AM608" s="186" t="s">
        <v>2602</v>
      </c>
      <c r="AN608" s="344" t="s">
        <v>77</v>
      </c>
      <c r="AO608" s="186" t="s">
        <v>2661</v>
      </c>
      <c r="AP608" s="193">
        <f>(0.02*1+0.02*4)/5</f>
        <v>0.02</v>
      </c>
      <c r="AQ608" s="193">
        <f t="shared" si="941"/>
        <v>0.03</v>
      </c>
      <c r="AR608" s="191">
        <f t="shared" si="942"/>
        <v>240</v>
      </c>
      <c r="AS608" s="194">
        <f t="shared" si="943"/>
        <v>48</v>
      </c>
      <c r="AT608" s="195" t="s">
        <v>77</v>
      </c>
      <c r="AU608" s="425" t="s">
        <v>2662</v>
      </c>
      <c r="AV608" s="425" t="s">
        <v>511</v>
      </c>
      <c r="AW608" s="425"/>
      <c r="AX608" s="425"/>
      <c r="AY608" s="425"/>
      <c r="AZ608" s="425"/>
      <c r="BA608" s="425"/>
      <c r="BB608" s="425"/>
      <c r="BC608" s="440"/>
      <c r="BD608" s="404">
        <f>SUM($AS$4:AS608)</f>
        <v>3447.2641428571374</v>
      </c>
      <c r="BE608" s="405">
        <f>SUM($AR$4:AR608)</f>
        <v>7453.8853333332963</v>
      </c>
      <c r="BF608" s="330"/>
      <c r="BG608" s="330"/>
    </row>
    <row r="609" spans="1:59" ht="15.75" customHeight="1">
      <c r="A609" s="227" t="s">
        <v>2361</v>
      </c>
      <c r="B609" s="204">
        <v>45070</v>
      </c>
      <c r="C609" s="182" t="s">
        <v>1540</v>
      </c>
      <c r="D609" s="182" t="s">
        <v>133</v>
      </c>
      <c r="E609" s="233"/>
      <c r="F609" s="184"/>
      <c r="G609" s="291" t="s">
        <v>2526</v>
      </c>
      <c r="H609" s="186"/>
      <c r="I609" s="186"/>
      <c r="J609" s="186"/>
      <c r="K609" s="187"/>
      <c r="L609" s="186">
        <v>1</v>
      </c>
      <c r="M609" s="186"/>
      <c r="N609" s="186"/>
      <c r="O609" s="187" t="s">
        <v>2240</v>
      </c>
      <c r="P609" s="187" t="s">
        <v>2241</v>
      </c>
      <c r="Q609" s="187"/>
      <c r="R609" s="187">
        <v>1</v>
      </c>
      <c r="S609" s="187">
        <v>0</v>
      </c>
      <c r="T609" s="187">
        <v>1</v>
      </c>
      <c r="U609" s="187" t="s">
        <v>78</v>
      </c>
      <c r="V609" s="188">
        <f t="shared" ref="V609:V610" si="944">IF(ISBLANK(O609),"",(IF(O609=UPPER("IB"),0.005,0.01)))</f>
        <v>0.01</v>
      </c>
      <c r="W609" s="189">
        <f t="shared" ref="W609:W610" si="945">IF(ISBLANK(O609),"",IF(O609="IB",8.63*200,IF(O609="IR",16*100,IF(O609="YT",20*100,IF(O609="YT-XT",24*200,IF(O609="TED",80*100))))))</f>
        <v>4800</v>
      </c>
      <c r="X609" s="427" t="s">
        <v>2663</v>
      </c>
      <c r="Y609" s="427" t="s">
        <v>2664</v>
      </c>
      <c r="Z609" s="189" t="s">
        <v>511</v>
      </c>
      <c r="AA609" s="190">
        <v>0.315</v>
      </c>
      <c r="AB609" s="186"/>
      <c r="AC609" s="344"/>
      <c r="AD609" s="186"/>
      <c r="AE609" s="186"/>
      <c r="AF609" s="186"/>
      <c r="AG609" s="186"/>
      <c r="AH609" s="186"/>
      <c r="AI609" s="191">
        <f t="shared" si="939"/>
        <v>-96</v>
      </c>
      <c r="AJ609" s="191">
        <f t="shared" si="940"/>
        <v>-96</v>
      </c>
      <c r="AK609" s="186"/>
      <c r="AL609" s="186"/>
      <c r="AM609" s="186" t="s">
        <v>1008</v>
      </c>
      <c r="AN609" s="344" t="s">
        <v>87</v>
      </c>
      <c r="AO609" s="186" t="s">
        <v>2665</v>
      </c>
      <c r="AP609" s="193">
        <v>0.315</v>
      </c>
      <c r="AQ609" s="193">
        <f t="shared" si="941"/>
        <v>0</v>
      </c>
      <c r="AR609" s="191">
        <f t="shared" si="942"/>
        <v>0</v>
      </c>
      <c r="AS609" s="194">
        <f t="shared" si="943"/>
        <v>0</v>
      </c>
      <c r="AT609" s="195" t="s">
        <v>97</v>
      </c>
      <c r="AU609" s="425" t="s">
        <v>2666</v>
      </c>
      <c r="AV609" s="425" t="s">
        <v>2667</v>
      </c>
      <c r="AW609" s="425"/>
      <c r="AX609" s="425" t="s">
        <v>2668</v>
      </c>
      <c r="AY609" s="425" t="s">
        <v>511</v>
      </c>
      <c r="AZ609" s="425"/>
      <c r="BA609" s="425"/>
      <c r="BB609" s="425"/>
      <c r="BC609" s="440"/>
      <c r="BD609" s="404">
        <f>SUM($AS$4:AS609)</f>
        <v>3447.2641428571374</v>
      </c>
      <c r="BE609" s="405">
        <f>SUM($AR$4:AR609)</f>
        <v>7453.8853333332963</v>
      </c>
      <c r="BF609" s="330"/>
      <c r="BG609" s="330"/>
    </row>
    <row r="610" spans="1:59" ht="15.75" customHeight="1">
      <c r="A610" s="227" t="s">
        <v>2361</v>
      </c>
      <c r="B610" s="204">
        <v>45070</v>
      </c>
      <c r="C610" s="182" t="s">
        <v>2669</v>
      </c>
      <c r="D610" s="182" t="s">
        <v>133</v>
      </c>
      <c r="E610" s="233"/>
      <c r="F610" s="184"/>
      <c r="G610" s="291" t="s">
        <v>558</v>
      </c>
      <c r="H610" s="186"/>
      <c r="I610" s="186"/>
      <c r="J610" s="186"/>
      <c r="K610" s="187"/>
      <c r="L610" s="186">
        <v>1</v>
      </c>
      <c r="M610" s="186"/>
      <c r="N610" s="186"/>
      <c r="O610" s="187" t="s">
        <v>76</v>
      </c>
      <c r="P610" s="187" t="s">
        <v>77</v>
      </c>
      <c r="Q610" s="187" t="s">
        <v>78</v>
      </c>
      <c r="R610" s="187">
        <v>3</v>
      </c>
      <c r="S610" s="187">
        <v>0</v>
      </c>
      <c r="T610" s="187">
        <v>3</v>
      </c>
      <c r="U610" s="187" t="s">
        <v>22</v>
      </c>
      <c r="V610" s="188">
        <f t="shared" si="944"/>
        <v>0.01</v>
      </c>
      <c r="W610" s="189">
        <f t="shared" si="945"/>
        <v>1600</v>
      </c>
      <c r="X610" s="189" t="s">
        <v>2670</v>
      </c>
      <c r="Y610" s="189"/>
      <c r="Z610" s="189"/>
      <c r="AA610" s="190">
        <v>0.08</v>
      </c>
      <c r="AB610" s="186"/>
      <c r="AC610" s="344"/>
      <c r="AD610" s="186"/>
      <c r="AE610" s="186"/>
      <c r="AF610" s="186"/>
      <c r="AG610" s="186"/>
      <c r="AH610" s="186"/>
      <c r="AI610" s="191">
        <f t="shared" si="939"/>
        <v>-32</v>
      </c>
      <c r="AJ610" s="191">
        <f t="shared" si="940"/>
        <v>-96</v>
      </c>
      <c r="AK610" s="186"/>
      <c r="AL610" s="186"/>
      <c r="AM610" s="186" t="s">
        <v>1824</v>
      </c>
      <c r="AN610" s="344" t="s">
        <v>2671</v>
      </c>
      <c r="AO610" s="186" t="s">
        <v>1032</v>
      </c>
      <c r="AP610" s="193">
        <v>0.09</v>
      </c>
      <c r="AQ610" s="193">
        <f t="shared" si="941"/>
        <v>9.999999999999995E-3</v>
      </c>
      <c r="AR610" s="191">
        <f t="shared" si="942"/>
        <v>47.999999999999979</v>
      </c>
      <c r="AS610" s="194">
        <f t="shared" si="943"/>
        <v>15.999999999999993</v>
      </c>
      <c r="AT610" s="195" t="s">
        <v>77</v>
      </c>
      <c r="AU610" s="425"/>
      <c r="AV610" s="425"/>
      <c r="AW610" s="425"/>
      <c r="AX610" s="425"/>
      <c r="AY610" s="425"/>
      <c r="AZ610" s="425"/>
      <c r="BA610" s="425"/>
      <c r="BB610" s="425"/>
      <c r="BC610" s="440"/>
      <c r="BD610" s="404">
        <f>SUM($AS$4:AS610)</f>
        <v>3463.2641428571374</v>
      </c>
      <c r="BE610" s="405">
        <f>SUM($AR$4:AR610)</f>
        <v>7501.8853333332963</v>
      </c>
      <c r="BF610" s="330"/>
      <c r="BG610" s="330"/>
    </row>
    <row r="611" spans="1:59" ht="15.75" customHeight="1">
      <c r="A611" s="227" t="s">
        <v>2361</v>
      </c>
      <c r="B611" s="204">
        <v>45070</v>
      </c>
      <c r="C611" s="182" t="s">
        <v>2234</v>
      </c>
      <c r="D611" s="182" t="s">
        <v>133</v>
      </c>
      <c r="E611" s="233" t="s">
        <v>2672</v>
      </c>
      <c r="F611" s="184" t="s">
        <v>2673</v>
      </c>
      <c r="G611" s="185"/>
      <c r="H611" s="186">
        <v>1</v>
      </c>
      <c r="I611" s="186"/>
      <c r="J611" s="186"/>
      <c r="K611" s="187" t="s">
        <v>87</v>
      </c>
      <c r="L611" s="186"/>
      <c r="M611" s="186"/>
      <c r="N611" s="186"/>
      <c r="O611" s="187"/>
      <c r="P611" s="187"/>
      <c r="Q611" s="187"/>
      <c r="R611" s="187"/>
      <c r="S611" s="187"/>
      <c r="T611" s="187"/>
      <c r="U611" s="187"/>
      <c r="V611" s="187"/>
      <c r="W611" s="189" t="str">
        <f t="shared" ref="W611:W615" si="946">IF(ISBLANK(O611),"",IF(O611="IB",8.63*200,IF(O611="IR",16*100,IF(O611="YT",20*100,IF(O611="YT-XT",24*200,IF(O611="TED",80*100))))))</f>
        <v/>
      </c>
      <c r="X611" s="189"/>
      <c r="Y611" s="189"/>
      <c r="Z611" s="189"/>
      <c r="AA611" s="190"/>
      <c r="AB611" s="186"/>
      <c r="AC611" s="344"/>
      <c r="AD611" s="186"/>
      <c r="AE611" s="186"/>
      <c r="AF611" s="186"/>
      <c r="AG611" s="186"/>
      <c r="AH611" s="186"/>
      <c r="AI611" s="191"/>
      <c r="AJ611" s="191"/>
      <c r="AK611" s="186"/>
      <c r="AL611" s="186"/>
      <c r="AM611" s="186"/>
      <c r="AN611" s="344"/>
      <c r="AO611" s="186"/>
      <c r="AP611" s="193"/>
      <c r="AQ611" s="193"/>
      <c r="AR611" s="191"/>
      <c r="AS611" s="194"/>
      <c r="AT611" s="195"/>
      <c r="AU611" s="425"/>
      <c r="AV611" s="425"/>
      <c r="AW611" s="425"/>
      <c r="AX611" s="437"/>
      <c r="AY611" s="425"/>
      <c r="AZ611" s="425"/>
      <c r="BA611" s="425"/>
      <c r="BB611" s="425"/>
      <c r="BC611" s="440"/>
      <c r="BD611" s="404">
        <f>SUM($AS$4:AS611)</f>
        <v>3463.2641428571374</v>
      </c>
      <c r="BE611" s="405">
        <f>SUM($AR$4:AR611)</f>
        <v>7501.8853333332963</v>
      </c>
      <c r="BF611" s="330"/>
      <c r="BG611" s="330"/>
    </row>
    <row r="612" spans="1:59" ht="15.75" customHeight="1">
      <c r="A612" s="227" t="s">
        <v>2361</v>
      </c>
      <c r="B612" s="204">
        <v>45070</v>
      </c>
      <c r="C612" s="182" t="s">
        <v>2674</v>
      </c>
      <c r="D612" s="182" t="s">
        <v>133</v>
      </c>
      <c r="E612" s="233"/>
      <c r="F612" s="184"/>
      <c r="G612" s="291" t="s">
        <v>2126</v>
      </c>
      <c r="H612" s="186"/>
      <c r="I612" s="186"/>
      <c r="J612" s="186"/>
      <c r="K612" s="187"/>
      <c r="L612" s="186">
        <v>1</v>
      </c>
      <c r="M612" s="186"/>
      <c r="N612" s="186"/>
      <c r="O612" s="187" t="s">
        <v>76</v>
      </c>
      <c r="P612" s="187" t="s">
        <v>77</v>
      </c>
      <c r="Q612" s="187" t="s">
        <v>78</v>
      </c>
      <c r="R612" s="187">
        <v>10</v>
      </c>
      <c r="S612" s="187">
        <v>0</v>
      </c>
      <c r="T612" s="187">
        <v>10</v>
      </c>
      <c r="U612" s="187" t="s">
        <v>22</v>
      </c>
      <c r="V612" s="188">
        <f t="shared" ref="V612" si="947">IF(ISBLANK(O612),"",(IF(O612=UPPER("IB"),0.005,0.01)))</f>
        <v>0.01</v>
      </c>
      <c r="W612" s="189">
        <f t="shared" si="946"/>
        <v>1600</v>
      </c>
      <c r="X612" s="189"/>
      <c r="Y612" s="189"/>
      <c r="Z612" s="189"/>
      <c r="AA612" s="190">
        <v>-0.1</v>
      </c>
      <c r="AB612" s="186"/>
      <c r="AC612" s="344"/>
      <c r="AD612" s="186"/>
      <c r="AE612" s="186"/>
      <c r="AF612" s="186"/>
      <c r="AG612" s="186"/>
      <c r="AH612" s="186"/>
      <c r="AI612" s="191">
        <f t="shared" ref="AI612" si="948">-0.02*W612</f>
        <v>-32</v>
      </c>
      <c r="AJ612" s="191">
        <f t="shared" ref="AJ612" si="949">AI612*(R612-S612)</f>
        <v>-320</v>
      </c>
      <c r="AK612" s="186"/>
      <c r="AL612" s="186"/>
      <c r="AM612" s="186"/>
      <c r="AN612" s="344"/>
      <c r="AO612" s="186"/>
      <c r="AP612" s="193">
        <v>-0.1</v>
      </c>
      <c r="AQ612" s="193">
        <f t="shared" ref="AQ612" si="950">IF(ISBLANK(AP612),,IF(U612="S",AA612-AP612,AP612-AA612))</f>
        <v>0</v>
      </c>
      <c r="AR612" s="191">
        <f t="shared" ref="AR612" si="951">AS612*R612</f>
        <v>0</v>
      </c>
      <c r="AS612" s="194">
        <f t="shared" ref="AS612" si="952">IF(ISBLANK(AP612),,(AQ612*W612))</f>
        <v>0</v>
      </c>
      <c r="AT612" s="195" t="s">
        <v>97</v>
      </c>
      <c r="AU612" s="425"/>
      <c r="AV612" s="425"/>
      <c r="AW612" s="425"/>
      <c r="AX612" s="437"/>
      <c r="AY612" s="425"/>
      <c r="AZ612" s="425"/>
      <c r="BA612" s="425"/>
      <c r="BB612" s="425"/>
      <c r="BC612" s="440"/>
      <c r="BD612" s="404">
        <f>SUM($AS$4:AS612)</f>
        <v>3463.2641428571374</v>
      </c>
      <c r="BE612" s="405">
        <f>SUM($AR$4:AR612)</f>
        <v>7501.8853333332963</v>
      </c>
      <c r="BF612" s="330"/>
      <c r="BG612" s="330"/>
    </row>
    <row r="613" spans="1:59" ht="15.75" customHeight="1">
      <c r="A613" s="227" t="s">
        <v>2361</v>
      </c>
      <c r="B613" s="204">
        <v>45071</v>
      </c>
      <c r="C613" s="182" t="s">
        <v>1905</v>
      </c>
      <c r="D613" s="182" t="s">
        <v>74</v>
      </c>
      <c r="E613" s="233"/>
      <c r="F613" s="184"/>
      <c r="G613" s="291" t="s">
        <v>75</v>
      </c>
      <c r="H613" s="186"/>
      <c r="I613" s="186"/>
      <c r="J613" s="186"/>
      <c r="K613" s="187"/>
      <c r="L613" s="186">
        <v>1</v>
      </c>
      <c r="M613" s="186"/>
      <c r="N613" s="186"/>
      <c r="O613" s="187" t="s">
        <v>76</v>
      </c>
      <c r="P613" s="187" t="s">
        <v>77</v>
      </c>
      <c r="Q613" s="187" t="s">
        <v>78</v>
      </c>
      <c r="R613" s="187">
        <v>3</v>
      </c>
      <c r="S613" s="187">
        <v>0</v>
      </c>
      <c r="T613" s="187">
        <v>3</v>
      </c>
      <c r="U613" s="187" t="s">
        <v>78</v>
      </c>
      <c r="V613" s="188">
        <f t="shared" ref="V613" si="953">IF(ISBLANK(O613),"",(IF(O613=UPPER("IB"),0.005,0.01)))</f>
        <v>0.01</v>
      </c>
      <c r="W613" s="189">
        <f t="shared" ref="W613" si="954">IF(ISBLANK(O613),"",IF(O613="IB",8.63*200,IF(O613="IR",16*100,IF(O613="YT",20*100,IF(O613="YT-XT",24*200,IF(O613="TED",80*100))))))</f>
        <v>1600</v>
      </c>
      <c r="X613" s="189" t="s">
        <v>980</v>
      </c>
      <c r="Y613" s="189"/>
      <c r="Z613" s="189" t="s">
        <v>2675</v>
      </c>
      <c r="AA613" s="190">
        <v>0.02</v>
      </c>
      <c r="AB613" s="186"/>
      <c r="AC613" s="344"/>
      <c r="AD613" s="186"/>
      <c r="AE613" s="186"/>
      <c r="AF613" s="186"/>
      <c r="AG613" s="186"/>
      <c r="AH613" s="186"/>
      <c r="AI613" s="191">
        <f t="shared" ref="AI613:AI621" si="955">-0.02*W613</f>
        <v>-32</v>
      </c>
      <c r="AJ613" s="191">
        <f t="shared" ref="AJ613:AJ621" si="956">AI613*(R613-S613)</f>
        <v>-96</v>
      </c>
      <c r="AK613" s="186"/>
      <c r="AL613" s="186"/>
      <c r="AM613" s="186" t="s">
        <v>1620</v>
      </c>
      <c r="AN613" s="344" t="s">
        <v>87</v>
      </c>
      <c r="AO613" s="186" t="s">
        <v>2676</v>
      </c>
      <c r="AP613" s="193">
        <v>0.01</v>
      </c>
      <c r="AQ613" s="193">
        <f t="shared" ref="AQ613" si="957">IF(ISBLANK(AP613),,IF(U613="S",AA613-AP613,AP613-AA613))</f>
        <v>0.01</v>
      </c>
      <c r="AR613" s="191">
        <f t="shared" ref="AR613" si="958">AS613*R613</f>
        <v>48</v>
      </c>
      <c r="AS613" s="194">
        <f t="shared" ref="AS613" si="959">IF(ISBLANK(AP613),,(AQ613*W613))</f>
        <v>16</v>
      </c>
      <c r="AT613" s="195" t="s">
        <v>77</v>
      </c>
      <c r="AU613" s="425" t="s">
        <v>2677</v>
      </c>
      <c r="AV613" s="425" t="s">
        <v>2678</v>
      </c>
      <c r="AW613" s="425" t="s">
        <v>2679</v>
      </c>
      <c r="AX613" s="425" t="s">
        <v>2680</v>
      </c>
      <c r="AY613" s="425" t="s">
        <v>2681</v>
      </c>
      <c r="AZ613" s="425" t="s">
        <v>2682</v>
      </c>
      <c r="BA613" s="425"/>
      <c r="BB613" s="425"/>
      <c r="BC613" s="440"/>
      <c r="BD613" s="404">
        <f>SUM($AS$4:AS613)</f>
        <v>3479.2641428571374</v>
      </c>
      <c r="BE613" s="405">
        <f>SUM($AR$4:AR613)</f>
        <v>7549.8853333332963</v>
      </c>
      <c r="BF613" s="330"/>
      <c r="BG613" s="330"/>
    </row>
    <row r="614" spans="1:59" ht="15.75" customHeight="1">
      <c r="A614" s="227" t="s">
        <v>2361</v>
      </c>
      <c r="B614" s="204">
        <v>45071</v>
      </c>
      <c r="C614" s="182" t="s">
        <v>1905</v>
      </c>
      <c r="D614" s="182" t="s">
        <v>74</v>
      </c>
      <c r="E614" s="233"/>
      <c r="F614" s="184"/>
      <c r="G614" s="185" t="s">
        <v>2051</v>
      </c>
      <c r="H614" s="186"/>
      <c r="I614" s="186"/>
      <c r="J614" s="186"/>
      <c r="K614" s="187"/>
      <c r="L614" s="186"/>
      <c r="M614" s="186"/>
      <c r="N614" s="186"/>
      <c r="O614" s="187"/>
      <c r="P614" s="187"/>
      <c r="Q614" s="187"/>
      <c r="R614" s="187"/>
      <c r="S614" s="187"/>
      <c r="T614" s="187"/>
      <c r="U614" s="187"/>
      <c r="V614" s="188"/>
      <c r="W614" s="189"/>
      <c r="X614" s="189"/>
      <c r="Y614" s="189"/>
      <c r="Z614" s="189"/>
      <c r="AA614" s="190"/>
      <c r="AB614" s="186"/>
      <c r="AC614" s="344"/>
      <c r="AD614" s="186"/>
      <c r="AE614" s="186"/>
      <c r="AF614" s="186"/>
      <c r="AG614" s="186"/>
      <c r="AH614" s="186"/>
      <c r="AI614" s="191"/>
      <c r="AJ614" s="191"/>
      <c r="AK614" s="186"/>
      <c r="AL614" s="186"/>
      <c r="AM614" s="186"/>
      <c r="AN614" s="344"/>
      <c r="AO614" s="186"/>
      <c r="AP614" s="193"/>
      <c r="AQ614" s="193"/>
      <c r="AR614" s="191"/>
      <c r="AS614" s="194"/>
      <c r="AT614" s="195"/>
      <c r="AU614" s="425"/>
      <c r="AV614" s="425"/>
      <c r="AW614" s="425"/>
      <c r="AX614" s="425"/>
      <c r="AY614" s="425"/>
      <c r="AZ614" s="425"/>
      <c r="BA614" s="425"/>
      <c r="BB614" s="425"/>
      <c r="BC614" s="440"/>
      <c r="BD614" s="404"/>
      <c r="BE614" s="405">
        <f>SUM($AR$4:AR614)</f>
        <v>7549.8853333332963</v>
      </c>
      <c r="BF614" s="330"/>
      <c r="BG614" s="330"/>
    </row>
    <row r="615" spans="1:59" ht="15.75" customHeight="1">
      <c r="A615" s="227" t="s">
        <v>2361</v>
      </c>
      <c r="B615" s="204">
        <v>45071</v>
      </c>
      <c r="C615" s="182" t="s">
        <v>1709</v>
      </c>
      <c r="D615" s="182" t="s">
        <v>74</v>
      </c>
      <c r="E615" s="233" t="s">
        <v>2683</v>
      </c>
      <c r="F615" s="184" t="s">
        <v>2684</v>
      </c>
      <c r="G615" s="185"/>
      <c r="H615" s="186">
        <v>1</v>
      </c>
      <c r="I615" s="186"/>
      <c r="J615" s="186"/>
      <c r="K615" s="187" t="s">
        <v>87</v>
      </c>
      <c r="L615" s="186"/>
      <c r="M615" s="186"/>
      <c r="N615" s="186"/>
      <c r="O615" s="187"/>
      <c r="P615" s="187"/>
      <c r="Q615" s="187"/>
      <c r="R615" s="187"/>
      <c r="S615" s="187"/>
      <c r="T615" s="187"/>
      <c r="U615" s="187"/>
      <c r="V615" s="187"/>
      <c r="W615" s="189" t="str">
        <f t="shared" si="946"/>
        <v/>
      </c>
      <c r="X615" s="189"/>
      <c r="Y615" s="189"/>
      <c r="Z615" s="189"/>
      <c r="AA615" s="190"/>
      <c r="AB615" s="186"/>
      <c r="AC615" s="344"/>
      <c r="AD615" s="186"/>
      <c r="AE615" s="186"/>
      <c r="AF615" s="186"/>
      <c r="AG615" s="186"/>
      <c r="AH615" s="186"/>
      <c r="AI615" s="191"/>
      <c r="AJ615" s="191"/>
      <c r="AK615" s="186"/>
      <c r="AL615" s="186"/>
      <c r="AM615" s="186"/>
      <c r="AN615" s="344"/>
      <c r="AO615" s="186"/>
      <c r="AP615" s="193"/>
      <c r="AQ615" s="193">
        <f t="shared" ref="AQ615:AQ617" si="960">IF(ISBLANK(AP615),,IF(U615="S",AA615-AP615,AP615-AA615))</f>
        <v>0</v>
      </c>
      <c r="AR615" s="191">
        <f t="shared" ref="AR615:AR617" si="961">AS615*R615</f>
        <v>0</v>
      </c>
      <c r="AS615" s="194">
        <f t="shared" ref="AS615:AS617" si="962">IF(ISBLANK(AP615),,(AQ615*W615))</f>
        <v>0</v>
      </c>
      <c r="AT615" s="195"/>
      <c r="AU615" s="425"/>
      <c r="AV615" s="425"/>
      <c r="AW615" s="425"/>
      <c r="AX615" s="437"/>
      <c r="AY615" s="425"/>
      <c r="AZ615" s="425"/>
      <c r="BA615" s="425"/>
      <c r="BB615" s="425"/>
      <c r="BC615" s="440"/>
      <c r="BD615" s="404">
        <f>SUM($AS$4:AS615)</f>
        <v>3479.2641428571374</v>
      </c>
      <c r="BE615" s="405">
        <f>SUM($AR$4:AR615)</f>
        <v>7549.8853333332963</v>
      </c>
      <c r="BF615" s="330"/>
      <c r="BG615" s="330"/>
    </row>
    <row r="616" spans="1:59" ht="15.75" customHeight="1">
      <c r="A616" s="227" t="s">
        <v>2361</v>
      </c>
      <c r="B616" s="204">
        <v>45071</v>
      </c>
      <c r="C616" s="182" t="s">
        <v>1709</v>
      </c>
      <c r="D616" s="182" t="s">
        <v>74</v>
      </c>
      <c r="E616" s="233" t="s">
        <v>2685</v>
      </c>
      <c r="F616" s="184"/>
      <c r="G616" s="185"/>
      <c r="H616" s="186"/>
      <c r="I616" s="186"/>
      <c r="J616" s="186"/>
      <c r="K616" s="187"/>
      <c r="L616" s="186"/>
      <c r="M616" s="186"/>
      <c r="N616" s="186"/>
      <c r="O616" s="187"/>
      <c r="P616" s="187"/>
      <c r="Q616" s="187"/>
      <c r="R616" s="187"/>
      <c r="S616" s="187"/>
      <c r="T616" s="187"/>
      <c r="U616" s="187"/>
      <c r="V616" s="187"/>
      <c r="W616" s="189" t="str">
        <f t="shared" si="906"/>
        <v/>
      </c>
      <c r="X616" s="189"/>
      <c r="Y616" s="189"/>
      <c r="Z616" s="189"/>
      <c r="AA616" s="190"/>
      <c r="AB616" s="186"/>
      <c r="AC616" s="344"/>
      <c r="AD616" s="186"/>
      <c r="AE616" s="186"/>
      <c r="AF616" s="186"/>
      <c r="AG616" s="186"/>
      <c r="AH616" s="186"/>
      <c r="AI616" s="191"/>
      <c r="AJ616" s="191"/>
      <c r="AK616" s="186"/>
      <c r="AL616" s="186"/>
      <c r="AM616" s="186"/>
      <c r="AN616" s="344"/>
      <c r="AO616" s="186"/>
      <c r="AP616" s="193"/>
      <c r="AQ616" s="193">
        <f t="shared" si="960"/>
        <v>0</v>
      </c>
      <c r="AR616" s="191">
        <f t="shared" si="961"/>
        <v>0</v>
      </c>
      <c r="AS616" s="194">
        <f t="shared" si="962"/>
        <v>0</v>
      </c>
      <c r="AT616" s="195"/>
      <c r="AU616" s="425"/>
      <c r="AV616" s="425"/>
      <c r="AW616" s="425"/>
      <c r="AX616" s="437"/>
      <c r="AY616" s="425"/>
      <c r="AZ616" s="425"/>
      <c r="BA616" s="425"/>
      <c r="BB616" s="425"/>
      <c r="BC616" s="440"/>
      <c r="BD616" s="404">
        <f>SUM($AS$4:AS616)</f>
        <v>3479.2641428571374</v>
      </c>
      <c r="BE616" s="405">
        <f>SUM($AR$4:AR616)</f>
        <v>7549.8853333332963</v>
      </c>
      <c r="BF616" s="330"/>
      <c r="BG616" s="330"/>
    </row>
    <row r="617" spans="1:59" ht="15.75" customHeight="1">
      <c r="A617" s="227" t="s">
        <v>2361</v>
      </c>
      <c r="B617" s="204">
        <v>45071</v>
      </c>
      <c r="C617" s="182" t="s">
        <v>1679</v>
      </c>
      <c r="D617" s="182" t="s">
        <v>74</v>
      </c>
      <c r="E617" s="233"/>
      <c r="F617" s="184"/>
      <c r="G617" s="291" t="s">
        <v>75</v>
      </c>
      <c r="H617" s="186"/>
      <c r="I617" s="186"/>
      <c r="J617" s="186"/>
      <c r="K617" s="187"/>
      <c r="L617" s="186">
        <v>1</v>
      </c>
      <c r="M617" s="186"/>
      <c r="N617" s="186"/>
      <c r="O617" s="187" t="s">
        <v>76</v>
      </c>
      <c r="P617" s="187" t="s">
        <v>77</v>
      </c>
      <c r="Q617" s="187" t="s">
        <v>78</v>
      </c>
      <c r="R617" s="187">
        <v>5</v>
      </c>
      <c r="S617" s="187">
        <v>0</v>
      </c>
      <c r="T617" s="187">
        <v>5</v>
      </c>
      <c r="U617" s="187" t="s">
        <v>78</v>
      </c>
      <c r="V617" s="188">
        <f t="shared" ref="V617" si="963">IF(ISBLANK(O617),"",(IF(O617=UPPER("IB"),0.005,0.01)))</f>
        <v>0.01</v>
      </c>
      <c r="W617" s="189">
        <f t="shared" si="906"/>
        <v>1600</v>
      </c>
      <c r="X617" s="189" t="s">
        <v>980</v>
      </c>
      <c r="Y617" s="189"/>
      <c r="Z617" s="189"/>
      <c r="AA617" s="190">
        <v>0.04</v>
      </c>
      <c r="AB617" s="186"/>
      <c r="AC617" s="344"/>
      <c r="AD617" s="186"/>
      <c r="AE617" s="186"/>
      <c r="AF617" s="186"/>
      <c r="AG617" s="186"/>
      <c r="AH617" s="186"/>
      <c r="AI617" s="191"/>
      <c r="AJ617" s="191"/>
      <c r="AK617" s="186"/>
      <c r="AL617" s="186"/>
      <c r="AM617" s="186" t="s">
        <v>2350</v>
      </c>
      <c r="AN617" s="344" t="s">
        <v>376</v>
      </c>
      <c r="AO617" s="186" t="s">
        <v>2686</v>
      </c>
      <c r="AP617" s="193">
        <v>0.03</v>
      </c>
      <c r="AQ617" s="193">
        <f t="shared" si="960"/>
        <v>1.0000000000000002E-2</v>
      </c>
      <c r="AR617" s="191">
        <f t="shared" si="961"/>
        <v>80.000000000000014</v>
      </c>
      <c r="AS617" s="194">
        <f t="shared" si="962"/>
        <v>16.000000000000004</v>
      </c>
      <c r="AT617" s="195" t="s">
        <v>77</v>
      </c>
      <c r="AU617" s="425"/>
      <c r="AV617" s="425"/>
      <c r="AW617" s="425"/>
      <c r="AX617" s="425"/>
      <c r="AY617" s="425"/>
      <c r="AZ617" s="425"/>
      <c r="BA617" s="425"/>
      <c r="BB617" s="425"/>
      <c r="BC617" s="440"/>
      <c r="BD617" s="404">
        <f>SUM($AS$4:AS617)</f>
        <v>3495.2641428571374</v>
      </c>
      <c r="BE617" s="405">
        <f>SUM($AR$4:AR617)</f>
        <v>7629.8853333332963</v>
      </c>
      <c r="BF617" s="330"/>
      <c r="BG617" s="330"/>
    </row>
    <row r="618" spans="1:59" ht="15.75" customHeight="1">
      <c r="A618" s="227" t="s">
        <v>2361</v>
      </c>
      <c r="B618" s="204">
        <v>45071</v>
      </c>
      <c r="C618" s="182" t="s">
        <v>2687</v>
      </c>
      <c r="D618" s="182" t="s">
        <v>74</v>
      </c>
      <c r="E618" s="233"/>
      <c r="F618" s="184"/>
      <c r="G618" s="185" t="s">
        <v>163</v>
      </c>
      <c r="H618" s="186"/>
      <c r="I618" s="186"/>
      <c r="J618" s="186"/>
      <c r="K618" s="187"/>
      <c r="L618" s="186"/>
      <c r="M618" s="186"/>
      <c r="N618" s="186"/>
      <c r="O618" s="187"/>
      <c r="P618" s="187"/>
      <c r="Q618" s="187"/>
      <c r="R618" s="187"/>
      <c r="S618" s="187"/>
      <c r="T618" s="187"/>
      <c r="U618" s="187"/>
      <c r="V618" s="188"/>
      <c r="W618" s="189"/>
      <c r="X618" s="189"/>
      <c r="Y618" s="189"/>
      <c r="Z618" s="189"/>
      <c r="AA618" s="190"/>
      <c r="AB618" s="186"/>
      <c r="AC618" s="344"/>
      <c r="AD618" s="186"/>
      <c r="AE618" s="186"/>
      <c r="AF618" s="186"/>
      <c r="AG618" s="186"/>
      <c r="AH618" s="186"/>
      <c r="AI618" s="191"/>
      <c r="AJ618" s="191"/>
      <c r="AK618" s="186"/>
      <c r="AL618" s="186"/>
      <c r="AM618" s="186"/>
      <c r="AN618" s="344"/>
      <c r="AO618" s="186"/>
      <c r="AP618" s="193"/>
      <c r="AQ618" s="193">
        <f t="shared" ref="AQ618:AQ619" si="964">IF(ISBLANK(AP618),,IF(U618="S",AA618-AP618,AP618-AA618))</f>
        <v>0</v>
      </c>
      <c r="AR618" s="191">
        <f t="shared" ref="AR618:AR619" si="965">AS618*R618</f>
        <v>0</v>
      </c>
      <c r="AS618" s="194">
        <f t="shared" ref="AS618:AS619" si="966">IF(ISBLANK(AP618),,(AQ618*W618))</f>
        <v>0</v>
      </c>
      <c r="AT618" s="195"/>
      <c r="AU618" s="425"/>
      <c r="AV618" s="425"/>
      <c r="AW618" s="425"/>
      <c r="AX618" s="437"/>
      <c r="AY618" s="425"/>
      <c r="AZ618" s="425"/>
      <c r="BA618" s="425"/>
      <c r="BB618" s="425"/>
      <c r="BC618" s="440"/>
      <c r="BD618" s="404">
        <f>SUM($AS$4:AS618)</f>
        <v>3495.2641428571374</v>
      </c>
      <c r="BE618" s="405">
        <f>SUM($AR$4:AR618)</f>
        <v>7629.8853333332963</v>
      </c>
      <c r="BF618" s="330"/>
      <c r="BG618" s="330"/>
    </row>
    <row r="619" spans="1:59" ht="15.75" customHeight="1">
      <c r="A619" s="227" t="s">
        <v>2361</v>
      </c>
      <c r="B619" s="204">
        <v>45072</v>
      </c>
      <c r="C619" s="182" t="s">
        <v>2688</v>
      </c>
      <c r="D619" s="182" t="s">
        <v>93</v>
      </c>
      <c r="E619" s="233"/>
      <c r="F619" s="184"/>
      <c r="G619" s="291" t="s">
        <v>75</v>
      </c>
      <c r="H619" s="186"/>
      <c r="I619" s="186"/>
      <c r="J619" s="186"/>
      <c r="K619" s="187"/>
      <c r="L619" s="186">
        <v>1</v>
      </c>
      <c r="M619" s="186"/>
      <c r="N619" s="186"/>
      <c r="O619" s="187" t="s">
        <v>76</v>
      </c>
      <c r="P619" s="187" t="s">
        <v>77</v>
      </c>
      <c r="Q619" s="187" t="s">
        <v>78</v>
      </c>
      <c r="R619" s="187">
        <v>5</v>
      </c>
      <c r="S619" s="187">
        <v>0</v>
      </c>
      <c r="T619" s="187">
        <v>5</v>
      </c>
      <c r="U619" s="187" t="s">
        <v>78</v>
      </c>
      <c r="V619" s="188">
        <f t="shared" ref="V619" si="967">IF(ISBLANK(O619),"",(IF(O619=UPPER("IB"),0.005,0.01)))</f>
        <v>0.01</v>
      </c>
      <c r="W619" s="189">
        <f t="shared" ref="W619" si="968">IF(ISBLANK(O619),"",IF(O619="IB",8.63*200,IF(O619="IR",16*100,IF(O619="YT",20*100,IF(O619="YT-XT",24*200,IF(O619="TED",80*100))))))</f>
        <v>1600</v>
      </c>
      <c r="X619" s="189" t="s">
        <v>980</v>
      </c>
      <c r="Y619" s="189"/>
      <c r="Z619" s="189"/>
      <c r="AA619" s="190">
        <v>0.04</v>
      </c>
      <c r="AB619" s="186"/>
      <c r="AC619" s="344"/>
      <c r="AD619" s="186"/>
      <c r="AE619" s="186"/>
      <c r="AF619" s="186"/>
      <c r="AG619" s="186"/>
      <c r="AH619" s="186"/>
      <c r="AI619" s="191">
        <f t="shared" si="955"/>
        <v>-32</v>
      </c>
      <c r="AJ619" s="191">
        <f t="shared" si="956"/>
        <v>-160</v>
      </c>
      <c r="AK619" s="186"/>
      <c r="AL619" s="186"/>
      <c r="AM619" s="186" t="s">
        <v>1681</v>
      </c>
      <c r="AN619" s="344" t="s">
        <v>87</v>
      </c>
      <c r="AO619" s="186" t="s">
        <v>1103</v>
      </c>
      <c r="AP619" s="193">
        <v>0.04</v>
      </c>
      <c r="AQ619" s="193">
        <f t="shared" si="964"/>
        <v>0</v>
      </c>
      <c r="AR619" s="191">
        <f t="shared" si="965"/>
        <v>0</v>
      </c>
      <c r="AS619" s="194">
        <f t="shared" si="966"/>
        <v>0</v>
      </c>
      <c r="AT619" s="195" t="s">
        <v>97</v>
      </c>
      <c r="AU619" s="425"/>
      <c r="AV619" s="425"/>
      <c r="AW619" s="425"/>
      <c r="AX619" s="437"/>
      <c r="AY619" s="425"/>
      <c r="AZ619" s="425"/>
      <c r="BA619" s="425"/>
      <c r="BB619" s="425"/>
      <c r="BC619" s="440"/>
      <c r="BD619" s="404">
        <f>SUM($AS$4:AS619)</f>
        <v>3495.2641428571374</v>
      </c>
      <c r="BE619" s="405">
        <f>SUM($AR$4:AR619)</f>
        <v>7629.8853333332963</v>
      </c>
      <c r="BF619" s="330"/>
      <c r="BG619" s="330"/>
    </row>
    <row r="620" spans="1:59" ht="15.75" customHeight="1">
      <c r="A620" s="227" t="s">
        <v>2361</v>
      </c>
      <c r="B620" s="204">
        <v>45072</v>
      </c>
      <c r="C620" s="182" t="s">
        <v>2689</v>
      </c>
      <c r="D620" s="182" t="s">
        <v>93</v>
      </c>
      <c r="E620" s="233"/>
      <c r="F620" s="184"/>
      <c r="G620" s="185" t="s">
        <v>1997</v>
      </c>
      <c r="H620" s="186"/>
      <c r="I620" s="186"/>
      <c r="J620" s="186"/>
      <c r="K620" s="187"/>
      <c r="L620" s="186"/>
      <c r="M620" s="186"/>
      <c r="N620" s="186"/>
      <c r="O620" s="187"/>
      <c r="P620" s="187"/>
      <c r="Q620" s="187"/>
      <c r="R620" s="187"/>
      <c r="S620" s="187"/>
      <c r="T620" s="187"/>
      <c r="U620" s="187"/>
      <c r="V620" s="188"/>
      <c r="W620" s="189"/>
      <c r="X620" s="189"/>
      <c r="Y620" s="189"/>
      <c r="Z620" s="189"/>
      <c r="AA620" s="190"/>
      <c r="AB620" s="186"/>
      <c r="AC620" s="344"/>
      <c r="AD620" s="186"/>
      <c r="AE620" s="186"/>
      <c r="AF620" s="186"/>
      <c r="AG620" s="186"/>
      <c r="AH620" s="186"/>
      <c r="AI620" s="191">
        <f t="shared" si="955"/>
        <v>0</v>
      </c>
      <c r="AJ620" s="191">
        <f t="shared" si="956"/>
        <v>0</v>
      </c>
      <c r="AK620" s="186"/>
      <c r="AL620" s="186"/>
      <c r="AM620" s="186"/>
      <c r="AN620" s="344"/>
      <c r="AO620" s="186"/>
      <c r="AP620" s="193"/>
      <c r="AQ620" s="193">
        <f t="shared" ref="AQ620:AQ621" si="969">IF(ISBLANK(AP620),,IF(U620="S",AA620-AP620,AP620-AA620))</f>
        <v>0</v>
      </c>
      <c r="AR620" s="191">
        <f t="shared" ref="AR620:AR621" si="970">AS620*R620</f>
        <v>0</v>
      </c>
      <c r="AS620" s="194">
        <f t="shared" ref="AS620:AS621" si="971">IF(ISBLANK(AP620),,(AQ620*W620))</f>
        <v>0</v>
      </c>
      <c r="AT620" s="195"/>
      <c r="AU620" s="425"/>
      <c r="AV620" s="425"/>
      <c r="AW620" s="425"/>
      <c r="AX620" s="437"/>
      <c r="AY620" s="425"/>
      <c r="AZ620" s="425"/>
      <c r="BA620" s="425"/>
      <c r="BB620" s="425"/>
      <c r="BC620" s="440"/>
      <c r="BD620" s="404">
        <f>SUM($AS$4:AS620)</f>
        <v>3495.2641428571374</v>
      </c>
      <c r="BE620" s="405">
        <f>SUM($AR$4:AR620)</f>
        <v>7629.8853333332963</v>
      </c>
      <c r="BF620" s="330"/>
      <c r="BG620" s="330"/>
    </row>
    <row r="621" spans="1:59" ht="15.75" customHeight="1">
      <c r="A621" s="227" t="s">
        <v>2361</v>
      </c>
      <c r="B621" s="204">
        <v>45072</v>
      </c>
      <c r="C621" s="182" t="s">
        <v>2689</v>
      </c>
      <c r="D621" s="182" t="s">
        <v>93</v>
      </c>
      <c r="E621" s="233"/>
      <c r="F621" s="184"/>
      <c r="G621" s="291" t="s">
        <v>2126</v>
      </c>
      <c r="H621" s="186"/>
      <c r="I621" s="186"/>
      <c r="J621" s="186"/>
      <c r="K621" s="187"/>
      <c r="L621" s="186">
        <v>1</v>
      </c>
      <c r="M621" s="186"/>
      <c r="N621" s="186"/>
      <c r="O621" s="187" t="s">
        <v>76</v>
      </c>
      <c r="P621" s="187" t="s">
        <v>77</v>
      </c>
      <c r="Q621" s="187" t="s">
        <v>78</v>
      </c>
      <c r="R621" s="187">
        <v>5</v>
      </c>
      <c r="S621" s="187">
        <v>0</v>
      </c>
      <c r="T621" s="187">
        <v>5</v>
      </c>
      <c r="U621" s="187" t="s">
        <v>78</v>
      </c>
      <c r="V621" s="188">
        <f t="shared" ref="V621" si="972">IF(ISBLANK(O621),"",(IF(O621=UPPER("IB"),0.005,0.01)))</f>
        <v>0.01</v>
      </c>
      <c r="W621" s="189">
        <f t="shared" ref="W621:W629" si="973">IF(ISBLANK(O621),"",IF(O621="IB",8.63*200,IF(O621="IR",16*100,IF(O621="YT",20*100,IF(O621="YT-XT",24*200,IF(O621="TED",80*100))))))</f>
        <v>1600</v>
      </c>
      <c r="X621" s="189" t="s">
        <v>980</v>
      </c>
      <c r="Y621" s="189"/>
      <c r="Z621" s="189" t="s">
        <v>2690</v>
      </c>
      <c r="AA621" s="190">
        <v>-0.08</v>
      </c>
      <c r="AB621" s="186"/>
      <c r="AC621" s="344"/>
      <c r="AD621" s="186"/>
      <c r="AE621" s="186"/>
      <c r="AF621" s="186"/>
      <c r="AG621" s="186"/>
      <c r="AH621" s="186"/>
      <c r="AI621" s="191">
        <f t="shared" si="955"/>
        <v>-32</v>
      </c>
      <c r="AJ621" s="191">
        <f t="shared" si="956"/>
        <v>-160</v>
      </c>
      <c r="AK621" s="186"/>
      <c r="AL621" s="186"/>
      <c r="AM621" s="186" t="s">
        <v>2691</v>
      </c>
      <c r="AN621" s="344" t="s">
        <v>87</v>
      </c>
      <c r="AO621" s="186" t="s">
        <v>2692</v>
      </c>
      <c r="AP621" s="193">
        <v>-0.09</v>
      </c>
      <c r="AQ621" s="193">
        <f t="shared" si="969"/>
        <v>9.999999999999995E-3</v>
      </c>
      <c r="AR621" s="191">
        <f t="shared" si="970"/>
        <v>79.999999999999972</v>
      </c>
      <c r="AS621" s="194">
        <f t="shared" si="971"/>
        <v>15.999999999999993</v>
      </c>
      <c r="AT621" s="195" t="s">
        <v>77</v>
      </c>
      <c r="AU621" s="425"/>
      <c r="AV621" s="425"/>
      <c r="AW621" s="425"/>
      <c r="AX621" s="425"/>
      <c r="AY621" s="425"/>
      <c r="AZ621" s="425"/>
      <c r="BA621" s="425"/>
      <c r="BB621" s="425"/>
      <c r="BC621" s="440"/>
      <c r="BD621" s="404">
        <f>SUM($AS$4:AS621)</f>
        <v>3511.2641428571374</v>
      </c>
      <c r="BE621" s="405">
        <f>SUM($AR$4:AR621)</f>
        <v>7709.8853333332963</v>
      </c>
      <c r="BF621" s="330"/>
      <c r="BG621" s="330"/>
    </row>
    <row r="622" spans="1:59" ht="15.75" customHeight="1">
      <c r="A622" s="181"/>
      <c r="B622" s="204">
        <v>45072</v>
      </c>
      <c r="C622" s="182" t="s">
        <v>2510</v>
      </c>
      <c r="D622" s="182" t="s">
        <v>93</v>
      </c>
      <c r="E622" s="233"/>
      <c r="F622" s="184"/>
      <c r="G622" s="185" t="s">
        <v>2051</v>
      </c>
      <c r="H622" s="186"/>
      <c r="I622" s="186"/>
      <c r="J622" s="186"/>
      <c r="K622" s="187"/>
      <c r="L622" s="186"/>
      <c r="M622" s="186"/>
      <c r="N622" s="186"/>
      <c r="O622" s="187"/>
      <c r="P622" s="187"/>
      <c r="Q622" s="187"/>
      <c r="R622" s="187"/>
      <c r="S622" s="187"/>
      <c r="T622" s="187"/>
      <c r="U622" s="187"/>
      <c r="V622" s="188"/>
      <c r="W622" s="189"/>
      <c r="X622" s="189"/>
      <c r="Y622" s="189"/>
      <c r="Z622" s="189"/>
      <c r="AA622" s="190"/>
      <c r="AB622" s="186"/>
      <c r="AC622" s="344"/>
      <c r="AD622" s="186"/>
      <c r="AE622" s="186"/>
      <c r="AF622" s="186"/>
      <c r="AG622" s="186"/>
      <c r="AH622" s="186"/>
      <c r="AI622" s="191"/>
      <c r="AJ622" s="191"/>
      <c r="AK622" s="186"/>
      <c r="AL622" s="186"/>
      <c r="AM622" s="186"/>
      <c r="AN622" s="344"/>
      <c r="AO622" s="186"/>
      <c r="AP622" s="193"/>
      <c r="AQ622" s="193"/>
      <c r="AR622" s="191"/>
      <c r="AS622" s="194"/>
      <c r="AT622" s="195"/>
      <c r="AU622" s="425"/>
      <c r="AV622" s="425"/>
      <c r="AW622" s="425"/>
      <c r="AX622" s="425"/>
      <c r="AY622" s="425"/>
      <c r="AZ622" s="425"/>
      <c r="BA622" s="425"/>
      <c r="BB622" s="425"/>
      <c r="BC622" s="440"/>
      <c r="BD622" s="404"/>
      <c r="BE622" s="405">
        <f>SUM($AR$4:AR622)</f>
        <v>7709.8853333332963</v>
      </c>
      <c r="BF622" s="330"/>
      <c r="BG622" s="330"/>
    </row>
    <row r="623" spans="1:59" ht="15.75" customHeight="1">
      <c r="A623" s="227" t="s">
        <v>2361</v>
      </c>
      <c r="B623" s="204">
        <v>45072</v>
      </c>
      <c r="C623" s="182" t="s">
        <v>2062</v>
      </c>
      <c r="D623" s="182" t="s">
        <v>93</v>
      </c>
      <c r="E623" s="233" t="s">
        <v>2693</v>
      </c>
      <c r="F623" s="184" t="s">
        <v>2694</v>
      </c>
      <c r="G623" s="185"/>
      <c r="H623" s="186"/>
      <c r="I623" s="186"/>
      <c r="J623" s="186">
        <v>1</v>
      </c>
      <c r="K623" s="187" t="s">
        <v>97</v>
      </c>
      <c r="L623" s="186"/>
      <c r="M623" s="186"/>
      <c r="N623" s="186"/>
      <c r="O623" s="187"/>
      <c r="P623" s="187"/>
      <c r="Q623" s="187"/>
      <c r="R623" s="187"/>
      <c r="S623" s="187"/>
      <c r="T623" s="187"/>
      <c r="U623" s="187"/>
      <c r="V623" s="187"/>
      <c r="W623" s="189" t="str">
        <f t="shared" si="973"/>
        <v/>
      </c>
      <c r="X623" s="189"/>
      <c r="Y623" s="189"/>
      <c r="Z623" s="189"/>
      <c r="AA623" s="190"/>
      <c r="AB623" s="186"/>
      <c r="AC623" s="344"/>
      <c r="AD623" s="186"/>
      <c r="AE623" s="186"/>
      <c r="AF623" s="186"/>
      <c r="AG623" s="186"/>
      <c r="AH623" s="186"/>
      <c r="AI623" s="191"/>
      <c r="AJ623" s="187"/>
      <c r="AK623" s="186"/>
      <c r="AL623" s="186"/>
      <c r="AM623" s="186"/>
      <c r="AN623" s="344"/>
      <c r="AO623" s="186"/>
      <c r="AP623" s="193"/>
      <c r="AQ623" s="193"/>
      <c r="AR623" s="191"/>
      <c r="AS623" s="194"/>
      <c r="AT623" s="195"/>
      <c r="AU623" s="425"/>
      <c r="AV623" s="425"/>
      <c r="AW623" s="425"/>
      <c r="AX623" s="437"/>
      <c r="AY623" s="425"/>
      <c r="AZ623" s="425"/>
      <c r="BA623" s="425"/>
      <c r="BB623" s="425"/>
      <c r="BC623" s="440"/>
      <c r="BD623" s="404">
        <f>SUM($AS$4:AS623)</f>
        <v>3511.2641428571374</v>
      </c>
      <c r="BE623" s="405">
        <f>SUM($AR$4:AR623)</f>
        <v>7709.8853333332963</v>
      </c>
      <c r="BF623" s="330"/>
      <c r="BG623" s="330"/>
    </row>
    <row r="624" spans="1:59" ht="15.75" customHeight="1">
      <c r="A624" s="227" t="s">
        <v>2361</v>
      </c>
      <c r="B624" s="204">
        <v>45072</v>
      </c>
      <c r="C624" s="182"/>
      <c r="D624" s="182" t="s">
        <v>93</v>
      </c>
      <c r="E624" s="233"/>
      <c r="F624" s="184"/>
      <c r="G624" s="455" t="s">
        <v>2045</v>
      </c>
      <c r="H624" s="186"/>
      <c r="I624" s="186"/>
      <c r="J624" s="186"/>
      <c r="K624" s="187"/>
      <c r="L624" s="186"/>
      <c r="M624" s="186"/>
      <c r="N624" s="186"/>
      <c r="O624" s="187"/>
      <c r="P624" s="187"/>
      <c r="Q624" s="187"/>
      <c r="R624" s="187"/>
      <c r="S624" s="187"/>
      <c r="T624" s="187"/>
      <c r="U624" s="187"/>
      <c r="V624" s="188"/>
      <c r="W624" s="189"/>
      <c r="X624" s="189"/>
      <c r="Y624" s="189"/>
      <c r="Z624" s="189"/>
      <c r="AA624" s="190"/>
      <c r="AB624" s="186"/>
      <c r="AC624" s="344"/>
      <c r="AD624" s="186"/>
      <c r="AE624" s="186"/>
      <c r="AF624" s="186"/>
      <c r="AG624" s="186"/>
      <c r="AH624" s="186"/>
      <c r="AI624" s="191"/>
      <c r="AJ624" s="187"/>
      <c r="AK624" s="186"/>
      <c r="AL624" s="186"/>
      <c r="AM624" s="186"/>
      <c r="AN624" s="344"/>
      <c r="AO624" s="186"/>
      <c r="AP624" s="193"/>
      <c r="AQ624" s="193"/>
      <c r="AR624" s="191"/>
      <c r="AS624" s="194"/>
      <c r="AT624" s="195"/>
      <c r="AU624" s="425"/>
      <c r="AV624" s="425"/>
      <c r="AW624" s="425"/>
      <c r="AX624" s="437"/>
      <c r="AY624" s="425"/>
      <c r="AZ624" s="425"/>
      <c r="BA624" s="425"/>
      <c r="BB624" s="425"/>
      <c r="BC624" s="440"/>
      <c r="BD624" s="404">
        <f>SUM($AS$4:AS624)</f>
        <v>3511.2641428571374</v>
      </c>
      <c r="BE624" s="405">
        <f>SUM($AR$4:AR624)</f>
        <v>7709.8853333332963</v>
      </c>
      <c r="BF624" s="330"/>
      <c r="BG624" s="330"/>
    </row>
    <row r="625" spans="1:59" ht="15.75" customHeight="1">
      <c r="A625" s="227" t="s">
        <v>2361</v>
      </c>
      <c r="B625" s="204">
        <v>45072</v>
      </c>
      <c r="C625" s="182" t="s">
        <v>664</v>
      </c>
      <c r="D625" s="182" t="s">
        <v>93</v>
      </c>
      <c r="E625" s="233"/>
      <c r="F625" s="184"/>
      <c r="G625" s="291" t="s">
        <v>1997</v>
      </c>
      <c r="H625" s="186"/>
      <c r="I625" s="186"/>
      <c r="J625" s="186"/>
      <c r="K625" s="187"/>
      <c r="L625" s="186">
        <v>1</v>
      </c>
      <c r="M625" s="186"/>
      <c r="N625" s="186"/>
      <c r="O625" s="187" t="s">
        <v>76</v>
      </c>
      <c r="P625" s="187" t="s">
        <v>119</v>
      </c>
      <c r="Q625" s="187" t="s">
        <v>78</v>
      </c>
      <c r="R625" s="187">
        <v>5</v>
      </c>
      <c r="S625" s="187">
        <v>0</v>
      </c>
      <c r="T625" s="187">
        <v>5</v>
      </c>
      <c r="U625" s="187" t="s">
        <v>22</v>
      </c>
      <c r="V625" s="188">
        <f t="shared" ref="V625" si="974">IF(ISBLANK(O625),"",(IF(O625=UPPER("IB"),0.005,0.01)))</f>
        <v>0.01</v>
      </c>
      <c r="W625" s="189">
        <f t="shared" ref="W625" si="975">IF(ISBLANK(O625),"",IF(O625="IB",8.63*200,IF(O625="IR",16*100,IF(O625="YT",20*100,IF(O625="YT-XT",24*200,IF(O625="TED",80*100))))))</f>
        <v>1600</v>
      </c>
      <c r="X625" s="189"/>
      <c r="Y625" s="189"/>
      <c r="Z625" s="189" t="s">
        <v>2695</v>
      </c>
      <c r="AA625" s="190">
        <v>-0.09</v>
      </c>
      <c r="AB625" s="186"/>
      <c r="AC625" s="344"/>
      <c r="AD625" s="186"/>
      <c r="AE625" s="186"/>
      <c r="AF625" s="186"/>
      <c r="AG625" s="186"/>
      <c r="AH625" s="186"/>
      <c r="AI625" s="191"/>
      <c r="AJ625" s="187"/>
      <c r="AK625" s="186"/>
      <c r="AL625" s="186"/>
      <c r="AM625" s="186" t="s">
        <v>571</v>
      </c>
      <c r="AN625" s="344" t="s">
        <v>97</v>
      </c>
      <c r="AO625" s="186" t="s">
        <v>2696</v>
      </c>
      <c r="AP625" s="193">
        <v>-0.1</v>
      </c>
      <c r="AQ625" s="193">
        <f t="shared" ref="AQ625" si="976">IF(ISBLANK(AP625),,IF(U625="S",AA625-AP625,AP625-AA625))</f>
        <v>-1.0000000000000009E-2</v>
      </c>
      <c r="AR625" s="191">
        <f t="shared" ref="AR625" si="977">AS625*R625</f>
        <v>-80.000000000000071</v>
      </c>
      <c r="AS625" s="194">
        <f t="shared" ref="AS625" si="978">IF(ISBLANK(AP625),,(AQ625*W625))</f>
        <v>-16.000000000000014</v>
      </c>
      <c r="AT625" s="195" t="s">
        <v>211</v>
      </c>
      <c r="AU625" s="427" t="s">
        <v>2697</v>
      </c>
      <c r="AV625" s="425" t="s">
        <v>2698</v>
      </c>
      <c r="AW625" s="425" t="s">
        <v>2699</v>
      </c>
      <c r="AX625" s="425" t="s">
        <v>2700</v>
      </c>
      <c r="AY625" s="425" t="s">
        <v>2701</v>
      </c>
      <c r="AZ625" s="425"/>
      <c r="BA625" s="425"/>
      <c r="BB625" s="425"/>
      <c r="BC625" s="440"/>
      <c r="BD625" s="404">
        <f>SUM($AS$4:AS625)</f>
        <v>3495.2641428571374</v>
      </c>
      <c r="BE625" s="405">
        <f>SUM($AR$4:AR625)</f>
        <v>7629.8853333332963</v>
      </c>
      <c r="BF625" s="330"/>
      <c r="BG625" s="330"/>
    </row>
    <row r="626" spans="1:59" ht="15.75" customHeight="1">
      <c r="A626" s="227" t="s">
        <v>2361</v>
      </c>
      <c r="B626" s="204">
        <v>45072</v>
      </c>
      <c r="C626" s="182" t="s">
        <v>2702</v>
      </c>
      <c r="D626" s="182" t="s">
        <v>93</v>
      </c>
      <c r="E626" s="233"/>
      <c r="F626" s="184"/>
      <c r="G626" s="291" t="s">
        <v>2126</v>
      </c>
      <c r="H626" s="186"/>
      <c r="I626" s="186"/>
      <c r="J626" s="186"/>
      <c r="K626" s="187"/>
      <c r="L626" s="186">
        <v>1</v>
      </c>
      <c r="M626" s="186"/>
      <c r="N626" s="186"/>
      <c r="O626" s="187" t="s">
        <v>76</v>
      </c>
      <c r="P626" s="187" t="s">
        <v>119</v>
      </c>
      <c r="Q626" s="187" t="s">
        <v>78</v>
      </c>
      <c r="R626" s="187">
        <v>5</v>
      </c>
      <c r="S626" s="187">
        <v>0</v>
      </c>
      <c r="T626" s="187">
        <v>5</v>
      </c>
      <c r="U626" s="187" t="s">
        <v>22</v>
      </c>
      <c r="V626" s="188">
        <f t="shared" ref="V626" si="979">IF(ISBLANK(O626),"",(IF(O626=UPPER("IB"),0.005,0.01)))</f>
        <v>0.01</v>
      </c>
      <c r="W626" s="189">
        <f t="shared" ref="W626" si="980">IF(ISBLANK(O626),"",IF(O626="IB",8.63*200,IF(O626="IR",16*100,IF(O626="YT",20*100,IF(O626="YT-XT",24*200,IF(O626="TED",80*100))))))</f>
        <v>1600</v>
      </c>
      <c r="X626" s="189"/>
      <c r="Y626" s="427" t="s">
        <v>2703</v>
      </c>
      <c r="Z626" s="189" t="s">
        <v>511</v>
      </c>
      <c r="AA626" s="190">
        <v>-0.1</v>
      </c>
      <c r="AB626" s="186"/>
      <c r="AC626" s="344"/>
      <c r="AD626" s="186"/>
      <c r="AE626" s="186"/>
      <c r="AF626" s="186"/>
      <c r="AG626" s="186"/>
      <c r="AH626" s="186"/>
      <c r="AI626" s="191"/>
      <c r="AJ626" s="187"/>
      <c r="AK626" s="186"/>
      <c r="AL626" s="186"/>
      <c r="AM626" s="186" t="s">
        <v>924</v>
      </c>
      <c r="AN626" s="344" t="s">
        <v>87</v>
      </c>
      <c r="AO626" s="186" t="s">
        <v>2704</v>
      </c>
      <c r="AP626" s="193">
        <v>-0.09</v>
      </c>
      <c r="AQ626" s="193">
        <f t="shared" ref="AQ626" si="981">IF(ISBLANK(AP626),,IF(U626="S",AA626-AP626,AP626-AA626))</f>
        <v>1.0000000000000009E-2</v>
      </c>
      <c r="AR626" s="191">
        <f t="shared" ref="AR626" si="982">AS626*R626</f>
        <v>80.000000000000071</v>
      </c>
      <c r="AS626" s="194">
        <f t="shared" ref="AS626" si="983">IF(ISBLANK(AP626),,(AQ626*W626))</f>
        <v>16.000000000000014</v>
      </c>
      <c r="AT626" s="195" t="s">
        <v>77</v>
      </c>
      <c r="AU626" s="425" t="s">
        <v>2705</v>
      </c>
      <c r="AV626" s="425"/>
      <c r="AW626" s="425"/>
      <c r="AX626" s="425"/>
      <c r="AY626" s="425"/>
      <c r="AZ626" s="425"/>
      <c r="BA626" s="425"/>
      <c r="BB626" s="425"/>
      <c r="BC626" s="440"/>
      <c r="BD626" s="404">
        <f>SUM($AS$4:AS626)</f>
        <v>3511.2641428571374</v>
      </c>
      <c r="BE626" s="405">
        <f>SUM($AR$4:AR626)</f>
        <v>7709.8853333332963</v>
      </c>
      <c r="BF626" s="330"/>
      <c r="BG626" s="330"/>
    </row>
    <row r="627" spans="1:59" ht="15.75" customHeight="1">
      <c r="A627" s="227" t="s">
        <v>2361</v>
      </c>
      <c r="B627" s="204">
        <v>45072</v>
      </c>
      <c r="C627" s="182" t="s">
        <v>1695</v>
      </c>
      <c r="D627" s="182" t="s">
        <v>93</v>
      </c>
      <c r="E627" s="233" t="s">
        <v>2706</v>
      </c>
      <c r="F627" s="184" t="s">
        <v>2707</v>
      </c>
      <c r="G627" s="185"/>
      <c r="H627" s="186">
        <v>1</v>
      </c>
      <c r="I627" s="186"/>
      <c r="J627" s="186"/>
      <c r="K627" s="187" t="s">
        <v>87</v>
      </c>
      <c r="L627" s="186"/>
      <c r="M627" s="186"/>
      <c r="N627" s="186"/>
      <c r="O627" s="187"/>
      <c r="P627" s="187"/>
      <c r="Q627" s="187"/>
      <c r="R627" s="187"/>
      <c r="S627" s="187"/>
      <c r="T627" s="187"/>
      <c r="U627" s="187"/>
      <c r="V627" s="187"/>
      <c r="W627" s="189" t="str">
        <f t="shared" si="973"/>
        <v/>
      </c>
      <c r="X627" s="189"/>
      <c r="Y627" s="189"/>
      <c r="Z627" s="189"/>
      <c r="AA627" s="190"/>
      <c r="AB627" s="186"/>
      <c r="AC627" s="344"/>
      <c r="AD627" s="186"/>
      <c r="AE627" s="186"/>
      <c r="AF627" s="186"/>
      <c r="AG627" s="186"/>
      <c r="AH627" s="186"/>
      <c r="AI627" s="191"/>
      <c r="AJ627" s="187"/>
      <c r="AK627" s="186"/>
      <c r="AL627" s="186"/>
      <c r="AM627" s="186"/>
      <c r="AN627" s="344"/>
      <c r="AO627" s="186"/>
      <c r="AP627" s="193"/>
      <c r="AQ627" s="193">
        <f t="shared" ref="AQ627:AQ628" si="984">IF(ISBLANK(AP627),,IF(U627="S",AA627-AP627,AP627-AA627))</f>
        <v>0</v>
      </c>
      <c r="AR627" s="191">
        <f t="shared" ref="AR627:AR628" si="985">AS627*R627</f>
        <v>0</v>
      </c>
      <c r="AS627" s="194">
        <f t="shared" ref="AS627:AS628" si="986">IF(ISBLANK(AP627),,(AQ627*W627))</f>
        <v>0</v>
      </c>
      <c r="AT627" s="195"/>
      <c r="AU627" s="425"/>
      <c r="AV627" s="425"/>
      <c r="AW627" s="425"/>
      <c r="AX627" s="437"/>
      <c r="AY627" s="425"/>
      <c r="AZ627" s="425"/>
      <c r="BA627" s="425"/>
      <c r="BB627" s="425"/>
      <c r="BC627" s="440"/>
      <c r="BD627" s="404">
        <f>SUM($AS$4:AS627)</f>
        <v>3511.2641428571374</v>
      </c>
      <c r="BE627" s="405">
        <f>SUM($AR$4:AR627)</f>
        <v>7709.8853333332963</v>
      </c>
      <c r="BF627" s="330"/>
      <c r="BG627" s="330"/>
    </row>
    <row r="628" spans="1:59" ht="15.75" customHeight="1">
      <c r="A628" s="227" t="s">
        <v>2361</v>
      </c>
      <c r="B628" s="204">
        <v>45075</v>
      </c>
      <c r="C628" s="182" t="s">
        <v>1552</v>
      </c>
      <c r="D628" s="182" t="s">
        <v>114</v>
      </c>
      <c r="E628" s="233"/>
      <c r="F628" s="184"/>
      <c r="G628" s="291" t="s">
        <v>2526</v>
      </c>
      <c r="H628" s="186"/>
      <c r="I628" s="186"/>
      <c r="J628" s="186"/>
      <c r="K628" s="187"/>
      <c r="L628" s="186">
        <v>1</v>
      </c>
      <c r="M628" s="186"/>
      <c r="N628" s="186"/>
      <c r="O628" s="187" t="s">
        <v>2240</v>
      </c>
      <c r="P628" s="187" t="s">
        <v>2241</v>
      </c>
      <c r="Q628" s="187"/>
      <c r="R628" s="187">
        <v>1</v>
      </c>
      <c r="S628" s="187">
        <v>0</v>
      </c>
      <c r="T628" s="187">
        <v>1</v>
      </c>
      <c r="U628" s="187" t="s">
        <v>22</v>
      </c>
      <c r="V628" s="188">
        <f t="shared" ref="V628:V629" si="987">IF(ISBLANK(O628),"",(IF(O628=UPPER("IB"),0.005,0.01)))</f>
        <v>0.01</v>
      </c>
      <c r="W628" s="189">
        <f t="shared" si="973"/>
        <v>4800</v>
      </c>
      <c r="X628" s="189" t="s">
        <v>2708</v>
      </c>
      <c r="Y628" s="189"/>
      <c r="Z628" s="189"/>
      <c r="AA628" s="190">
        <v>0.27500000000000002</v>
      </c>
      <c r="AB628" s="186"/>
      <c r="AC628" s="344"/>
      <c r="AD628" s="186"/>
      <c r="AE628" s="186"/>
      <c r="AF628" s="186"/>
      <c r="AG628" s="186"/>
      <c r="AH628" s="186"/>
      <c r="AI628" s="191"/>
      <c r="AJ628" s="187"/>
      <c r="AK628" s="186"/>
      <c r="AL628" s="186"/>
      <c r="AM628" s="186" t="s">
        <v>786</v>
      </c>
      <c r="AN628" s="344" t="s">
        <v>97</v>
      </c>
      <c r="AO628" s="186" t="s">
        <v>2709</v>
      </c>
      <c r="AP628" s="193">
        <v>0.27</v>
      </c>
      <c r="AQ628" s="193">
        <f t="shared" si="984"/>
        <v>-5.0000000000000044E-3</v>
      </c>
      <c r="AR628" s="191">
        <f t="shared" si="985"/>
        <v>-24.000000000000021</v>
      </c>
      <c r="AS628" s="194">
        <f t="shared" si="986"/>
        <v>-24.000000000000021</v>
      </c>
      <c r="AT628" s="195" t="s">
        <v>211</v>
      </c>
      <c r="AU628" s="425" t="s">
        <v>2710</v>
      </c>
      <c r="AV628" s="425"/>
      <c r="AW628" s="425"/>
      <c r="AX628" s="425"/>
      <c r="AY628" s="425"/>
      <c r="AZ628" s="425"/>
      <c r="BA628" s="425"/>
      <c r="BB628" s="425"/>
      <c r="BC628" s="440"/>
      <c r="BD628" s="404">
        <f>SUM($AS$4:AS628)</f>
        <v>3487.2641428571374</v>
      </c>
      <c r="BE628" s="405">
        <f>SUM($AR$4:AR628)</f>
        <v>7685.8853333332963</v>
      </c>
      <c r="BF628" s="330"/>
      <c r="BG628" s="330"/>
    </row>
    <row r="629" spans="1:59" ht="15.75" customHeight="1">
      <c r="A629" s="227" t="s">
        <v>2361</v>
      </c>
      <c r="B629" s="204">
        <v>45075</v>
      </c>
      <c r="C629" s="182" t="s">
        <v>2711</v>
      </c>
      <c r="D629" s="182" t="s">
        <v>114</v>
      </c>
      <c r="E629" s="233"/>
      <c r="F629" s="184"/>
      <c r="G629" s="291" t="s">
        <v>75</v>
      </c>
      <c r="H629" s="186"/>
      <c r="I629" s="186"/>
      <c r="J629" s="186"/>
      <c r="K629" s="187"/>
      <c r="L629" s="186">
        <v>1</v>
      </c>
      <c r="M629" s="186"/>
      <c r="N629" s="186"/>
      <c r="O629" s="187" t="s">
        <v>76</v>
      </c>
      <c r="P629" s="187" t="s">
        <v>77</v>
      </c>
      <c r="Q629" s="187" t="s">
        <v>78</v>
      </c>
      <c r="R629" s="187">
        <v>5</v>
      </c>
      <c r="S629" s="187">
        <v>0</v>
      </c>
      <c r="T629" s="187">
        <v>5</v>
      </c>
      <c r="U629" s="187" t="s">
        <v>22</v>
      </c>
      <c r="V629" s="188">
        <f t="shared" si="987"/>
        <v>0.01</v>
      </c>
      <c r="W629" s="189">
        <f t="shared" si="973"/>
        <v>1600</v>
      </c>
      <c r="X629" s="189" t="s">
        <v>80</v>
      </c>
      <c r="Y629" s="189"/>
      <c r="Z629" s="189"/>
      <c r="AA629" s="190">
        <v>0</v>
      </c>
      <c r="AB629" s="186"/>
      <c r="AC629" s="344"/>
      <c r="AD629" s="186"/>
      <c r="AE629" s="186"/>
      <c r="AF629" s="186"/>
      <c r="AG629" s="186"/>
      <c r="AH629" s="186"/>
      <c r="AI629" s="191">
        <f t="shared" ref="AI629" si="988">-0.02*W629</f>
        <v>-32</v>
      </c>
      <c r="AJ629" s="191">
        <f t="shared" ref="AJ629" si="989">AI629*(R629-S629)</f>
        <v>-160</v>
      </c>
      <c r="AK629" s="186"/>
      <c r="AL629" s="186"/>
      <c r="AM629" s="186" t="s">
        <v>2712</v>
      </c>
      <c r="AN629" s="344" t="s">
        <v>87</v>
      </c>
      <c r="AO629" s="308" t="s">
        <v>2713</v>
      </c>
      <c r="AP629" s="193">
        <v>0.01</v>
      </c>
      <c r="AQ629" s="193">
        <f t="shared" ref="AQ629" si="990">IF(ISBLANK(AP629),,IF(U629="S",AA629-AP629,AP629-AA629))</f>
        <v>0.01</v>
      </c>
      <c r="AR629" s="191">
        <f t="shared" ref="AR629" si="991">AS629*R629</f>
        <v>80</v>
      </c>
      <c r="AS629" s="194">
        <f t="shared" ref="AS629" si="992">IF(ISBLANK(AP629),,(AQ629*W629))</f>
        <v>16</v>
      </c>
      <c r="AT629" s="195" t="s">
        <v>77</v>
      </c>
      <c r="AU629" s="425"/>
      <c r="AV629" s="425"/>
      <c r="AW629" s="425"/>
      <c r="AX629" s="425"/>
      <c r="AY629" s="425"/>
      <c r="AZ629" s="425"/>
      <c r="BA629" s="425"/>
      <c r="BB629" s="425"/>
      <c r="BC629" s="440"/>
      <c r="BD629" s="404">
        <f>SUM($AS$4:AS629)</f>
        <v>3503.2641428571374</v>
      </c>
      <c r="BE629" s="405">
        <f>SUM($AR$4:AR629)</f>
        <v>7765.8853333332963</v>
      </c>
      <c r="BF629" s="330"/>
      <c r="BG629" s="330"/>
    </row>
    <row r="630" spans="1:59" ht="15.75" customHeight="1">
      <c r="A630" s="227" t="s">
        <v>2361</v>
      </c>
      <c r="B630" s="204">
        <v>45076</v>
      </c>
      <c r="C630" s="182" t="s">
        <v>2714</v>
      </c>
      <c r="D630" s="182" t="s">
        <v>128</v>
      </c>
      <c r="E630" s="233"/>
      <c r="F630" s="184"/>
      <c r="G630" s="185" t="s">
        <v>163</v>
      </c>
      <c r="H630" s="186"/>
      <c r="I630" s="186"/>
      <c r="J630" s="186"/>
      <c r="K630" s="187"/>
      <c r="L630" s="186"/>
      <c r="M630" s="186"/>
      <c r="N630" s="186"/>
      <c r="O630" s="187"/>
      <c r="P630" s="187"/>
      <c r="Q630" s="187"/>
      <c r="R630" s="187"/>
      <c r="S630" s="187"/>
      <c r="T630" s="187"/>
      <c r="U630" s="187"/>
      <c r="V630" s="188"/>
      <c r="W630" s="189"/>
      <c r="X630" s="189"/>
      <c r="Y630" s="189"/>
      <c r="Z630" s="189"/>
      <c r="AA630" s="190"/>
      <c r="AB630" s="186"/>
      <c r="AC630" s="344"/>
      <c r="AD630" s="186"/>
      <c r="AE630" s="186"/>
      <c r="AF630" s="186"/>
      <c r="AG630" s="186"/>
      <c r="AH630" s="186"/>
      <c r="AI630" s="191">
        <f t="shared" ref="AI630:AI633" si="993">-0.02*W630</f>
        <v>0</v>
      </c>
      <c r="AJ630" s="191">
        <f t="shared" ref="AJ630:AJ633" si="994">AI630*(R630-S630)</f>
        <v>0</v>
      </c>
      <c r="AK630" s="186"/>
      <c r="AL630" s="186"/>
      <c r="AM630" s="186"/>
      <c r="AN630" s="344"/>
      <c r="AO630" s="186"/>
      <c r="AP630" s="193"/>
      <c r="AQ630" s="193"/>
      <c r="AR630" s="191"/>
      <c r="AS630" s="194"/>
      <c r="AT630" s="195"/>
      <c r="AU630" s="425"/>
      <c r="AV630" s="425"/>
      <c r="AW630" s="425"/>
      <c r="AX630" s="425"/>
      <c r="AY630" s="425"/>
      <c r="AZ630" s="425"/>
      <c r="BA630" s="425"/>
      <c r="BB630" s="425"/>
      <c r="BC630" s="440"/>
      <c r="BD630" s="404">
        <f>SUM($AS$4:AS630)</f>
        <v>3503.2641428571374</v>
      </c>
      <c r="BE630" s="405">
        <f>SUM($AR$4:AR630)</f>
        <v>7765.8853333332963</v>
      </c>
      <c r="BF630" s="330"/>
      <c r="BG630" s="330"/>
    </row>
    <row r="631" spans="1:59" ht="15.75" customHeight="1">
      <c r="A631" s="227" t="s">
        <v>2361</v>
      </c>
      <c r="B631" s="204">
        <v>45076</v>
      </c>
      <c r="C631" s="182"/>
      <c r="D631" s="182" t="s">
        <v>128</v>
      </c>
      <c r="E631" s="233"/>
      <c r="F631" s="184"/>
      <c r="G631" s="185" t="s">
        <v>1997</v>
      </c>
      <c r="H631" s="186"/>
      <c r="I631" s="186"/>
      <c r="J631" s="186"/>
      <c r="K631" s="187"/>
      <c r="L631" s="186"/>
      <c r="M631" s="186"/>
      <c r="N631" s="186"/>
      <c r="O631" s="187"/>
      <c r="P631" s="187"/>
      <c r="Q631" s="187"/>
      <c r="R631" s="187"/>
      <c r="S631" s="187"/>
      <c r="T631" s="187"/>
      <c r="U631" s="187"/>
      <c r="V631" s="188"/>
      <c r="W631" s="189"/>
      <c r="X631" s="189"/>
      <c r="Y631" s="189"/>
      <c r="Z631" s="189"/>
      <c r="AA631" s="190"/>
      <c r="AB631" s="186"/>
      <c r="AC631" s="344"/>
      <c r="AD631" s="186"/>
      <c r="AE631" s="186"/>
      <c r="AF631" s="186"/>
      <c r="AG631" s="186"/>
      <c r="AH631" s="186"/>
      <c r="AI631" s="191">
        <f t="shared" si="993"/>
        <v>0</v>
      </c>
      <c r="AJ631" s="191">
        <f t="shared" si="994"/>
        <v>0</v>
      </c>
      <c r="AK631" s="186"/>
      <c r="AL631" s="186"/>
      <c r="AM631" s="186"/>
      <c r="AN631" s="344"/>
      <c r="AO631" s="186"/>
      <c r="AP631" s="193"/>
      <c r="AQ631" s="193"/>
      <c r="AR631" s="191"/>
      <c r="AS631" s="194"/>
      <c r="AT631" s="195"/>
      <c r="AU631" s="425"/>
      <c r="AV631" s="425"/>
      <c r="AW631" s="425"/>
      <c r="AX631" s="425"/>
      <c r="AY631" s="425"/>
      <c r="AZ631" s="425"/>
      <c r="BA631" s="425"/>
      <c r="BB631" s="425"/>
      <c r="BC631" s="440"/>
      <c r="BD631" s="404">
        <f>SUM($AS$4:AS631)</f>
        <v>3503.2641428571374</v>
      </c>
      <c r="BE631" s="405">
        <f>SUM($AR$4:AR631)</f>
        <v>7765.8853333332963</v>
      </c>
      <c r="BF631" s="330"/>
      <c r="BG631" s="330"/>
    </row>
    <row r="632" spans="1:59" ht="15.75" customHeight="1">
      <c r="A632" s="227" t="s">
        <v>2715</v>
      </c>
      <c r="B632" s="204">
        <v>45076</v>
      </c>
      <c r="C632" s="182" t="s">
        <v>2001</v>
      </c>
      <c r="D632" s="182" t="s">
        <v>128</v>
      </c>
      <c r="E632" s="479" t="s">
        <v>2716</v>
      </c>
      <c r="F632" s="184" t="s">
        <v>2717</v>
      </c>
      <c r="G632" s="185"/>
      <c r="H632" s="186"/>
      <c r="I632" s="186"/>
      <c r="J632" s="186">
        <v>1</v>
      </c>
      <c r="K632" s="187" t="s">
        <v>97</v>
      </c>
      <c r="L632" s="186"/>
      <c r="M632" s="186"/>
      <c r="N632" s="186"/>
      <c r="O632" s="187"/>
      <c r="P632" s="187"/>
      <c r="Q632" s="187"/>
      <c r="R632" s="187"/>
      <c r="S632" s="187"/>
      <c r="T632" s="187"/>
      <c r="U632" s="187"/>
      <c r="V632" s="282"/>
      <c r="W632" s="187"/>
      <c r="X632" s="189"/>
      <c r="Y632" s="189"/>
      <c r="Z632" s="189"/>
      <c r="AA632" s="190"/>
      <c r="AB632" s="186"/>
      <c r="AC632" s="344"/>
      <c r="AD632" s="186"/>
      <c r="AE632" s="186"/>
      <c r="AF632" s="186"/>
      <c r="AG632" s="186"/>
      <c r="AH632" s="186"/>
      <c r="AI632" s="191"/>
      <c r="AJ632" s="191"/>
      <c r="AK632" s="186"/>
      <c r="AL632" s="186"/>
      <c r="AM632" s="186"/>
      <c r="AN632" s="344"/>
      <c r="AO632" s="186"/>
      <c r="AP632" s="193"/>
      <c r="AQ632" s="193">
        <f t="shared" ref="AQ632:AQ635" si="995">IF(ISBLANK(AP632),,IF(U632="S",AA632-AP632,AP632-AA632))</f>
        <v>0</v>
      </c>
      <c r="AR632" s="191">
        <f t="shared" ref="AR632:AR635" si="996">AS632*R632</f>
        <v>0</v>
      </c>
      <c r="AS632" s="194">
        <f t="shared" ref="AS632:AS635" si="997">IF(ISBLANK(AP632),,(AQ632*W632))</f>
        <v>0</v>
      </c>
      <c r="AT632" s="195"/>
      <c r="AU632" s="425"/>
      <c r="AV632" s="425"/>
      <c r="AW632" s="425"/>
      <c r="AX632" s="425"/>
      <c r="AY632" s="425"/>
      <c r="AZ632" s="425"/>
      <c r="BA632" s="425"/>
      <c r="BB632" s="425"/>
      <c r="BC632" s="440"/>
      <c r="BD632" s="404"/>
      <c r="BE632" s="405">
        <f>SUM($AR$4:AR632)</f>
        <v>7765.8853333332963</v>
      </c>
      <c r="BF632" s="330"/>
      <c r="BG632" s="330"/>
    </row>
    <row r="633" spans="1:59" ht="15.75" customHeight="1">
      <c r="A633" s="227" t="s">
        <v>2361</v>
      </c>
      <c r="B633" s="204">
        <v>45076</v>
      </c>
      <c r="C633" s="182" t="s">
        <v>2001</v>
      </c>
      <c r="D633" s="182" t="s">
        <v>128</v>
      </c>
      <c r="E633" s="233"/>
      <c r="F633" s="184"/>
      <c r="G633" s="291" t="s">
        <v>2051</v>
      </c>
      <c r="H633" s="186"/>
      <c r="I633" s="186"/>
      <c r="J633" s="186"/>
      <c r="K633" s="187"/>
      <c r="L633" s="186">
        <v>1</v>
      </c>
      <c r="M633" s="186"/>
      <c r="N633" s="186"/>
      <c r="O633" s="187" t="s">
        <v>76</v>
      </c>
      <c r="P633" s="187" t="s">
        <v>119</v>
      </c>
      <c r="Q633" s="187" t="s">
        <v>78</v>
      </c>
      <c r="R633" s="187">
        <v>10</v>
      </c>
      <c r="S633" s="187">
        <v>0</v>
      </c>
      <c r="T633" s="187">
        <v>10</v>
      </c>
      <c r="U633" s="187" t="s">
        <v>78</v>
      </c>
      <c r="V633" s="188">
        <f t="shared" ref="V633" si="998">IF(ISBLANK(O633),"",(IF(O633=UPPER("IB"),0.005,0.01)))</f>
        <v>0.01</v>
      </c>
      <c r="W633" s="189">
        <f t="shared" ref="W633" si="999">IF(ISBLANK(O633),"",IF(O633="IB",8.63*200,IF(O633="IR",16*100,IF(O633="YT",20*100,IF(O633="YT-XT",24*200,IF(O633="TED",80*100))))))</f>
        <v>1600</v>
      </c>
      <c r="X633" s="189" t="s">
        <v>80</v>
      </c>
      <c r="Y633" s="189"/>
      <c r="Z633" s="189"/>
      <c r="AA633" s="190">
        <v>-0.08</v>
      </c>
      <c r="AB633" s="186"/>
      <c r="AC633" s="344"/>
      <c r="AD633" s="186"/>
      <c r="AE633" s="186"/>
      <c r="AF633" s="186"/>
      <c r="AG633" s="186"/>
      <c r="AH633" s="186"/>
      <c r="AI633" s="191">
        <f t="shared" si="993"/>
        <v>-32</v>
      </c>
      <c r="AJ633" s="191">
        <f t="shared" si="994"/>
        <v>-320</v>
      </c>
      <c r="AK633" s="186"/>
      <c r="AL633" s="186"/>
      <c r="AM633" s="186" t="s">
        <v>752</v>
      </c>
      <c r="AN633" s="344" t="s">
        <v>97</v>
      </c>
      <c r="AO633" s="186" t="s">
        <v>2718</v>
      </c>
      <c r="AP633" s="193">
        <v>-0.09</v>
      </c>
      <c r="AQ633" s="193">
        <f t="shared" si="995"/>
        <v>9.999999999999995E-3</v>
      </c>
      <c r="AR633" s="191">
        <f t="shared" si="996"/>
        <v>159.99999999999994</v>
      </c>
      <c r="AS633" s="194">
        <f t="shared" si="997"/>
        <v>15.999999999999993</v>
      </c>
      <c r="AT633" s="195" t="s">
        <v>77</v>
      </c>
      <c r="AU633" s="425"/>
      <c r="AV633" s="425"/>
      <c r="AW633" s="425"/>
      <c r="AX633" s="425"/>
      <c r="AY633" s="425"/>
      <c r="AZ633" s="425"/>
      <c r="BA633" s="425"/>
      <c r="BB633" s="425"/>
      <c r="BC633" s="440"/>
      <c r="BD633" s="404">
        <f>SUM($AS$4:AS633)</f>
        <v>3519.2641428571374</v>
      </c>
      <c r="BE633" s="405">
        <f>SUM($AR$4:AR633)</f>
        <v>7925.8853333332963</v>
      </c>
      <c r="BF633" s="330"/>
      <c r="BG633" s="330"/>
    </row>
    <row r="634" spans="1:59" ht="15.75" customHeight="1">
      <c r="A634" s="227" t="s">
        <v>2361</v>
      </c>
      <c r="B634" s="204">
        <v>45077</v>
      </c>
      <c r="C634" s="182" t="s">
        <v>2062</v>
      </c>
      <c r="D634" s="182" t="s">
        <v>133</v>
      </c>
      <c r="E634" s="233" t="s">
        <v>2719</v>
      </c>
      <c r="F634" s="184" t="s">
        <v>2720</v>
      </c>
      <c r="G634" s="185"/>
      <c r="H634" s="186">
        <v>1</v>
      </c>
      <c r="I634" s="186"/>
      <c r="J634" s="186"/>
      <c r="K634" s="187" t="s">
        <v>87</v>
      </c>
      <c r="L634" s="186"/>
      <c r="M634" s="186"/>
      <c r="N634" s="186"/>
      <c r="O634" s="187"/>
      <c r="P634" s="187"/>
      <c r="Q634" s="187"/>
      <c r="R634" s="187"/>
      <c r="S634" s="187"/>
      <c r="T634" s="187"/>
      <c r="U634" s="187"/>
      <c r="V634" s="187"/>
      <c r="W634" s="189" t="str">
        <f t="shared" ref="W634:W635" si="1000">IF(ISBLANK(O634),"",IF(O634="IB",8.63*200,IF(O634="IR",16*100,IF(O634="YT",20*100,IF(O634="YT-XT",24*200,IF(O634="TED",80*100))))))</f>
        <v/>
      </c>
      <c r="X634" s="189"/>
      <c r="Y634" s="189"/>
      <c r="Z634" s="189"/>
      <c r="AA634" s="190"/>
      <c r="AB634" s="186"/>
      <c r="AC634" s="344"/>
      <c r="AD634" s="186"/>
      <c r="AE634" s="186"/>
      <c r="AF634" s="186"/>
      <c r="AG634" s="186"/>
      <c r="AH634" s="186"/>
      <c r="AI634" s="191"/>
      <c r="AJ634" s="191"/>
      <c r="AK634" s="186"/>
      <c r="AL634" s="186"/>
      <c r="AM634" s="186"/>
      <c r="AN634" s="344"/>
      <c r="AO634" s="186"/>
      <c r="AP634" s="193"/>
      <c r="AQ634" s="193">
        <f t="shared" si="995"/>
        <v>0</v>
      </c>
      <c r="AR634" s="191">
        <f t="shared" si="996"/>
        <v>0</v>
      </c>
      <c r="AS634" s="194">
        <f t="shared" si="997"/>
        <v>0</v>
      </c>
      <c r="AT634" s="195"/>
      <c r="AU634" s="425" t="s">
        <v>2721</v>
      </c>
      <c r="AV634" s="425" t="s">
        <v>2722</v>
      </c>
      <c r="AW634" s="425" t="s">
        <v>2723</v>
      </c>
      <c r="AX634" s="425" t="s">
        <v>2724</v>
      </c>
      <c r="AY634" s="425" t="s">
        <v>2725</v>
      </c>
      <c r="AZ634" s="425" t="s">
        <v>2726</v>
      </c>
      <c r="BA634" s="425" t="s">
        <v>2727</v>
      </c>
      <c r="BB634" s="425" t="s">
        <v>2728</v>
      </c>
      <c r="BC634" s="440"/>
      <c r="BD634" s="404">
        <f>SUM($AS$4:AS634)</f>
        <v>3519.2641428571374</v>
      </c>
      <c r="BE634" s="405">
        <f>SUM($AR$4:AR634)</f>
        <v>7925.8853333332963</v>
      </c>
      <c r="BF634" s="330"/>
      <c r="BG634" s="330"/>
    </row>
    <row r="635" spans="1:59" ht="15.75" customHeight="1">
      <c r="A635" s="227" t="s">
        <v>2361</v>
      </c>
      <c r="B635" s="204">
        <v>45077</v>
      </c>
      <c r="C635" s="182" t="s">
        <v>2062</v>
      </c>
      <c r="D635" s="182" t="s">
        <v>133</v>
      </c>
      <c r="E635" s="233"/>
      <c r="F635" s="184"/>
      <c r="G635" s="185" t="s">
        <v>2412</v>
      </c>
      <c r="H635" s="186"/>
      <c r="I635" s="186"/>
      <c r="J635" s="186"/>
      <c r="K635" s="187"/>
      <c r="L635" s="186">
        <v>1</v>
      </c>
      <c r="M635" s="186"/>
      <c r="N635" s="186"/>
      <c r="O635" s="187" t="s">
        <v>2413</v>
      </c>
      <c r="P635" s="187" t="s">
        <v>2241</v>
      </c>
      <c r="Q635" s="187" t="s">
        <v>666</v>
      </c>
      <c r="R635" s="187">
        <v>1</v>
      </c>
      <c r="S635" s="187">
        <v>0</v>
      </c>
      <c r="T635" s="187">
        <v>1</v>
      </c>
      <c r="U635" s="187" t="s">
        <v>78</v>
      </c>
      <c r="V635" s="188">
        <f t="shared" ref="V635" si="1001">IF(ISBLANK(O635),"",(IF(O635=UPPER("IB"),0.005,0.01)))</f>
        <v>0.01</v>
      </c>
      <c r="W635" s="189">
        <f t="shared" si="1000"/>
        <v>2000</v>
      </c>
      <c r="X635" s="189" t="s">
        <v>1078</v>
      </c>
      <c r="Y635" s="189"/>
      <c r="Z635" s="189"/>
      <c r="AA635" s="190">
        <v>96.56</v>
      </c>
      <c r="AB635" s="186"/>
      <c r="AC635" s="344"/>
      <c r="AD635" s="186"/>
      <c r="AE635" s="186"/>
      <c r="AF635" s="186"/>
      <c r="AG635" s="186"/>
      <c r="AH635" s="186"/>
      <c r="AI635" s="191"/>
      <c r="AJ635" s="191"/>
      <c r="AK635" s="186"/>
      <c r="AL635" s="186"/>
      <c r="AM635" s="186" t="s">
        <v>1731</v>
      </c>
      <c r="AN635" s="344" t="s">
        <v>376</v>
      </c>
      <c r="AO635" s="186" t="s">
        <v>664</v>
      </c>
      <c r="AP635" s="193">
        <v>96.6</v>
      </c>
      <c r="AQ635" s="193">
        <f t="shared" si="995"/>
        <v>-3.9999999999992042E-2</v>
      </c>
      <c r="AR635" s="191">
        <f t="shared" si="996"/>
        <v>-79.999999999984084</v>
      </c>
      <c r="AS635" s="194">
        <f t="shared" si="997"/>
        <v>-79.999999999984084</v>
      </c>
      <c r="AT635" s="195" t="s">
        <v>211</v>
      </c>
      <c r="AU635" s="425" t="s">
        <v>2729</v>
      </c>
      <c r="AV635" s="425"/>
      <c r="AW635" s="425"/>
      <c r="AX635" s="425"/>
      <c r="AY635" s="425"/>
      <c r="AZ635" s="425"/>
      <c r="BA635" s="425"/>
      <c r="BB635" s="425"/>
      <c r="BC635" s="440"/>
      <c r="BD635" s="404">
        <f>SUM($AS$4:AS635)</f>
        <v>3439.2641428571533</v>
      </c>
      <c r="BE635" s="405">
        <f>SUM($AR$4:AR635)</f>
        <v>7845.8853333333118</v>
      </c>
      <c r="BF635" s="330"/>
      <c r="BG635" s="330"/>
    </row>
    <row r="636" spans="1:59" ht="15.75" customHeight="1">
      <c r="A636" s="227" t="s">
        <v>2361</v>
      </c>
      <c r="B636" s="204">
        <v>45077</v>
      </c>
      <c r="C636" s="182" t="s">
        <v>2730</v>
      </c>
      <c r="D636" s="182" t="s">
        <v>133</v>
      </c>
      <c r="E636" s="233"/>
      <c r="F636" s="184"/>
      <c r="G636" s="185" t="s">
        <v>2126</v>
      </c>
      <c r="H636" s="186"/>
      <c r="I636" s="186"/>
      <c r="J636" s="186"/>
      <c r="K636" s="187"/>
      <c r="L636" s="186"/>
      <c r="M636" s="186"/>
      <c r="N636" s="186"/>
      <c r="O636" s="187"/>
      <c r="P636" s="187"/>
      <c r="Q636" s="187"/>
      <c r="R636" s="187"/>
      <c r="S636" s="187"/>
      <c r="T636" s="187"/>
      <c r="U636" s="187"/>
      <c r="V636" s="188"/>
      <c r="W636" s="189"/>
      <c r="X636" s="189"/>
      <c r="Y636" s="189"/>
      <c r="Z636" s="189"/>
      <c r="AA636" s="190"/>
      <c r="AB636" s="186"/>
      <c r="AC636" s="344"/>
      <c r="AD636" s="186"/>
      <c r="AE636" s="186"/>
      <c r="AF636" s="186"/>
      <c r="AG636" s="186"/>
      <c r="AH636" s="186"/>
      <c r="AI636" s="191"/>
      <c r="AJ636" s="191"/>
      <c r="AK636" s="186"/>
      <c r="AL636" s="186"/>
      <c r="AM636" s="186"/>
      <c r="AN636" s="344"/>
      <c r="AO636" s="186"/>
      <c r="AP636" s="193"/>
      <c r="AQ636" s="193">
        <f t="shared" ref="AQ636:AQ637" si="1002">IF(ISBLANK(AP636),,IF(U636="S",AA636-AP636,AP636-AA636))</f>
        <v>0</v>
      </c>
      <c r="AR636" s="191">
        <f t="shared" ref="AR636:AR637" si="1003">AS636*R636</f>
        <v>0</v>
      </c>
      <c r="AS636" s="194">
        <f t="shared" ref="AS636:AS637" si="1004">IF(ISBLANK(AP636),,(AQ636*W636))</f>
        <v>0</v>
      </c>
      <c r="AT636" s="195"/>
      <c r="AU636" s="425"/>
      <c r="AV636" s="425"/>
      <c r="AW636" s="425"/>
      <c r="AX636" s="437"/>
      <c r="AY636" s="425"/>
      <c r="AZ636" s="425"/>
      <c r="BA636" s="425"/>
      <c r="BB636" s="425"/>
      <c r="BC636" s="440"/>
      <c r="BD636" s="404">
        <f>SUM($AS$4:AS636)</f>
        <v>3439.2641428571533</v>
      </c>
      <c r="BE636" s="405">
        <f>SUM($AR$4:AR636)</f>
        <v>7845.8853333333118</v>
      </c>
      <c r="BF636" s="330"/>
      <c r="BG636" s="330"/>
    </row>
    <row r="637" spans="1:59" ht="15.75" customHeight="1">
      <c r="A637" s="227" t="s">
        <v>2361</v>
      </c>
      <c r="B637" s="204">
        <v>45077</v>
      </c>
      <c r="C637" s="182" t="s">
        <v>2418</v>
      </c>
      <c r="D637" s="182" t="s">
        <v>133</v>
      </c>
      <c r="E637" s="233"/>
      <c r="F637" s="184"/>
      <c r="G637" s="291" t="s">
        <v>2126</v>
      </c>
      <c r="H637" s="186"/>
      <c r="I637" s="186"/>
      <c r="J637" s="186"/>
      <c r="K637" s="187"/>
      <c r="L637" s="186">
        <v>1</v>
      </c>
      <c r="M637" s="186"/>
      <c r="N637" s="186"/>
      <c r="O637" s="187" t="s">
        <v>76</v>
      </c>
      <c r="P637" s="187" t="s">
        <v>77</v>
      </c>
      <c r="Q637" s="187" t="s">
        <v>78</v>
      </c>
      <c r="R637" s="187">
        <v>10</v>
      </c>
      <c r="S637" s="187">
        <v>0</v>
      </c>
      <c r="T637" s="187">
        <v>10</v>
      </c>
      <c r="U637" s="187" t="s">
        <v>22</v>
      </c>
      <c r="V637" s="188">
        <f t="shared" ref="V637:V638" si="1005">IF(ISBLANK(O637),"",(IF(O637=UPPER("IB"),0.005,0.01)))</f>
        <v>0.01</v>
      </c>
      <c r="W637" s="189">
        <f t="shared" ref="W637:W638" si="1006">IF(ISBLANK(O637),"",IF(O637="IB",8.63*200,IF(O637="IR",16*100,IF(O637="YT",20*100,IF(O637="YT-XT",24*200,IF(O637="TED",80*100))))))</f>
        <v>1600</v>
      </c>
      <c r="X637" s="189" t="s">
        <v>2731</v>
      </c>
      <c r="Y637" s="189"/>
      <c r="Z637" s="189" t="s">
        <v>2732</v>
      </c>
      <c r="AA637" s="190">
        <v>-0.13</v>
      </c>
      <c r="AB637" s="186"/>
      <c r="AC637" s="344"/>
      <c r="AD637" s="186"/>
      <c r="AE637" s="186"/>
      <c r="AF637" s="186"/>
      <c r="AG637" s="186"/>
      <c r="AH637" s="186"/>
      <c r="AI637" s="191">
        <f t="shared" ref="AI637" si="1007">-0.02*W637</f>
        <v>-32</v>
      </c>
      <c r="AJ637" s="191">
        <f t="shared" ref="AJ637:AJ638" si="1008">AI637*(R637-S637)</f>
        <v>-320</v>
      </c>
      <c r="AK637" s="186" t="s">
        <v>2733</v>
      </c>
      <c r="AL637" s="186"/>
      <c r="AM637" s="186" t="s">
        <v>2734</v>
      </c>
      <c r="AN637" s="344"/>
      <c r="AO637" s="186" t="s">
        <v>2735</v>
      </c>
      <c r="AP637" s="193">
        <v>-0.12</v>
      </c>
      <c r="AQ637" s="193">
        <f t="shared" si="1002"/>
        <v>1.0000000000000009E-2</v>
      </c>
      <c r="AR637" s="191">
        <f t="shared" si="1003"/>
        <v>160.00000000000014</v>
      </c>
      <c r="AS637" s="194">
        <f t="shared" si="1004"/>
        <v>16.000000000000014</v>
      </c>
      <c r="AT637" s="195" t="s">
        <v>77</v>
      </c>
      <c r="AU637" s="425"/>
      <c r="AV637" s="425"/>
      <c r="AW637" s="425"/>
      <c r="AX637" s="425"/>
      <c r="AY637" s="425"/>
      <c r="AZ637" s="425"/>
      <c r="BA637" s="425"/>
      <c r="BB637" s="425"/>
      <c r="BC637" s="440"/>
      <c r="BD637" s="404">
        <f>SUM($AS$4:AS637)</f>
        <v>3455.2641428571533</v>
      </c>
      <c r="BE637" s="405">
        <f>SUM($AR$4:AR637)</f>
        <v>8005.8853333333118</v>
      </c>
      <c r="BF637" s="330"/>
      <c r="BG637" s="330"/>
    </row>
    <row r="638" spans="1:59" ht="15.75" customHeight="1">
      <c r="A638" s="227" t="s">
        <v>2361</v>
      </c>
      <c r="B638" s="204">
        <v>45077</v>
      </c>
      <c r="C638" s="182" t="s">
        <v>2736</v>
      </c>
      <c r="D638" s="182" t="s">
        <v>133</v>
      </c>
      <c r="E638" s="233"/>
      <c r="F638" s="184"/>
      <c r="G638" s="294" t="s">
        <v>2737</v>
      </c>
      <c r="H638" s="186"/>
      <c r="I638" s="186"/>
      <c r="J638" s="186"/>
      <c r="K638" s="187"/>
      <c r="L638" s="186">
        <v>1</v>
      </c>
      <c r="M638" s="186">
        <v>1</v>
      </c>
      <c r="N638" s="186"/>
      <c r="O638" s="187" t="s">
        <v>76</v>
      </c>
      <c r="P638" s="187" t="s">
        <v>77</v>
      </c>
      <c r="Q638" s="187" t="s">
        <v>238</v>
      </c>
      <c r="R638" s="187">
        <v>4</v>
      </c>
      <c r="S638" s="187">
        <v>0</v>
      </c>
      <c r="T638" s="187">
        <v>4</v>
      </c>
      <c r="U638" s="187" t="s">
        <v>78</v>
      </c>
      <c r="V638" s="188">
        <f t="shared" si="1005"/>
        <v>0.01</v>
      </c>
      <c r="W638" s="189">
        <f t="shared" si="1006"/>
        <v>1600</v>
      </c>
      <c r="X638" s="189" t="s">
        <v>2738</v>
      </c>
      <c r="Y638" s="189"/>
      <c r="Z638" s="189" t="s">
        <v>2739</v>
      </c>
      <c r="AA638" s="190">
        <f>(0.1*3+0.11*1)/4</f>
        <v>0.10250000000000001</v>
      </c>
      <c r="AB638" s="186"/>
      <c r="AC638" s="344"/>
      <c r="AD638" s="186"/>
      <c r="AE638" s="186"/>
      <c r="AF638" s="186"/>
      <c r="AG638" s="186"/>
      <c r="AH638" s="186"/>
      <c r="AI638" s="191">
        <f>-0.1*W638</f>
        <v>-160</v>
      </c>
      <c r="AJ638" s="191">
        <f t="shared" si="1008"/>
        <v>-640</v>
      </c>
      <c r="AK638" s="186" t="s">
        <v>2740</v>
      </c>
      <c r="AL638" s="186"/>
      <c r="AM638" s="186" t="s">
        <v>571</v>
      </c>
      <c r="AN638" s="344" t="s">
        <v>97</v>
      </c>
      <c r="AO638" s="186" t="s">
        <v>2741</v>
      </c>
      <c r="AP638" s="193">
        <f>(0.08*1+0.08*3)/4</f>
        <v>0.08</v>
      </c>
      <c r="AQ638" s="193">
        <f t="shared" ref="AQ638:AQ643" si="1009">IF(ISBLANK(AP638),,IF(U638="S",AA638-AP638,AP638-AA638))</f>
        <v>2.2500000000000006E-2</v>
      </c>
      <c r="AR638" s="191">
        <f t="shared" ref="AR638:AR643" si="1010">AS638*R638</f>
        <v>144.00000000000003</v>
      </c>
      <c r="AS638" s="194">
        <f t="shared" ref="AS638:AS643" si="1011">IF(ISBLANK(AP638),,(AQ638*W638))</f>
        <v>36.000000000000007</v>
      </c>
      <c r="AT638" s="195" t="s">
        <v>77</v>
      </c>
      <c r="AU638" s="425" t="s">
        <v>2742</v>
      </c>
      <c r="AV638" s="425" t="s">
        <v>2743</v>
      </c>
      <c r="AW638" s="425" t="s">
        <v>2744</v>
      </c>
      <c r="AX638" s="437"/>
      <c r="AY638" s="425"/>
      <c r="AZ638" s="425"/>
      <c r="BA638" s="425"/>
      <c r="BB638" s="425"/>
      <c r="BC638" s="440"/>
      <c r="BD638" s="404">
        <f>SUM($AS$4:AS638)</f>
        <v>3491.2641428571533</v>
      </c>
      <c r="BE638" s="405">
        <f>SUM($AR$4:AR638)</f>
        <v>8149.8853333333118</v>
      </c>
      <c r="BF638" s="330"/>
      <c r="BG638" s="330"/>
    </row>
    <row r="639" spans="1:59" ht="15.75" customHeight="1">
      <c r="A639" s="227" t="s">
        <v>2361</v>
      </c>
      <c r="B639" s="204">
        <v>45077</v>
      </c>
      <c r="C639" s="182" t="s">
        <v>153</v>
      </c>
      <c r="D639" s="182" t="s">
        <v>133</v>
      </c>
      <c r="E639" s="233"/>
      <c r="F639" s="184"/>
      <c r="G639" s="185" t="s">
        <v>1997</v>
      </c>
      <c r="H639" s="186"/>
      <c r="I639" s="186"/>
      <c r="J639" s="186"/>
      <c r="K639" s="187"/>
      <c r="L639" s="186"/>
      <c r="M639" s="186"/>
      <c r="N639" s="186"/>
      <c r="O639" s="187"/>
      <c r="P639" s="187"/>
      <c r="Q639" s="187"/>
      <c r="R639" s="187"/>
      <c r="S639" s="187"/>
      <c r="T639" s="187"/>
      <c r="U639" s="187"/>
      <c r="V639" s="188"/>
      <c r="W639" s="189"/>
      <c r="X639" s="189"/>
      <c r="Y639" s="189"/>
      <c r="Z639" s="189"/>
      <c r="AA639" s="190"/>
      <c r="AB639" s="186"/>
      <c r="AC639" s="344"/>
      <c r="AD639" s="186"/>
      <c r="AE639" s="186"/>
      <c r="AF639" s="186"/>
      <c r="AG639" s="186"/>
      <c r="AH639" s="186"/>
      <c r="AI639" s="191"/>
      <c r="AJ639" s="191"/>
      <c r="AK639" s="186"/>
      <c r="AL639" s="186"/>
      <c r="AM639" s="186"/>
      <c r="AN639" s="344"/>
      <c r="AO639" s="186"/>
      <c r="AP639" s="193"/>
      <c r="AQ639" s="193"/>
      <c r="AR639" s="191"/>
      <c r="AS639" s="194"/>
      <c r="AT639" s="195"/>
      <c r="AU639" s="425"/>
      <c r="AV639" s="425"/>
      <c r="AW639" s="425"/>
      <c r="AX639" s="425"/>
      <c r="AY639" s="425"/>
      <c r="AZ639" s="425"/>
      <c r="BA639" s="425"/>
      <c r="BB639" s="425"/>
      <c r="BC639" s="440"/>
      <c r="BD639" s="404">
        <f>SUM($AS$4:AS639)</f>
        <v>3491.2641428571533</v>
      </c>
      <c r="BE639" s="405">
        <f>SUM($AR$4:AR639)</f>
        <v>8149.8853333333118</v>
      </c>
      <c r="BF639" s="330"/>
      <c r="BG639" s="330"/>
    </row>
    <row r="640" spans="1:59" ht="15.75" customHeight="1">
      <c r="A640" s="227" t="s">
        <v>2361</v>
      </c>
      <c r="B640" s="204">
        <v>45077</v>
      </c>
      <c r="C640" s="182" t="s">
        <v>1610</v>
      </c>
      <c r="D640" s="182" t="s">
        <v>133</v>
      </c>
      <c r="E640" s="233"/>
      <c r="F640" s="184"/>
      <c r="G640" s="185" t="s">
        <v>1645</v>
      </c>
      <c r="H640" s="186"/>
      <c r="I640" s="186"/>
      <c r="J640" s="186"/>
      <c r="K640" s="187"/>
      <c r="L640" s="186"/>
      <c r="M640" s="186"/>
      <c r="N640" s="186"/>
      <c r="O640" s="187"/>
      <c r="P640" s="187"/>
      <c r="Q640" s="187"/>
      <c r="R640" s="187"/>
      <c r="S640" s="187"/>
      <c r="T640" s="187"/>
      <c r="U640" s="187"/>
      <c r="V640" s="188"/>
      <c r="W640" s="189"/>
      <c r="X640" s="189"/>
      <c r="Y640" s="189"/>
      <c r="Z640" s="189"/>
      <c r="AA640" s="190"/>
      <c r="AB640" s="186"/>
      <c r="AC640" s="344"/>
      <c r="AD640" s="186"/>
      <c r="AE640" s="186"/>
      <c r="AF640" s="186"/>
      <c r="AG640" s="186"/>
      <c r="AH640" s="186"/>
      <c r="AI640" s="191"/>
      <c r="AJ640" s="191"/>
      <c r="AK640" s="186"/>
      <c r="AL640" s="186"/>
      <c r="AM640" s="186"/>
      <c r="AN640" s="344"/>
      <c r="AO640" s="186"/>
      <c r="AP640" s="193"/>
      <c r="AQ640" s="193"/>
      <c r="AR640" s="191"/>
      <c r="AS640" s="194"/>
      <c r="AT640" s="195"/>
      <c r="AU640" s="425" t="s">
        <v>2745</v>
      </c>
      <c r="AV640" s="425" t="s">
        <v>2746</v>
      </c>
      <c r="AW640" s="425" t="s">
        <v>2747</v>
      </c>
      <c r="AX640" s="425"/>
      <c r="AY640" s="425"/>
      <c r="AZ640" s="425"/>
      <c r="BA640" s="425"/>
      <c r="BB640" s="425"/>
      <c r="BC640" s="440"/>
      <c r="BD640" s="404">
        <f>SUM($AS$4:AS640)</f>
        <v>3491.2641428571533</v>
      </c>
      <c r="BE640" s="405">
        <f>SUM($AR$4:AR640)</f>
        <v>8149.8853333333118</v>
      </c>
      <c r="BF640" s="330"/>
      <c r="BG640" s="330"/>
    </row>
    <row r="641" spans="1:59" ht="15.75" customHeight="1">
      <c r="A641" s="227" t="s">
        <v>2361</v>
      </c>
      <c r="B641" s="204">
        <v>45077</v>
      </c>
      <c r="C641" s="182" t="s">
        <v>2748</v>
      </c>
      <c r="D641" s="182" t="s">
        <v>133</v>
      </c>
      <c r="E641" s="233"/>
      <c r="F641" s="184"/>
      <c r="G641" s="289" t="s">
        <v>2598</v>
      </c>
      <c r="H641" s="186"/>
      <c r="I641" s="186"/>
      <c r="J641" s="186"/>
      <c r="K641" s="187"/>
      <c r="L641" s="186">
        <v>1</v>
      </c>
      <c r="M641" s="186"/>
      <c r="N641" s="186"/>
      <c r="O641" s="187" t="s">
        <v>76</v>
      </c>
      <c r="P641" s="187" t="s">
        <v>119</v>
      </c>
      <c r="Q641" s="187" t="s">
        <v>238</v>
      </c>
      <c r="R641" s="187">
        <v>7</v>
      </c>
      <c r="S641" s="187">
        <v>0</v>
      </c>
      <c r="T641" s="187">
        <v>7</v>
      </c>
      <c r="U641" s="187" t="s">
        <v>22</v>
      </c>
      <c r="V641" s="188">
        <f t="shared" ref="V641" si="1012">IF(ISBLANK(O641),"",(IF(O641=UPPER("IB"),0.005,0.01)))</f>
        <v>0.01</v>
      </c>
      <c r="W641" s="189">
        <f t="shared" ref="W641" si="1013">IF(ISBLANK(O641),"",IF(O641="IB",8.63*200,IF(O641="IR",16*100,IF(O641="YT",20*100,IF(O641="YT-XT",24*200,IF(O641="TED",80*100))))))</f>
        <v>1600</v>
      </c>
      <c r="X641" s="189"/>
      <c r="Y641" s="189"/>
      <c r="Z641" s="189" t="s">
        <v>2749</v>
      </c>
      <c r="AA641" s="190">
        <v>-0.02</v>
      </c>
      <c r="AB641" s="186"/>
      <c r="AC641" s="344" t="s">
        <v>2750</v>
      </c>
      <c r="AD641" s="186" t="s">
        <v>2751</v>
      </c>
      <c r="AE641" s="186" t="s">
        <v>2752</v>
      </c>
      <c r="AF641" s="186"/>
      <c r="AG641" s="186"/>
      <c r="AH641" s="186"/>
      <c r="AI641" s="191">
        <f t="shared" ref="AI641" si="1014">-0.02*W641</f>
        <v>-32</v>
      </c>
      <c r="AJ641" s="191">
        <f t="shared" ref="AJ641" si="1015">AI641*(R641-S641)</f>
        <v>-224</v>
      </c>
      <c r="AK641" s="186" t="s">
        <v>2740</v>
      </c>
      <c r="AL641" s="186"/>
      <c r="AM641" s="186" t="s">
        <v>752</v>
      </c>
      <c r="AN641" s="344" t="s">
        <v>97</v>
      </c>
      <c r="AO641" s="186" t="s">
        <v>2753</v>
      </c>
      <c r="AP641" s="193">
        <v>-0.02</v>
      </c>
      <c r="AQ641" s="193">
        <f t="shared" si="1009"/>
        <v>0</v>
      </c>
      <c r="AR641" s="191">
        <f t="shared" si="1010"/>
        <v>0</v>
      </c>
      <c r="AS641" s="194">
        <f t="shared" si="1011"/>
        <v>0</v>
      </c>
      <c r="AT641" s="195" t="s">
        <v>97</v>
      </c>
      <c r="AU641" s="425"/>
      <c r="AV641" s="425"/>
      <c r="AW641" s="425"/>
      <c r="AX641" s="425"/>
      <c r="AY641" s="425"/>
      <c r="AZ641" s="425"/>
      <c r="BA641" s="425"/>
      <c r="BB641" s="425"/>
      <c r="BC641" s="440"/>
      <c r="BD641" s="404">
        <f>SUM($AS$4:AS641)</f>
        <v>3491.2641428571533</v>
      </c>
      <c r="BE641" s="405">
        <f>SUM($AR$4:AR641)</f>
        <v>8149.8853333333118</v>
      </c>
      <c r="BF641" s="330"/>
      <c r="BG641" s="330"/>
    </row>
    <row r="642" spans="1:59" ht="15.75" customHeight="1">
      <c r="A642" s="227" t="s">
        <v>2361</v>
      </c>
      <c r="B642" s="204">
        <v>45077</v>
      </c>
      <c r="C642" s="182" t="s">
        <v>1169</v>
      </c>
      <c r="D642" s="182" t="s">
        <v>133</v>
      </c>
      <c r="E642" s="233" t="s">
        <v>2754</v>
      </c>
      <c r="F642" s="184" t="s">
        <v>2694</v>
      </c>
      <c r="G642" s="185"/>
      <c r="H642" s="186">
        <v>1</v>
      </c>
      <c r="I642" s="186"/>
      <c r="J642" s="186"/>
      <c r="K642" s="187" t="s">
        <v>87</v>
      </c>
      <c r="L642" s="186"/>
      <c r="M642" s="186"/>
      <c r="N642" s="186"/>
      <c r="O642" s="187"/>
      <c r="P642" s="187"/>
      <c r="Q642" s="187"/>
      <c r="R642" s="187"/>
      <c r="S642" s="187"/>
      <c r="T642" s="187"/>
      <c r="U642" s="187"/>
      <c r="V642" s="282"/>
      <c r="W642" s="187"/>
      <c r="X642" s="189"/>
      <c r="Y642" s="189"/>
      <c r="Z642" s="189"/>
      <c r="AA642" s="190"/>
      <c r="AB642" s="186"/>
      <c r="AC642" s="344"/>
      <c r="AD642" s="186"/>
      <c r="AE642" s="186"/>
      <c r="AF642" s="186"/>
      <c r="AG642" s="186"/>
      <c r="AH642" s="186"/>
      <c r="AI642" s="191"/>
      <c r="AJ642" s="191"/>
      <c r="AK642" s="186"/>
      <c r="AL642" s="186"/>
      <c r="AM642" s="186"/>
      <c r="AN642" s="344"/>
      <c r="AO642" s="186"/>
      <c r="AP642" s="193"/>
      <c r="AQ642" s="193"/>
      <c r="AR642" s="191"/>
      <c r="AS642" s="194"/>
      <c r="AT642" s="195"/>
      <c r="AU642" s="425"/>
      <c r="AV642" s="425"/>
      <c r="AW642" s="425"/>
      <c r="AX642" s="425"/>
      <c r="AY642" s="425"/>
      <c r="AZ642" s="425"/>
      <c r="BA642" s="425"/>
      <c r="BB642" s="425"/>
      <c r="BC642" s="440"/>
      <c r="BD642" s="404">
        <f>SUM($AS$4:AS642)</f>
        <v>3491.2641428571533</v>
      </c>
      <c r="BE642" s="405">
        <f>SUM($AR$4:AR642)</f>
        <v>8149.8853333333118</v>
      </c>
      <c r="BF642" s="330"/>
      <c r="BG642" s="330"/>
    </row>
    <row r="643" spans="1:59" ht="15.75" customHeight="1">
      <c r="A643" s="227" t="s">
        <v>2361</v>
      </c>
      <c r="B643" s="204">
        <v>45077</v>
      </c>
      <c r="C643" s="182" t="s">
        <v>1169</v>
      </c>
      <c r="D643" s="182" t="s">
        <v>133</v>
      </c>
      <c r="E643" s="233"/>
      <c r="F643" s="184"/>
      <c r="G643" s="289" t="s">
        <v>2755</v>
      </c>
      <c r="H643" s="186"/>
      <c r="I643" s="186"/>
      <c r="J643" s="186"/>
      <c r="K643" s="187"/>
      <c r="L643" s="186">
        <v>1</v>
      </c>
      <c r="M643" s="186">
        <v>1</v>
      </c>
      <c r="N643" s="186"/>
      <c r="O643" s="187" t="s">
        <v>76</v>
      </c>
      <c r="P643" s="187" t="s">
        <v>77</v>
      </c>
      <c r="Q643" s="187" t="s">
        <v>238</v>
      </c>
      <c r="R643" s="187">
        <v>4</v>
      </c>
      <c r="S643" s="187">
        <v>0</v>
      </c>
      <c r="T643" s="187">
        <v>4</v>
      </c>
      <c r="U643" s="187" t="s">
        <v>22</v>
      </c>
      <c r="V643" s="188">
        <f t="shared" ref="V643" si="1016">IF(ISBLANK(O643),"",(IF(O643=UPPER("IB"),0.005,0.01)))</f>
        <v>0.01</v>
      </c>
      <c r="W643" s="189">
        <f t="shared" ref="W643" si="1017">IF(ISBLANK(O643),"",IF(O643="IB",8.63*200,IF(O643="IR",16*100,IF(O643="YT",20*100,IF(O643="YT-XT",24*200,IF(O643="TED",80*100))))))</f>
        <v>1600</v>
      </c>
      <c r="X643" s="189"/>
      <c r="Y643" s="189"/>
      <c r="Z643" s="189" t="s">
        <v>2756</v>
      </c>
      <c r="AA643" s="190">
        <v>0.01</v>
      </c>
      <c r="AB643" s="186"/>
      <c r="AC643" s="344"/>
      <c r="AD643" s="186"/>
      <c r="AE643" s="186"/>
      <c r="AF643" s="186"/>
      <c r="AG643" s="186"/>
      <c r="AH643" s="186"/>
      <c r="AI643" s="191">
        <f t="shared" ref="AI643" si="1018">-0.02*W643</f>
        <v>-32</v>
      </c>
      <c r="AJ643" s="191">
        <f t="shared" ref="AJ643" si="1019">AI643*(R643-S643)</f>
        <v>-128</v>
      </c>
      <c r="AK643" s="186" t="s">
        <v>2740</v>
      </c>
      <c r="AL643" s="186"/>
      <c r="AM643" s="186" t="s">
        <v>1566</v>
      </c>
      <c r="AN643" s="344" t="s">
        <v>87</v>
      </c>
      <c r="AO643" s="186" t="s">
        <v>2757</v>
      </c>
      <c r="AP643" s="193">
        <v>0.02</v>
      </c>
      <c r="AQ643" s="193">
        <f t="shared" si="1009"/>
        <v>0.01</v>
      </c>
      <c r="AR643" s="191">
        <f t="shared" si="1010"/>
        <v>64</v>
      </c>
      <c r="AS643" s="194">
        <f t="shared" si="1011"/>
        <v>16</v>
      </c>
      <c r="AT643" s="195" t="s">
        <v>77</v>
      </c>
      <c r="AU643" s="425" t="s">
        <v>2758</v>
      </c>
      <c r="AV643" s="425" t="s">
        <v>2759</v>
      </c>
      <c r="AW643" s="425"/>
      <c r="AX643" s="425"/>
      <c r="AY643" s="425"/>
      <c r="AZ643" s="425"/>
      <c r="BA643" s="425"/>
      <c r="BB643" s="425"/>
      <c r="BC643" s="440"/>
      <c r="BD643" s="404">
        <f>SUM($AS$4:AS643)</f>
        <v>3507.2641428571533</v>
      </c>
      <c r="BE643" s="405">
        <f>SUM($AR$4:AR643)</f>
        <v>8213.8853333333118</v>
      </c>
      <c r="BF643" s="330"/>
      <c r="BG643" s="330"/>
    </row>
    <row r="644" spans="1:59" ht="15.75" customHeight="1">
      <c r="A644" s="227"/>
      <c r="B644" s="204"/>
      <c r="C644" s="182"/>
      <c r="D644" s="182"/>
      <c r="E644" s="233"/>
      <c r="F644" s="184"/>
      <c r="G644" s="185"/>
      <c r="H644" s="186"/>
      <c r="I644" s="186"/>
      <c r="J644" s="186"/>
      <c r="K644" s="187"/>
      <c r="L644" s="186"/>
      <c r="M644" s="186"/>
      <c r="N644" s="186"/>
      <c r="O644" s="187"/>
      <c r="P644" s="187"/>
      <c r="Q644" s="187"/>
      <c r="R644" s="187"/>
      <c r="S644" s="187"/>
      <c r="T644" s="187"/>
      <c r="U644" s="187"/>
      <c r="V644" s="188"/>
      <c r="W644" s="189"/>
      <c r="X644" s="189"/>
      <c r="Y644" s="189"/>
      <c r="Z644" s="189"/>
      <c r="AA644" s="190"/>
      <c r="AB644" s="186"/>
      <c r="AC644" s="344"/>
      <c r="AD644" s="186"/>
      <c r="AE644" s="186"/>
      <c r="AF644" s="186"/>
      <c r="AG644" s="186"/>
      <c r="AH644" s="186"/>
      <c r="AI644" s="191"/>
      <c r="AJ644" s="191"/>
      <c r="AK644" s="186"/>
      <c r="AL644" s="186"/>
      <c r="AM644" s="186"/>
      <c r="AN644" s="344"/>
      <c r="AO644" s="186"/>
      <c r="AP644" s="193"/>
      <c r="AQ644" s="193"/>
      <c r="AR644" s="191"/>
      <c r="AS644" s="194"/>
      <c r="AT644" s="195"/>
      <c r="AU644" s="425"/>
      <c r="AV644" s="425"/>
      <c r="AW644" s="425"/>
      <c r="AX644" s="425"/>
      <c r="AY644" s="425"/>
      <c r="AZ644" s="425"/>
      <c r="BA644" s="425"/>
      <c r="BB644" s="425"/>
      <c r="BC644" s="440"/>
      <c r="BD644" s="404">
        <f>SUM($AS$4:AS644)</f>
        <v>3507.2641428571533</v>
      </c>
      <c r="BE644" s="405"/>
      <c r="BF644" s="330"/>
      <c r="BG644" s="330"/>
    </row>
    <row r="645" spans="1:59" ht="15.75" customHeight="1">
      <c r="A645" s="227"/>
      <c r="B645" s="204"/>
      <c r="C645" s="182"/>
      <c r="D645" s="182"/>
      <c r="E645" s="233"/>
      <c r="F645" s="184"/>
      <c r="G645" s="185"/>
      <c r="H645" s="186"/>
      <c r="I645" s="186"/>
      <c r="J645" s="186"/>
      <c r="K645" s="187"/>
      <c r="L645" s="186"/>
      <c r="M645" s="186"/>
      <c r="N645" s="186"/>
      <c r="O645" s="187"/>
      <c r="P645" s="187"/>
      <c r="Q645" s="187"/>
      <c r="R645" s="187"/>
      <c r="S645" s="187"/>
      <c r="T645" s="187"/>
      <c r="U645" s="187"/>
      <c r="V645" s="187"/>
      <c r="W645" s="189" t="str">
        <f t="shared" si="712"/>
        <v/>
      </c>
      <c r="X645" s="189"/>
      <c r="Y645" s="189"/>
      <c r="Z645" s="189"/>
      <c r="AA645" s="190"/>
      <c r="AB645" s="186"/>
      <c r="AC645" s="344"/>
      <c r="AD645" s="186"/>
      <c r="AE645" s="186"/>
      <c r="AF645" s="186"/>
      <c r="AG645" s="186"/>
      <c r="AH645" s="186"/>
      <c r="AI645" s="191"/>
      <c r="AJ645" s="187"/>
      <c r="AK645" s="186"/>
      <c r="AL645" s="186"/>
      <c r="AM645" s="186"/>
      <c r="AN645" s="344"/>
      <c r="AO645" s="186"/>
      <c r="AP645" s="193"/>
      <c r="AQ645" s="193"/>
      <c r="AR645" s="191"/>
      <c r="AS645" s="194"/>
      <c r="AT645" s="195"/>
      <c r="AU645" s="435" t="s">
        <v>2374</v>
      </c>
      <c r="AV645" s="435" t="s">
        <v>2760</v>
      </c>
      <c r="AW645" s="435" t="s">
        <v>2761</v>
      </c>
      <c r="AX645" s="435" t="s">
        <v>2762</v>
      </c>
      <c r="AY645" s="435" t="s">
        <v>2763</v>
      </c>
      <c r="AZ645" s="435" t="s">
        <v>2764</v>
      </c>
      <c r="BA645" s="435" t="s">
        <v>2765</v>
      </c>
      <c r="BB645" s="435" t="s">
        <v>2766</v>
      </c>
      <c r="BC645" s="435" t="s">
        <v>2767</v>
      </c>
      <c r="BD645" s="404">
        <f>SUM($AS$4:AS645)</f>
        <v>3507.2641428571533</v>
      </c>
      <c r="BE645" s="405">
        <f>SUM($AR$4:AR645)</f>
        <v>8213.8853333333118</v>
      </c>
      <c r="BF645" s="330"/>
      <c r="BG645" s="330"/>
    </row>
    <row r="646" spans="1:59" ht="15.75" customHeight="1">
      <c r="A646" s="181"/>
      <c r="B646" s="204"/>
      <c r="C646" s="182"/>
      <c r="D646" s="182"/>
      <c r="E646" s="233"/>
      <c r="F646" s="184"/>
      <c r="G646" s="185"/>
      <c r="H646" s="186"/>
      <c r="I646" s="186"/>
      <c r="J646" s="186"/>
      <c r="K646" s="187"/>
      <c r="L646" s="186"/>
      <c r="M646" s="186"/>
      <c r="N646" s="186"/>
      <c r="O646" s="187"/>
      <c r="P646" s="187"/>
      <c r="Q646" s="187"/>
      <c r="R646" s="187"/>
      <c r="S646" s="187"/>
      <c r="T646" s="187"/>
      <c r="U646" s="187"/>
      <c r="V646" s="187"/>
      <c r="W646" s="187"/>
      <c r="X646" s="189"/>
      <c r="Y646" s="189"/>
      <c r="Z646" s="189"/>
      <c r="AA646" s="190"/>
      <c r="AB646" s="186"/>
      <c r="AC646" s="344"/>
      <c r="AD646" s="186"/>
      <c r="AE646" s="186"/>
      <c r="AF646" s="186"/>
      <c r="AG646" s="186"/>
      <c r="AH646" s="186"/>
      <c r="AI646" s="191"/>
      <c r="AJ646" s="187"/>
      <c r="AK646" s="186"/>
      <c r="AL646" s="186"/>
      <c r="AM646" s="186"/>
      <c r="AN646" s="344"/>
      <c r="AO646" s="186"/>
      <c r="AP646" s="193"/>
      <c r="AQ646" s="193"/>
      <c r="AR646" s="191"/>
      <c r="AS646" s="194"/>
      <c r="AT646" s="195"/>
      <c r="AU646" s="435" t="s">
        <v>2768</v>
      </c>
      <c r="AV646" s="435" t="s">
        <v>2769</v>
      </c>
      <c r="AW646" s="435" t="s">
        <v>2770</v>
      </c>
      <c r="AX646" s="435" t="s">
        <v>2771</v>
      </c>
      <c r="AY646" s="435" t="s">
        <v>2772</v>
      </c>
      <c r="AZ646" s="435" t="s">
        <v>2773</v>
      </c>
      <c r="BA646" s="435" t="s">
        <v>2774</v>
      </c>
      <c r="BB646" s="435" t="s">
        <v>2775</v>
      </c>
      <c r="BC646" s="315" t="s">
        <v>2776</v>
      </c>
      <c r="BD646" s="404">
        <f>SUM($AS$4:AS646)</f>
        <v>3507.2641428571533</v>
      </c>
      <c r="BE646" s="405">
        <f>SUM($AR$4:AR646)</f>
        <v>8213.8853333333118</v>
      </c>
      <c r="BF646" s="330"/>
      <c r="BG646" s="330"/>
    </row>
    <row r="647" spans="1:59" ht="15.75" customHeight="1">
      <c r="A647" s="181"/>
      <c r="B647" s="204"/>
      <c r="C647" s="182"/>
      <c r="D647" s="182"/>
      <c r="E647" s="233"/>
      <c r="F647" s="184"/>
      <c r="G647" s="185"/>
      <c r="H647" s="186"/>
      <c r="I647" s="186"/>
      <c r="J647" s="186"/>
      <c r="K647" s="187"/>
      <c r="L647" s="186"/>
      <c r="M647" s="186"/>
      <c r="N647" s="186"/>
      <c r="O647" s="187"/>
      <c r="P647" s="187"/>
      <c r="Q647" s="187"/>
      <c r="R647" s="187"/>
      <c r="S647" s="187"/>
      <c r="T647" s="187"/>
      <c r="U647" s="187"/>
      <c r="V647" s="187"/>
      <c r="W647" s="187"/>
      <c r="X647" s="189"/>
      <c r="Y647" s="189"/>
      <c r="Z647" s="189"/>
      <c r="AA647" s="190"/>
      <c r="AB647" s="186"/>
      <c r="AC647" s="344"/>
      <c r="AD647" s="186"/>
      <c r="AE647" s="186"/>
      <c r="AF647" s="186"/>
      <c r="AG647" s="186"/>
      <c r="AH647" s="186"/>
      <c r="AI647" s="191"/>
      <c r="AJ647" s="187"/>
      <c r="AK647" s="186"/>
      <c r="AL647" s="186"/>
      <c r="AM647" s="186"/>
      <c r="AN647" s="344"/>
      <c r="AO647" s="186"/>
      <c r="AP647" s="193"/>
      <c r="AQ647" s="193"/>
      <c r="AR647" s="191"/>
      <c r="AS647" s="194"/>
      <c r="AT647" s="195"/>
      <c r="AU647" s="435" t="s">
        <v>2776</v>
      </c>
      <c r="AV647" s="435" t="s">
        <v>2777</v>
      </c>
      <c r="AW647" s="435" t="s">
        <v>2679</v>
      </c>
      <c r="AX647" s="435" t="s">
        <v>2778</v>
      </c>
      <c r="AY647" s="435"/>
      <c r="AZ647" s="435"/>
      <c r="BA647" s="435"/>
      <c r="BB647" s="453"/>
      <c r="BC647" s="440"/>
      <c r="BD647" s="404">
        <f>SUM($AS$4:AS647)</f>
        <v>3507.2641428571533</v>
      </c>
      <c r="BE647" s="405">
        <f>SUM($AR$4:AR647)</f>
        <v>8213.8853333333118</v>
      </c>
      <c r="BF647" s="330"/>
      <c r="BG647" s="330"/>
    </row>
    <row r="648" spans="1:59" ht="15.75" customHeight="1">
      <c r="A648" s="281" t="s">
        <v>2779</v>
      </c>
      <c r="B648" s="281"/>
      <c r="C648" s="218"/>
      <c r="D648" s="218"/>
      <c r="E648" s="219"/>
      <c r="F648" s="220"/>
      <c r="G648" s="218"/>
      <c r="H648" s="218"/>
      <c r="I648" s="218"/>
      <c r="J648" s="218"/>
      <c r="K648" s="221"/>
      <c r="L648" s="218"/>
      <c r="M648" s="218"/>
      <c r="N648" s="218"/>
      <c r="O648" s="221"/>
      <c r="P648" s="221"/>
      <c r="Q648" s="221"/>
      <c r="R648" s="221"/>
      <c r="S648" s="221"/>
      <c r="T648" s="221"/>
      <c r="U648" s="221"/>
      <c r="V648" s="222" t="str">
        <f t="shared" ref="V648:V649" si="1020">IF(ISBLANK(O648),"",(IF(O648=UPPER("IB"),0.005,0.01)))</f>
        <v/>
      </c>
      <c r="W648" s="222" t="str">
        <f t="shared" ref="W648:W649" si="1021">IF(ISBLANK(O648),"",IF(O648="IB",8.63*200,IF(O648="IR",16*100,IF(O648="YT",20*100,IF(O648="YT-XT",24*200,IF(O648="TED",80*100))))))</f>
        <v/>
      </c>
      <c r="X648" s="222"/>
      <c r="Y648" s="222"/>
      <c r="Z648" s="222"/>
      <c r="AA648" s="223"/>
      <c r="AB648" s="218"/>
      <c r="AC648" s="346"/>
      <c r="AD648" s="218"/>
      <c r="AE648" s="218"/>
      <c r="AF648" s="218"/>
      <c r="AG648" s="218"/>
      <c r="AH648" s="218"/>
      <c r="AI648" s="218"/>
      <c r="AJ648" s="218"/>
      <c r="AK648" s="218"/>
      <c r="AL648" s="218"/>
      <c r="AM648" s="218"/>
      <c r="AN648" s="346"/>
      <c r="AO648" s="218"/>
      <c r="AP648" s="218"/>
      <c r="AQ648" s="218"/>
      <c r="AR648" s="218"/>
      <c r="AS648" s="218"/>
      <c r="AT648" s="226"/>
      <c r="AU648" s="432"/>
      <c r="AV648" s="432"/>
      <c r="AW648" s="432"/>
      <c r="AX648" s="432"/>
      <c r="AY648" s="432"/>
      <c r="AZ648" s="432"/>
      <c r="BA648" s="432"/>
      <c r="BB648" s="432"/>
      <c r="BC648" s="432"/>
      <c r="BD648" s="404">
        <f>SUM($AS$4:AS648)</f>
        <v>3507.2641428571533</v>
      </c>
      <c r="BE648" s="405">
        <f>SUM($AR$4:AR648)</f>
        <v>8213.8853333333118</v>
      </c>
      <c r="BF648" s="330"/>
      <c r="BG648" s="330"/>
    </row>
    <row r="649" spans="1:59" ht="15.75" customHeight="1">
      <c r="A649" s="227" t="s">
        <v>2780</v>
      </c>
      <c r="B649" s="204">
        <v>45078</v>
      </c>
      <c r="C649" s="182" t="s">
        <v>2781</v>
      </c>
      <c r="D649" s="182" t="s">
        <v>74</v>
      </c>
      <c r="E649" s="233"/>
      <c r="F649" s="184"/>
      <c r="G649" s="291" t="s">
        <v>1666</v>
      </c>
      <c r="H649" s="186"/>
      <c r="I649" s="186"/>
      <c r="J649" s="186"/>
      <c r="K649" s="187"/>
      <c r="L649" s="186"/>
      <c r="M649" s="186"/>
      <c r="N649" s="186"/>
      <c r="O649" s="187" t="s">
        <v>76</v>
      </c>
      <c r="P649" s="187" t="s">
        <v>77</v>
      </c>
      <c r="Q649" s="187" t="s">
        <v>238</v>
      </c>
      <c r="R649" s="187">
        <v>1</v>
      </c>
      <c r="S649" s="187">
        <v>0</v>
      </c>
      <c r="T649" s="187">
        <v>1</v>
      </c>
      <c r="U649" s="187" t="s">
        <v>78</v>
      </c>
      <c r="V649" s="188">
        <f t="shared" si="1020"/>
        <v>0.01</v>
      </c>
      <c r="W649" s="189">
        <f t="shared" si="1021"/>
        <v>1600</v>
      </c>
      <c r="X649" s="189"/>
      <c r="Y649" s="189"/>
      <c r="Z649" s="189"/>
      <c r="AA649" s="190">
        <v>0.02</v>
      </c>
      <c r="AB649" s="186"/>
      <c r="AC649" s="344"/>
      <c r="AD649" s="186"/>
      <c r="AE649" s="186"/>
      <c r="AF649" s="186"/>
      <c r="AG649" s="186"/>
      <c r="AH649" s="186"/>
      <c r="AI649" s="191">
        <f t="shared" ref="AI649" si="1022">-0.02*W649</f>
        <v>-32</v>
      </c>
      <c r="AJ649" s="191">
        <f t="shared" ref="AJ649" si="1023">AI649*(R649-S649)</f>
        <v>-32</v>
      </c>
      <c r="AK649" s="186" t="s">
        <v>2782</v>
      </c>
      <c r="AL649" s="186"/>
      <c r="AM649" s="186" t="s">
        <v>1008</v>
      </c>
      <c r="AN649" s="344" t="s">
        <v>87</v>
      </c>
      <c r="AO649" s="186" t="s">
        <v>2783</v>
      </c>
      <c r="AP649" s="193">
        <v>0.02</v>
      </c>
      <c r="AQ649" s="193">
        <f t="shared" ref="AQ649" si="1024">IF(ISBLANK(AP649),,IF(U649="S",AA649-AP649,AP649-AA649))</f>
        <v>0</v>
      </c>
      <c r="AR649" s="191">
        <f t="shared" ref="AR649" si="1025">AS649*R649</f>
        <v>0</v>
      </c>
      <c r="AS649" s="194">
        <f t="shared" ref="AS649" si="1026">IF(ISBLANK(AP649),,(AQ649*W649))</f>
        <v>0</v>
      </c>
      <c r="AT649" s="195" t="s">
        <v>97</v>
      </c>
      <c r="AU649" s="425"/>
      <c r="AV649" s="425"/>
      <c r="AW649" s="425"/>
      <c r="AX649" s="425"/>
      <c r="AY649" s="425"/>
      <c r="AZ649" s="425"/>
      <c r="BA649" s="425"/>
      <c r="BB649" s="425"/>
      <c r="BC649" s="440"/>
      <c r="BD649" s="404"/>
      <c r="BE649" s="405">
        <f>SUM($AR$4:AR649)</f>
        <v>8213.8853333333118</v>
      </c>
      <c r="BF649" s="330"/>
      <c r="BG649" s="330"/>
    </row>
    <row r="650" spans="1:59" ht="15.75" customHeight="1">
      <c r="A650" s="227" t="s">
        <v>2780</v>
      </c>
      <c r="B650" s="204">
        <v>45078</v>
      </c>
      <c r="C650" s="182" t="s">
        <v>2388</v>
      </c>
      <c r="D650" s="182" t="s">
        <v>74</v>
      </c>
      <c r="E650" s="233" t="s">
        <v>2784</v>
      </c>
      <c r="F650" s="184"/>
      <c r="G650" s="185"/>
      <c r="H650" s="186"/>
      <c r="I650" s="186"/>
      <c r="J650" s="186">
        <v>1</v>
      </c>
      <c r="K650" s="187" t="s">
        <v>97</v>
      </c>
      <c r="L650" s="186"/>
      <c r="M650" s="186"/>
      <c r="N650" s="186"/>
      <c r="O650" s="187"/>
      <c r="P650" s="187"/>
      <c r="Q650" s="187"/>
      <c r="R650" s="187"/>
      <c r="S650" s="187"/>
      <c r="T650" s="187"/>
      <c r="U650" s="187"/>
      <c r="V650" s="187"/>
      <c r="W650" s="189" t="str">
        <f t="shared" si="712"/>
        <v/>
      </c>
      <c r="X650" s="189"/>
      <c r="Y650" s="189"/>
      <c r="Z650" s="189"/>
      <c r="AA650" s="190"/>
      <c r="AB650" s="186"/>
      <c r="AC650" s="344"/>
      <c r="AD650" s="186"/>
      <c r="AE650" s="186"/>
      <c r="AF650" s="186"/>
      <c r="AG650" s="186"/>
      <c r="AH650" s="186"/>
      <c r="AI650" s="191"/>
      <c r="AJ650" s="191"/>
      <c r="AK650" s="186"/>
      <c r="AL650" s="186"/>
      <c r="AM650" s="186"/>
      <c r="AN650" s="344"/>
      <c r="AO650" s="186"/>
      <c r="AP650" s="193"/>
      <c r="AQ650" s="193"/>
      <c r="AR650" s="191"/>
      <c r="AS650" s="194"/>
      <c r="AT650" s="195"/>
      <c r="AU650" s="425" t="s">
        <v>2785</v>
      </c>
      <c r="AV650" s="425"/>
      <c r="AW650" s="425"/>
      <c r="AX650" s="425"/>
      <c r="AY650" s="425"/>
      <c r="AZ650" s="425"/>
      <c r="BA650" s="425"/>
      <c r="BB650" s="425"/>
      <c r="BC650" s="440"/>
      <c r="BD650" s="404">
        <f>SUM($AS$4:AS650)</f>
        <v>3507.2641428571533</v>
      </c>
      <c r="BE650" s="407">
        <f>SUM($AR$4:AR650)</f>
        <v>8213.8853333333118</v>
      </c>
      <c r="BF650" s="331"/>
      <c r="BG650" s="331"/>
    </row>
    <row r="651" spans="1:59" ht="15.75" customHeight="1">
      <c r="A651" s="227" t="s">
        <v>2780</v>
      </c>
      <c r="B651" s="204">
        <v>45078</v>
      </c>
      <c r="C651" s="182" t="s">
        <v>2103</v>
      </c>
      <c r="D651" s="182" t="s">
        <v>74</v>
      </c>
      <c r="E651" s="233" t="s">
        <v>2786</v>
      </c>
      <c r="F651" s="184"/>
      <c r="G651" s="185"/>
      <c r="H651" s="186">
        <v>1</v>
      </c>
      <c r="I651" s="186"/>
      <c r="J651" s="186"/>
      <c r="K651" s="187" t="s">
        <v>87</v>
      </c>
      <c r="L651" s="186"/>
      <c r="M651" s="186"/>
      <c r="N651" s="186"/>
      <c r="O651" s="187"/>
      <c r="P651" s="187"/>
      <c r="Q651" s="187"/>
      <c r="R651" s="187"/>
      <c r="S651" s="187"/>
      <c r="T651" s="187"/>
      <c r="U651" s="187"/>
      <c r="V651" s="187"/>
      <c r="W651" s="189" t="str">
        <f t="shared" si="712"/>
        <v/>
      </c>
      <c r="X651" s="189"/>
      <c r="Y651" s="189"/>
      <c r="Z651" s="189"/>
      <c r="AA651" s="190"/>
      <c r="AB651" s="186"/>
      <c r="AC651" s="344"/>
      <c r="AD651" s="186"/>
      <c r="AE651" s="186"/>
      <c r="AF651" s="186"/>
      <c r="AG651" s="186"/>
      <c r="AH651" s="186"/>
      <c r="AI651" s="191"/>
      <c r="AJ651" s="191"/>
      <c r="AK651" s="186"/>
      <c r="AL651" s="186"/>
      <c r="AM651" s="186"/>
      <c r="AN651" s="344"/>
      <c r="AO651" s="186"/>
      <c r="AP651" s="193"/>
      <c r="AQ651" s="193"/>
      <c r="AR651" s="191"/>
      <c r="AS651" s="194"/>
      <c r="AT651" s="195"/>
      <c r="AU651" s="425"/>
      <c r="AV651" s="425"/>
      <c r="AW651" s="425"/>
      <c r="AX651" s="425"/>
      <c r="AY651" s="425"/>
      <c r="AZ651" s="425"/>
      <c r="BA651" s="425"/>
      <c r="BB651" s="425"/>
      <c r="BC651" s="440"/>
      <c r="BD651" s="404">
        <f>SUM($AS$4:AS651)</f>
        <v>3507.2641428571533</v>
      </c>
      <c r="BE651" s="407">
        <f>SUM($AR$4:AR651)</f>
        <v>8213.8853333333118</v>
      </c>
      <c r="BF651" s="331"/>
      <c r="BG651" s="331"/>
    </row>
    <row r="652" spans="1:59" ht="15.75" customHeight="1">
      <c r="A652" s="227" t="s">
        <v>2780</v>
      </c>
      <c r="B652" s="204">
        <v>45078</v>
      </c>
      <c r="C652" s="182" t="s">
        <v>1709</v>
      </c>
      <c r="D652" s="182" t="s">
        <v>74</v>
      </c>
      <c r="E652" s="233" t="s">
        <v>2787</v>
      </c>
      <c r="F652" s="184"/>
      <c r="G652" s="185"/>
      <c r="H652" s="186">
        <v>1</v>
      </c>
      <c r="I652" s="186"/>
      <c r="J652" s="186"/>
      <c r="K652" s="187" t="s">
        <v>87</v>
      </c>
      <c r="L652" s="186"/>
      <c r="M652" s="186"/>
      <c r="N652" s="186"/>
      <c r="O652" s="187"/>
      <c r="P652" s="187"/>
      <c r="Q652" s="187"/>
      <c r="R652" s="187"/>
      <c r="S652" s="187"/>
      <c r="T652" s="187"/>
      <c r="U652" s="187"/>
      <c r="V652" s="187"/>
      <c r="W652" s="189" t="str">
        <f t="shared" si="712"/>
        <v/>
      </c>
      <c r="X652" s="189"/>
      <c r="Y652" s="189"/>
      <c r="Z652" s="189"/>
      <c r="AA652" s="190"/>
      <c r="AB652" s="186"/>
      <c r="AC652" s="344"/>
      <c r="AD652" s="186"/>
      <c r="AE652" s="186"/>
      <c r="AF652" s="186"/>
      <c r="AG652" s="186"/>
      <c r="AH652" s="186"/>
      <c r="AI652" s="191"/>
      <c r="AJ652" s="191"/>
      <c r="AK652" s="186"/>
      <c r="AL652" s="186"/>
      <c r="AM652" s="186"/>
      <c r="AN652" s="344"/>
      <c r="AO652" s="186"/>
      <c r="AP652" s="193"/>
      <c r="AQ652" s="193"/>
      <c r="AR652" s="191"/>
      <c r="AS652" s="194"/>
      <c r="AT652" s="195"/>
      <c r="AU652" s="425"/>
      <c r="AV652" s="425"/>
      <c r="AW652" s="425"/>
      <c r="AX652" s="425"/>
      <c r="AY652" s="425"/>
      <c r="AZ652" s="425"/>
      <c r="BA652" s="425"/>
      <c r="BB652" s="425"/>
      <c r="BC652" s="440"/>
      <c r="BD652" s="404">
        <f>SUM($AS$4:AS652)</f>
        <v>3507.2641428571533</v>
      </c>
      <c r="BE652" s="407">
        <f>SUM($AR$4:AR652)</f>
        <v>8213.8853333333118</v>
      </c>
      <c r="BF652" s="331"/>
      <c r="BG652" s="331"/>
    </row>
    <row r="653" spans="1:59" ht="15.75" customHeight="1">
      <c r="A653" s="227" t="s">
        <v>2780</v>
      </c>
      <c r="B653" s="204">
        <v>45078</v>
      </c>
      <c r="C653" s="182" t="s">
        <v>2788</v>
      </c>
      <c r="D653" s="182" t="s">
        <v>74</v>
      </c>
      <c r="E653" s="233"/>
      <c r="F653" s="184"/>
      <c r="G653" s="185" t="s">
        <v>2789</v>
      </c>
      <c r="H653" s="186"/>
      <c r="I653" s="186"/>
      <c r="J653" s="186"/>
      <c r="K653" s="187"/>
      <c r="L653" s="186">
        <v>1</v>
      </c>
      <c r="M653" s="186"/>
      <c r="N653" s="186"/>
      <c r="O653" s="187" t="s">
        <v>76</v>
      </c>
      <c r="P653" s="187" t="s">
        <v>119</v>
      </c>
      <c r="Q653" s="187" t="s">
        <v>238</v>
      </c>
      <c r="R653" s="187">
        <v>7</v>
      </c>
      <c r="S653" s="187">
        <v>0</v>
      </c>
      <c r="T653" s="187">
        <v>7</v>
      </c>
      <c r="U653" s="187" t="s">
        <v>78</v>
      </c>
      <c r="V653" s="188">
        <f t="shared" ref="V653:V654" si="1027">IF(ISBLANK(O653),"",(IF(O653=UPPER("IB"),0.005,0.01)))</f>
        <v>0.01</v>
      </c>
      <c r="W653" s="189">
        <f t="shared" si="712"/>
        <v>1600</v>
      </c>
      <c r="X653" s="189"/>
      <c r="Y653" s="189"/>
      <c r="Z653" s="189" t="s">
        <v>2790</v>
      </c>
      <c r="AA653" s="190">
        <v>-0.02</v>
      </c>
      <c r="AB653" s="186"/>
      <c r="AC653" s="344"/>
      <c r="AD653" s="186"/>
      <c r="AE653" s="186"/>
      <c r="AF653" s="186"/>
      <c r="AG653" s="186"/>
      <c r="AH653" s="186"/>
      <c r="AI653" s="191"/>
      <c r="AJ653" s="191"/>
      <c r="AK653" s="186"/>
      <c r="AL653" s="186"/>
      <c r="AM653" s="186"/>
      <c r="AN653" s="344" t="s">
        <v>376</v>
      </c>
      <c r="AO653" s="186" t="s">
        <v>1169</v>
      </c>
      <c r="AP653" s="193">
        <v>-0.02</v>
      </c>
      <c r="AQ653" s="193">
        <f t="shared" ref="AQ653" si="1028">IF(ISBLANK(AP653),,IF(U653="S",AA653-AP653,AP653-AA653))</f>
        <v>0</v>
      </c>
      <c r="AR653" s="191">
        <f t="shared" ref="AR653" si="1029">AS653*R653</f>
        <v>0</v>
      </c>
      <c r="AS653" s="194">
        <f t="shared" ref="AS653" si="1030">IF(ISBLANK(AP653),,(AQ653*W653))</f>
        <v>0</v>
      </c>
      <c r="AT653" s="195" t="s">
        <v>97</v>
      </c>
      <c r="AU653" s="425" t="s">
        <v>2791</v>
      </c>
      <c r="AV653" s="425"/>
      <c r="AW653" s="425"/>
      <c r="AX653" s="425"/>
      <c r="AY653" s="425"/>
      <c r="AZ653" s="425"/>
      <c r="BA653" s="425"/>
      <c r="BB653" s="425"/>
      <c r="BC653" s="440"/>
      <c r="BD653" s="404">
        <f>SUM($AS$4:AS653)</f>
        <v>3507.2641428571533</v>
      </c>
      <c r="BE653" s="405">
        <f>SUM($AR$4:AR653)</f>
        <v>8213.8853333333118</v>
      </c>
      <c r="BF653" s="330"/>
      <c r="BG653" s="330"/>
    </row>
    <row r="654" spans="1:59" ht="15.75" customHeight="1">
      <c r="A654" s="227" t="s">
        <v>2780</v>
      </c>
      <c r="B654" s="204">
        <v>45078</v>
      </c>
      <c r="C654" s="182" t="s">
        <v>2792</v>
      </c>
      <c r="D654" s="182" t="s">
        <v>74</v>
      </c>
      <c r="E654" s="233"/>
      <c r="F654" s="184"/>
      <c r="G654" s="185" t="s">
        <v>118</v>
      </c>
      <c r="H654" s="186"/>
      <c r="I654" s="186"/>
      <c r="J654" s="186"/>
      <c r="K654" s="187"/>
      <c r="L654" s="186">
        <v>1</v>
      </c>
      <c r="M654" s="186"/>
      <c r="N654" s="186"/>
      <c r="O654" s="187" t="s">
        <v>76</v>
      </c>
      <c r="P654" s="187" t="s">
        <v>77</v>
      </c>
      <c r="Q654" s="187" t="s">
        <v>78</v>
      </c>
      <c r="R654" s="187">
        <v>10</v>
      </c>
      <c r="S654" s="187">
        <v>0</v>
      </c>
      <c r="T654" s="187">
        <v>10</v>
      </c>
      <c r="U654" s="187" t="s">
        <v>22</v>
      </c>
      <c r="V654" s="188">
        <f t="shared" si="1027"/>
        <v>0.01</v>
      </c>
      <c r="W654" s="189">
        <f t="shared" si="712"/>
        <v>1600</v>
      </c>
      <c r="X654" s="189"/>
      <c r="Y654" s="189"/>
      <c r="Z654" s="189" t="s">
        <v>2793</v>
      </c>
      <c r="AA654" s="190">
        <v>-0.14000000000000001</v>
      </c>
      <c r="AB654" s="186"/>
      <c r="AC654" s="344"/>
      <c r="AD654" s="186"/>
      <c r="AE654" s="186"/>
      <c r="AF654" s="186"/>
      <c r="AG654" s="186"/>
      <c r="AH654" s="186"/>
      <c r="AI654" s="191"/>
      <c r="AJ654" s="191"/>
      <c r="AK654" s="186"/>
      <c r="AL654" s="186"/>
      <c r="AM654" s="186"/>
      <c r="AN654" s="344" t="s">
        <v>376</v>
      </c>
      <c r="AO654" s="186" t="s">
        <v>1169</v>
      </c>
      <c r="AP654" s="193">
        <v>-0.14000000000000001</v>
      </c>
      <c r="AQ654" s="193">
        <f t="shared" ref="AQ654" si="1031">IF(ISBLANK(AP654),,IF(U654="S",AA654-AP654,AP654-AA654))</f>
        <v>0</v>
      </c>
      <c r="AR654" s="191">
        <f t="shared" ref="AR654" si="1032">AS654*R654</f>
        <v>0</v>
      </c>
      <c r="AS654" s="194">
        <f t="shared" ref="AS654" si="1033">IF(ISBLANK(AP654),,(AQ654*W654))</f>
        <v>0</v>
      </c>
      <c r="AT654" s="195" t="s">
        <v>97</v>
      </c>
      <c r="AU654" s="425" t="s">
        <v>2794</v>
      </c>
      <c r="AV654" s="425"/>
      <c r="AW654" s="425"/>
      <c r="AX654" s="425"/>
      <c r="AY654" s="425"/>
      <c r="AZ654" s="425"/>
      <c r="BA654" s="425"/>
      <c r="BB654" s="425"/>
      <c r="BC654" s="440"/>
      <c r="BD654" s="404">
        <f>SUM($AS$4:AS654)</f>
        <v>3507.2641428571533</v>
      </c>
      <c r="BE654" s="405">
        <f>SUM($AR$4:AR654)</f>
        <v>8213.8853333333118</v>
      </c>
      <c r="BF654" s="330"/>
      <c r="BG654" s="330"/>
    </row>
    <row r="655" spans="1:59" ht="15.75" customHeight="1">
      <c r="A655" s="227" t="s">
        <v>2780</v>
      </c>
      <c r="B655" s="204">
        <v>45078</v>
      </c>
      <c r="C655" s="182" t="s">
        <v>1455</v>
      </c>
      <c r="D655" s="182" t="s">
        <v>74</v>
      </c>
      <c r="E655" s="233" t="s">
        <v>2795</v>
      </c>
      <c r="F655" s="184" t="s">
        <v>2796</v>
      </c>
      <c r="G655" s="185"/>
      <c r="H655" s="186"/>
      <c r="I655" s="186"/>
      <c r="J655" s="186"/>
      <c r="K655" s="187"/>
      <c r="L655" s="186"/>
      <c r="M655" s="186"/>
      <c r="N655" s="186"/>
      <c r="O655" s="187"/>
      <c r="P655" s="187"/>
      <c r="Q655" s="187"/>
      <c r="R655" s="187"/>
      <c r="S655" s="187"/>
      <c r="T655" s="187"/>
      <c r="U655" s="187"/>
      <c r="V655" s="188" t="str">
        <f t="shared" ref="V655:V659" si="1034">IF(ISBLANK(O655),"",(IF(O655=UPPER("IB"),0.005,0.01)))</f>
        <v/>
      </c>
      <c r="W655" s="189" t="str">
        <f t="shared" ref="W655:W659" si="1035">IF(ISBLANK(O655),"",IF(O655="IB",8.63*200,IF(O655="IR",16*100,IF(O655="YT",20*100,IF(O655="YT-XT",24*200,IF(O655="TED",80*100))))))</f>
        <v/>
      </c>
      <c r="X655" s="189"/>
      <c r="Y655" s="189"/>
      <c r="Z655" s="189"/>
      <c r="AA655" s="190"/>
      <c r="AB655" s="186"/>
      <c r="AC655" s="344"/>
      <c r="AD655" s="186"/>
      <c r="AE655" s="186"/>
      <c r="AF655" s="186"/>
      <c r="AG655" s="186"/>
      <c r="AH655" s="186"/>
      <c r="AI655" s="191"/>
      <c r="AJ655" s="191"/>
      <c r="AK655" s="186"/>
      <c r="AL655" s="186"/>
      <c r="AM655" s="186"/>
      <c r="AN655" s="344"/>
      <c r="AO655" s="186"/>
      <c r="AP655" s="193"/>
      <c r="AQ655" s="193"/>
      <c r="AR655" s="191"/>
      <c r="AS655" s="194"/>
      <c r="AT655" s="195"/>
      <c r="AU655" s="425" t="s">
        <v>2797</v>
      </c>
      <c r="AV655" s="425" t="s">
        <v>2798</v>
      </c>
      <c r="AW655" s="425"/>
      <c r="AX655" s="425"/>
      <c r="AY655" s="425"/>
      <c r="AZ655" s="425"/>
      <c r="BA655" s="425"/>
      <c r="BB655" s="425"/>
      <c r="BC655" s="440"/>
      <c r="BD655" s="404">
        <f>SUM($AS$4:AS655)</f>
        <v>3507.2641428571533</v>
      </c>
      <c r="BE655" s="405">
        <f>SUM($AR$4:AR655)</f>
        <v>8213.8853333333118</v>
      </c>
      <c r="BF655" s="330"/>
      <c r="BG655" s="330"/>
    </row>
    <row r="656" spans="1:59" ht="15.75" customHeight="1">
      <c r="A656" s="227" t="s">
        <v>2780</v>
      </c>
      <c r="B656" s="204">
        <v>45078</v>
      </c>
      <c r="C656" s="182" t="s">
        <v>2799</v>
      </c>
      <c r="D656" s="182" t="s">
        <v>74</v>
      </c>
      <c r="E656" s="233"/>
      <c r="F656" s="184"/>
      <c r="G656" s="185" t="s">
        <v>118</v>
      </c>
      <c r="H656" s="186"/>
      <c r="I656" s="186"/>
      <c r="J656" s="186"/>
      <c r="K656" s="187"/>
      <c r="L656" s="186">
        <v>1</v>
      </c>
      <c r="M656" s="186"/>
      <c r="N656" s="186"/>
      <c r="O656" s="187"/>
      <c r="P656" s="187"/>
      <c r="Q656" s="187"/>
      <c r="R656" s="187"/>
      <c r="S656" s="187"/>
      <c r="T656" s="187"/>
      <c r="U656" s="187"/>
      <c r="V656" s="188" t="str">
        <f t="shared" si="1034"/>
        <v/>
      </c>
      <c r="W656" s="189" t="str">
        <f t="shared" si="1035"/>
        <v/>
      </c>
      <c r="X656" s="189"/>
      <c r="Y656" s="189"/>
      <c r="Z656" s="189"/>
      <c r="AA656" s="190"/>
      <c r="AB656" s="186"/>
      <c r="AC656" s="344"/>
      <c r="AD656" s="186"/>
      <c r="AE656" s="186"/>
      <c r="AF656" s="186"/>
      <c r="AG656" s="186"/>
      <c r="AH656" s="186"/>
      <c r="AI656" s="191"/>
      <c r="AJ656" s="191"/>
      <c r="AK656" s="186"/>
      <c r="AL656" s="186"/>
      <c r="AM656" s="186"/>
      <c r="AN656" s="344"/>
      <c r="AO656" s="186"/>
      <c r="AP656" s="193"/>
      <c r="AQ656" s="193"/>
      <c r="AR656" s="191"/>
      <c r="AS656" s="194"/>
      <c r="AT656" s="195"/>
      <c r="AU656" s="425" t="s">
        <v>2800</v>
      </c>
      <c r="AV656" s="425"/>
      <c r="AW656" s="425"/>
      <c r="AX656" s="425"/>
      <c r="AY656" s="425"/>
      <c r="AZ656" s="425"/>
      <c r="BA656" s="425"/>
      <c r="BB656" s="425"/>
      <c r="BC656" s="440"/>
      <c r="BD656" s="404">
        <f>SUM($AS$4:AS656)</f>
        <v>3507.2641428571533</v>
      </c>
      <c r="BE656" s="405">
        <f>SUM($AR$4:AR656)</f>
        <v>8213.8853333333118</v>
      </c>
      <c r="BF656" s="330"/>
      <c r="BG656" s="330"/>
    </row>
    <row r="657" spans="1:59" ht="15.75" customHeight="1">
      <c r="A657" s="227" t="s">
        <v>2780</v>
      </c>
      <c r="B657" s="204">
        <v>45079</v>
      </c>
      <c r="C657" s="182" t="s">
        <v>1353</v>
      </c>
      <c r="D657" s="182" t="s">
        <v>93</v>
      </c>
      <c r="E657" s="233"/>
      <c r="F657" s="184"/>
      <c r="G657" s="185" t="s">
        <v>75</v>
      </c>
      <c r="H657" s="186"/>
      <c r="I657" s="186"/>
      <c r="J657" s="186"/>
      <c r="K657" s="187"/>
      <c r="L657" s="186"/>
      <c r="M657" s="186"/>
      <c r="N657" s="186"/>
      <c r="O657" s="187"/>
      <c r="P657" s="187"/>
      <c r="Q657" s="187"/>
      <c r="R657" s="187"/>
      <c r="S657" s="187"/>
      <c r="T657" s="187"/>
      <c r="U657" s="187"/>
      <c r="V657" s="188" t="str">
        <f t="shared" si="1034"/>
        <v/>
      </c>
      <c r="W657" s="189" t="str">
        <f t="shared" si="1035"/>
        <v/>
      </c>
      <c r="X657" s="189"/>
      <c r="Y657" s="189"/>
      <c r="Z657" s="189"/>
      <c r="AA657" s="190"/>
      <c r="AB657" s="186"/>
      <c r="AC657" s="344"/>
      <c r="AD657" s="186"/>
      <c r="AE657" s="186"/>
      <c r="AF657" s="186"/>
      <c r="AG657" s="186"/>
      <c r="AH657" s="186"/>
      <c r="AI657" s="191"/>
      <c r="AJ657" s="191"/>
      <c r="AK657" s="186"/>
      <c r="AL657" s="186"/>
      <c r="AM657" s="186"/>
      <c r="AN657" s="344"/>
      <c r="AO657" s="186"/>
      <c r="AP657" s="193"/>
      <c r="AQ657" s="193"/>
      <c r="AR657" s="191"/>
      <c r="AS657" s="194"/>
      <c r="AT657" s="195"/>
      <c r="AU657" s="425"/>
      <c r="AV657" s="425"/>
      <c r="AW657" s="425"/>
      <c r="AX657" s="425"/>
      <c r="AY657" s="425"/>
      <c r="AZ657" s="425"/>
      <c r="BA657" s="425"/>
      <c r="BB657" s="425"/>
      <c r="BC657" s="440"/>
      <c r="BD657" s="404">
        <f>SUM($AS$4:AS657)</f>
        <v>3507.2641428571533</v>
      </c>
      <c r="BE657" s="405">
        <f>SUM($AR$4:AR657)</f>
        <v>8213.8853333333118</v>
      </c>
      <c r="BF657" s="330"/>
      <c r="BG657" s="330"/>
    </row>
    <row r="658" spans="1:59" ht="15.75" customHeight="1">
      <c r="A658" s="227" t="s">
        <v>2780</v>
      </c>
      <c r="B658" s="204">
        <v>45079</v>
      </c>
      <c r="C658" s="182" t="s">
        <v>2801</v>
      </c>
      <c r="D658" s="182" t="s">
        <v>93</v>
      </c>
      <c r="E658" s="233"/>
      <c r="F658" s="184"/>
      <c r="G658" s="185" t="s">
        <v>163</v>
      </c>
      <c r="H658" s="186"/>
      <c r="I658" s="186"/>
      <c r="J658" s="186"/>
      <c r="K658" s="187"/>
      <c r="L658" s="186"/>
      <c r="M658" s="186"/>
      <c r="N658" s="186"/>
      <c r="O658" s="187"/>
      <c r="P658" s="187"/>
      <c r="Q658" s="187"/>
      <c r="R658" s="187"/>
      <c r="S658" s="187"/>
      <c r="T658" s="187"/>
      <c r="U658" s="187"/>
      <c r="V658" s="188" t="str">
        <f t="shared" si="1034"/>
        <v/>
      </c>
      <c r="W658" s="189" t="str">
        <f t="shared" si="1035"/>
        <v/>
      </c>
      <c r="X658" s="189"/>
      <c r="Y658" s="189"/>
      <c r="Z658" s="189"/>
      <c r="AA658" s="190"/>
      <c r="AB658" s="186"/>
      <c r="AC658" s="344"/>
      <c r="AD658" s="186"/>
      <c r="AE658" s="186"/>
      <c r="AF658" s="186"/>
      <c r="AG658" s="186"/>
      <c r="AH658" s="186"/>
      <c r="AI658" s="191"/>
      <c r="AJ658" s="191"/>
      <c r="AK658" s="186"/>
      <c r="AL658" s="186"/>
      <c r="AM658" s="186"/>
      <c r="AN658" s="344"/>
      <c r="AO658" s="186"/>
      <c r="AP658" s="193"/>
      <c r="AQ658" s="193"/>
      <c r="AR658" s="191"/>
      <c r="AS658" s="194"/>
      <c r="AT658" s="195"/>
      <c r="AU658" s="425"/>
      <c r="AV658" s="425"/>
      <c r="AW658" s="425"/>
      <c r="AX658" s="425"/>
      <c r="AY658" s="425"/>
      <c r="AZ658" s="425"/>
      <c r="BA658" s="425"/>
      <c r="BB658" s="425"/>
      <c r="BC658" s="440"/>
      <c r="BD658" s="404">
        <f>SUM($AS$4:AS658)</f>
        <v>3507.2641428571533</v>
      </c>
      <c r="BE658" s="405">
        <f>SUM($AR$4:AR658)</f>
        <v>8213.8853333333118</v>
      </c>
      <c r="BF658" s="330"/>
      <c r="BG658" s="330"/>
    </row>
    <row r="659" spans="1:59" ht="15.75" customHeight="1">
      <c r="A659" s="227" t="s">
        <v>2780</v>
      </c>
      <c r="B659" s="204">
        <v>45079</v>
      </c>
      <c r="C659" s="182" t="s">
        <v>2802</v>
      </c>
      <c r="D659" s="182" t="s">
        <v>93</v>
      </c>
      <c r="E659" s="233"/>
      <c r="F659" s="184"/>
      <c r="G659" s="291" t="s">
        <v>2803</v>
      </c>
      <c r="H659" s="186"/>
      <c r="I659" s="186"/>
      <c r="J659" s="186"/>
      <c r="K659" s="187"/>
      <c r="L659" s="186">
        <v>1</v>
      </c>
      <c r="M659" s="186">
        <v>2</v>
      </c>
      <c r="N659" s="186"/>
      <c r="O659" s="187" t="s">
        <v>76</v>
      </c>
      <c r="P659" s="187" t="s">
        <v>119</v>
      </c>
      <c r="Q659" s="187" t="s">
        <v>238</v>
      </c>
      <c r="R659" s="187">
        <v>3</v>
      </c>
      <c r="S659" s="187">
        <v>3</v>
      </c>
      <c r="T659" s="187">
        <v>3</v>
      </c>
      <c r="U659" s="187" t="s">
        <v>22</v>
      </c>
      <c r="V659" s="188">
        <f t="shared" si="1034"/>
        <v>0.01</v>
      </c>
      <c r="W659" s="189">
        <f t="shared" si="1035"/>
        <v>1600</v>
      </c>
      <c r="X659" s="189" t="s">
        <v>2804</v>
      </c>
      <c r="Y659" s="189"/>
      <c r="Z659" s="189" t="s">
        <v>2805</v>
      </c>
      <c r="AA659" s="190">
        <v>-0.03</v>
      </c>
      <c r="AB659" s="186"/>
      <c r="AC659" s="344">
        <v>-6</v>
      </c>
      <c r="AD659" s="186"/>
      <c r="AE659" s="186" t="s">
        <v>2806</v>
      </c>
      <c r="AF659" s="186"/>
      <c r="AG659" s="425" t="s">
        <v>2807</v>
      </c>
      <c r="AH659" s="186" t="s">
        <v>511</v>
      </c>
      <c r="AI659" s="191">
        <f t="shared" ref="AI659" si="1036">-0.02*W659</f>
        <v>-32</v>
      </c>
      <c r="AJ659" s="191">
        <f t="shared" ref="AJ659" si="1037">AI659*(R659-S659)</f>
        <v>0</v>
      </c>
      <c r="AK659" s="186"/>
      <c r="AL659" s="186"/>
      <c r="AM659" s="186" t="s">
        <v>2314</v>
      </c>
      <c r="AN659" s="344" t="s">
        <v>97</v>
      </c>
      <c r="AO659" s="186" t="s">
        <v>2808</v>
      </c>
      <c r="AP659" s="193">
        <v>-0.02</v>
      </c>
      <c r="AQ659" s="193">
        <f t="shared" ref="AQ659:AQ665" si="1038">IF(ISBLANK(AP659),,IF(U659="S",AA659-AP659,AP659-AA659))</f>
        <v>9.9999999999999985E-3</v>
      </c>
      <c r="AR659" s="191">
        <f t="shared" ref="AR659:AR665" si="1039">AS659*R659</f>
        <v>47.999999999999993</v>
      </c>
      <c r="AS659" s="194">
        <f t="shared" ref="AS659:AS665" si="1040">IF(ISBLANK(AP659),,(AQ659*W659))</f>
        <v>15.999999999999998</v>
      </c>
      <c r="AT659" s="195" t="s">
        <v>77</v>
      </c>
      <c r="AU659" s="425" t="s">
        <v>2809</v>
      </c>
      <c r="AV659" s="425"/>
      <c r="AW659" s="425"/>
      <c r="AX659" s="425"/>
      <c r="AY659" s="425"/>
      <c r="AZ659" s="425"/>
      <c r="BA659" s="425"/>
      <c r="BB659" s="425"/>
      <c r="BC659" s="440"/>
      <c r="BD659" s="404">
        <f>SUM($AS$4:AS659)</f>
        <v>3523.2641428571533</v>
      </c>
      <c r="BE659" s="405">
        <f>SUM($AR$4:AR659)</f>
        <v>8261.8853333333118</v>
      </c>
      <c r="BF659" s="330"/>
      <c r="BG659" s="330"/>
    </row>
    <row r="660" spans="1:59" ht="15.75" customHeight="1">
      <c r="A660" s="227" t="s">
        <v>2780</v>
      </c>
      <c r="B660" s="204">
        <v>45079</v>
      </c>
      <c r="C660" s="182" t="s">
        <v>1709</v>
      </c>
      <c r="D660" s="182" t="s">
        <v>93</v>
      </c>
      <c r="E660" s="233" t="s">
        <v>2810</v>
      </c>
      <c r="F660" s="184" t="s">
        <v>2811</v>
      </c>
      <c r="G660" s="185"/>
      <c r="H660" s="186">
        <v>1</v>
      </c>
      <c r="I660" s="186"/>
      <c r="J660" s="186"/>
      <c r="K660" s="187" t="s">
        <v>87</v>
      </c>
      <c r="L660" s="186"/>
      <c r="M660" s="186"/>
      <c r="N660" s="186"/>
      <c r="O660" s="187"/>
      <c r="P660" s="187"/>
      <c r="Q660" s="187"/>
      <c r="R660" s="187"/>
      <c r="S660" s="187"/>
      <c r="T660" s="187"/>
      <c r="U660" s="187"/>
      <c r="V660" s="187"/>
      <c r="W660" s="187"/>
      <c r="X660" s="189"/>
      <c r="Y660" s="189"/>
      <c r="Z660" s="189"/>
      <c r="AA660" s="190"/>
      <c r="AB660" s="186"/>
      <c r="AC660" s="344"/>
      <c r="AD660" s="186"/>
      <c r="AE660" s="186"/>
      <c r="AF660" s="186"/>
      <c r="AG660" s="186"/>
      <c r="AH660" s="186"/>
      <c r="AI660" s="191"/>
      <c r="AJ660" s="191"/>
      <c r="AK660" s="186"/>
      <c r="AL660" s="186"/>
      <c r="AM660" s="186"/>
      <c r="AN660" s="344"/>
      <c r="AO660" s="186"/>
      <c r="AP660" s="193"/>
      <c r="AQ660" s="193"/>
      <c r="AR660" s="191"/>
      <c r="AS660" s="194"/>
      <c r="AT660" s="195"/>
      <c r="AU660" s="425"/>
      <c r="AV660" s="425"/>
      <c r="AW660" s="425"/>
      <c r="AX660" s="425"/>
      <c r="AY660" s="425"/>
      <c r="AZ660" s="425"/>
      <c r="BA660" s="425"/>
      <c r="BB660" s="425"/>
      <c r="BC660" s="440"/>
      <c r="BD660" s="404">
        <f>SUM($AS$4:AS660)</f>
        <v>3523.2641428571533</v>
      </c>
      <c r="BE660" s="405">
        <f>SUM($AR$4:AR660)</f>
        <v>8261.8853333333118</v>
      </c>
      <c r="BF660" s="330"/>
      <c r="BG660" s="330"/>
    </row>
    <row r="661" spans="1:59" ht="15.75" customHeight="1">
      <c r="A661" s="227" t="s">
        <v>2780</v>
      </c>
      <c r="B661" s="204">
        <v>45079</v>
      </c>
      <c r="C661" s="182" t="s">
        <v>2812</v>
      </c>
      <c r="D661" s="182" t="s">
        <v>93</v>
      </c>
      <c r="E661" s="233"/>
      <c r="F661" s="184"/>
      <c r="G661" s="490" t="s">
        <v>75</v>
      </c>
      <c r="H661" s="186"/>
      <c r="I661" s="186"/>
      <c r="J661" s="186"/>
      <c r="K661" s="187"/>
      <c r="L661" s="186">
        <v>1</v>
      </c>
      <c r="M661" s="186"/>
      <c r="N661" s="186"/>
      <c r="O661" s="187" t="s">
        <v>76</v>
      </c>
      <c r="P661" s="187" t="s">
        <v>77</v>
      </c>
      <c r="Q661" s="187" t="s">
        <v>78</v>
      </c>
      <c r="R661" s="187">
        <v>5</v>
      </c>
      <c r="S661" s="187">
        <v>0</v>
      </c>
      <c r="T661" s="187">
        <v>5</v>
      </c>
      <c r="U661" s="187" t="s">
        <v>78</v>
      </c>
      <c r="V661" s="188">
        <f t="shared" ref="V661" si="1041">IF(ISBLANK(O661),"",(IF(O661=UPPER("IB"),0.005,0.01)))</f>
        <v>0.01</v>
      </c>
      <c r="W661" s="189">
        <f t="shared" ref="W661" si="1042">IF(ISBLANK(O661),"",IF(O661="IB",8.63*200,IF(O661="IR",16*100,IF(O661="YT",20*100,IF(O661="YT-XT",24*200,IF(O661="TED",80*100))))))</f>
        <v>1600</v>
      </c>
      <c r="X661" s="189" t="s">
        <v>2813</v>
      </c>
      <c r="Y661" s="189"/>
      <c r="Z661" s="189"/>
      <c r="AA661" s="190">
        <v>0.01</v>
      </c>
      <c r="AB661" s="186"/>
      <c r="AC661" s="344"/>
      <c r="AD661" s="186"/>
      <c r="AE661" s="186"/>
      <c r="AF661" s="186"/>
      <c r="AG661" s="186"/>
      <c r="AH661" s="186"/>
      <c r="AI661" s="191">
        <f t="shared" ref="AI661:AI665" si="1043">-0.02*W661</f>
        <v>-32</v>
      </c>
      <c r="AJ661" s="191">
        <f t="shared" ref="AJ661:AJ665" si="1044">AI661*(R661-S661)</f>
        <v>-160</v>
      </c>
      <c r="AK661" s="186"/>
      <c r="AL661" s="186"/>
      <c r="AM661" s="186" t="s">
        <v>786</v>
      </c>
      <c r="AN661" s="344" t="s">
        <v>97</v>
      </c>
      <c r="AO661" s="186" t="s">
        <v>2814</v>
      </c>
      <c r="AP661" s="193">
        <v>0.02</v>
      </c>
      <c r="AQ661" s="193">
        <f t="shared" ref="AQ661" si="1045">IF(ISBLANK(AP661),,IF(U661="S",AA661-AP661,AP661-AA661))</f>
        <v>-0.01</v>
      </c>
      <c r="AR661" s="191">
        <f t="shared" ref="AR661" si="1046">AS661*R661</f>
        <v>-80</v>
      </c>
      <c r="AS661" s="194">
        <f t="shared" ref="AS661" si="1047">IF(ISBLANK(AP661),,(AQ661*W661))</f>
        <v>-16</v>
      </c>
      <c r="AT661" s="195" t="s">
        <v>211</v>
      </c>
      <c r="AU661" s="425"/>
      <c r="AV661" s="425"/>
      <c r="AW661" s="425"/>
      <c r="AX661" s="425"/>
      <c r="AY661" s="425"/>
      <c r="AZ661" s="425"/>
      <c r="BA661" s="425"/>
      <c r="BB661" s="425"/>
      <c r="BC661" s="440"/>
      <c r="BD661" s="404">
        <f>SUM($AS$4:AS661)</f>
        <v>3507.2641428571533</v>
      </c>
      <c r="BE661" s="405">
        <f>SUM($AR$4:AR661)</f>
        <v>8181.8853333333118</v>
      </c>
      <c r="BF661" s="330"/>
      <c r="BG661" s="330"/>
    </row>
    <row r="662" spans="1:59" ht="15.75" customHeight="1">
      <c r="A662" s="227" t="s">
        <v>2780</v>
      </c>
      <c r="B662" s="204"/>
      <c r="C662" s="182"/>
      <c r="D662" s="182"/>
      <c r="E662" s="233" t="s">
        <v>2815</v>
      </c>
      <c r="F662" s="184"/>
      <c r="G662" s="185"/>
      <c r="H662" s="186">
        <v>1</v>
      </c>
      <c r="I662" s="186"/>
      <c r="J662" s="186"/>
      <c r="K662" s="187" t="s">
        <v>97</v>
      </c>
      <c r="L662" s="186"/>
      <c r="M662" s="186"/>
      <c r="N662" s="186"/>
      <c r="O662" s="187"/>
      <c r="P662" s="187"/>
      <c r="Q662" s="187"/>
      <c r="R662" s="187"/>
      <c r="S662" s="187"/>
      <c r="T662" s="187"/>
      <c r="U662" s="187"/>
      <c r="V662" s="187"/>
      <c r="W662" s="187"/>
      <c r="X662" s="189"/>
      <c r="Y662" s="189"/>
      <c r="Z662" s="189"/>
      <c r="AA662" s="190"/>
      <c r="AB662" s="186"/>
      <c r="AC662" s="344"/>
      <c r="AD662" s="186"/>
      <c r="AE662" s="186"/>
      <c r="AF662" s="186"/>
      <c r="AG662" s="186"/>
      <c r="AH662" s="186"/>
      <c r="AI662" s="191"/>
      <c r="AJ662" s="191"/>
      <c r="AK662" s="186"/>
      <c r="AL662" s="186"/>
      <c r="AM662" s="186"/>
      <c r="AN662" s="344"/>
      <c r="AO662" s="186"/>
      <c r="AP662" s="193"/>
      <c r="AQ662" s="193"/>
      <c r="AR662" s="191"/>
      <c r="AS662" s="194"/>
      <c r="AT662" s="195"/>
      <c r="AU662" s="425"/>
      <c r="AV662" s="425"/>
      <c r="AW662" s="425"/>
      <c r="AX662" s="425"/>
      <c r="AY662" s="425"/>
      <c r="AZ662" s="425"/>
      <c r="BA662" s="425"/>
      <c r="BB662" s="425"/>
      <c r="BC662" s="440"/>
      <c r="BD662" s="404">
        <f>SUM($AS$4:AS662)</f>
        <v>3507.2641428571533</v>
      </c>
      <c r="BE662" s="405">
        <f>SUM($AR$4:AR662)</f>
        <v>8181.8853333333118</v>
      </c>
      <c r="BF662" s="330"/>
      <c r="BG662" s="330"/>
    </row>
    <row r="663" spans="1:59" ht="15.75" customHeight="1">
      <c r="A663" s="227" t="s">
        <v>2780</v>
      </c>
      <c r="B663" s="204">
        <v>45080</v>
      </c>
      <c r="C663" s="182" t="s">
        <v>2816</v>
      </c>
      <c r="D663" s="182" t="s">
        <v>1657</v>
      </c>
      <c r="E663" s="233"/>
      <c r="F663" s="184"/>
      <c r="G663" s="489" t="s">
        <v>2817</v>
      </c>
      <c r="H663" s="186"/>
      <c r="I663" s="186"/>
      <c r="J663" s="186"/>
      <c r="K663" s="187"/>
      <c r="L663" s="186">
        <v>1</v>
      </c>
      <c r="M663" s="186">
        <v>1</v>
      </c>
      <c r="N663" s="186"/>
      <c r="O663" s="187" t="s">
        <v>76</v>
      </c>
      <c r="P663" s="187" t="s">
        <v>77</v>
      </c>
      <c r="Q663" s="187" t="s">
        <v>238</v>
      </c>
      <c r="R663" s="187">
        <v>15</v>
      </c>
      <c r="S663" s="187">
        <v>0</v>
      </c>
      <c r="T663" s="187">
        <v>15</v>
      </c>
      <c r="U663" s="187" t="s">
        <v>78</v>
      </c>
      <c r="V663" s="188">
        <f t="shared" ref="V663" si="1048">IF(ISBLANK(O663),"",(IF(O663=UPPER("IB"),0.005,0.01)))</f>
        <v>0.01</v>
      </c>
      <c r="W663" s="189">
        <f t="shared" ref="W663" si="1049">IF(ISBLANK(O663),"",IF(O663="IB",8.63*200,IF(O663="IR",16*100,IF(O663="YT",20*100,IF(O663="YT-XT",24*200,IF(O663="TED",80*100))))))</f>
        <v>1600</v>
      </c>
      <c r="X663" s="189"/>
      <c r="Y663" s="189"/>
      <c r="Z663" s="189" t="s">
        <v>2818</v>
      </c>
      <c r="AA663" s="190">
        <v>0</v>
      </c>
      <c r="AB663" s="186"/>
      <c r="AC663" s="344"/>
      <c r="AD663" s="186"/>
      <c r="AE663" s="186"/>
      <c r="AF663" s="186"/>
      <c r="AG663" s="186"/>
      <c r="AH663" s="186"/>
      <c r="AI663" s="191">
        <f t="shared" si="1043"/>
        <v>-32</v>
      </c>
      <c r="AJ663" s="191">
        <f t="shared" si="1044"/>
        <v>-480</v>
      </c>
      <c r="AK663" s="186"/>
      <c r="AL663" s="186"/>
      <c r="AM663" s="186" t="s">
        <v>1242</v>
      </c>
      <c r="AN663" s="344" t="s">
        <v>97</v>
      </c>
      <c r="AO663" s="186" t="s">
        <v>2819</v>
      </c>
      <c r="AP663" s="193">
        <v>0</v>
      </c>
      <c r="AQ663" s="193">
        <f t="shared" si="1038"/>
        <v>0</v>
      </c>
      <c r="AR663" s="191">
        <f t="shared" si="1039"/>
        <v>0</v>
      </c>
      <c r="AS663" s="194">
        <f t="shared" si="1040"/>
        <v>0</v>
      </c>
      <c r="AT663" s="195" t="s">
        <v>97</v>
      </c>
      <c r="AU663" s="425"/>
      <c r="AV663" s="425"/>
      <c r="AW663" s="425"/>
      <c r="AX663" s="425"/>
      <c r="AY663" s="425"/>
      <c r="AZ663" s="425"/>
      <c r="BA663" s="425"/>
      <c r="BB663" s="425"/>
      <c r="BC663" s="440"/>
      <c r="BD663" s="404">
        <f>SUM($AS$4:AS663)</f>
        <v>3507.2641428571533</v>
      </c>
      <c r="BE663" s="405">
        <f>SUM($AR$4:AR663)</f>
        <v>8181.8853333333118</v>
      </c>
      <c r="BF663" s="330"/>
      <c r="BG663" s="330"/>
    </row>
    <row r="664" spans="1:59" ht="15.75" customHeight="1">
      <c r="A664" s="227" t="s">
        <v>2780</v>
      </c>
      <c r="B664" s="204">
        <v>45082</v>
      </c>
      <c r="C664" s="182" t="s">
        <v>2820</v>
      </c>
      <c r="D664" s="182" t="s">
        <v>1657</v>
      </c>
      <c r="E664" s="233"/>
      <c r="F664" s="184"/>
      <c r="G664" s="489" t="s">
        <v>2051</v>
      </c>
      <c r="H664" s="186"/>
      <c r="I664" s="186"/>
      <c r="J664" s="186"/>
      <c r="K664" s="187"/>
      <c r="L664" s="186">
        <v>1</v>
      </c>
      <c r="M664" s="186">
        <v>1</v>
      </c>
      <c r="N664" s="186"/>
      <c r="O664" s="187" t="s">
        <v>76</v>
      </c>
      <c r="P664" s="187" t="s">
        <v>119</v>
      </c>
      <c r="Q664" s="187" t="s">
        <v>78</v>
      </c>
      <c r="R664" s="187">
        <v>7</v>
      </c>
      <c r="S664" s="187">
        <v>0</v>
      </c>
      <c r="T664" s="187">
        <v>7</v>
      </c>
      <c r="U664" s="187" t="s">
        <v>22</v>
      </c>
      <c r="V664" s="188">
        <f t="shared" ref="V664" si="1050">IF(ISBLANK(O664),"",(IF(O664=UPPER("IB"),0.005,0.01)))</f>
        <v>0.01</v>
      </c>
      <c r="W664" s="189">
        <f t="shared" ref="W664" si="1051">IF(ISBLANK(O664),"",IF(O664="IB",8.63*200,IF(O664="IR",16*100,IF(O664="YT",20*100,IF(O664="YT-XT",24*200,IF(O664="TED",80*100))))))</f>
        <v>1600</v>
      </c>
      <c r="X664" s="189" t="s">
        <v>2821</v>
      </c>
      <c r="Y664" s="189"/>
      <c r="Z664" s="189" t="s">
        <v>2822</v>
      </c>
      <c r="AA664" s="190">
        <v>-0.1</v>
      </c>
      <c r="AB664" s="186"/>
      <c r="AC664" s="344"/>
      <c r="AD664" s="186"/>
      <c r="AE664" s="186"/>
      <c r="AF664" s="186"/>
      <c r="AG664" s="186"/>
      <c r="AH664" s="186"/>
      <c r="AI664" s="191">
        <f t="shared" si="1043"/>
        <v>-32</v>
      </c>
      <c r="AJ664" s="191">
        <f t="shared" si="1044"/>
        <v>-224</v>
      </c>
      <c r="AK664" s="186"/>
      <c r="AL664" s="186"/>
      <c r="AM664" s="186" t="s">
        <v>752</v>
      </c>
      <c r="AN664" s="344" t="s">
        <v>97</v>
      </c>
      <c r="AO664" s="186" t="s">
        <v>2823</v>
      </c>
      <c r="AP664" s="193">
        <v>-0.1</v>
      </c>
      <c r="AQ664" s="193">
        <f t="shared" si="1038"/>
        <v>0</v>
      </c>
      <c r="AR664" s="191">
        <f t="shared" si="1039"/>
        <v>0</v>
      </c>
      <c r="AS664" s="194">
        <f t="shared" si="1040"/>
        <v>0</v>
      </c>
      <c r="AT664" s="195" t="s">
        <v>97</v>
      </c>
      <c r="AU664" s="425" t="s">
        <v>2824</v>
      </c>
      <c r="AV664" s="425"/>
      <c r="AW664" s="425"/>
      <c r="AX664" s="425"/>
      <c r="AY664" s="425"/>
      <c r="AZ664" s="425"/>
      <c r="BA664" s="425"/>
      <c r="BB664" s="425"/>
      <c r="BC664" s="440"/>
      <c r="BD664" s="404">
        <f>SUM($AS$4:AS664)</f>
        <v>3507.2641428571533</v>
      </c>
      <c r="BE664" s="405">
        <f>SUM($AR$4:AR664)</f>
        <v>8181.8853333333118</v>
      </c>
      <c r="BF664" s="330"/>
      <c r="BG664" s="330"/>
    </row>
    <row r="665" spans="1:59" ht="15.75" customHeight="1">
      <c r="A665" s="227" t="s">
        <v>2780</v>
      </c>
      <c r="B665" s="204">
        <v>45082</v>
      </c>
      <c r="C665" s="182" t="s">
        <v>2825</v>
      </c>
      <c r="D665" s="182" t="s">
        <v>114</v>
      </c>
      <c r="E665" s="233"/>
      <c r="F665" s="184"/>
      <c r="G665" s="490" t="s">
        <v>163</v>
      </c>
      <c r="H665" s="186"/>
      <c r="I665" s="186"/>
      <c r="J665" s="186"/>
      <c r="K665" s="187"/>
      <c r="L665" s="186">
        <v>1</v>
      </c>
      <c r="M665" s="186"/>
      <c r="N665" s="186"/>
      <c r="O665" s="187" t="s">
        <v>76</v>
      </c>
      <c r="P665" s="187" t="s">
        <v>77</v>
      </c>
      <c r="Q665" s="187" t="s">
        <v>78</v>
      </c>
      <c r="R665" s="187">
        <v>10</v>
      </c>
      <c r="S665" s="187">
        <v>2</v>
      </c>
      <c r="T665" s="187">
        <v>5</v>
      </c>
      <c r="U665" s="187" t="s">
        <v>78</v>
      </c>
      <c r="V665" s="188">
        <f t="shared" ref="V665" si="1052">IF(ISBLANK(O665),"",(IF(O665=UPPER("IB"),0.005,0.01)))</f>
        <v>0.01</v>
      </c>
      <c r="W665" s="189">
        <f t="shared" ref="W665" si="1053">IF(ISBLANK(O665),"",IF(O665="IB",8.63*200,IF(O665="IR",16*100,IF(O665="YT",20*100,IF(O665="YT-XT",24*200,IF(O665="TED",80*100))))))</f>
        <v>1600</v>
      </c>
      <c r="X665" s="189"/>
      <c r="Y665" s="189"/>
      <c r="Z665" s="189" t="s">
        <v>2826</v>
      </c>
      <c r="AA665" s="190">
        <v>-0.13500000000000001</v>
      </c>
      <c r="AB665" s="186"/>
      <c r="AC665" s="344"/>
      <c r="AD665" s="186"/>
      <c r="AE665" s="186"/>
      <c r="AF665" s="186"/>
      <c r="AG665" s="186"/>
      <c r="AH665" s="186"/>
      <c r="AI665" s="191">
        <f t="shared" si="1043"/>
        <v>-32</v>
      </c>
      <c r="AJ665" s="191">
        <f t="shared" si="1044"/>
        <v>-256</v>
      </c>
      <c r="AK665" s="186"/>
      <c r="AL665" s="186"/>
      <c r="AM665" s="186" t="s">
        <v>2827</v>
      </c>
      <c r="AN665" s="344" t="s">
        <v>87</v>
      </c>
      <c r="AO665" s="186" t="s">
        <v>2828</v>
      </c>
      <c r="AP665" s="193">
        <v>-0.13</v>
      </c>
      <c r="AQ665" s="193">
        <f t="shared" si="1038"/>
        <v>-5.0000000000000044E-3</v>
      </c>
      <c r="AR665" s="191">
        <f t="shared" si="1039"/>
        <v>-80.000000000000071</v>
      </c>
      <c r="AS665" s="194">
        <f t="shared" si="1040"/>
        <v>-8.0000000000000071</v>
      </c>
      <c r="AT665" s="195" t="s">
        <v>211</v>
      </c>
      <c r="AU665" s="425" t="s">
        <v>2829</v>
      </c>
      <c r="AV665" s="425"/>
      <c r="AW665" s="425"/>
      <c r="AX665" s="425"/>
      <c r="AY665" s="425"/>
      <c r="AZ665" s="425"/>
      <c r="BA665" s="425"/>
      <c r="BB665" s="425"/>
      <c r="BC665" s="440"/>
      <c r="BD665" s="404">
        <f>SUM($AS$4:AS665)</f>
        <v>3499.2641428571533</v>
      </c>
      <c r="BE665" s="405">
        <f>SUM($AR$4:AR665)</f>
        <v>8101.8853333333118</v>
      </c>
      <c r="BF665" s="330"/>
      <c r="BG665" s="330"/>
    </row>
    <row r="666" spans="1:59" ht="15.75" customHeight="1">
      <c r="A666" s="227" t="s">
        <v>2780</v>
      </c>
      <c r="B666" s="204">
        <v>45082</v>
      </c>
      <c r="C666" s="182" t="s">
        <v>424</v>
      </c>
      <c r="D666" s="182" t="s">
        <v>114</v>
      </c>
      <c r="E666" s="233" t="s">
        <v>2830</v>
      </c>
      <c r="F666" s="184"/>
      <c r="G666" s="185"/>
      <c r="H666" s="186"/>
      <c r="I666" s="186"/>
      <c r="J666" s="186"/>
      <c r="K666" s="187"/>
      <c r="L666" s="186"/>
      <c r="M666" s="186"/>
      <c r="N666" s="186"/>
      <c r="O666" s="187"/>
      <c r="P666" s="187"/>
      <c r="Q666" s="187"/>
      <c r="R666" s="187"/>
      <c r="S666" s="187"/>
      <c r="T666" s="187"/>
      <c r="U666" s="187"/>
      <c r="V666" s="187"/>
      <c r="W666" s="187"/>
      <c r="X666" s="189"/>
      <c r="Y666" s="189"/>
      <c r="Z666" s="189"/>
      <c r="AA666" s="190"/>
      <c r="AB666" s="186"/>
      <c r="AC666" s="344"/>
      <c r="AD666" s="186"/>
      <c r="AE666" s="186"/>
      <c r="AF666" s="186"/>
      <c r="AG666" s="186"/>
      <c r="AH666" s="186"/>
      <c r="AI666" s="191"/>
      <c r="AJ666" s="191"/>
      <c r="AK666" s="186"/>
      <c r="AL666" s="186"/>
      <c r="AM666" s="186"/>
      <c r="AN666" s="344"/>
      <c r="AO666" s="186"/>
      <c r="AP666" s="193"/>
      <c r="AQ666" s="193"/>
      <c r="AR666" s="191"/>
      <c r="AS666" s="194"/>
      <c r="AT666" s="195"/>
      <c r="AU666" s="425" t="s">
        <v>2831</v>
      </c>
      <c r="AV666" s="425" t="s">
        <v>2832</v>
      </c>
      <c r="AW666" s="425" t="s">
        <v>2833</v>
      </c>
      <c r="AX666" s="425" t="s">
        <v>2834</v>
      </c>
      <c r="AY666" s="425" t="s">
        <v>2835</v>
      </c>
      <c r="AZ666" s="425" t="s">
        <v>2836</v>
      </c>
      <c r="BA666" s="425"/>
      <c r="BB666" s="425"/>
      <c r="BC666" s="440"/>
      <c r="BD666" s="404">
        <f>SUM($AS$4:AS666)</f>
        <v>3499.2641428571533</v>
      </c>
      <c r="BE666" s="405">
        <f>SUM($AR$4:AR666)</f>
        <v>8101.8853333333118</v>
      </c>
      <c r="BF666" s="330"/>
      <c r="BG666" s="330"/>
    </row>
    <row r="667" spans="1:59" ht="15.75" customHeight="1">
      <c r="A667" s="227" t="s">
        <v>2780</v>
      </c>
      <c r="B667" s="204"/>
      <c r="C667" s="182" t="s">
        <v>1169</v>
      </c>
      <c r="D667" s="182" t="s">
        <v>114</v>
      </c>
      <c r="E667" s="233" t="s">
        <v>2837</v>
      </c>
      <c r="F667" s="184"/>
      <c r="G667" s="185"/>
      <c r="H667" s="186"/>
      <c r="I667" s="186"/>
      <c r="J667" s="186">
        <v>1</v>
      </c>
      <c r="K667" s="187" t="s">
        <v>97</v>
      </c>
      <c r="L667" s="186"/>
      <c r="M667" s="186"/>
      <c r="N667" s="186"/>
      <c r="O667" s="187"/>
      <c r="P667" s="187"/>
      <c r="Q667" s="187"/>
      <c r="R667" s="187"/>
      <c r="S667" s="187"/>
      <c r="T667" s="187"/>
      <c r="U667" s="187"/>
      <c r="V667" s="187"/>
      <c r="W667" s="187"/>
      <c r="X667" s="189"/>
      <c r="Y667" s="189"/>
      <c r="Z667" s="189"/>
      <c r="AA667" s="190"/>
      <c r="AB667" s="186"/>
      <c r="AC667" s="344"/>
      <c r="AD667" s="186"/>
      <c r="AE667" s="186"/>
      <c r="AF667" s="186"/>
      <c r="AG667" s="186"/>
      <c r="AH667" s="186"/>
      <c r="AI667" s="191"/>
      <c r="AJ667" s="191"/>
      <c r="AK667" s="186"/>
      <c r="AL667" s="186"/>
      <c r="AM667" s="186"/>
      <c r="AN667" s="344"/>
      <c r="AO667" s="186"/>
      <c r="AP667" s="193"/>
      <c r="AQ667" s="193"/>
      <c r="AR667" s="191"/>
      <c r="AS667" s="194"/>
      <c r="AT667" s="195"/>
      <c r="AU667" s="425" t="s">
        <v>2838</v>
      </c>
      <c r="AV667" s="425" t="s">
        <v>2839</v>
      </c>
      <c r="AW667" s="425" t="s">
        <v>2840</v>
      </c>
      <c r="AX667" s="425"/>
      <c r="AY667" s="425"/>
      <c r="AZ667" s="425"/>
      <c r="BA667" s="425"/>
      <c r="BB667" s="425"/>
      <c r="BC667" s="440"/>
      <c r="BD667" s="404">
        <f>SUM($AS$4:AS667)</f>
        <v>3499.2641428571533</v>
      </c>
      <c r="BE667" s="405">
        <f>SUM($AR$4:AR667)</f>
        <v>8101.8853333333118</v>
      </c>
      <c r="BF667" s="330"/>
      <c r="BG667" s="330"/>
    </row>
    <row r="668" spans="1:59" ht="15.75" customHeight="1">
      <c r="A668" s="227" t="s">
        <v>2780</v>
      </c>
      <c r="B668" s="204">
        <v>45082</v>
      </c>
      <c r="C668" s="182"/>
      <c r="D668" s="182" t="s">
        <v>114</v>
      </c>
      <c r="E668" s="233"/>
      <c r="F668" s="184"/>
      <c r="G668" s="185" t="s">
        <v>2051</v>
      </c>
      <c r="H668" s="186"/>
      <c r="I668" s="186"/>
      <c r="J668" s="186"/>
      <c r="K668" s="187"/>
      <c r="L668" s="186"/>
      <c r="M668" s="186"/>
      <c r="N668" s="186"/>
      <c r="O668" s="187"/>
      <c r="P668" s="187"/>
      <c r="Q668" s="187"/>
      <c r="R668" s="187"/>
      <c r="S668" s="187"/>
      <c r="T668" s="187"/>
      <c r="U668" s="187"/>
      <c r="V668" s="188"/>
      <c r="W668" s="189"/>
      <c r="X668" s="189"/>
      <c r="Y668" s="427"/>
      <c r="Z668" s="189"/>
      <c r="AA668" s="190"/>
      <c r="AB668" s="186"/>
      <c r="AC668" s="344"/>
      <c r="AD668" s="186"/>
      <c r="AE668" s="186"/>
      <c r="AF668" s="186"/>
      <c r="AG668" s="186"/>
      <c r="AH668" s="186"/>
      <c r="AI668" s="191"/>
      <c r="AJ668" s="191"/>
      <c r="AK668" s="186"/>
      <c r="AL668" s="186"/>
      <c r="AM668" s="186"/>
      <c r="AN668" s="344"/>
      <c r="AO668" s="186"/>
      <c r="AP668" s="193"/>
      <c r="AQ668" s="193"/>
      <c r="AR668" s="191"/>
      <c r="AS668" s="194"/>
      <c r="AT668" s="195"/>
      <c r="AU668" s="425" t="s">
        <v>2841</v>
      </c>
      <c r="AV668" s="425"/>
      <c r="AW668" s="425"/>
      <c r="AX668" s="425"/>
      <c r="AY668" s="425"/>
      <c r="AZ668" s="425"/>
      <c r="BA668" s="425"/>
      <c r="BB668" s="425"/>
      <c r="BC668" s="440"/>
      <c r="BD668" s="404">
        <f>SUM($AS$4:AS668)</f>
        <v>3499.2641428571533</v>
      </c>
      <c r="BE668" s="405">
        <f>SUM($AR$4:AR668)</f>
        <v>8101.8853333333118</v>
      </c>
      <c r="BF668" s="330"/>
      <c r="BG668" s="330"/>
    </row>
    <row r="669" spans="1:59" ht="15.75" customHeight="1">
      <c r="A669" s="227" t="s">
        <v>2780</v>
      </c>
      <c r="B669" s="204">
        <v>45083</v>
      </c>
      <c r="C669" s="182" t="s">
        <v>2842</v>
      </c>
      <c r="D669" s="182" t="s">
        <v>128</v>
      </c>
      <c r="E669" s="233" t="s">
        <v>2843</v>
      </c>
      <c r="F669" s="184" t="s">
        <v>2844</v>
      </c>
      <c r="G669" s="185"/>
      <c r="H669" s="186"/>
      <c r="I669" s="186"/>
      <c r="J669" s="186"/>
      <c r="K669" s="187"/>
      <c r="L669" s="186"/>
      <c r="M669" s="186"/>
      <c r="N669" s="186"/>
      <c r="O669" s="187"/>
      <c r="P669" s="187"/>
      <c r="Q669" s="187"/>
      <c r="R669" s="187"/>
      <c r="S669" s="187"/>
      <c r="T669" s="187"/>
      <c r="U669" s="187"/>
      <c r="V669" s="187"/>
      <c r="W669" s="187"/>
      <c r="X669" s="189"/>
      <c r="Y669" s="189"/>
      <c r="Z669" s="189"/>
      <c r="AA669" s="190"/>
      <c r="AB669" s="186"/>
      <c r="AC669" s="344"/>
      <c r="AD669" s="186"/>
      <c r="AE669" s="186"/>
      <c r="AF669" s="186"/>
      <c r="AG669" s="186"/>
      <c r="AH669" s="186"/>
      <c r="AI669" s="191"/>
      <c r="AJ669" s="191"/>
      <c r="AK669" s="186"/>
      <c r="AL669" s="186"/>
      <c r="AM669" s="186"/>
      <c r="AN669" s="344"/>
      <c r="AO669" s="186"/>
      <c r="AP669" s="193"/>
      <c r="AQ669" s="193"/>
      <c r="AR669" s="191"/>
      <c r="AS669" s="194"/>
      <c r="AT669" s="195"/>
      <c r="AU669" s="425" t="s">
        <v>2845</v>
      </c>
      <c r="AV669" s="425" t="s">
        <v>2846</v>
      </c>
      <c r="AW669" s="425" t="s">
        <v>2847</v>
      </c>
      <c r="AX669" s="425" t="s">
        <v>2848</v>
      </c>
      <c r="AY669" s="425" t="s">
        <v>2849</v>
      </c>
      <c r="AZ669" s="425"/>
      <c r="BA669" s="425"/>
      <c r="BB669" s="425"/>
      <c r="BC669" s="440"/>
      <c r="BD669" s="404">
        <f>SUM($AS$4:AS669)</f>
        <v>3499.2641428571533</v>
      </c>
      <c r="BE669" s="405">
        <f>SUM($AR$4:AR669)</f>
        <v>8101.8853333333118</v>
      </c>
      <c r="BF669" s="330"/>
      <c r="BG669" s="330"/>
    </row>
    <row r="670" spans="1:59" ht="15.75" customHeight="1">
      <c r="A670" s="227" t="s">
        <v>2780</v>
      </c>
      <c r="B670" s="204">
        <v>45083</v>
      </c>
      <c r="C670" s="182" t="s">
        <v>664</v>
      </c>
      <c r="D670" s="182" t="s">
        <v>128</v>
      </c>
      <c r="E670" s="233"/>
      <c r="F670" s="184"/>
      <c r="G670" s="185" t="s">
        <v>2598</v>
      </c>
      <c r="H670" s="186"/>
      <c r="I670" s="186"/>
      <c r="J670" s="186"/>
      <c r="K670" s="187"/>
      <c r="L670" s="186">
        <v>2</v>
      </c>
      <c r="M670" s="186">
        <v>2</v>
      </c>
      <c r="N670" s="186"/>
      <c r="O670" s="187" t="s">
        <v>76</v>
      </c>
      <c r="P670" s="187" t="s">
        <v>119</v>
      </c>
      <c r="Q670" s="187" t="s">
        <v>78</v>
      </c>
      <c r="R670" s="187">
        <v>10</v>
      </c>
      <c r="S670" s="187">
        <v>0</v>
      </c>
      <c r="T670" s="187">
        <v>10</v>
      </c>
      <c r="U670" s="187" t="s">
        <v>22</v>
      </c>
      <c r="V670" s="188">
        <f t="shared" ref="V670" si="1054">IF(ISBLANK(O670),"",(IF(O670=UPPER("IB"),0.005,0.01)))</f>
        <v>0.01</v>
      </c>
      <c r="W670" s="189">
        <f t="shared" ref="W670" si="1055">IF(ISBLANK(O670),"",IF(O670="IB",8.63*200,IF(O670="IR",16*100,IF(O670="YT",20*100,IF(O670="YT-XT",24*200,IF(O670="TED",80*100))))))</f>
        <v>1600</v>
      </c>
      <c r="X670" s="189" t="s">
        <v>2850</v>
      </c>
      <c r="Y670" s="427" t="s">
        <v>2851</v>
      </c>
      <c r="Z670" s="189" t="s">
        <v>2852</v>
      </c>
      <c r="AA670" s="190">
        <v>-0.04</v>
      </c>
      <c r="AB670" s="186"/>
      <c r="AC670" s="344">
        <v>-6</v>
      </c>
      <c r="AD670" s="186" t="s">
        <v>2853</v>
      </c>
      <c r="AE670" s="186" t="s">
        <v>2854</v>
      </c>
      <c r="AF670" s="186"/>
      <c r="AG670" s="186"/>
      <c r="AH670" s="186"/>
      <c r="AI670" s="191"/>
      <c r="AJ670" s="191"/>
      <c r="AK670" s="186"/>
      <c r="AL670" s="186"/>
      <c r="AM670" s="186"/>
      <c r="AN670" s="344"/>
      <c r="AO670" s="186"/>
      <c r="AP670" s="193"/>
      <c r="AQ670" s="193"/>
      <c r="AR670" s="191"/>
      <c r="AS670" s="194"/>
      <c r="AT670" s="195"/>
      <c r="AU670" s="425"/>
      <c r="AV670" s="425"/>
      <c r="AW670" s="425"/>
      <c r="AX670" s="425"/>
      <c r="AY670" s="425"/>
      <c r="AZ670" s="425"/>
      <c r="BA670" s="425"/>
      <c r="BB670" s="425"/>
      <c r="BC670" s="440"/>
      <c r="BD670" s="404">
        <f>SUM($AS$4:AS670)</f>
        <v>3499.2641428571533</v>
      </c>
      <c r="BE670" s="405">
        <f>SUM($AR$4:AR670)</f>
        <v>8101.8853333333118</v>
      </c>
      <c r="BF670" s="330"/>
      <c r="BG670" s="330"/>
    </row>
    <row r="671" spans="1:59" ht="15.75" customHeight="1">
      <c r="A671" s="227" t="s">
        <v>2780</v>
      </c>
      <c r="B671" s="204">
        <v>45083</v>
      </c>
      <c r="C671" s="182" t="s">
        <v>664</v>
      </c>
      <c r="D671" s="182" t="s">
        <v>128</v>
      </c>
      <c r="E671" s="233"/>
      <c r="F671" s="184"/>
      <c r="G671" s="185" t="s">
        <v>1997</v>
      </c>
      <c r="H671" s="186"/>
      <c r="I671" s="186"/>
      <c r="J671" s="186"/>
      <c r="K671" s="187"/>
      <c r="L671" s="186">
        <v>1</v>
      </c>
      <c r="M671" s="186"/>
      <c r="N671" s="186"/>
      <c r="O671" s="187" t="s">
        <v>76</v>
      </c>
      <c r="P671" s="187" t="s">
        <v>119</v>
      </c>
      <c r="Q671" s="187" t="s">
        <v>78</v>
      </c>
      <c r="R671" s="187">
        <v>1</v>
      </c>
      <c r="S671" s="187">
        <v>0</v>
      </c>
      <c r="T671" s="187">
        <v>1</v>
      </c>
      <c r="U671" s="187" t="s">
        <v>22</v>
      </c>
      <c r="V671" s="188">
        <f t="shared" ref="V671" si="1056">IF(ISBLANK(O671),"",(IF(O671=UPPER("IB"),0.005,0.01)))</f>
        <v>0.01</v>
      </c>
      <c r="W671" s="189">
        <f t="shared" ref="W671" si="1057">IF(ISBLANK(O671),"",IF(O671="IB",8.63*200,IF(O671="IR",16*100,IF(O671="YT",20*100,IF(O671="YT-XT",24*200,IF(O671="TED",80*100))))))</f>
        <v>1600</v>
      </c>
      <c r="X671" s="189" t="s">
        <v>80</v>
      </c>
      <c r="Y671" s="189"/>
      <c r="Z671" s="189"/>
      <c r="AA671" s="190">
        <v>-0.14000000000000001</v>
      </c>
      <c r="AB671" s="186"/>
      <c r="AC671" s="344"/>
      <c r="AD671" s="186"/>
      <c r="AE671" s="186"/>
      <c r="AF671" s="186"/>
      <c r="AG671" s="186"/>
      <c r="AH671" s="186"/>
      <c r="AI671" s="191">
        <f t="shared" ref="AI671:AI672" si="1058">-0.02*W671</f>
        <v>-32</v>
      </c>
      <c r="AJ671" s="191">
        <f t="shared" ref="AJ670:AJ674" si="1059">AI671*(R671-S671)</f>
        <v>-32</v>
      </c>
      <c r="AK671" s="186"/>
      <c r="AL671" s="186"/>
      <c r="AM671" s="186"/>
      <c r="AN671" s="344" t="s">
        <v>376</v>
      </c>
      <c r="AO671" s="186" t="s">
        <v>1124</v>
      </c>
      <c r="AP671" s="193">
        <v>-0.13</v>
      </c>
      <c r="AQ671" s="193">
        <f t="shared" ref="AQ670:AQ671" si="1060">IF(ISBLANK(AP671),,IF(U671="S",AA671-AP671,AP671-AA671))</f>
        <v>1.0000000000000009E-2</v>
      </c>
      <c r="AR671" s="191">
        <f t="shared" ref="AR670:AR671" si="1061">AS671*R671</f>
        <v>16.000000000000014</v>
      </c>
      <c r="AS671" s="194">
        <f t="shared" ref="AS670:AS671" si="1062">IF(ISBLANK(AP671),,(AQ671*W671))</f>
        <v>16.000000000000014</v>
      </c>
      <c r="AT671" s="195" t="s">
        <v>77</v>
      </c>
      <c r="AU671" s="425"/>
      <c r="AV671" s="425"/>
      <c r="AW671" s="425"/>
      <c r="AX671" s="425"/>
      <c r="AY671" s="425"/>
      <c r="AZ671" s="425"/>
      <c r="BA671" s="425"/>
      <c r="BB671" s="425"/>
      <c r="BC671" s="440"/>
      <c r="BD671" s="404">
        <f>SUM($AS$4:AS671)</f>
        <v>3515.2641428571533</v>
      </c>
      <c r="BE671" s="405">
        <f>SUM($AR$4:AR671)</f>
        <v>8117.8853333333118</v>
      </c>
      <c r="BF671" s="330"/>
      <c r="BG671" s="330"/>
    </row>
    <row r="672" spans="1:59" ht="15.75" customHeight="1">
      <c r="A672" s="227" t="s">
        <v>2780</v>
      </c>
      <c r="B672" s="204">
        <v>45083</v>
      </c>
      <c r="C672" s="182" t="s">
        <v>664</v>
      </c>
      <c r="D672" s="182" t="s">
        <v>128</v>
      </c>
      <c r="E672" s="233"/>
      <c r="F672" s="184"/>
      <c r="G672" s="291" t="s">
        <v>2126</v>
      </c>
      <c r="H672" s="186"/>
      <c r="I672" s="186"/>
      <c r="J672" s="186"/>
      <c r="K672" s="187"/>
      <c r="L672" s="186">
        <v>1</v>
      </c>
      <c r="M672" s="186"/>
      <c r="N672" s="186"/>
      <c r="O672" s="187" t="s">
        <v>76</v>
      </c>
      <c r="P672" s="187" t="s">
        <v>77</v>
      </c>
      <c r="Q672" s="187" t="s">
        <v>78</v>
      </c>
      <c r="R672" s="187">
        <v>10</v>
      </c>
      <c r="S672" s="187">
        <v>0</v>
      </c>
      <c r="T672" s="187">
        <v>10</v>
      </c>
      <c r="U672" s="187" t="s">
        <v>22</v>
      </c>
      <c r="V672" s="188">
        <f t="shared" ref="V672" si="1063">IF(ISBLANK(O672),"",(IF(O672=UPPER("IB"),0.005,0.01)))</f>
        <v>0.01</v>
      </c>
      <c r="W672" s="189">
        <f t="shared" ref="W672" si="1064">IF(ISBLANK(O672),"",IF(O672="IB",8.63*200,IF(O672="IR",16*100,IF(O672="YT",20*100,IF(O672="YT-XT",24*200,IF(O672="TED",80*100))))))</f>
        <v>1600</v>
      </c>
      <c r="X672" s="189"/>
      <c r="Y672" s="189" t="s">
        <v>2855</v>
      </c>
      <c r="Z672" s="189"/>
      <c r="AA672" s="190">
        <v>-0.1</v>
      </c>
      <c r="AB672" s="186"/>
      <c r="AC672" s="344"/>
      <c r="AD672" s="186"/>
      <c r="AE672" s="186"/>
      <c r="AF672" s="186"/>
      <c r="AG672" s="186"/>
      <c r="AH672" s="186"/>
      <c r="AI672" s="191">
        <f t="shared" si="1058"/>
        <v>-32</v>
      </c>
      <c r="AJ672" s="191">
        <f t="shared" si="1059"/>
        <v>-320</v>
      </c>
      <c r="AK672" s="186"/>
      <c r="AL672" s="186"/>
      <c r="AM672" s="186" t="s">
        <v>2856</v>
      </c>
      <c r="AN672" s="344" t="s">
        <v>87</v>
      </c>
      <c r="AO672" s="186" t="s">
        <v>2857</v>
      </c>
      <c r="AP672" s="193">
        <v>-0.1</v>
      </c>
      <c r="AQ672" s="193">
        <f t="shared" ref="AQ672" si="1065">IF(ISBLANK(AP672),,IF(U672="S",AA672-AP672,AP672-AA672))</f>
        <v>0</v>
      </c>
      <c r="AR672" s="191">
        <f t="shared" ref="AR672" si="1066">AS672*R672</f>
        <v>0</v>
      </c>
      <c r="AS672" s="194">
        <f t="shared" ref="AS672" si="1067">IF(ISBLANK(AP672),,(AQ672*W672))</f>
        <v>0</v>
      </c>
      <c r="AT672" s="195" t="s">
        <v>97</v>
      </c>
      <c r="AU672" s="425"/>
      <c r="AV672" s="425"/>
      <c r="AW672" s="425"/>
      <c r="AX672" s="425"/>
      <c r="AY672" s="425"/>
      <c r="AZ672" s="425"/>
      <c r="BA672" s="425"/>
      <c r="BB672" s="425"/>
      <c r="BC672" s="440"/>
      <c r="BD672" s="404">
        <f>SUM($AS$4:AS672)</f>
        <v>3515.2641428571533</v>
      </c>
      <c r="BE672" s="405">
        <f>SUM($AR$4:AR672)</f>
        <v>8117.8853333333118</v>
      </c>
      <c r="BF672" s="330"/>
      <c r="BG672" s="330"/>
    </row>
    <row r="673" spans="1:59" ht="15.75" customHeight="1">
      <c r="A673" s="227" t="s">
        <v>2780</v>
      </c>
      <c r="B673" s="204">
        <v>45083</v>
      </c>
      <c r="C673" s="182" t="s">
        <v>664</v>
      </c>
      <c r="D673" s="182" t="s">
        <v>128</v>
      </c>
      <c r="E673" s="233"/>
      <c r="F673" s="184"/>
      <c r="G673" s="291" t="s">
        <v>2126</v>
      </c>
      <c r="H673" s="186"/>
      <c r="I673" s="186"/>
      <c r="J673" s="186"/>
      <c r="K673" s="187"/>
      <c r="L673" s="186">
        <v>1</v>
      </c>
      <c r="M673" s="186">
        <v>1</v>
      </c>
      <c r="N673" s="186"/>
      <c r="O673" s="187" t="s">
        <v>76</v>
      </c>
      <c r="P673" s="187" t="s">
        <v>77</v>
      </c>
      <c r="Q673" s="187" t="s">
        <v>78</v>
      </c>
      <c r="R673" s="187">
        <v>10</v>
      </c>
      <c r="S673" s="187">
        <v>7</v>
      </c>
      <c r="T673" s="187">
        <v>10</v>
      </c>
      <c r="U673" s="187" t="s">
        <v>78</v>
      </c>
      <c r="V673" s="188">
        <f t="shared" ref="V673" si="1068">IF(ISBLANK(O673),"",(IF(O673=UPPER("IB"),0.005,0.01)))</f>
        <v>0.01</v>
      </c>
      <c r="W673" s="189">
        <f t="shared" ref="W673" si="1069">IF(ISBLANK(O673),"",IF(O673="IB",8.63*200,IF(O673="IR",16*100,IF(O673="YT",20*100,IF(O673="YT-XT",24*200,IF(O673="TED",80*100))))))</f>
        <v>1600</v>
      </c>
      <c r="X673" s="189" t="s">
        <v>80</v>
      </c>
      <c r="Y673" s="189" t="s">
        <v>2858</v>
      </c>
      <c r="Z673" s="189"/>
      <c r="AA673" s="190">
        <v>-0.1</v>
      </c>
      <c r="AB673" s="186"/>
      <c r="AC673" s="344"/>
      <c r="AD673" s="186">
        <v>-8</v>
      </c>
      <c r="AE673" s="186">
        <v>-12</v>
      </c>
      <c r="AF673" s="186"/>
      <c r="AG673" s="186"/>
      <c r="AH673" s="186"/>
      <c r="AI673" s="191">
        <f>-0.03*W673</f>
        <v>-48</v>
      </c>
      <c r="AJ673" s="191">
        <f t="shared" si="1059"/>
        <v>-144</v>
      </c>
      <c r="AK673" s="186"/>
      <c r="AL673" s="186"/>
      <c r="AM673" s="186" t="s">
        <v>786</v>
      </c>
      <c r="AN673" s="344" t="s">
        <v>97</v>
      </c>
      <c r="AO673" s="186" t="s">
        <v>2859</v>
      </c>
      <c r="AP673" s="193">
        <f>((-0.11*7)+(-0.11*3))/10</f>
        <v>-0.11000000000000001</v>
      </c>
      <c r="AQ673" s="193">
        <f t="shared" ref="AQ673:AQ674" si="1070">IF(ISBLANK(AP673),,IF(U673="S",AA673-AP673,AP673-AA673))</f>
        <v>1.0000000000000009E-2</v>
      </c>
      <c r="AR673" s="191">
        <f t="shared" ref="AR673:AR674" si="1071">AS673*R673</f>
        <v>160.00000000000014</v>
      </c>
      <c r="AS673" s="194">
        <f t="shared" ref="AS673:AS674" si="1072">IF(ISBLANK(AP673),,(AQ673*W673))</f>
        <v>16.000000000000014</v>
      </c>
      <c r="AT673" s="195" t="s">
        <v>77</v>
      </c>
      <c r="AU673" s="425"/>
      <c r="AV673" s="425"/>
      <c r="AW673" s="425"/>
      <c r="AX673" s="425"/>
      <c r="AY673" s="425"/>
      <c r="AZ673" s="425"/>
      <c r="BA673" s="425"/>
      <c r="BB673" s="425"/>
      <c r="BC673" s="440"/>
      <c r="BD673" s="404">
        <f>SUM($AS$4:AS673)</f>
        <v>3531.2641428571533</v>
      </c>
      <c r="BE673" s="405">
        <f>SUM($AR$4:AR673)</f>
        <v>8277.8853333333118</v>
      </c>
      <c r="BF673" s="330"/>
      <c r="BG673" s="330"/>
    </row>
    <row r="674" spans="1:59" ht="15.75" customHeight="1">
      <c r="A674" s="227" t="s">
        <v>2780</v>
      </c>
      <c r="B674" s="204">
        <v>45083</v>
      </c>
      <c r="C674" s="182" t="s">
        <v>664</v>
      </c>
      <c r="D674" s="182" t="s">
        <v>128</v>
      </c>
      <c r="E674" s="233"/>
      <c r="F674" s="184"/>
      <c r="G674" s="291" t="s">
        <v>2860</v>
      </c>
      <c r="H674" s="186"/>
      <c r="I674" s="186"/>
      <c r="J674" s="186"/>
      <c r="K674" s="187"/>
      <c r="L674" s="186">
        <v>1</v>
      </c>
      <c r="M674" s="186"/>
      <c r="N674" s="186"/>
      <c r="O674" s="187" t="s">
        <v>1039</v>
      </c>
      <c r="P674" s="187"/>
      <c r="Q674" s="187" t="s">
        <v>666</v>
      </c>
      <c r="R674" s="187">
        <v>1</v>
      </c>
      <c r="S674" s="187">
        <v>0</v>
      </c>
      <c r="T674" s="187">
        <v>1</v>
      </c>
      <c r="U674" s="187" t="s">
        <v>78</v>
      </c>
      <c r="V674" s="188">
        <f t="shared" ref="V674" si="1073">IF(ISBLANK(O674),"",(IF(O674=UPPER("IB"),0.005,0.01)))</f>
        <v>5.0000000000000001E-3</v>
      </c>
      <c r="W674" s="189">
        <f t="shared" ref="W674" si="1074">IF(ISBLANK(O674),"",IF(O674="IB",8.63*200,IF(O674="IR",16*100,IF(O674="YT",20*100,IF(O674="YT-XT",24*200,IF(O674="TED",80*100))))))</f>
        <v>1726.0000000000002</v>
      </c>
      <c r="X674" s="189"/>
      <c r="Y674" s="427" t="s">
        <v>2861</v>
      </c>
      <c r="Z674" s="189"/>
      <c r="AA674" s="190">
        <v>95.875</v>
      </c>
      <c r="AB674" s="186"/>
      <c r="AC674" s="344"/>
      <c r="AD674" s="186" t="s">
        <v>2862</v>
      </c>
      <c r="AE674" s="186">
        <v>95.5</v>
      </c>
      <c r="AF674" s="186"/>
      <c r="AG674" s="186"/>
      <c r="AH674" s="186"/>
      <c r="AI674" s="191">
        <f>0*W674</f>
        <v>0</v>
      </c>
      <c r="AJ674" s="191">
        <f t="shared" si="1059"/>
        <v>0</v>
      </c>
      <c r="AK674" s="186"/>
      <c r="AL674" s="186"/>
      <c r="AM674" s="186" t="s">
        <v>884</v>
      </c>
      <c r="AN674" s="344" t="s">
        <v>77</v>
      </c>
      <c r="AO674" s="186" t="s">
        <v>2863</v>
      </c>
      <c r="AP674" s="193">
        <v>95.85</v>
      </c>
      <c r="AQ674" s="193">
        <f t="shared" si="1070"/>
        <v>2.5000000000005684E-2</v>
      </c>
      <c r="AR674" s="191">
        <f t="shared" si="1071"/>
        <v>43.150000000009818</v>
      </c>
      <c r="AS674" s="194">
        <f t="shared" si="1072"/>
        <v>43.150000000009818</v>
      </c>
      <c r="AT674" s="195" t="s">
        <v>77</v>
      </c>
      <c r="AU674" s="425" t="s">
        <v>2864</v>
      </c>
      <c r="AV674" s="425"/>
      <c r="AW674" s="425"/>
      <c r="AX674" s="425"/>
      <c r="AY674" s="425"/>
      <c r="AZ674" s="425"/>
      <c r="BA674" s="425"/>
      <c r="BB674" s="425"/>
      <c r="BC674" s="440"/>
      <c r="BD674" s="404">
        <f>SUM($AS$4:AS674)</f>
        <v>3574.4141428571629</v>
      </c>
      <c r="BE674" s="405">
        <f>SUM($AR$4:AR674)</f>
        <v>8321.0353333333223</v>
      </c>
      <c r="BF674" s="330"/>
      <c r="BG674" s="330"/>
    </row>
    <row r="675" spans="1:59" ht="15.75" customHeight="1">
      <c r="A675" s="227" t="s">
        <v>2780</v>
      </c>
      <c r="B675" s="204">
        <v>45083</v>
      </c>
      <c r="C675" s="182" t="s">
        <v>664</v>
      </c>
      <c r="D675" s="182" t="s">
        <v>128</v>
      </c>
      <c r="E675" s="233"/>
      <c r="F675" s="184"/>
      <c r="G675" s="291" t="s">
        <v>118</v>
      </c>
      <c r="H675" s="186"/>
      <c r="I675" s="186"/>
      <c r="J675" s="186"/>
      <c r="K675" s="187"/>
      <c r="L675" s="186">
        <v>2</v>
      </c>
      <c r="M675" s="186"/>
      <c r="N675" s="186"/>
      <c r="O675" s="187" t="s">
        <v>76</v>
      </c>
      <c r="P675" s="187" t="s">
        <v>119</v>
      </c>
      <c r="Q675" s="187" t="s">
        <v>78</v>
      </c>
      <c r="R675" s="187">
        <v>5</v>
      </c>
      <c r="S675" s="187">
        <v>5</v>
      </c>
      <c r="T675" s="187">
        <v>5</v>
      </c>
      <c r="U675" s="187" t="s">
        <v>22</v>
      </c>
      <c r="V675" s="188">
        <f t="shared" ref="V675:V677" si="1075">IF(ISBLANK(O675),"",(IF(O675=UPPER("IB"),0.005,0.01)))</f>
        <v>0.01</v>
      </c>
      <c r="W675" s="189">
        <f t="shared" ref="W675:W677" si="1076">IF(ISBLANK(O675),"",IF(O675="IB",8.63*200,IF(O675="IR",16*100,IF(O675="YT",20*100,IF(O675="YT-XT",24*200,IF(O675="TED",80*100))))))</f>
        <v>1600</v>
      </c>
      <c r="X675" s="189" t="s">
        <v>2865</v>
      </c>
      <c r="Y675" s="189"/>
      <c r="Z675" s="189"/>
      <c r="AA675" s="190">
        <v>-0.16</v>
      </c>
      <c r="AB675" s="186"/>
      <c r="AC675" s="344"/>
      <c r="AD675" s="186"/>
      <c r="AE675" s="186">
        <v>-14</v>
      </c>
      <c r="AF675" s="186" t="s">
        <v>2866</v>
      </c>
      <c r="AG675" s="186" t="s">
        <v>2867</v>
      </c>
      <c r="AH675" s="186"/>
      <c r="AI675" s="191">
        <f t="shared" ref="AI675" si="1077">-0.02*W675</f>
        <v>-32</v>
      </c>
      <c r="AJ675" s="191">
        <f t="shared" ref="AJ675" si="1078">AI675*(R675-S675)</f>
        <v>0</v>
      </c>
      <c r="AK675" s="186"/>
      <c r="AL675" s="186"/>
      <c r="AM675" s="186"/>
      <c r="AN675" s="344"/>
      <c r="AO675" s="186" t="s">
        <v>2868</v>
      </c>
      <c r="AP675" s="193">
        <v>-0.15</v>
      </c>
      <c r="AQ675" s="193">
        <f t="shared" ref="AQ675" si="1079">IF(ISBLANK(AP675),,IF(U675="S",AA675-AP675,AP675-AA675))</f>
        <v>1.0000000000000009E-2</v>
      </c>
      <c r="AR675" s="191">
        <f t="shared" ref="AR675" si="1080">AS675*R675</f>
        <v>80.000000000000071</v>
      </c>
      <c r="AS675" s="194">
        <f t="shared" ref="AS675" si="1081">IF(ISBLANK(AP675),,(AQ675*W675))</f>
        <v>16.000000000000014</v>
      </c>
      <c r="AT675" s="195" t="s">
        <v>77</v>
      </c>
      <c r="AU675" s="425" t="s">
        <v>2869</v>
      </c>
      <c r="AV675" s="425"/>
      <c r="AW675" s="425"/>
      <c r="AX675" s="425"/>
      <c r="AY675" s="425"/>
      <c r="AZ675" s="425"/>
      <c r="BA675" s="425"/>
      <c r="BB675" s="425"/>
      <c r="BC675" s="440"/>
      <c r="BD675" s="404">
        <f>SUM($AS$4:AS675)</f>
        <v>3590.4141428571629</v>
      </c>
      <c r="BE675" s="405">
        <f>SUM($AR$4:AR675)</f>
        <v>8401.0353333333223</v>
      </c>
      <c r="BF675" s="330"/>
      <c r="BG675" s="330"/>
    </row>
    <row r="676" spans="1:59" ht="15.75" customHeight="1">
      <c r="A676" s="227" t="s">
        <v>2780</v>
      </c>
      <c r="B676" s="204">
        <v>45083</v>
      </c>
      <c r="C676" s="182" t="s">
        <v>2870</v>
      </c>
      <c r="D676" s="182" t="s">
        <v>128</v>
      </c>
      <c r="E676" s="233"/>
      <c r="F676" s="184"/>
      <c r="G676" s="291" t="s">
        <v>2871</v>
      </c>
      <c r="H676" s="186"/>
      <c r="I676" s="186"/>
      <c r="J676" s="186"/>
      <c r="K676" s="187"/>
      <c r="L676" s="186">
        <v>1</v>
      </c>
      <c r="M676" s="186"/>
      <c r="N676" s="186"/>
      <c r="O676" s="187" t="s">
        <v>2240</v>
      </c>
      <c r="P676" s="187" t="s">
        <v>2241</v>
      </c>
      <c r="Q676" s="187"/>
      <c r="R676" s="187">
        <v>1</v>
      </c>
      <c r="S676" s="187">
        <v>0</v>
      </c>
      <c r="T676" s="187">
        <v>1</v>
      </c>
      <c r="U676" s="187" t="s">
        <v>22</v>
      </c>
      <c r="V676" s="188">
        <f t="shared" si="1075"/>
        <v>0.01</v>
      </c>
      <c r="W676" s="189">
        <f t="shared" si="1076"/>
        <v>4800</v>
      </c>
      <c r="X676" s="189" t="s">
        <v>2872</v>
      </c>
      <c r="Y676" s="189"/>
      <c r="Z676" s="189"/>
      <c r="AA676" s="190">
        <v>0.15</v>
      </c>
      <c r="AB676" s="186"/>
      <c r="AC676" s="344"/>
      <c r="AD676" s="186"/>
      <c r="AE676" s="186"/>
      <c r="AF676" s="186"/>
      <c r="AG676" s="186"/>
      <c r="AH676" s="186"/>
      <c r="AI676" s="191">
        <f>-0.05*W676</f>
        <v>-240</v>
      </c>
      <c r="AJ676" s="191">
        <f t="shared" ref="AJ676:AJ677" si="1082">AI676*(R676-S676)</f>
        <v>-240</v>
      </c>
      <c r="AK676" s="186"/>
      <c r="AL676" s="186"/>
      <c r="AM676" s="186"/>
      <c r="AN676" s="344"/>
      <c r="AO676" s="186" t="s">
        <v>2873</v>
      </c>
      <c r="AP676" s="193">
        <v>0.13500000000000001</v>
      </c>
      <c r="AQ676" s="193">
        <f t="shared" ref="AQ676" si="1083">IF(ISBLANK(AP676),,IF(U676="S",AA676-AP676,AP676-AA676))</f>
        <v>-1.4999999999999986E-2</v>
      </c>
      <c r="AR676" s="191">
        <f t="shared" ref="AR676" si="1084">AS676*R676</f>
        <v>-71.999999999999929</v>
      </c>
      <c r="AS676" s="194">
        <f t="shared" ref="AS676" si="1085">IF(ISBLANK(AP676),,(AQ676*W676))</f>
        <v>-71.999999999999929</v>
      </c>
      <c r="AT676" s="195" t="s">
        <v>211</v>
      </c>
      <c r="AU676" s="425" t="s">
        <v>2874</v>
      </c>
      <c r="AV676" s="425"/>
      <c r="AW676" s="425"/>
      <c r="AX676" s="425"/>
      <c r="AY676" s="425"/>
      <c r="AZ676" s="425"/>
      <c r="BA676" s="425"/>
      <c r="BB676" s="425"/>
      <c r="BC676" s="440"/>
      <c r="BD676" s="404">
        <f>SUM($AS$4:AS676)</f>
        <v>3518.4141428571629</v>
      </c>
      <c r="BE676" s="405">
        <f>SUM($AR$4:AR676)</f>
        <v>8329.0353333333223</v>
      </c>
      <c r="BF676" s="330"/>
      <c r="BG676" s="330"/>
    </row>
    <row r="677" spans="1:59" ht="15.75" customHeight="1">
      <c r="A677" s="227" t="s">
        <v>2780</v>
      </c>
      <c r="B677" s="204">
        <v>45084</v>
      </c>
      <c r="C677" s="182" t="s">
        <v>1948</v>
      </c>
      <c r="D677" s="182" t="s">
        <v>133</v>
      </c>
      <c r="E677" s="233"/>
      <c r="F677" s="184"/>
      <c r="G677" s="291" t="s">
        <v>2860</v>
      </c>
      <c r="H677" s="186"/>
      <c r="I677" s="186"/>
      <c r="J677" s="186"/>
      <c r="K677" s="187"/>
      <c r="L677" s="186">
        <v>1</v>
      </c>
      <c r="M677" s="186"/>
      <c r="N677" s="186"/>
      <c r="O677" s="187" t="s">
        <v>1039</v>
      </c>
      <c r="P677" s="187"/>
      <c r="Q677" s="187" t="s">
        <v>666</v>
      </c>
      <c r="R677" s="187">
        <v>1</v>
      </c>
      <c r="S677" s="187">
        <v>0</v>
      </c>
      <c r="T677" s="187">
        <v>1</v>
      </c>
      <c r="U677" s="187" t="s">
        <v>78</v>
      </c>
      <c r="V677" s="188">
        <f t="shared" si="1075"/>
        <v>5.0000000000000001E-3</v>
      </c>
      <c r="W677" s="189">
        <f t="shared" si="1076"/>
        <v>1726.0000000000002</v>
      </c>
      <c r="X677" s="189"/>
      <c r="Y677" s="427" t="s">
        <v>2861</v>
      </c>
      <c r="Z677" s="189"/>
      <c r="AA677" s="190">
        <v>95.864999999999995</v>
      </c>
      <c r="AB677" s="186"/>
      <c r="AC677" s="344"/>
      <c r="AD677" s="186" t="s">
        <v>2862</v>
      </c>
      <c r="AE677" s="186">
        <v>95.5</v>
      </c>
      <c r="AF677" s="186"/>
      <c r="AG677" s="186"/>
      <c r="AH677" s="186"/>
      <c r="AI677" s="191">
        <f t="shared" ref="AI677" si="1086">-0.02*W677</f>
        <v>-34.520000000000003</v>
      </c>
      <c r="AJ677" s="191">
        <f t="shared" si="1082"/>
        <v>-34.520000000000003</v>
      </c>
      <c r="AK677" s="186"/>
      <c r="AL677" s="186"/>
      <c r="AM677" s="186" t="s">
        <v>1414</v>
      </c>
      <c r="AN677" s="344" t="s">
        <v>87</v>
      </c>
      <c r="AO677" s="186" t="s">
        <v>2140</v>
      </c>
      <c r="AP677" s="193">
        <v>95.85</v>
      </c>
      <c r="AQ677" s="193">
        <f t="shared" ref="AQ677" si="1087">IF(ISBLANK(AP677),,IF(U677="S",AA677-AP677,AP677-AA677))</f>
        <v>1.5000000000000568E-2</v>
      </c>
      <c r="AR677" s="191">
        <f t="shared" ref="AR677" si="1088">AS677*R677</f>
        <v>25.890000000000985</v>
      </c>
      <c r="AS677" s="194">
        <f t="shared" ref="AS677" si="1089">IF(ISBLANK(AP677),,(AQ677*W677))</f>
        <v>25.890000000000985</v>
      </c>
      <c r="AT677" s="195" t="s">
        <v>77</v>
      </c>
      <c r="AU677" s="425" t="s">
        <v>2875</v>
      </c>
      <c r="AV677" s="425" t="s">
        <v>2876</v>
      </c>
      <c r="AW677" s="425"/>
      <c r="AX677" s="425"/>
      <c r="AY677" s="425"/>
      <c r="AZ677" s="425"/>
      <c r="BA677" s="425"/>
      <c r="BB677" s="425"/>
      <c r="BC677" s="440"/>
      <c r="BD677" s="404">
        <f>SUM($AS$4:AS677)</f>
        <v>3544.3041428571637</v>
      </c>
      <c r="BE677" s="405">
        <f>SUM($AR$4:AR677)</f>
        <v>8354.9253333333236</v>
      </c>
      <c r="BF677" s="330"/>
      <c r="BG677" s="330"/>
    </row>
    <row r="678" spans="1:59" ht="15.75" customHeight="1">
      <c r="A678" s="227" t="s">
        <v>2780</v>
      </c>
      <c r="B678" s="204">
        <v>45084</v>
      </c>
      <c r="C678" s="182" t="s">
        <v>2877</v>
      </c>
      <c r="D678" s="182" t="s">
        <v>133</v>
      </c>
      <c r="E678" s="233" t="s">
        <v>2878</v>
      </c>
      <c r="F678" s="184"/>
      <c r="G678" s="185"/>
      <c r="H678" s="186"/>
      <c r="I678" s="186"/>
      <c r="J678" s="186">
        <v>1</v>
      </c>
      <c r="K678" s="187" t="s">
        <v>97</v>
      </c>
      <c r="L678" s="186"/>
      <c r="M678" s="186"/>
      <c r="N678" s="186"/>
      <c r="O678" s="187"/>
      <c r="P678" s="187"/>
      <c r="Q678" s="187"/>
      <c r="R678" s="187"/>
      <c r="S678" s="187"/>
      <c r="T678" s="187"/>
      <c r="U678" s="187"/>
      <c r="V678" s="187"/>
      <c r="W678" s="187"/>
      <c r="X678" s="189"/>
      <c r="Y678" s="189"/>
      <c r="Z678" s="189"/>
      <c r="AA678" s="190"/>
      <c r="AB678" s="186"/>
      <c r="AC678" s="344"/>
      <c r="AD678" s="186"/>
      <c r="AE678" s="186"/>
      <c r="AF678" s="186"/>
      <c r="AG678" s="186"/>
      <c r="AH678" s="186"/>
      <c r="AI678" s="191"/>
      <c r="AJ678" s="191"/>
      <c r="AK678" s="186"/>
      <c r="AL678" s="186"/>
      <c r="AM678" s="186"/>
      <c r="AN678" s="344"/>
      <c r="AO678" s="186"/>
      <c r="AP678" s="193"/>
      <c r="AQ678" s="193"/>
      <c r="AR678" s="191"/>
      <c r="AS678" s="194"/>
      <c r="AT678" s="195"/>
      <c r="AU678" s="425"/>
      <c r="AV678" s="425"/>
      <c r="AW678" s="425"/>
      <c r="AX678" s="425"/>
      <c r="AY678" s="425"/>
      <c r="AZ678" s="425"/>
      <c r="BA678" s="425"/>
      <c r="BB678" s="425"/>
      <c r="BC678" s="440"/>
      <c r="BD678" s="404">
        <f>SUM($AS$4:AS678)</f>
        <v>3544.3041428571637</v>
      </c>
      <c r="BE678" s="405">
        <f>SUM($AR$4:AR678)</f>
        <v>8354.9253333333236</v>
      </c>
      <c r="BF678" s="330"/>
      <c r="BG678" s="330"/>
    </row>
    <row r="679" spans="1:59" ht="15.75" customHeight="1">
      <c r="A679" s="227" t="s">
        <v>2780</v>
      </c>
      <c r="B679" s="204">
        <v>45084</v>
      </c>
      <c r="C679" s="182" t="s">
        <v>258</v>
      </c>
      <c r="D679" s="182" t="s">
        <v>133</v>
      </c>
      <c r="E679" s="233"/>
      <c r="F679" s="184"/>
      <c r="G679" s="185" t="s">
        <v>118</v>
      </c>
      <c r="H679" s="186"/>
      <c r="I679" s="186"/>
      <c r="J679" s="186"/>
      <c r="K679" s="187"/>
      <c r="L679" s="186"/>
      <c r="M679" s="186"/>
      <c r="N679" s="186"/>
      <c r="O679" s="187"/>
      <c r="P679" s="187"/>
      <c r="Q679" s="187"/>
      <c r="R679" s="187"/>
      <c r="S679" s="187"/>
      <c r="T679" s="187"/>
      <c r="U679" s="187"/>
      <c r="V679" s="188"/>
      <c r="W679" s="189"/>
      <c r="X679" s="189"/>
      <c r="Y679" s="189"/>
      <c r="Z679" s="189"/>
      <c r="AA679" s="190"/>
      <c r="AB679" s="186"/>
      <c r="AC679" s="344"/>
      <c r="AD679" s="186"/>
      <c r="AE679" s="186"/>
      <c r="AF679" s="186"/>
      <c r="AG679" s="186"/>
      <c r="AH679" s="186"/>
      <c r="AI679" s="191"/>
      <c r="AJ679" s="191"/>
      <c r="AK679" s="186"/>
      <c r="AL679" s="186"/>
      <c r="AM679" s="186"/>
      <c r="AN679" s="344"/>
      <c r="AO679" s="186"/>
      <c r="AP679" s="193"/>
      <c r="AQ679" s="193"/>
      <c r="AR679" s="191"/>
      <c r="AS679" s="194"/>
      <c r="AT679" s="195"/>
      <c r="AU679" s="425" t="s">
        <v>2879</v>
      </c>
      <c r="AV679" s="425" t="s">
        <v>2880</v>
      </c>
      <c r="AW679" s="425"/>
      <c r="AX679" s="425"/>
      <c r="AY679" s="425"/>
      <c r="AZ679" s="425"/>
      <c r="BA679" s="425"/>
      <c r="BB679" s="425"/>
      <c r="BC679" s="440"/>
      <c r="BD679" s="404">
        <f>SUM($AS$4:AS679)</f>
        <v>3544.3041428571637</v>
      </c>
      <c r="BE679" s="405">
        <f>SUM($AR$4:AR679)</f>
        <v>8354.9253333333236</v>
      </c>
      <c r="BF679" s="330"/>
      <c r="BG679" s="330"/>
    </row>
    <row r="680" spans="1:59" ht="15.75" customHeight="1">
      <c r="A680" s="227" t="s">
        <v>2780</v>
      </c>
      <c r="B680" s="204">
        <v>45084</v>
      </c>
      <c r="C680" s="182"/>
      <c r="D680" s="182" t="s">
        <v>133</v>
      </c>
      <c r="E680" s="233"/>
      <c r="F680" s="184"/>
      <c r="G680" s="185" t="s">
        <v>1997</v>
      </c>
      <c r="H680" s="186"/>
      <c r="I680" s="186"/>
      <c r="J680" s="186"/>
      <c r="K680" s="187"/>
      <c r="L680" s="186"/>
      <c r="M680" s="186"/>
      <c r="N680" s="186"/>
      <c r="O680" s="187"/>
      <c r="P680" s="187"/>
      <c r="Q680" s="187"/>
      <c r="R680" s="187"/>
      <c r="S680" s="187"/>
      <c r="T680" s="187"/>
      <c r="U680" s="187"/>
      <c r="V680" s="188"/>
      <c r="W680" s="189"/>
      <c r="X680" s="189"/>
      <c r="Y680" s="189"/>
      <c r="Z680" s="189"/>
      <c r="AA680" s="190"/>
      <c r="AB680" s="186"/>
      <c r="AC680" s="344"/>
      <c r="AD680" s="186"/>
      <c r="AE680" s="186"/>
      <c r="AF680" s="186"/>
      <c r="AG680" s="186"/>
      <c r="AH680" s="186"/>
      <c r="AI680" s="191"/>
      <c r="AJ680" s="191"/>
      <c r="AK680" s="186"/>
      <c r="AL680" s="186"/>
      <c r="AM680" s="186"/>
      <c r="AN680" s="344"/>
      <c r="AO680" s="186"/>
      <c r="AP680" s="193"/>
      <c r="AQ680" s="193"/>
      <c r="AR680" s="191"/>
      <c r="AS680" s="194"/>
      <c r="AT680" s="195"/>
      <c r="AU680" s="425" t="s">
        <v>2881</v>
      </c>
      <c r="AV680" s="425"/>
      <c r="AW680" s="425"/>
      <c r="AX680" s="425"/>
      <c r="AY680" s="425"/>
      <c r="AZ680" s="425"/>
      <c r="BA680" s="425"/>
      <c r="BB680" s="425"/>
      <c r="BC680" s="440"/>
      <c r="BD680" s="404">
        <f>SUM($AS$4:AS680)</f>
        <v>3544.3041428571637</v>
      </c>
      <c r="BE680" s="405">
        <f>SUM($AR$4:AR680)</f>
        <v>8354.9253333333236</v>
      </c>
      <c r="BF680" s="330"/>
      <c r="BG680" s="330"/>
    </row>
    <row r="681" spans="1:59" ht="15.75" customHeight="1">
      <c r="A681" s="227" t="s">
        <v>2780</v>
      </c>
      <c r="B681" s="204">
        <v>45084</v>
      </c>
      <c r="C681" s="182" t="s">
        <v>2882</v>
      </c>
      <c r="D681" s="182" t="s">
        <v>133</v>
      </c>
      <c r="E681" s="233"/>
      <c r="F681" s="184"/>
      <c r="G681" s="185" t="s">
        <v>2126</v>
      </c>
      <c r="H681" s="186"/>
      <c r="I681" s="186"/>
      <c r="J681" s="186"/>
      <c r="K681" s="187"/>
      <c r="L681" s="186"/>
      <c r="M681" s="186"/>
      <c r="N681" s="186"/>
      <c r="O681" s="187"/>
      <c r="P681" s="187"/>
      <c r="Q681" s="187"/>
      <c r="R681" s="187"/>
      <c r="S681" s="187"/>
      <c r="T681" s="187"/>
      <c r="U681" s="187"/>
      <c r="V681" s="188"/>
      <c r="W681" s="189"/>
      <c r="X681" s="189"/>
      <c r="Y681" s="189"/>
      <c r="Z681" s="189"/>
      <c r="AA681" s="190"/>
      <c r="AB681" s="186"/>
      <c r="AC681" s="344"/>
      <c r="AD681" s="186"/>
      <c r="AE681" s="186"/>
      <c r="AF681" s="186"/>
      <c r="AG681" s="186"/>
      <c r="AH681" s="186"/>
      <c r="AI681" s="191"/>
      <c r="AJ681" s="191"/>
      <c r="AK681" s="186"/>
      <c r="AL681" s="186"/>
      <c r="AM681" s="186"/>
      <c r="AN681" s="344"/>
      <c r="AO681" s="186"/>
      <c r="AP681" s="193"/>
      <c r="AQ681" s="193"/>
      <c r="AR681" s="191"/>
      <c r="AS681" s="194"/>
      <c r="AT681" s="195"/>
      <c r="AU681" s="425"/>
      <c r="AV681" s="425"/>
      <c r="AW681" s="425"/>
      <c r="AX681" s="425"/>
      <c r="AY681" s="425"/>
      <c r="AZ681" s="425"/>
      <c r="BA681" s="425"/>
      <c r="BB681" s="425"/>
      <c r="BC681" s="440"/>
      <c r="BD681" s="404">
        <f>SUM($AS$4:AS681)</f>
        <v>3544.3041428571637</v>
      </c>
      <c r="BE681" s="405">
        <f>SUM($AR$4:AR681)</f>
        <v>8354.9253333333236</v>
      </c>
      <c r="BF681" s="330"/>
      <c r="BG681" s="330"/>
    </row>
    <row r="682" spans="1:59" ht="15.75" customHeight="1">
      <c r="A682" s="227" t="s">
        <v>2780</v>
      </c>
      <c r="B682" s="204">
        <v>45084</v>
      </c>
      <c r="C682" s="182" t="s">
        <v>1169</v>
      </c>
      <c r="D682" s="182" t="s">
        <v>133</v>
      </c>
      <c r="E682" s="233" t="s">
        <v>2883</v>
      </c>
      <c r="F682" s="184" t="s">
        <v>2884</v>
      </c>
      <c r="G682" s="185"/>
      <c r="H682" s="186">
        <v>1</v>
      </c>
      <c r="I682" s="186"/>
      <c r="J682" s="186"/>
      <c r="K682" s="187" t="s">
        <v>87</v>
      </c>
      <c r="L682" s="186"/>
      <c r="M682" s="186"/>
      <c r="N682" s="186"/>
      <c r="O682" s="187"/>
      <c r="P682" s="187"/>
      <c r="Q682" s="187"/>
      <c r="R682" s="187"/>
      <c r="S682" s="187"/>
      <c r="T682" s="187"/>
      <c r="U682" s="187"/>
      <c r="V682" s="187"/>
      <c r="W682" s="187"/>
      <c r="X682" s="189"/>
      <c r="Y682" s="189"/>
      <c r="Z682" s="189"/>
      <c r="AA682" s="190"/>
      <c r="AB682" s="186"/>
      <c r="AC682" s="344"/>
      <c r="AD682" s="186"/>
      <c r="AE682" s="186"/>
      <c r="AF682" s="186"/>
      <c r="AG682" s="186"/>
      <c r="AH682" s="186"/>
      <c r="AI682" s="191"/>
      <c r="AJ682" s="191"/>
      <c r="AK682" s="186"/>
      <c r="AL682" s="186"/>
      <c r="AM682" s="186"/>
      <c r="AN682" s="344"/>
      <c r="AO682" s="186"/>
      <c r="AP682" s="193"/>
      <c r="AQ682" s="193"/>
      <c r="AR682" s="191"/>
      <c r="AS682" s="194"/>
      <c r="AT682" s="195"/>
      <c r="AU682" s="425" t="s">
        <v>2885</v>
      </c>
      <c r="AV682" s="425"/>
      <c r="AW682" s="425"/>
      <c r="AX682" s="425"/>
      <c r="AY682" s="425"/>
      <c r="AZ682" s="425"/>
      <c r="BA682" s="425"/>
      <c r="BB682" s="425"/>
      <c r="BC682" s="440"/>
      <c r="BD682" s="404">
        <f>SUM($AS$4:AS682)</f>
        <v>3544.3041428571637</v>
      </c>
      <c r="BE682" s="405">
        <f>SUM($AR$4:AR682)</f>
        <v>8354.9253333333236</v>
      </c>
      <c r="BF682" s="330"/>
      <c r="BG682" s="330"/>
    </row>
    <row r="683" spans="1:59" ht="15.75" customHeight="1">
      <c r="A683" s="227" t="s">
        <v>2780</v>
      </c>
      <c r="B683" s="204">
        <v>45084</v>
      </c>
      <c r="C683" s="182" t="s">
        <v>664</v>
      </c>
      <c r="D683" s="182" t="s">
        <v>133</v>
      </c>
      <c r="E683" s="233"/>
      <c r="F683" s="184"/>
      <c r="G683" s="185" t="s">
        <v>75</v>
      </c>
      <c r="H683" s="186"/>
      <c r="I683" s="186"/>
      <c r="J683" s="186"/>
      <c r="K683" s="187"/>
      <c r="L683" s="186"/>
      <c r="M683" s="186"/>
      <c r="N683" s="186"/>
      <c r="O683" s="187"/>
      <c r="P683" s="187"/>
      <c r="Q683" s="187"/>
      <c r="R683" s="187"/>
      <c r="S683" s="187"/>
      <c r="T683" s="187"/>
      <c r="U683" s="187"/>
      <c r="V683" s="188"/>
      <c r="W683" s="189"/>
      <c r="X683" s="427"/>
      <c r="Y683" s="189"/>
      <c r="Z683" s="189"/>
      <c r="AA683" s="190"/>
      <c r="AB683" s="186"/>
      <c r="AC683" s="344"/>
      <c r="AD683" s="186"/>
      <c r="AE683" s="186"/>
      <c r="AF683" s="186"/>
      <c r="AG683" s="186"/>
      <c r="AH683" s="186"/>
      <c r="AI683" s="191"/>
      <c r="AJ683" s="191"/>
      <c r="AK683" s="186"/>
      <c r="AL683" s="186"/>
      <c r="AM683" s="186"/>
      <c r="AN683" s="344"/>
      <c r="AO683" s="186"/>
      <c r="AP683" s="193"/>
      <c r="AQ683" s="193"/>
      <c r="AR683" s="191"/>
      <c r="AS683" s="194"/>
      <c r="AT683" s="195"/>
      <c r="AU683" s="425" t="s">
        <v>2886</v>
      </c>
      <c r="AV683" s="425"/>
      <c r="AW683" s="425"/>
      <c r="AX683" s="425"/>
      <c r="AY683" s="425"/>
      <c r="AZ683" s="425"/>
      <c r="BA683" s="425"/>
      <c r="BB683" s="425"/>
      <c r="BC683" s="440"/>
      <c r="BD683" s="404">
        <f>SUM($AS$4:AS683)</f>
        <v>3544.3041428571637</v>
      </c>
      <c r="BE683" s="405">
        <f>SUM($AR$4:AR683)</f>
        <v>8354.9253333333236</v>
      </c>
      <c r="BF683" s="330"/>
      <c r="BG683" s="330"/>
    </row>
    <row r="684" spans="1:59" ht="15.75" customHeight="1">
      <c r="A684" s="227" t="s">
        <v>2780</v>
      </c>
      <c r="B684" s="204">
        <v>45084</v>
      </c>
      <c r="C684" s="182" t="s">
        <v>664</v>
      </c>
      <c r="D684" s="182" t="s">
        <v>133</v>
      </c>
      <c r="E684" s="233"/>
      <c r="F684" s="184"/>
      <c r="G684" s="291" t="s">
        <v>2412</v>
      </c>
      <c r="H684" s="186"/>
      <c r="I684" s="186"/>
      <c r="J684" s="186"/>
      <c r="K684" s="187"/>
      <c r="L684" s="186">
        <v>2</v>
      </c>
      <c r="M684" s="186"/>
      <c r="N684" s="186"/>
      <c r="O684" s="187" t="s">
        <v>2413</v>
      </c>
      <c r="P684" s="187" t="s">
        <v>2241</v>
      </c>
      <c r="Q684" s="187" t="s">
        <v>666</v>
      </c>
      <c r="R684" s="187">
        <v>1</v>
      </c>
      <c r="S684" s="187">
        <v>0</v>
      </c>
      <c r="T684" s="187">
        <v>1</v>
      </c>
      <c r="U684" s="187" t="s">
        <v>78</v>
      </c>
      <c r="V684" s="188">
        <f t="shared" ref="V684:V685" si="1090">IF(ISBLANK(O684),"",(IF(O684=UPPER("IB"),0.005,0.01)))</f>
        <v>0.01</v>
      </c>
      <c r="W684" s="189">
        <f t="shared" ref="W684:W685" si="1091">IF(ISBLANK(O684),"",IF(O684="IB",8.63*200,IF(O684="IR",16*100,IF(O684="YT",20*100,IF(O684="YT-XT",24*200,IF(O684="TED",80*100))))))</f>
        <v>2000</v>
      </c>
      <c r="X684" s="189" t="s">
        <v>1078</v>
      </c>
      <c r="Y684" s="189"/>
      <c r="Z684" s="189"/>
      <c r="AA684" s="190">
        <v>96.2</v>
      </c>
      <c r="AB684" s="186"/>
      <c r="AC684" s="344"/>
      <c r="AD684" s="186"/>
      <c r="AE684" s="186"/>
      <c r="AF684" s="186"/>
      <c r="AG684" s="186"/>
      <c r="AH684" s="186"/>
      <c r="AI684" s="191">
        <f t="shared" ref="AI684" si="1092">-0.02*W684</f>
        <v>-40</v>
      </c>
      <c r="AJ684" s="191">
        <f t="shared" ref="AJ684:AJ686" si="1093">AI684*(R684-S684)</f>
        <v>-40</v>
      </c>
      <c r="AK684" s="186"/>
      <c r="AL684" s="186"/>
      <c r="AM684" s="186" t="s">
        <v>2887</v>
      </c>
      <c r="AN684" s="344" t="s">
        <v>376</v>
      </c>
      <c r="AO684" s="186" t="s">
        <v>664</v>
      </c>
      <c r="AP684" s="193">
        <v>96.22</v>
      </c>
      <c r="AQ684" s="193">
        <f t="shared" ref="AQ684" si="1094">IF(ISBLANK(AP684),,IF(U684="S",AA684-AP684,AP684-AA684))</f>
        <v>-1.9999999999996021E-2</v>
      </c>
      <c r="AR684" s="191">
        <f t="shared" ref="AR684" si="1095">AS684*R684</f>
        <v>-39.999999999992042</v>
      </c>
      <c r="AS684" s="194">
        <f t="shared" ref="AS684" si="1096">IF(ISBLANK(AP684),,(AQ684*W684))</f>
        <v>-39.999999999992042</v>
      </c>
      <c r="AT684" s="195" t="s">
        <v>211</v>
      </c>
      <c r="AU684" s="425" t="s">
        <v>2888</v>
      </c>
      <c r="AV684" s="425" t="s">
        <v>2889</v>
      </c>
      <c r="AW684" s="425"/>
      <c r="AX684" s="425"/>
      <c r="AY684" s="425"/>
      <c r="AZ684" s="425"/>
      <c r="BA684" s="425"/>
      <c r="BB684" s="425"/>
      <c r="BC684" s="440"/>
      <c r="BD684" s="404">
        <f>SUM($AS$4:AS684)</f>
        <v>3504.3041428571714</v>
      </c>
      <c r="BE684" s="405">
        <f>SUM($AR$4:AR684)</f>
        <v>8314.9253333333309</v>
      </c>
      <c r="BF684" s="330"/>
      <c r="BG684" s="330"/>
    </row>
    <row r="685" spans="1:59" ht="15.75" customHeight="1">
      <c r="A685" s="227" t="s">
        <v>2780</v>
      </c>
      <c r="B685" s="204">
        <v>45084</v>
      </c>
      <c r="C685" s="182" t="s">
        <v>2093</v>
      </c>
      <c r="D685" s="182" t="s">
        <v>133</v>
      </c>
      <c r="E685" s="233"/>
      <c r="F685" s="184"/>
      <c r="G685" s="291" t="s">
        <v>75</v>
      </c>
      <c r="H685" s="186"/>
      <c r="I685" s="186"/>
      <c r="J685" s="186"/>
      <c r="K685" s="187"/>
      <c r="L685" s="186">
        <v>1</v>
      </c>
      <c r="M685" s="186">
        <v>1</v>
      </c>
      <c r="N685" s="186"/>
      <c r="O685" s="187" t="s">
        <v>76</v>
      </c>
      <c r="P685" s="187" t="s">
        <v>77</v>
      </c>
      <c r="Q685" s="187" t="s">
        <v>78</v>
      </c>
      <c r="R685" s="187">
        <v>8</v>
      </c>
      <c r="S685" s="187">
        <v>3</v>
      </c>
      <c r="T685" s="187">
        <v>8</v>
      </c>
      <c r="U685" s="187" t="s">
        <v>78</v>
      </c>
      <c r="V685" s="188">
        <f t="shared" si="1090"/>
        <v>0.01</v>
      </c>
      <c r="W685" s="189">
        <f t="shared" si="1091"/>
        <v>1600</v>
      </c>
      <c r="X685" s="427" t="s">
        <v>2890</v>
      </c>
      <c r="Y685" s="189"/>
      <c r="Z685" s="189"/>
      <c r="AA685" s="190">
        <f>(0.04*3+0.06*5)/8</f>
        <v>5.2499999999999998E-2</v>
      </c>
      <c r="AB685" s="186"/>
      <c r="AC685" s="344"/>
      <c r="AD685" s="186"/>
      <c r="AE685" s="186"/>
      <c r="AF685" s="186"/>
      <c r="AG685" s="186"/>
      <c r="AH685" s="186"/>
      <c r="AI685" s="191">
        <f>-0.03*W685</f>
        <v>-48</v>
      </c>
      <c r="AJ685" s="191">
        <f t="shared" si="1093"/>
        <v>-240</v>
      </c>
      <c r="AK685" s="186"/>
      <c r="AL685" s="186"/>
      <c r="AM685" s="186" t="s">
        <v>1066</v>
      </c>
      <c r="AN685" s="344" t="s">
        <v>87</v>
      </c>
      <c r="AO685" s="186" t="s">
        <v>2891</v>
      </c>
      <c r="AP685" s="193">
        <f>((0.08*3+0.08*5))/8</f>
        <v>0.08</v>
      </c>
      <c r="AQ685" s="193">
        <f t="shared" ref="AQ685" si="1097">IF(ISBLANK(AP685),,IF(U685="S",AA685-AP685,AP685-AA685))</f>
        <v>-2.7500000000000004E-2</v>
      </c>
      <c r="AR685" s="191">
        <f t="shared" ref="AR685" si="1098">AS685*R685</f>
        <v>-352.00000000000006</v>
      </c>
      <c r="AS685" s="194">
        <f t="shared" ref="AS685" si="1099">IF(ISBLANK(AP685),,(AQ685*W685))</f>
        <v>-44.000000000000007</v>
      </c>
      <c r="AT685" s="195" t="s">
        <v>211</v>
      </c>
      <c r="AU685" s="425"/>
      <c r="AV685" s="425"/>
      <c r="AW685" s="425"/>
      <c r="AX685" s="425"/>
      <c r="AY685" s="425"/>
      <c r="AZ685" s="425"/>
      <c r="BA685" s="425"/>
      <c r="BB685" s="425"/>
      <c r="BC685" s="440"/>
      <c r="BD685" s="404">
        <f>SUM($AS$4:AS685)</f>
        <v>3460.3041428571714</v>
      </c>
      <c r="BE685" s="405">
        <f>SUM($AR$4:AR685)</f>
        <v>7962.9253333333309</v>
      </c>
      <c r="BF685" s="330"/>
      <c r="BG685" s="330"/>
    </row>
    <row r="686" spans="1:59" ht="15.75" customHeight="1">
      <c r="A686" s="227" t="s">
        <v>2780</v>
      </c>
      <c r="B686" s="204">
        <v>45084</v>
      </c>
      <c r="C686" s="182" t="s">
        <v>1644</v>
      </c>
      <c r="D686" s="182" t="s">
        <v>133</v>
      </c>
      <c r="E686" s="233"/>
      <c r="F686" s="184"/>
      <c r="G686" s="291" t="s">
        <v>2126</v>
      </c>
      <c r="H686" s="186"/>
      <c r="I686" s="186"/>
      <c r="J686" s="186"/>
      <c r="K686" s="187"/>
      <c r="L686" s="186">
        <v>1</v>
      </c>
      <c r="M686" s="186"/>
      <c r="N686" s="186"/>
      <c r="O686" s="187" t="s">
        <v>76</v>
      </c>
      <c r="P686" s="187" t="s">
        <v>77</v>
      </c>
      <c r="Q686" s="187" t="s">
        <v>78</v>
      </c>
      <c r="R686" s="187">
        <v>22</v>
      </c>
      <c r="S686" s="187">
        <v>10</v>
      </c>
      <c r="T686" s="187">
        <v>22</v>
      </c>
      <c r="U686" s="187" t="s">
        <v>78</v>
      </c>
      <c r="V686" s="188">
        <f t="shared" ref="V686" si="1100">IF(ISBLANK(O686),"",(IF(O686=UPPER("IB"),0.005,0.01)))</f>
        <v>0.01</v>
      </c>
      <c r="W686" s="189">
        <f t="shared" ref="W686" si="1101">IF(ISBLANK(O686),"",IF(O686="IB",8.63*200,IF(O686="IR",16*100,IF(O686="YT",20*100,IF(O686="YT-XT",24*200,IF(O686="TED",80*100))))))</f>
        <v>1600</v>
      </c>
      <c r="X686" s="189" t="s">
        <v>80</v>
      </c>
      <c r="Y686" s="189" t="s">
        <v>2858</v>
      </c>
      <c r="Z686" s="189"/>
      <c r="AA686" s="190">
        <f>((-0.08*10)+(-0.1*12))/22</f>
        <v>-9.0909090909090912E-2</v>
      </c>
      <c r="AB686" s="186"/>
      <c r="AC686" s="344"/>
      <c r="AD686" s="186"/>
      <c r="AE686" s="186"/>
      <c r="AF686" s="186"/>
      <c r="AG686" s="186"/>
      <c r="AH686" s="186"/>
      <c r="AI686" s="191">
        <f>-0.03*W686</f>
        <v>-48</v>
      </c>
      <c r="AJ686" s="191">
        <f t="shared" si="1093"/>
        <v>-576</v>
      </c>
      <c r="AK686" s="186"/>
      <c r="AL686" s="186"/>
      <c r="AM686" s="186" t="s">
        <v>1066</v>
      </c>
      <c r="AN686" s="344" t="s">
        <v>87</v>
      </c>
      <c r="AO686" s="186" t="s">
        <v>2892</v>
      </c>
      <c r="AP686" s="193">
        <f>((-0.09*10)+(-0.09*12))/22</f>
        <v>-0.09</v>
      </c>
      <c r="AQ686" s="193">
        <f t="shared" ref="AQ686" si="1102">IF(ISBLANK(AP686),,IF(U686="S",AA686-AP686,AP686-AA686))</f>
        <v>-9.0909090909091494E-4</v>
      </c>
      <c r="AR686" s="191">
        <f t="shared" ref="AR686" si="1103">AS686*R686</f>
        <v>-32.000000000000206</v>
      </c>
      <c r="AS686" s="194">
        <f t="shared" ref="AS686" si="1104">IF(ISBLANK(AP686),,(AQ686*W686))</f>
        <v>-1.4545454545454639</v>
      </c>
      <c r="AT686" s="195" t="s">
        <v>211</v>
      </c>
      <c r="AU686" s="425"/>
      <c r="AV686" s="425"/>
      <c r="AW686" s="425"/>
      <c r="AX686" s="425"/>
      <c r="AY686" s="425"/>
      <c r="AZ686" s="425"/>
      <c r="BA686" s="425"/>
      <c r="BB686" s="425"/>
      <c r="BC686" s="440"/>
      <c r="BD686" s="404">
        <f>SUM($AS$4:AS686)</f>
        <v>3458.8495974026259</v>
      </c>
      <c r="BE686" s="405">
        <f>SUM($AR$4:AR686)</f>
        <v>7930.9253333333309</v>
      </c>
      <c r="BF686" s="330"/>
      <c r="BG686" s="330"/>
    </row>
    <row r="687" spans="1:59" ht="15.75" customHeight="1">
      <c r="A687" s="227" t="s">
        <v>2780</v>
      </c>
      <c r="B687" s="204">
        <v>45085</v>
      </c>
      <c r="C687" s="182" t="s">
        <v>1953</v>
      </c>
      <c r="D687" s="182" t="s">
        <v>74</v>
      </c>
      <c r="E687" s="233"/>
      <c r="F687" s="184"/>
      <c r="G687" s="291" t="s">
        <v>2126</v>
      </c>
      <c r="H687" s="186"/>
      <c r="I687" s="186"/>
      <c r="J687" s="186"/>
      <c r="K687" s="187"/>
      <c r="L687" s="186">
        <v>1</v>
      </c>
      <c r="M687" s="186"/>
      <c r="N687" s="186"/>
      <c r="O687" s="187" t="s">
        <v>76</v>
      </c>
      <c r="P687" s="187" t="s">
        <v>77</v>
      </c>
      <c r="Q687" s="187" t="s">
        <v>78</v>
      </c>
      <c r="R687" s="187">
        <v>5</v>
      </c>
      <c r="S687" s="187">
        <v>0</v>
      </c>
      <c r="T687" s="187">
        <v>5</v>
      </c>
      <c r="U687" s="187" t="s">
        <v>78</v>
      </c>
      <c r="V687" s="188">
        <f t="shared" ref="V687:V688" si="1105">IF(ISBLANK(O687),"",(IF(O687=UPPER("IB"),0.005,0.01)))</f>
        <v>0.01</v>
      </c>
      <c r="W687" s="189">
        <f t="shared" ref="W687:W688" si="1106">IF(ISBLANK(O687),"",IF(O687="IB",8.63*200,IF(O687="IR",16*100,IF(O687="YT",20*100,IF(O687="YT-XT",24*200,IF(O687="TED",80*100))))))</f>
        <v>1600</v>
      </c>
      <c r="X687" s="189" t="s">
        <v>80</v>
      </c>
      <c r="Y687" s="189"/>
      <c r="Z687" s="189"/>
      <c r="AA687" s="190">
        <v>-0.08</v>
      </c>
      <c r="AB687" s="186"/>
      <c r="AC687" s="344"/>
      <c r="AD687" s="186"/>
      <c r="AE687" s="186"/>
      <c r="AF687" s="186"/>
      <c r="AG687" s="186"/>
      <c r="AH687" s="186"/>
      <c r="AI687" s="191">
        <f t="shared" ref="AI687" si="1107">-0.03*W687</f>
        <v>-48</v>
      </c>
      <c r="AJ687" s="191">
        <f t="shared" ref="AJ687:AJ688" si="1108">AI687*(R687-S687)</f>
        <v>-240</v>
      </c>
      <c r="AK687" s="186"/>
      <c r="AL687" s="186"/>
      <c r="AM687" s="186" t="s">
        <v>2893</v>
      </c>
      <c r="AN687" s="344" t="s">
        <v>376</v>
      </c>
      <c r="AO687" s="186" t="s">
        <v>2001</v>
      </c>
      <c r="AP687" s="193">
        <v>-0.08</v>
      </c>
      <c r="AQ687" s="193">
        <f t="shared" ref="AQ687" si="1109">IF(ISBLANK(AP687),,IF(U687="S",AA687-AP687,AP687-AA687))</f>
        <v>0</v>
      </c>
      <c r="AR687" s="191">
        <f t="shared" ref="AR687" si="1110">AS687*R687</f>
        <v>0</v>
      </c>
      <c r="AS687" s="194">
        <f t="shared" ref="AS687" si="1111">IF(ISBLANK(AP687),,(AQ687*W687))</f>
        <v>0</v>
      </c>
      <c r="AT687" s="195" t="s">
        <v>97</v>
      </c>
      <c r="AU687" s="425"/>
      <c r="AV687" s="425"/>
      <c r="AW687" s="425"/>
      <c r="AX687" s="425"/>
      <c r="AY687" s="425"/>
      <c r="AZ687" s="425"/>
      <c r="BA687" s="425"/>
      <c r="BB687" s="425"/>
      <c r="BC687" s="440"/>
      <c r="BD687" s="404">
        <f>SUM($AS$4:AS687)</f>
        <v>3458.8495974026259</v>
      </c>
      <c r="BE687" s="405">
        <f>SUM($AR$4:AR687)</f>
        <v>7930.9253333333309</v>
      </c>
      <c r="BF687" s="330"/>
      <c r="BG687" s="330"/>
    </row>
    <row r="688" spans="1:59" ht="15.75" customHeight="1">
      <c r="A688" s="227" t="s">
        <v>2780</v>
      </c>
      <c r="B688" s="204">
        <v>45085</v>
      </c>
      <c r="C688" s="182" t="s">
        <v>2894</v>
      </c>
      <c r="D688" s="182" t="s">
        <v>74</v>
      </c>
      <c r="E688" s="233"/>
      <c r="F688" s="184"/>
      <c r="G688" s="494" t="s">
        <v>2895</v>
      </c>
      <c r="H688" s="186"/>
      <c r="I688" s="186"/>
      <c r="J688" s="186"/>
      <c r="K688" s="187"/>
      <c r="L688" s="186">
        <v>1</v>
      </c>
      <c r="M688" s="186"/>
      <c r="N688" s="186"/>
      <c r="O688" s="187" t="s">
        <v>76</v>
      </c>
      <c r="P688" s="187" t="s">
        <v>119</v>
      </c>
      <c r="Q688" s="187" t="s">
        <v>238</v>
      </c>
      <c r="R688" s="187">
        <v>10</v>
      </c>
      <c r="S688" s="187">
        <v>10</v>
      </c>
      <c r="T688" s="187">
        <v>10</v>
      </c>
      <c r="U688" s="187" t="s">
        <v>22</v>
      </c>
      <c r="V688" s="188">
        <f t="shared" si="1105"/>
        <v>0.01</v>
      </c>
      <c r="W688" s="189">
        <f t="shared" si="1106"/>
        <v>1600</v>
      </c>
      <c r="X688" s="189"/>
      <c r="Y688" s="189"/>
      <c r="Z688" s="189" t="s">
        <v>2896</v>
      </c>
      <c r="AA688" s="190">
        <v>-0.02</v>
      </c>
      <c r="AB688" s="186"/>
      <c r="AC688" s="344"/>
      <c r="AD688" s="186"/>
      <c r="AE688" s="186"/>
      <c r="AF688" s="186"/>
      <c r="AG688" s="186"/>
      <c r="AH688" s="186"/>
      <c r="AI688" s="191">
        <f>-0.02*W688</f>
        <v>-32</v>
      </c>
      <c r="AJ688" s="191">
        <f t="shared" si="1108"/>
        <v>0</v>
      </c>
      <c r="AK688" s="186"/>
      <c r="AL688" s="186"/>
      <c r="AM688" s="186" t="s">
        <v>786</v>
      </c>
      <c r="AN688" s="344" t="s">
        <v>97</v>
      </c>
      <c r="AO688" s="186" t="s">
        <v>2897</v>
      </c>
      <c r="AP688" s="193">
        <f>((-0.01*3)+(-0.02*7))/10</f>
        <v>-1.7000000000000001E-2</v>
      </c>
      <c r="AQ688" s="193">
        <f t="shared" ref="AQ688:AQ692" si="1112">IF(ISBLANK(AP688),,IF(U688="S",AA688-AP688,AP688-AA688))</f>
        <v>2.9999999999999992E-3</v>
      </c>
      <c r="AR688" s="191">
        <f t="shared" ref="AR688:AR692" si="1113">AS688*R688</f>
        <v>47.999999999999986</v>
      </c>
      <c r="AS688" s="194">
        <f t="shared" ref="AS688:AS692" si="1114">IF(ISBLANK(AP688),,(AQ688*W688))</f>
        <v>4.7999999999999989</v>
      </c>
      <c r="AT688" s="195" t="s">
        <v>77</v>
      </c>
      <c r="AU688" s="425" t="s">
        <v>2898</v>
      </c>
      <c r="AV688" s="425"/>
      <c r="AW688" s="425"/>
      <c r="AX688" s="425"/>
      <c r="AY688" s="425"/>
      <c r="AZ688" s="425"/>
      <c r="BA688" s="425"/>
      <c r="BB688" s="425"/>
      <c r="BC688" s="440"/>
      <c r="BD688" s="404">
        <f>SUM($AS$4:AS688)</f>
        <v>3463.6495974026261</v>
      </c>
      <c r="BE688" s="405">
        <f>SUM($AR$4:AR688)</f>
        <v>7978.9253333333309</v>
      </c>
      <c r="BF688" s="330"/>
      <c r="BG688" s="330"/>
    </row>
    <row r="689" spans="1:59" ht="15.75" customHeight="1">
      <c r="A689" s="227" t="s">
        <v>2780</v>
      </c>
      <c r="B689" s="204">
        <v>45085</v>
      </c>
      <c r="C689" s="182" t="s">
        <v>2899</v>
      </c>
      <c r="D689" s="182" t="s">
        <v>74</v>
      </c>
      <c r="E689" s="233"/>
      <c r="F689" s="184"/>
      <c r="G689" s="185" t="s">
        <v>2895</v>
      </c>
      <c r="H689" s="186"/>
      <c r="I689" s="186"/>
      <c r="J689" s="186"/>
      <c r="K689" s="187"/>
      <c r="L689" s="186"/>
      <c r="M689" s="186"/>
      <c r="N689" s="186"/>
      <c r="O689" s="187"/>
      <c r="P689" s="187"/>
      <c r="Q689" s="187"/>
      <c r="R689" s="187"/>
      <c r="S689" s="187"/>
      <c r="T689" s="187"/>
      <c r="U689" s="187"/>
      <c r="V689" s="188"/>
      <c r="W689" s="189"/>
      <c r="X689" s="189"/>
      <c r="Y689" s="189"/>
      <c r="Z689" s="189"/>
      <c r="AA689" s="190"/>
      <c r="AB689" s="186"/>
      <c r="AC689" s="344"/>
      <c r="AD689" s="186"/>
      <c r="AE689" s="186"/>
      <c r="AF689" s="186"/>
      <c r="AG689" s="425"/>
      <c r="AH689" s="186"/>
      <c r="AI689" s="191"/>
      <c r="AJ689" s="191"/>
      <c r="AK689" s="186"/>
      <c r="AL689" s="186"/>
      <c r="AM689" s="186"/>
      <c r="AN689" s="344"/>
      <c r="AO689" s="186"/>
      <c r="AP689" s="193"/>
      <c r="AQ689" s="193"/>
      <c r="AR689" s="191"/>
      <c r="AS689" s="194"/>
      <c r="AT689" s="195"/>
      <c r="AU689" s="425" t="s">
        <v>2809</v>
      </c>
      <c r="AV689" s="425"/>
      <c r="AW689" s="425"/>
      <c r="AX689" s="425"/>
      <c r="AY689" s="425"/>
      <c r="AZ689" s="425"/>
      <c r="BA689" s="425"/>
      <c r="BB689" s="425"/>
      <c r="BC689" s="440"/>
      <c r="BD689" s="404">
        <f>SUM($AS$4:AS689)</f>
        <v>3463.6495974026261</v>
      </c>
      <c r="BE689" s="405">
        <f>SUM($AR$4:AR689)</f>
        <v>7978.9253333333309</v>
      </c>
      <c r="BF689" s="330"/>
      <c r="BG689" s="330"/>
    </row>
    <row r="690" spans="1:59" ht="15.75" customHeight="1">
      <c r="A690" s="227" t="s">
        <v>2780</v>
      </c>
      <c r="B690" s="204">
        <v>45085</v>
      </c>
      <c r="C690" s="182" t="s">
        <v>2900</v>
      </c>
      <c r="D690" s="182" t="s">
        <v>74</v>
      </c>
      <c r="E690" s="233"/>
      <c r="F690" s="184"/>
      <c r="G690" s="185" t="s">
        <v>2126</v>
      </c>
      <c r="H690" s="186"/>
      <c r="I690" s="186"/>
      <c r="J690" s="186"/>
      <c r="K690" s="187"/>
      <c r="L690" s="186"/>
      <c r="M690" s="186"/>
      <c r="N690" s="186"/>
      <c r="O690" s="187"/>
      <c r="P690" s="187"/>
      <c r="Q690" s="187"/>
      <c r="R690" s="187"/>
      <c r="S690" s="187"/>
      <c r="T690" s="187"/>
      <c r="U690" s="187"/>
      <c r="V690" s="188"/>
      <c r="W690" s="189"/>
      <c r="X690" s="189"/>
      <c r="Y690" s="491"/>
      <c r="Z690" s="189"/>
      <c r="AA690" s="190"/>
      <c r="AB690" s="186"/>
      <c r="AC690" s="344"/>
      <c r="AD690" s="186"/>
      <c r="AE690" s="186"/>
      <c r="AF690" s="186"/>
      <c r="AG690" s="425" t="s">
        <v>2901</v>
      </c>
      <c r="AH690" s="186" t="s">
        <v>511</v>
      </c>
      <c r="AI690" s="191">
        <f>-0.02*W690</f>
        <v>0</v>
      </c>
      <c r="AJ690" s="191">
        <f t="shared" ref="AJ690" si="1115">AI690*(R690-S690)</f>
        <v>0</v>
      </c>
      <c r="AK690" s="186"/>
      <c r="AL690" s="186"/>
      <c r="AM690" s="186" t="s">
        <v>1535</v>
      </c>
      <c r="AN690" s="344" t="s">
        <v>87</v>
      </c>
      <c r="AO690" s="186" t="s">
        <v>2902</v>
      </c>
      <c r="AP690" s="193">
        <f>((-0.09*3)+(-0.09*3)+(-0.09*7))/13</f>
        <v>-0.09</v>
      </c>
      <c r="AQ690" s="193">
        <f t="shared" si="1112"/>
        <v>-0.09</v>
      </c>
      <c r="AR690" s="191">
        <f t="shared" si="1113"/>
        <v>0</v>
      </c>
      <c r="AS690" s="194">
        <f t="shared" si="1114"/>
        <v>0</v>
      </c>
      <c r="AT690" s="195"/>
      <c r="AU690" s="425" t="s">
        <v>811</v>
      </c>
      <c r="AV690" s="425"/>
      <c r="AW690" s="425"/>
      <c r="AX690" s="425"/>
      <c r="AY690" s="425"/>
      <c r="AZ690" s="425"/>
      <c r="BA690" s="425"/>
      <c r="BB690" s="425"/>
      <c r="BC690" s="440"/>
      <c r="BD690" s="404">
        <f>SUM($AS$4:AS690)</f>
        <v>3463.6495974026261</v>
      </c>
      <c r="BE690" s="405">
        <f>SUM($AR$4:AR690)</f>
        <v>7978.9253333333309</v>
      </c>
      <c r="BF690" s="330"/>
      <c r="BG690" s="330"/>
    </row>
    <row r="691" spans="1:59" ht="15.75" customHeight="1">
      <c r="A691" s="227" t="s">
        <v>2780</v>
      </c>
      <c r="B691" s="204"/>
      <c r="C691" s="182"/>
      <c r="D691" s="182"/>
      <c r="E691" s="233"/>
      <c r="F691" s="184"/>
      <c r="G691" s="185"/>
      <c r="H691" s="186"/>
      <c r="I691" s="186"/>
      <c r="J691" s="186"/>
      <c r="K691" s="187"/>
      <c r="L691" s="186"/>
      <c r="M691" s="186"/>
      <c r="N691" s="186"/>
      <c r="O691" s="187"/>
      <c r="P691" s="187"/>
      <c r="Q691" s="187"/>
      <c r="R691" s="187"/>
      <c r="S691" s="187"/>
      <c r="T691" s="187"/>
      <c r="U691" s="187"/>
      <c r="V691" s="282"/>
      <c r="W691" s="187"/>
      <c r="X691" s="189"/>
      <c r="Y691" s="491"/>
      <c r="Z691" s="189"/>
      <c r="AA691" s="190"/>
      <c r="AB691" s="186"/>
      <c r="AC691" s="344"/>
      <c r="AD691" s="186"/>
      <c r="AE691" s="186"/>
      <c r="AF691" s="186"/>
      <c r="AG691" s="425"/>
      <c r="AH691" s="186"/>
      <c r="AI691" s="191"/>
      <c r="AJ691" s="191"/>
      <c r="AK691" s="186"/>
      <c r="AL691" s="186"/>
      <c r="AM691" s="186"/>
      <c r="AN691" s="344"/>
      <c r="AO691" s="186"/>
      <c r="AP691" s="193"/>
      <c r="AQ691" s="193"/>
      <c r="AR691" s="191"/>
      <c r="AS691" s="194"/>
      <c r="AT691" s="195"/>
      <c r="AU691" s="425" t="s">
        <v>2903</v>
      </c>
      <c r="AV691" s="425" t="s">
        <v>2904</v>
      </c>
      <c r="AW691" s="425" t="s">
        <v>2905</v>
      </c>
      <c r="AX691" s="425" t="s">
        <v>2906</v>
      </c>
      <c r="AY691" s="425" t="s">
        <v>2907</v>
      </c>
      <c r="AZ691" s="425" t="s">
        <v>2908</v>
      </c>
      <c r="BA691" s="425"/>
      <c r="BB691" s="425"/>
      <c r="BC691" s="440"/>
      <c r="BD691" s="404"/>
      <c r="BE691" s="405">
        <f>SUM($AR$4:AR691)</f>
        <v>7978.9253333333309</v>
      </c>
      <c r="BF691" s="330"/>
      <c r="BG691" s="330"/>
    </row>
    <row r="692" spans="1:59" ht="15.75" customHeight="1">
      <c r="A692" s="227" t="s">
        <v>2780</v>
      </c>
      <c r="B692" s="204">
        <v>45085</v>
      </c>
      <c r="C692" s="182" t="s">
        <v>2909</v>
      </c>
      <c r="D692" s="182" t="s">
        <v>74</v>
      </c>
      <c r="E692" s="233"/>
      <c r="F692" s="184"/>
      <c r="G692" s="185" t="s">
        <v>118</v>
      </c>
      <c r="H692" s="186"/>
      <c r="I692" s="186"/>
      <c r="J692" s="186"/>
      <c r="K692" s="187"/>
      <c r="L692" s="186">
        <v>3</v>
      </c>
      <c r="M692" s="186"/>
      <c r="N692" s="186"/>
      <c r="O692" s="187" t="s">
        <v>76</v>
      </c>
      <c r="P692" s="187" t="s">
        <v>77</v>
      </c>
      <c r="Q692" s="187" t="s">
        <v>78</v>
      </c>
      <c r="R692" s="187">
        <v>5</v>
      </c>
      <c r="S692" s="187">
        <v>0</v>
      </c>
      <c r="T692" s="187">
        <v>5</v>
      </c>
      <c r="U692" s="187" t="s">
        <v>78</v>
      </c>
      <c r="V692" s="188">
        <f t="shared" ref="V692" si="1116">IF(ISBLANK(O692),"",(IF(O692=UPPER("IB"),0.005,0.01)))</f>
        <v>0.01</v>
      </c>
      <c r="W692" s="189">
        <f t="shared" ref="W692" si="1117">IF(ISBLANK(O692),"",IF(O692="IB",8.63*200,IF(O692="IR",16*100,IF(O692="YT",20*100,IF(O692="YT-XT",24*200,IF(O692="TED",80*100))))))</f>
        <v>1600</v>
      </c>
      <c r="X692" s="189"/>
      <c r="Y692" s="189"/>
      <c r="Z692" s="189" t="s">
        <v>2910</v>
      </c>
      <c r="AA692" s="190">
        <v>-0.16</v>
      </c>
      <c r="AB692" s="186"/>
      <c r="AC692" s="344"/>
      <c r="AD692" s="186"/>
      <c r="AE692" s="186"/>
      <c r="AF692" s="186"/>
      <c r="AG692" s="186"/>
      <c r="AH692" s="186"/>
      <c r="AI692" s="191">
        <f t="shared" ref="AI692:AI697" si="1118">-0.03*W692</f>
        <v>-48</v>
      </c>
      <c r="AJ692" s="191">
        <f t="shared" ref="AJ692:AJ697" si="1119">AI692*(R692-S692)</f>
        <v>-240</v>
      </c>
      <c r="AK692" s="186"/>
      <c r="AL692" s="186"/>
      <c r="AM692" s="186" t="s">
        <v>1681</v>
      </c>
      <c r="AN692" s="344" t="s">
        <v>87</v>
      </c>
      <c r="AO692" s="186" t="s">
        <v>2911</v>
      </c>
      <c r="AP692" s="193">
        <v>-0.16</v>
      </c>
      <c r="AQ692" s="193">
        <f t="shared" si="1112"/>
        <v>0</v>
      </c>
      <c r="AR692" s="191">
        <f t="shared" si="1113"/>
        <v>0</v>
      </c>
      <c r="AS692" s="194">
        <f t="shared" si="1114"/>
        <v>0</v>
      </c>
      <c r="AT692" s="195" t="s">
        <v>97</v>
      </c>
      <c r="AU692" s="425"/>
      <c r="AV692" s="425"/>
      <c r="AW692" s="425"/>
      <c r="AX692" s="425"/>
      <c r="AY692" s="425"/>
      <c r="AZ692" s="425"/>
      <c r="BA692" s="425"/>
      <c r="BB692" s="425"/>
      <c r="BC692" s="440"/>
      <c r="BD692" s="404">
        <f>SUM($AS$4:AS692)</f>
        <v>3463.6495974026261</v>
      </c>
      <c r="BE692" s="405">
        <f>SUM($AR$4:AR692)</f>
        <v>7978.9253333333309</v>
      </c>
      <c r="BF692" s="330"/>
      <c r="BG692" s="330"/>
    </row>
    <row r="693" spans="1:59" ht="15.75" customHeight="1">
      <c r="A693" s="227" t="s">
        <v>2780</v>
      </c>
      <c r="B693" s="204">
        <v>45085</v>
      </c>
      <c r="C693" s="182" t="s">
        <v>1990</v>
      </c>
      <c r="D693" s="182" t="s">
        <v>74</v>
      </c>
      <c r="E693" s="233"/>
      <c r="F693" s="184"/>
      <c r="G693" s="185" t="s">
        <v>118</v>
      </c>
      <c r="H693" s="186"/>
      <c r="I693" s="186"/>
      <c r="J693" s="186"/>
      <c r="K693" s="187"/>
      <c r="L693" s="186">
        <v>2</v>
      </c>
      <c r="M693" s="186"/>
      <c r="N693" s="186"/>
      <c r="O693" s="187" t="s">
        <v>76</v>
      </c>
      <c r="P693" s="187" t="s">
        <v>77</v>
      </c>
      <c r="Q693" s="187" t="s">
        <v>78</v>
      </c>
      <c r="R693" s="187">
        <v>3</v>
      </c>
      <c r="S693" s="187">
        <v>0</v>
      </c>
      <c r="T693" s="187">
        <v>3</v>
      </c>
      <c r="U693" s="187" t="s">
        <v>78</v>
      </c>
      <c r="V693" s="188">
        <f t="shared" ref="V693" si="1120">IF(ISBLANK(O693),"",(IF(O693=UPPER("IB"),0.005,0.01)))</f>
        <v>0.01</v>
      </c>
      <c r="W693" s="189">
        <f t="shared" ref="W693" si="1121">IF(ISBLANK(O693),"",IF(O693="IB",8.63*200,IF(O693="IR",16*100,IF(O693="YT",20*100,IF(O693="YT-XT",24*200,IF(O693="TED",80*100))))))</f>
        <v>1600</v>
      </c>
      <c r="X693" s="189"/>
      <c r="Y693" s="189"/>
      <c r="Z693" s="189" t="s">
        <v>2912</v>
      </c>
      <c r="AA693" s="190">
        <v>-0.15</v>
      </c>
      <c r="AB693" s="186"/>
      <c r="AC693" s="344"/>
      <c r="AD693" s="186"/>
      <c r="AE693" s="186"/>
      <c r="AF693" s="186"/>
      <c r="AG693" s="186"/>
      <c r="AH693" s="186"/>
      <c r="AI693" s="191"/>
      <c r="AJ693" s="191"/>
      <c r="AK693" s="186"/>
      <c r="AL693" s="186"/>
      <c r="AM693" s="186"/>
      <c r="AN693" s="344"/>
      <c r="AO693" s="186"/>
      <c r="AP693" s="193"/>
      <c r="AQ693" s="193"/>
      <c r="AR693" s="191"/>
      <c r="AS693" s="194"/>
      <c r="AT693" s="195"/>
      <c r="AU693" s="425"/>
      <c r="AV693" s="425"/>
      <c r="AW693" s="425"/>
      <c r="AX693" s="425"/>
      <c r="AY693" s="425"/>
      <c r="AZ693" s="425"/>
      <c r="BA693" s="425"/>
      <c r="BB693" s="425"/>
      <c r="BC693" s="440"/>
      <c r="BD693" s="404">
        <f>SUM($AS$4:AS693)</f>
        <v>3463.6495974026261</v>
      </c>
      <c r="BE693" s="405">
        <f>SUM($AR$4:AR693)</f>
        <v>7978.9253333333309</v>
      </c>
      <c r="BF693" s="330"/>
      <c r="BG693" s="330"/>
    </row>
    <row r="694" spans="1:59" ht="15.75" customHeight="1">
      <c r="A694" s="227" t="s">
        <v>2780</v>
      </c>
      <c r="B694" s="204">
        <v>45085</v>
      </c>
      <c r="C694" s="182" t="s">
        <v>2913</v>
      </c>
      <c r="D694" s="182" t="s">
        <v>74</v>
      </c>
      <c r="E694" s="233"/>
      <c r="F694" s="184"/>
      <c r="G694" s="185" t="s">
        <v>2051</v>
      </c>
      <c r="H694" s="186"/>
      <c r="I694" s="186"/>
      <c r="J694" s="186"/>
      <c r="K694" s="187"/>
      <c r="L694" s="186"/>
      <c r="M694" s="186"/>
      <c r="N694" s="186"/>
      <c r="O694" s="187"/>
      <c r="P694" s="187"/>
      <c r="Q694" s="187"/>
      <c r="R694" s="187"/>
      <c r="S694" s="187"/>
      <c r="T694" s="187"/>
      <c r="U694" s="187"/>
      <c r="V694" s="188"/>
      <c r="W694" s="189"/>
      <c r="X694" s="189"/>
      <c r="Y694" s="189"/>
      <c r="Z694" s="189"/>
      <c r="AA694" s="190"/>
      <c r="AB694" s="186"/>
      <c r="AC694" s="344"/>
      <c r="AD694" s="186"/>
      <c r="AE694" s="186"/>
      <c r="AF694" s="186"/>
      <c r="AG694" s="186"/>
      <c r="AH694" s="186"/>
      <c r="AI694" s="191"/>
      <c r="AJ694" s="191"/>
      <c r="AK694" s="186"/>
      <c r="AL694" s="186"/>
      <c r="AM694" s="186"/>
      <c r="AN694" s="344"/>
      <c r="AO694" s="186"/>
      <c r="AP694" s="193"/>
      <c r="AQ694" s="193"/>
      <c r="AR694" s="191"/>
      <c r="AS694" s="194"/>
      <c r="AT694" s="195"/>
      <c r="AU694" s="425" t="s">
        <v>2914</v>
      </c>
      <c r="AV694" s="425"/>
      <c r="AW694" s="425"/>
      <c r="AX694" s="425"/>
      <c r="AY694" s="425"/>
      <c r="AZ694" s="425"/>
      <c r="BA694" s="425"/>
      <c r="BB694" s="425"/>
      <c r="BC694" s="440"/>
      <c r="BD694" s="404">
        <f>SUM($AS$4:AS694)</f>
        <v>3463.6495974026261</v>
      </c>
      <c r="BE694" s="405">
        <f>SUM($AR$4:AR694)</f>
        <v>7978.9253333333309</v>
      </c>
      <c r="BF694" s="330"/>
      <c r="BG694" s="330"/>
    </row>
    <row r="695" spans="1:59" ht="15.75" customHeight="1">
      <c r="A695" s="227" t="s">
        <v>2780</v>
      </c>
      <c r="B695" s="204">
        <v>45085</v>
      </c>
      <c r="C695" s="182" t="s">
        <v>1709</v>
      </c>
      <c r="D695" s="182" t="s">
        <v>74</v>
      </c>
      <c r="E695" s="233" t="s">
        <v>2915</v>
      </c>
      <c r="F695" s="184"/>
      <c r="G695" s="185"/>
      <c r="H695" s="186">
        <v>1</v>
      </c>
      <c r="I695" s="186"/>
      <c r="J695" s="186"/>
      <c r="K695" s="187" t="s">
        <v>97</v>
      </c>
      <c r="L695" s="186"/>
      <c r="M695" s="186"/>
      <c r="N695" s="186"/>
      <c r="O695" s="187"/>
      <c r="P695" s="187"/>
      <c r="Q695" s="187"/>
      <c r="R695" s="187"/>
      <c r="S695" s="187"/>
      <c r="T695" s="187"/>
      <c r="U695" s="187"/>
      <c r="V695" s="187"/>
      <c r="W695" s="187"/>
      <c r="X695" s="189"/>
      <c r="Y695" s="189"/>
      <c r="Z695" s="189"/>
      <c r="AA695" s="190"/>
      <c r="AB695" s="186"/>
      <c r="AC695" s="344"/>
      <c r="AD695" s="186"/>
      <c r="AE695" s="186"/>
      <c r="AF695" s="186"/>
      <c r="AG695" s="186"/>
      <c r="AH695" s="186"/>
      <c r="AI695" s="191"/>
      <c r="AJ695" s="191"/>
      <c r="AK695" s="186"/>
      <c r="AL695" s="186"/>
      <c r="AM695" s="186"/>
      <c r="AN695" s="344"/>
      <c r="AO695" s="186"/>
      <c r="AP695" s="193"/>
      <c r="AQ695" s="193"/>
      <c r="AR695" s="191"/>
      <c r="AS695" s="194"/>
      <c r="AT695" s="195"/>
      <c r="AU695" s="425"/>
      <c r="AV695" s="425"/>
      <c r="AW695" s="425"/>
      <c r="AX695" s="425"/>
      <c r="AY695" s="425"/>
      <c r="AZ695" s="425"/>
      <c r="BA695" s="425"/>
      <c r="BB695" s="425"/>
      <c r="BC695" s="440"/>
      <c r="BD695" s="404">
        <f>SUM($AS$4:AS695)</f>
        <v>3463.6495974026261</v>
      </c>
      <c r="BE695" s="405">
        <f>SUM($AR$4:AR695)</f>
        <v>7978.9253333333309</v>
      </c>
      <c r="BF695" s="330"/>
      <c r="BG695" s="330"/>
    </row>
    <row r="696" spans="1:59" ht="15.75" customHeight="1">
      <c r="A696" s="227" t="s">
        <v>2780</v>
      </c>
      <c r="B696" s="204">
        <v>45085</v>
      </c>
      <c r="C696" s="182" t="s">
        <v>2916</v>
      </c>
      <c r="D696" s="182" t="s">
        <v>74</v>
      </c>
      <c r="E696" s="233"/>
      <c r="F696" s="184"/>
      <c r="G696" s="494" t="s">
        <v>2917</v>
      </c>
      <c r="H696" s="186"/>
      <c r="I696" s="186"/>
      <c r="J696" s="186"/>
      <c r="K696" s="187"/>
      <c r="L696" s="186">
        <v>2</v>
      </c>
      <c r="M696" s="186">
        <v>2</v>
      </c>
      <c r="N696" s="186"/>
      <c r="O696" s="187" t="s">
        <v>76</v>
      </c>
      <c r="P696" s="187" t="s">
        <v>119</v>
      </c>
      <c r="Q696" s="187" t="s">
        <v>78</v>
      </c>
      <c r="R696" s="187">
        <v>10</v>
      </c>
      <c r="S696" s="187">
        <v>0</v>
      </c>
      <c r="T696" s="187">
        <v>10</v>
      </c>
      <c r="U696" s="187" t="s">
        <v>22</v>
      </c>
      <c r="V696" s="188">
        <f t="shared" ref="V696:V697" si="1122">IF(ISBLANK(O696),"",(IF(O696=UPPER("IB"),0.005,0.01)))</f>
        <v>0.01</v>
      </c>
      <c r="W696" s="189">
        <f t="shared" ref="W696:W697" si="1123">IF(ISBLANK(O696),"",IF(O696="IB",8.63*200,IF(O696="IR",16*100,IF(O696="YT",20*100,IF(O696="YT-XT",24*200,IF(O696="TED",80*100))))))</f>
        <v>1600</v>
      </c>
      <c r="X696" s="189" t="s">
        <v>2850</v>
      </c>
      <c r="Y696" s="427" t="s">
        <v>2851</v>
      </c>
      <c r="Z696" s="189" t="s">
        <v>2852</v>
      </c>
      <c r="AA696" s="190">
        <v>-0.03</v>
      </c>
      <c r="AB696" s="186"/>
      <c r="AC696" s="344"/>
      <c r="AD696" s="186"/>
      <c r="AE696" s="186"/>
      <c r="AF696" s="186"/>
      <c r="AG696" s="186"/>
      <c r="AH696" s="186"/>
      <c r="AI696" s="191">
        <f t="shared" si="1118"/>
        <v>-48</v>
      </c>
      <c r="AJ696" s="191">
        <f t="shared" si="1119"/>
        <v>-480</v>
      </c>
      <c r="AK696" s="186"/>
      <c r="AL696" s="186"/>
      <c r="AM696" s="186" t="s">
        <v>907</v>
      </c>
      <c r="AN696" s="344" t="s">
        <v>77</v>
      </c>
      <c r="AO696" s="186" t="s">
        <v>2918</v>
      </c>
      <c r="AP696" s="193">
        <v>-0.01</v>
      </c>
      <c r="AQ696" s="193">
        <f t="shared" ref="AQ696:AQ697" si="1124">IF(ISBLANK(AP696),,IF(U696="S",AA696-AP696,AP696-AA696))</f>
        <v>1.9999999999999997E-2</v>
      </c>
      <c r="AR696" s="191">
        <f t="shared" ref="AR696:AR697" si="1125">AS696*R696</f>
        <v>319.99999999999994</v>
      </c>
      <c r="AS696" s="194">
        <f t="shared" ref="AS696:AS697" si="1126">IF(ISBLANK(AP696),,(AQ696*W696))</f>
        <v>31.999999999999996</v>
      </c>
      <c r="AT696" s="195" t="s">
        <v>77</v>
      </c>
      <c r="AU696" s="425"/>
      <c r="AV696" s="425"/>
      <c r="AW696" s="425"/>
      <c r="AX696" s="425" t="s">
        <v>1119</v>
      </c>
      <c r="AY696" s="425"/>
      <c r="AZ696" s="425"/>
      <c r="BA696" s="425"/>
      <c r="BB696" s="425"/>
      <c r="BC696" s="440"/>
      <c r="BD696" s="404">
        <f>SUM($AS$4:AS696)</f>
        <v>3495.6495974026261</v>
      </c>
      <c r="BE696" s="405">
        <f>SUM($AR$4:AR696)</f>
        <v>8298.9253333333309</v>
      </c>
      <c r="BF696" s="330"/>
      <c r="BG696" s="330"/>
    </row>
    <row r="697" spans="1:59" ht="15.75" customHeight="1">
      <c r="A697" s="227" t="s">
        <v>2780</v>
      </c>
      <c r="B697" s="204">
        <v>45086</v>
      </c>
      <c r="C697" s="182" t="s">
        <v>2919</v>
      </c>
      <c r="D697" s="182" t="s">
        <v>93</v>
      </c>
      <c r="E697" s="233"/>
      <c r="F697" s="184"/>
      <c r="G697" s="290" t="s">
        <v>163</v>
      </c>
      <c r="H697" s="186"/>
      <c r="I697" s="186"/>
      <c r="J697" s="186"/>
      <c r="K697" s="187"/>
      <c r="L697" s="186">
        <v>1</v>
      </c>
      <c r="M697" s="186"/>
      <c r="N697" s="186"/>
      <c r="O697" s="187" t="s">
        <v>76</v>
      </c>
      <c r="P697" s="187" t="s">
        <v>77</v>
      </c>
      <c r="Q697" s="187" t="s">
        <v>78</v>
      </c>
      <c r="R697" s="187">
        <v>7</v>
      </c>
      <c r="S697" s="187">
        <v>0</v>
      </c>
      <c r="T697" s="187">
        <v>7</v>
      </c>
      <c r="U697" s="187" t="s">
        <v>22</v>
      </c>
      <c r="V697" s="188">
        <f t="shared" si="1122"/>
        <v>0.01</v>
      </c>
      <c r="W697" s="189">
        <f t="shared" si="1123"/>
        <v>1600</v>
      </c>
      <c r="X697" s="189" t="s">
        <v>80</v>
      </c>
      <c r="Y697" s="189"/>
      <c r="Z697" s="189"/>
      <c r="AA697" s="190">
        <v>-0.14000000000000001</v>
      </c>
      <c r="AB697" s="186"/>
      <c r="AC697" s="344"/>
      <c r="AD697" s="186"/>
      <c r="AE697" s="186"/>
      <c r="AF697" s="186"/>
      <c r="AG697" s="186"/>
      <c r="AH697" s="186"/>
      <c r="AI697" s="191">
        <f t="shared" si="1118"/>
        <v>-48</v>
      </c>
      <c r="AJ697" s="191">
        <f t="shared" si="1119"/>
        <v>-336</v>
      </c>
      <c r="AK697" s="186"/>
      <c r="AL697" s="186"/>
      <c r="AM697" s="186" t="s">
        <v>1535</v>
      </c>
      <c r="AN697" s="344" t="s">
        <v>87</v>
      </c>
      <c r="AO697" s="186" t="s">
        <v>2920</v>
      </c>
      <c r="AP697" s="193">
        <v>-0.14000000000000001</v>
      </c>
      <c r="AQ697" s="193">
        <f t="shared" si="1124"/>
        <v>0</v>
      </c>
      <c r="AR697" s="191">
        <f t="shared" si="1125"/>
        <v>0</v>
      </c>
      <c r="AS697" s="194">
        <f t="shared" si="1126"/>
        <v>0</v>
      </c>
      <c r="AT697" s="195" t="s">
        <v>97</v>
      </c>
      <c r="AU697" s="425" t="s">
        <v>2921</v>
      </c>
      <c r="AV697" s="425" t="s">
        <v>2922</v>
      </c>
      <c r="AW697" s="425"/>
      <c r="AX697" s="425"/>
      <c r="AY697" s="425"/>
      <c r="AZ697" s="425"/>
      <c r="BA697" s="425"/>
      <c r="BB697" s="425"/>
      <c r="BC697" s="440"/>
      <c r="BD697" s="404">
        <f>SUM($AS$4:AS697)</f>
        <v>3495.6495974026261</v>
      </c>
      <c r="BE697" s="405">
        <f>SUM($AR$4:AR697)</f>
        <v>8298.9253333333309</v>
      </c>
      <c r="BF697" s="330"/>
      <c r="BG697" s="330"/>
    </row>
    <row r="698" spans="1:59" ht="15.75" customHeight="1">
      <c r="A698" s="227" t="s">
        <v>2780</v>
      </c>
      <c r="B698" s="204">
        <v>45086</v>
      </c>
      <c r="C698" s="182" t="s">
        <v>2923</v>
      </c>
      <c r="D698" s="182" t="s">
        <v>93</v>
      </c>
      <c r="E698" s="233"/>
      <c r="F698" s="184"/>
      <c r="G698" s="291" t="s">
        <v>2924</v>
      </c>
      <c r="H698" s="186"/>
      <c r="I698" s="186"/>
      <c r="J698" s="186"/>
      <c r="K698" s="187"/>
      <c r="L698" s="186">
        <v>1</v>
      </c>
      <c r="M698" s="186"/>
      <c r="N698" s="186"/>
      <c r="O698" s="187" t="s">
        <v>76</v>
      </c>
      <c r="P698" s="187" t="s">
        <v>119</v>
      </c>
      <c r="Q698" s="187" t="s">
        <v>78</v>
      </c>
      <c r="R698" s="187">
        <v>10</v>
      </c>
      <c r="S698" s="187">
        <v>0</v>
      </c>
      <c r="T698" s="187">
        <v>10</v>
      </c>
      <c r="U698" s="187" t="s">
        <v>22</v>
      </c>
      <c r="V698" s="188">
        <f t="shared" ref="V698:V700" si="1127">IF(ISBLANK(O698),"",(IF(O698=UPPER("IB"),0.005,0.01)))</f>
        <v>0.01</v>
      </c>
      <c r="W698" s="189">
        <f t="shared" ref="W698:W700" si="1128">IF(ISBLANK(O698),"",IF(O698="IB",8.63*200,IF(O698="IR",16*100,IF(O698="YT",20*100,IF(O698="YT-XT",24*200,IF(O698="TED",80*100))))))</f>
        <v>1600</v>
      </c>
      <c r="X698" s="189" t="s">
        <v>2925</v>
      </c>
      <c r="Y698" s="189"/>
      <c r="Z698" s="189"/>
      <c r="AA698" s="190">
        <v>-0.1</v>
      </c>
      <c r="AB698" s="186"/>
      <c r="AC698" s="344"/>
      <c r="AD698" s="186"/>
      <c r="AE698" s="186"/>
      <c r="AF698" s="186"/>
      <c r="AG698" s="186"/>
      <c r="AH698" s="186"/>
      <c r="AI698" s="191"/>
      <c r="AJ698" s="187"/>
      <c r="AK698" s="186"/>
      <c r="AL698" s="186"/>
      <c r="AM698" s="186" t="s">
        <v>999</v>
      </c>
      <c r="AN698" s="344" t="s">
        <v>87</v>
      </c>
      <c r="AO698" s="186" t="s">
        <v>2926</v>
      </c>
      <c r="AP698" s="193">
        <v>-0.08</v>
      </c>
      <c r="AQ698" s="193">
        <f t="shared" ref="AQ698" si="1129">IF(ISBLANK(AP698),,IF(U698="S",AA698-AP698,AP698-AA698))</f>
        <v>2.0000000000000004E-2</v>
      </c>
      <c r="AR698" s="191">
        <f t="shared" ref="AR698" si="1130">AS698*R698</f>
        <v>320.00000000000006</v>
      </c>
      <c r="AS698" s="194">
        <f t="shared" ref="AS698" si="1131">IF(ISBLANK(AP698),,(AQ698*W698))</f>
        <v>32.000000000000007</v>
      </c>
      <c r="AT698" s="195" t="s">
        <v>77</v>
      </c>
      <c r="AU698" s="425" t="s">
        <v>2927</v>
      </c>
      <c r="AV698" s="425"/>
      <c r="AW698" s="425"/>
      <c r="AX698" s="425"/>
      <c r="AY698" s="425"/>
      <c r="AZ698" s="425"/>
      <c r="BA698" s="425"/>
      <c r="BB698" s="425"/>
      <c r="BC698" s="440"/>
      <c r="BD698" s="404">
        <f>SUM($AS$4:AS698)</f>
        <v>3527.6495974026261</v>
      </c>
      <c r="BE698" s="405">
        <f>SUM($AR$4:AR698)</f>
        <v>8618.9253333333309</v>
      </c>
      <c r="BF698" s="330"/>
      <c r="BG698" s="330"/>
    </row>
    <row r="699" spans="1:59" ht="15.75" customHeight="1">
      <c r="A699" s="227" t="s">
        <v>2780</v>
      </c>
      <c r="B699" s="204">
        <v>45086</v>
      </c>
      <c r="C699" s="182" t="s">
        <v>2001</v>
      </c>
      <c r="D699" s="182" t="s">
        <v>93</v>
      </c>
      <c r="E699" s="233"/>
      <c r="F699" s="184"/>
      <c r="G699" s="494" t="s">
        <v>2928</v>
      </c>
      <c r="H699" s="186"/>
      <c r="I699" s="186"/>
      <c r="J699" s="186"/>
      <c r="K699" s="187"/>
      <c r="L699" s="186">
        <v>2</v>
      </c>
      <c r="M699" s="186">
        <v>2</v>
      </c>
      <c r="N699" s="186"/>
      <c r="O699" s="187" t="s">
        <v>76</v>
      </c>
      <c r="P699" s="187" t="s">
        <v>119</v>
      </c>
      <c r="Q699" s="187" t="s">
        <v>78</v>
      </c>
      <c r="R699" s="187">
        <v>22</v>
      </c>
      <c r="S699" s="187">
        <v>2</v>
      </c>
      <c r="T699" s="187">
        <v>22</v>
      </c>
      <c r="U699" s="187" t="s">
        <v>22</v>
      </c>
      <c r="V699" s="188">
        <f t="shared" si="1127"/>
        <v>0.01</v>
      </c>
      <c r="W699" s="189">
        <f t="shared" si="1128"/>
        <v>1600</v>
      </c>
      <c r="X699" s="189" t="s">
        <v>2850</v>
      </c>
      <c r="Y699" s="427" t="s">
        <v>2851</v>
      </c>
      <c r="Z699" s="189" t="s">
        <v>2852</v>
      </c>
      <c r="AA699" s="190">
        <v>-0.04</v>
      </c>
      <c r="AB699" s="186"/>
      <c r="AC699" s="344">
        <v>-6</v>
      </c>
      <c r="AD699" s="186" t="s">
        <v>2853</v>
      </c>
      <c r="AE699" s="186" t="s">
        <v>2854</v>
      </c>
      <c r="AF699" s="186"/>
      <c r="AG699" s="186"/>
      <c r="AH699" s="186"/>
      <c r="AI699" s="191">
        <f>-0.01*W699</f>
        <v>-16</v>
      </c>
      <c r="AJ699" s="191">
        <f t="shared" ref="AJ699:AJ700" si="1132">AI699*(R699-S699)</f>
        <v>-320</v>
      </c>
      <c r="AK699" s="186"/>
      <c r="AL699" s="186"/>
      <c r="AM699" s="186" t="s">
        <v>879</v>
      </c>
      <c r="AN699" s="344" t="s">
        <v>77</v>
      </c>
      <c r="AO699" s="186" t="s">
        <v>2929</v>
      </c>
      <c r="AP699" s="193">
        <f>((-0.02*2)+(0*17)+(0*3))/22</f>
        <v>-1.8181818181818182E-3</v>
      </c>
      <c r="AQ699" s="193">
        <f t="shared" ref="AQ699" si="1133">IF(ISBLANK(AP699),,IF(U699="S",AA699-AP699,AP699-AA699))</f>
        <v>3.8181818181818185E-2</v>
      </c>
      <c r="AR699" s="191">
        <f t="shared" ref="AR699" si="1134">AS699*R699</f>
        <v>1344</v>
      </c>
      <c r="AS699" s="194">
        <f t="shared" ref="AS699" si="1135">IF(ISBLANK(AP699),,(AQ699*W699))</f>
        <v>61.090909090909093</v>
      </c>
      <c r="AT699" s="195" t="s">
        <v>77</v>
      </c>
      <c r="AU699" s="425"/>
      <c r="AV699" s="425"/>
      <c r="AW699" s="425"/>
      <c r="AX699" s="425" t="s">
        <v>2930</v>
      </c>
      <c r="AY699" s="425"/>
      <c r="AZ699" s="425"/>
      <c r="BA699" s="425"/>
      <c r="BB699" s="425"/>
      <c r="BC699" s="440"/>
      <c r="BD699" s="404">
        <f>SUM($AS$4:AS699)</f>
        <v>3588.7405064935351</v>
      </c>
      <c r="BE699" s="405">
        <f>SUM($AR$4:AR699)</f>
        <v>9962.9253333333309</v>
      </c>
      <c r="BF699" s="330"/>
      <c r="BG699" s="330"/>
    </row>
    <row r="700" spans="1:59" ht="15.75" customHeight="1">
      <c r="A700" s="227" t="s">
        <v>2780</v>
      </c>
      <c r="B700" s="204">
        <v>45086</v>
      </c>
      <c r="C700" s="182" t="s">
        <v>2931</v>
      </c>
      <c r="D700" s="182" t="s">
        <v>93</v>
      </c>
      <c r="E700" s="233"/>
      <c r="F700" s="184"/>
      <c r="G700" s="494" t="s">
        <v>2895</v>
      </c>
      <c r="H700" s="186"/>
      <c r="I700" s="186"/>
      <c r="J700" s="186"/>
      <c r="K700" s="187"/>
      <c r="L700" s="186">
        <v>1</v>
      </c>
      <c r="M700" s="186">
        <v>2</v>
      </c>
      <c r="N700" s="186"/>
      <c r="O700" s="187" t="s">
        <v>76</v>
      </c>
      <c r="P700" s="187" t="s">
        <v>119</v>
      </c>
      <c r="Q700" s="187" t="s">
        <v>238</v>
      </c>
      <c r="R700" s="187">
        <v>25</v>
      </c>
      <c r="S700" s="187">
        <v>17</v>
      </c>
      <c r="T700" s="187">
        <v>25</v>
      </c>
      <c r="U700" s="187" t="s">
        <v>22</v>
      </c>
      <c r="V700" s="188">
        <f t="shared" si="1127"/>
        <v>0.01</v>
      </c>
      <c r="W700" s="189">
        <f t="shared" si="1128"/>
        <v>1600</v>
      </c>
      <c r="X700" s="189" t="s">
        <v>2804</v>
      </c>
      <c r="Y700" s="189"/>
      <c r="Z700" s="189" t="s">
        <v>2805</v>
      </c>
      <c r="AA700" s="190">
        <v>-0.03</v>
      </c>
      <c r="AB700" s="186"/>
      <c r="AC700" s="344">
        <v>-6</v>
      </c>
      <c r="AD700" s="186"/>
      <c r="AE700" s="186" t="s">
        <v>2806</v>
      </c>
      <c r="AF700" s="186"/>
      <c r="AG700" s="425" t="s">
        <v>2807</v>
      </c>
      <c r="AH700" s="186" t="s">
        <v>511</v>
      </c>
      <c r="AI700" s="191">
        <f t="shared" ref="AI700" si="1136">-0.02*W700</f>
        <v>-32</v>
      </c>
      <c r="AJ700" s="191">
        <f t="shared" si="1132"/>
        <v>-256</v>
      </c>
      <c r="AK700" s="186"/>
      <c r="AL700" s="186"/>
      <c r="AM700" s="186" t="s">
        <v>981</v>
      </c>
      <c r="AN700" s="344" t="s">
        <v>97</v>
      </c>
      <c r="AO700" s="186" t="s">
        <v>2932</v>
      </c>
      <c r="AP700" s="193">
        <f>((-0.02*8)+(-0.01*5)+(-0.01*12))/25</f>
        <v>-1.32E-2</v>
      </c>
      <c r="AQ700" s="193">
        <f t="shared" ref="AQ700" si="1137">IF(ISBLANK(AP700),,IF(U700="S",AA700-AP700,AP700-AA700))</f>
        <v>1.6799999999999999E-2</v>
      </c>
      <c r="AR700" s="191">
        <f t="shared" ref="AR700" si="1138">AS700*R700</f>
        <v>672</v>
      </c>
      <c r="AS700" s="194">
        <f t="shared" ref="AS700" si="1139">IF(ISBLANK(AP700),,(AQ700*W700))</f>
        <v>26.88</v>
      </c>
      <c r="AT700" s="195" t="s">
        <v>77</v>
      </c>
      <c r="AU700" s="425" t="s">
        <v>2933</v>
      </c>
      <c r="AV700" s="425"/>
      <c r="AW700" s="425"/>
      <c r="AX700" s="425" t="s">
        <v>1119</v>
      </c>
      <c r="AY700" s="425"/>
      <c r="AZ700" s="425"/>
      <c r="BA700" s="425"/>
      <c r="BB700" s="425"/>
      <c r="BC700" s="440"/>
      <c r="BD700" s="404">
        <f>SUM($AS$4:AS700)</f>
        <v>3615.6205064935352</v>
      </c>
      <c r="BE700" s="405">
        <f>SUM($AR$4:AR700)</f>
        <v>10634.925333333331</v>
      </c>
      <c r="BF700" s="330"/>
      <c r="BG700" s="330"/>
    </row>
    <row r="701" spans="1:59" ht="15.75" customHeight="1">
      <c r="A701" s="227" t="s">
        <v>2780</v>
      </c>
      <c r="B701" s="204">
        <v>45086</v>
      </c>
      <c r="C701" s="182" t="s">
        <v>2934</v>
      </c>
      <c r="D701" s="182" t="s">
        <v>93</v>
      </c>
      <c r="E701" s="233"/>
      <c r="F701" s="184"/>
      <c r="G701" s="303" t="s">
        <v>2126</v>
      </c>
      <c r="H701" s="186"/>
      <c r="I701" s="186"/>
      <c r="J701" s="186"/>
      <c r="K701" s="187"/>
      <c r="L701" s="186">
        <v>1</v>
      </c>
      <c r="M701" s="186">
        <v>1</v>
      </c>
      <c r="N701" s="186"/>
      <c r="O701" s="187" t="s">
        <v>76</v>
      </c>
      <c r="P701" s="187" t="s">
        <v>77</v>
      </c>
      <c r="Q701" s="187" t="s">
        <v>78</v>
      </c>
      <c r="R701" s="187">
        <v>15</v>
      </c>
      <c r="S701" s="187">
        <v>8</v>
      </c>
      <c r="T701" s="187">
        <v>15</v>
      </c>
      <c r="U701" s="187" t="s">
        <v>22</v>
      </c>
      <c r="V701" s="188">
        <f t="shared" ref="V701" si="1140">IF(ISBLANK(O701),"",(IF(O701=UPPER("IB"),0.005,0.01)))</f>
        <v>0.01</v>
      </c>
      <c r="W701" s="189">
        <f t="shared" ref="W701" si="1141">IF(ISBLANK(O701),"",IF(O701="IB",8.63*200,IF(O701="IR",16*100,IF(O701="YT",20*100,IF(O701="YT-XT",24*200,IF(O701="TED",80*100))))))</f>
        <v>1600</v>
      </c>
      <c r="X701" s="189"/>
      <c r="Y701" s="491" t="s">
        <v>2935</v>
      </c>
      <c r="Z701" s="189"/>
      <c r="AA701" s="190">
        <f>(-0.09*5+(-0.1*10))/15</f>
        <v>-9.6666666666666665E-2</v>
      </c>
      <c r="AB701" s="186"/>
      <c r="AC701" s="344"/>
      <c r="AD701" s="186"/>
      <c r="AE701" s="186"/>
      <c r="AF701" s="186"/>
      <c r="AG701" s="425" t="s">
        <v>2901</v>
      </c>
      <c r="AH701" s="186" t="s">
        <v>511</v>
      </c>
      <c r="AI701" s="191">
        <f>-0.02*W701</f>
        <v>-32</v>
      </c>
      <c r="AJ701" s="191">
        <f t="shared" ref="AJ701" si="1142">AI701*(R701-S701)</f>
        <v>-224</v>
      </c>
      <c r="AK701" s="186"/>
      <c r="AL701" s="186"/>
      <c r="AM701" s="186" t="s">
        <v>2936</v>
      </c>
      <c r="AN701" s="344" t="s">
        <v>97</v>
      </c>
      <c r="AO701" s="186" t="s">
        <v>2937</v>
      </c>
      <c r="AP701" s="193">
        <f>((-0.09*8)+(-0.08*1)+(-0.07*2)+(-0.06*3)+(-0.06))/15</f>
        <v>-7.8666666666666663E-2</v>
      </c>
      <c r="AQ701" s="193">
        <f t="shared" ref="AQ701" si="1143">IF(ISBLANK(AP701),,IF(U701="S",AA701-AP701,AP701-AA701))</f>
        <v>1.8000000000000002E-2</v>
      </c>
      <c r="AR701" s="191">
        <f t="shared" ref="AR701" si="1144">AS701*R701</f>
        <v>432.00000000000006</v>
      </c>
      <c r="AS701" s="194">
        <f t="shared" ref="AS701" si="1145">IF(ISBLANK(AP701),,(AQ701*W701))</f>
        <v>28.800000000000004</v>
      </c>
      <c r="AT701" s="195" t="s">
        <v>77</v>
      </c>
      <c r="AU701" s="425" t="s">
        <v>2938</v>
      </c>
      <c r="AV701" s="425"/>
      <c r="AW701" s="425"/>
      <c r="AX701" s="425"/>
      <c r="AY701" s="425"/>
      <c r="AZ701" s="425"/>
      <c r="BA701" s="425"/>
      <c r="BB701" s="425"/>
      <c r="BC701" s="440"/>
      <c r="BD701" s="404">
        <f>SUM($AS$4:AS701)</f>
        <v>3644.4205064935354</v>
      </c>
      <c r="BE701" s="405">
        <f>SUM($AR$4:AR701)</f>
        <v>11066.925333333331</v>
      </c>
      <c r="BF701" s="330"/>
      <c r="BG701" s="330"/>
    </row>
    <row r="702" spans="1:59" ht="15.75" customHeight="1">
      <c r="A702" s="227" t="s">
        <v>2780</v>
      </c>
      <c r="B702" s="204">
        <v>45090</v>
      </c>
      <c r="C702" s="182" t="s">
        <v>1695</v>
      </c>
      <c r="D702" s="182" t="s">
        <v>128</v>
      </c>
      <c r="E702" s="233" t="s">
        <v>2939</v>
      </c>
      <c r="F702" s="184" t="s">
        <v>325</v>
      </c>
      <c r="G702" s="185"/>
      <c r="H702" s="186"/>
      <c r="I702" s="186">
        <v>1</v>
      </c>
      <c r="J702" s="186"/>
      <c r="K702" s="187"/>
      <c r="L702" s="186"/>
      <c r="M702" s="186"/>
      <c r="N702" s="186"/>
      <c r="O702" s="187"/>
      <c r="P702" s="187"/>
      <c r="Q702" s="187"/>
      <c r="R702" s="187"/>
      <c r="S702" s="187"/>
      <c r="T702" s="187"/>
      <c r="U702" s="187"/>
      <c r="V702" s="187"/>
      <c r="W702" s="187"/>
      <c r="X702" s="189"/>
      <c r="Y702" s="189"/>
      <c r="Z702" s="189"/>
      <c r="AA702" s="190"/>
      <c r="AB702" s="186"/>
      <c r="AC702" s="344"/>
      <c r="AD702" s="186"/>
      <c r="AE702" s="186"/>
      <c r="AF702" s="186"/>
      <c r="AG702" s="186"/>
      <c r="AH702" s="186"/>
      <c r="AI702" s="191"/>
      <c r="AJ702" s="191"/>
      <c r="AK702" s="186"/>
      <c r="AL702" s="186"/>
      <c r="AM702" s="186"/>
      <c r="AN702" s="344"/>
      <c r="AO702" s="186"/>
      <c r="AP702" s="193"/>
      <c r="AQ702" s="193"/>
      <c r="AR702" s="191"/>
      <c r="AS702" s="194"/>
      <c r="AT702" s="195"/>
      <c r="AU702" s="425"/>
      <c r="AV702" s="425"/>
      <c r="AW702" s="425"/>
      <c r="AX702" s="425"/>
      <c r="AY702" s="425"/>
      <c r="AZ702" s="425"/>
      <c r="BA702" s="425"/>
      <c r="BB702" s="425"/>
      <c r="BC702" s="440"/>
      <c r="BD702" s="404">
        <f>SUM($AS$4:AS702)</f>
        <v>3644.4205064935354</v>
      </c>
      <c r="BE702" s="405">
        <f>SUM($AR$4:AR702)</f>
        <v>11066.925333333331</v>
      </c>
      <c r="BF702" s="330"/>
      <c r="BG702" s="330"/>
    </row>
    <row r="703" spans="1:59" ht="15.75" customHeight="1">
      <c r="A703" s="227" t="s">
        <v>2780</v>
      </c>
      <c r="B703" s="204"/>
      <c r="C703" s="182"/>
      <c r="D703" s="182"/>
      <c r="E703" s="233" t="s">
        <v>2940</v>
      </c>
      <c r="F703" s="184"/>
      <c r="G703" s="185"/>
      <c r="H703" s="186"/>
      <c r="I703" s="186"/>
      <c r="J703" s="186">
        <v>1</v>
      </c>
      <c r="K703" s="187" t="s">
        <v>97</v>
      </c>
      <c r="L703" s="186"/>
      <c r="M703" s="186"/>
      <c r="N703" s="186"/>
      <c r="O703" s="187"/>
      <c r="P703" s="187"/>
      <c r="Q703" s="187"/>
      <c r="R703" s="187"/>
      <c r="S703" s="187"/>
      <c r="T703" s="187"/>
      <c r="U703" s="187"/>
      <c r="V703" s="187"/>
      <c r="W703" s="187"/>
      <c r="X703" s="189"/>
      <c r="Y703" s="189"/>
      <c r="Z703" s="189"/>
      <c r="AA703" s="190"/>
      <c r="AB703" s="186"/>
      <c r="AC703" s="344"/>
      <c r="AD703" s="186"/>
      <c r="AE703" s="186"/>
      <c r="AF703" s="186"/>
      <c r="AG703" s="186"/>
      <c r="AH703" s="186"/>
      <c r="AI703" s="191"/>
      <c r="AJ703" s="191"/>
      <c r="AK703" s="186"/>
      <c r="AL703" s="186"/>
      <c r="AM703" s="186"/>
      <c r="AN703" s="344"/>
      <c r="AO703" s="186"/>
      <c r="AP703" s="193"/>
      <c r="AQ703" s="193"/>
      <c r="AR703" s="191"/>
      <c r="AS703" s="194"/>
      <c r="AT703" s="195"/>
      <c r="AU703" s="425"/>
      <c r="AV703" s="425"/>
      <c r="AW703" s="425"/>
      <c r="AX703" s="425"/>
      <c r="AY703" s="425"/>
      <c r="AZ703" s="425"/>
      <c r="BA703" s="425"/>
      <c r="BB703" s="425"/>
      <c r="BC703" s="440"/>
      <c r="BD703" s="404">
        <f>SUM($AS$4:AS703)</f>
        <v>3644.4205064935354</v>
      </c>
      <c r="BE703" s="405">
        <f>SUM($AR$4:AR703)</f>
        <v>11066.925333333331</v>
      </c>
      <c r="BF703" s="330"/>
      <c r="BG703" s="330"/>
    </row>
    <row r="704" spans="1:59" ht="15.75" customHeight="1">
      <c r="A704" s="227" t="s">
        <v>2780</v>
      </c>
      <c r="B704" s="204"/>
      <c r="C704" s="182"/>
      <c r="D704" s="182"/>
      <c r="E704" s="233" t="s">
        <v>2941</v>
      </c>
      <c r="F704" s="184"/>
      <c r="G704" s="185"/>
      <c r="H704" s="186"/>
      <c r="I704" s="186"/>
      <c r="J704" s="186">
        <v>1</v>
      </c>
      <c r="K704" s="187" t="s">
        <v>97</v>
      </c>
      <c r="L704" s="186"/>
      <c r="M704" s="186"/>
      <c r="N704" s="186"/>
      <c r="O704" s="187"/>
      <c r="P704" s="187"/>
      <c r="Q704" s="187"/>
      <c r="R704" s="187"/>
      <c r="S704" s="187"/>
      <c r="T704" s="187"/>
      <c r="U704" s="187"/>
      <c r="V704" s="187"/>
      <c r="W704" s="187"/>
      <c r="X704" s="189"/>
      <c r="Y704" s="189"/>
      <c r="Z704" s="189"/>
      <c r="AA704" s="190"/>
      <c r="AB704" s="186"/>
      <c r="AC704" s="344"/>
      <c r="AD704" s="186"/>
      <c r="AE704" s="186"/>
      <c r="AF704" s="186"/>
      <c r="AG704" s="186"/>
      <c r="AH704" s="186"/>
      <c r="AI704" s="191"/>
      <c r="AJ704" s="191"/>
      <c r="AK704" s="186"/>
      <c r="AL704" s="186"/>
      <c r="AM704" s="186"/>
      <c r="AN704" s="344"/>
      <c r="AO704" s="186"/>
      <c r="AP704" s="193"/>
      <c r="AQ704" s="193"/>
      <c r="AR704" s="191"/>
      <c r="AS704" s="194"/>
      <c r="AT704" s="195"/>
      <c r="AU704" s="425"/>
      <c r="AV704" s="425"/>
      <c r="AW704" s="425"/>
      <c r="AX704" s="425"/>
      <c r="AY704" s="425"/>
      <c r="AZ704" s="425"/>
      <c r="BA704" s="425"/>
      <c r="BB704" s="425"/>
      <c r="BC704" s="440"/>
      <c r="BD704" s="404">
        <f>SUM($AS$4:AS704)</f>
        <v>3644.4205064935354</v>
      </c>
      <c r="BE704" s="405">
        <f>SUM($AR$4:AR704)</f>
        <v>11066.925333333331</v>
      </c>
      <c r="BF704" s="330"/>
      <c r="BG704" s="330"/>
    </row>
    <row r="705" spans="1:59" ht="15.75" customHeight="1">
      <c r="A705" s="227" t="s">
        <v>2780</v>
      </c>
      <c r="B705" s="204">
        <v>45090</v>
      </c>
      <c r="C705" s="182" t="s">
        <v>664</v>
      </c>
      <c r="D705" s="182" t="s">
        <v>128</v>
      </c>
      <c r="E705" s="233"/>
      <c r="F705" s="184"/>
      <c r="G705" s="185" t="s">
        <v>118</v>
      </c>
      <c r="H705" s="186"/>
      <c r="I705" s="186"/>
      <c r="J705" s="186"/>
      <c r="K705" s="187"/>
      <c r="L705" s="186"/>
      <c r="M705" s="186"/>
      <c r="N705" s="186"/>
      <c r="O705" s="187"/>
      <c r="P705" s="187"/>
      <c r="Q705" s="187"/>
      <c r="R705" s="187"/>
      <c r="S705" s="187"/>
      <c r="T705" s="187"/>
      <c r="U705" s="187"/>
      <c r="V705" s="188"/>
      <c r="W705" s="189"/>
      <c r="X705" s="189"/>
      <c r="Y705" s="189"/>
      <c r="Z705" s="189"/>
      <c r="AA705" s="190"/>
      <c r="AB705" s="186"/>
      <c r="AC705" s="344"/>
      <c r="AD705" s="186"/>
      <c r="AE705" s="186"/>
      <c r="AF705" s="186"/>
      <c r="AG705" s="186"/>
      <c r="AH705" s="186"/>
      <c r="AI705" s="191"/>
      <c r="AJ705" s="191"/>
      <c r="AK705" s="186"/>
      <c r="AL705" s="186"/>
      <c r="AM705" s="186"/>
      <c r="AN705" s="344"/>
      <c r="AO705" s="186"/>
      <c r="AP705" s="193"/>
      <c r="AQ705" s="193"/>
      <c r="AR705" s="191"/>
      <c r="AS705" s="194"/>
      <c r="AT705" s="195"/>
      <c r="AU705" s="425"/>
      <c r="AV705" s="425"/>
      <c r="AW705" s="425"/>
      <c r="AX705" s="425"/>
      <c r="AY705" s="425"/>
      <c r="AZ705" s="425"/>
      <c r="BA705" s="425"/>
      <c r="BB705" s="425"/>
      <c r="BC705" s="440"/>
      <c r="BD705" s="404">
        <f>SUM($AS$4:AS705)</f>
        <v>3644.4205064935354</v>
      </c>
      <c r="BE705" s="405">
        <f>SUM($AR$4:AR705)</f>
        <v>11066.925333333331</v>
      </c>
      <c r="BF705" s="330"/>
      <c r="BG705" s="330"/>
    </row>
    <row r="706" spans="1:59" ht="15.75" customHeight="1">
      <c r="A706" s="227" t="s">
        <v>2780</v>
      </c>
      <c r="B706" s="204">
        <v>45091</v>
      </c>
      <c r="C706" s="182" t="s">
        <v>2942</v>
      </c>
      <c r="D706" s="182" t="s">
        <v>133</v>
      </c>
      <c r="E706" s="233" t="s">
        <v>2943</v>
      </c>
      <c r="F706" s="184" t="s">
        <v>2944</v>
      </c>
      <c r="G706" s="185"/>
      <c r="H706" s="186"/>
      <c r="I706" s="186"/>
      <c r="J706" s="186"/>
      <c r="K706" s="187"/>
      <c r="L706" s="186"/>
      <c r="M706" s="186"/>
      <c r="N706" s="186"/>
      <c r="O706" s="187"/>
      <c r="P706" s="187"/>
      <c r="Q706" s="187"/>
      <c r="R706" s="187"/>
      <c r="S706" s="187"/>
      <c r="T706" s="187"/>
      <c r="U706" s="187"/>
      <c r="V706" s="187"/>
      <c r="W706" s="187"/>
      <c r="X706" s="189"/>
      <c r="Y706" s="189"/>
      <c r="Z706" s="189"/>
      <c r="AA706" s="190"/>
      <c r="AB706" s="186"/>
      <c r="AC706" s="344"/>
      <c r="AD706" s="186"/>
      <c r="AE706" s="186"/>
      <c r="AF706" s="186"/>
      <c r="AG706" s="186"/>
      <c r="AH706" s="186"/>
      <c r="AI706" s="191"/>
      <c r="AJ706" s="191"/>
      <c r="AK706" s="186"/>
      <c r="AL706" s="186"/>
      <c r="AM706" s="186"/>
      <c r="AN706" s="344"/>
      <c r="AO706" s="186"/>
      <c r="AP706" s="193"/>
      <c r="AQ706" s="193"/>
      <c r="AR706" s="191"/>
      <c r="AS706" s="194"/>
      <c r="AT706" s="195"/>
      <c r="AU706" s="425"/>
      <c r="AV706" s="425"/>
      <c r="AW706" s="425"/>
      <c r="AX706" s="425"/>
      <c r="AY706" s="425"/>
      <c r="AZ706" s="425"/>
      <c r="BA706" s="425"/>
      <c r="BB706" s="425"/>
      <c r="BC706" s="440"/>
      <c r="BD706" s="404">
        <f>SUM($AS$4:AS706)</f>
        <v>3644.4205064935354</v>
      </c>
      <c r="BE706" s="405">
        <f>SUM($AR$4:AR706)</f>
        <v>11066.925333333331</v>
      </c>
      <c r="BF706" s="330"/>
      <c r="BG706" s="330"/>
    </row>
    <row r="707" spans="1:59" ht="15.75" customHeight="1">
      <c r="A707" s="227" t="s">
        <v>2780</v>
      </c>
      <c r="B707" s="204"/>
      <c r="C707" s="182"/>
      <c r="D707" s="182"/>
      <c r="E707" s="233" t="s">
        <v>2945</v>
      </c>
      <c r="F707" s="184"/>
      <c r="G707" s="185"/>
      <c r="H707" s="186"/>
      <c r="I707" s="186"/>
      <c r="J707" s="186"/>
      <c r="K707" s="187" t="s">
        <v>87</v>
      </c>
      <c r="L707" s="186"/>
      <c r="M707" s="186"/>
      <c r="N707" s="186"/>
      <c r="O707" s="187"/>
      <c r="P707" s="187"/>
      <c r="Q707" s="187"/>
      <c r="R707" s="187"/>
      <c r="S707" s="187"/>
      <c r="T707" s="187"/>
      <c r="U707" s="187"/>
      <c r="V707" s="187"/>
      <c r="W707" s="187"/>
      <c r="X707" s="189"/>
      <c r="Y707" s="189"/>
      <c r="Z707" s="189"/>
      <c r="AA707" s="190"/>
      <c r="AB707" s="186"/>
      <c r="AC707" s="344"/>
      <c r="AD707" s="186"/>
      <c r="AE707" s="186"/>
      <c r="AF707" s="186"/>
      <c r="AG707" s="186"/>
      <c r="AH707" s="186"/>
      <c r="AI707" s="191"/>
      <c r="AJ707" s="191"/>
      <c r="AK707" s="186"/>
      <c r="AL707" s="186"/>
      <c r="AM707" s="186"/>
      <c r="AN707" s="344"/>
      <c r="AO707" s="186"/>
      <c r="AP707" s="193"/>
      <c r="AQ707" s="193"/>
      <c r="AR707" s="191"/>
      <c r="AS707" s="194"/>
      <c r="AT707" s="195"/>
      <c r="AU707" s="425"/>
      <c r="AV707" s="425"/>
      <c r="AW707" s="425"/>
      <c r="AX707" s="425"/>
      <c r="AY707" s="425"/>
      <c r="AZ707" s="425"/>
      <c r="BA707" s="425"/>
      <c r="BB707" s="425"/>
      <c r="BC707" s="440"/>
      <c r="BD707" s="404">
        <f>SUM($AS$4:AS707)</f>
        <v>3644.4205064935354</v>
      </c>
      <c r="BE707" s="405">
        <f>SUM($AR$4:AR707)</f>
        <v>11066.925333333331</v>
      </c>
      <c r="BF707" s="330"/>
      <c r="BG707" s="330"/>
    </row>
    <row r="708" spans="1:59" ht="15.75" customHeight="1">
      <c r="A708" s="227" t="s">
        <v>2780</v>
      </c>
      <c r="B708" s="204">
        <v>45091</v>
      </c>
      <c r="C708" s="182" t="s">
        <v>664</v>
      </c>
      <c r="D708" s="182" t="s">
        <v>133</v>
      </c>
      <c r="E708" s="233"/>
      <c r="F708" s="184"/>
      <c r="G708" s="291" t="s">
        <v>163</v>
      </c>
      <c r="H708" s="186"/>
      <c r="I708" s="186"/>
      <c r="J708" s="186"/>
      <c r="K708" s="187"/>
      <c r="L708" s="186">
        <v>1</v>
      </c>
      <c r="M708" s="186"/>
      <c r="N708" s="186"/>
      <c r="O708" s="187" t="s">
        <v>76</v>
      </c>
      <c r="P708" s="187" t="s">
        <v>77</v>
      </c>
      <c r="Q708" s="187" t="s">
        <v>78</v>
      </c>
      <c r="R708" s="187">
        <v>9</v>
      </c>
      <c r="S708" s="187">
        <v>0</v>
      </c>
      <c r="T708" s="187">
        <v>9</v>
      </c>
      <c r="U708" s="187" t="s">
        <v>22</v>
      </c>
      <c r="V708" s="188">
        <f t="shared" ref="V708" si="1146">IF(ISBLANK(O708),"",(IF(O708=UPPER("IB"),0.005,0.01)))</f>
        <v>0.01</v>
      </c>
      <c r="W708" s="189">
        <f t="shared" ref="W708" si="1147">IF(ISBLANK(O708),"",IF(O708="IB",8.63*200,IF(O708="IR",16*100,IF(O708="YT",20*100,IF(O708="YT-XT",24*200,IF(O708="TED",80*100))))))</f>
        <v>1600</v>
      </c>
      <c r="X708" s="189" t="s">
        <v>80</v>
      </c>
      <c r="Y708" s="189" t="s">
        <v>2946</v>
      </c>
      <c r="Z708" s="189"/>
      <c r="AA708" s="190">
        <v>-0.14000000000000001</v>
      </c>
      <c r="AB708" s="186"/>
      <c r="AC708" s="344"/>
      <c r="AD708" s="186"/>
      <c r="AE708" s="186"/>
      <c r="AF708" s="186"/>
      <c r="AG708" s="186"/>
      <c r="AH708" s="186"/>
      <c r="AI708" s="191"/>
      <c r="AJ708" s="191"/>
      <c r="AK708" s="186"/>
      <c r="AL708" s="186"/>
      <c r="AM708" s="186" t="s">
        <v>2947</v>
      </c>
      <c r="AN708" s="344" t="s">
        <v>87</v>
      </c>
      <c r="AO708" s="186" t="s">
        <v>2948</v>
      </c>
      <c r="AP708" s="193">
        <f>((-0.13*2)+(-0.14*7))/9</f>
        <v>-0.1377777777777778</v>
      </c>
      <c r="AQ708" s="193">
        <f t="shared" ref="AQ702:AQ708" si="1148">IF(ISBLANK(AP708),,IF(U708="S",AA708-AP708,AP708-AA708))</f>
        <v>2.2222222222222088E-3</v>
      </c>
      <c r="AR708" s="191">
        <f t="shared" ref="AR702:AR708" si="1149">AS708*R708</f>
        <v>31.999999999999808</v>
      </c>
      <c r="AS708" s="194">
        <f t="shared" ref="AS702:AS708" si="1150">IF(ISBLANK(AP708),,(AQ708*W708))</f>
        <v>3.555555555555534</v>
      </c>
      <c r="AT708" s="195" t="s">
        <v>77</v>
      </c>
      <c r="AU708" s="425" t="s">
        <v>2949</v>
      </c>
      <c r="AV708" s="425"/>
      <c r="AW708" s="425"/>
      <c r="AX708" s="425" t="s">
        <v>1417</v>
      </c>
      <c r="AY708" s="425"/>
      <c r="AZ708" s="425"/>
      <c r="BA708" s="425"/>
      <c r="BB708" s="425"/>
      <c r="BC708" s="440"/>
      <c r="BD708" s="404">
        <f>SUM($AS$4:AS708)</f>
        <v>3647.9760620490911</v>
      </c>
      <c r="BE708" s="405">
        <f>SUM($AR$4:AR708)</f>
        <v>11098.925333333331</v>
      </c>
      <c r="BF708" s="330"/>
      <c r="BG708" s="330"/>
    </row>
    <row r="709" spans="1:59" ht="15.75" customHeight="1">
      <c r="A709" s="227" t="s">
        <v>2780</v>
      </c>
      <c r="B709" s="204">
        <v>45092</v>
      </c>
      <c r="C709" s="182" t="s">
        <v>2062</v>
      </c>
      <c r="D709" s="182" t="s">
        <v>74</v>
      </c>
      <c r="E709" s="233" t="s">
        <v>2950</v>
      </c>
      <c r="F709" s="184" t="s">
        <v>2951</v>
      </c>
      <c r="G709" s="185"/>
      <c r="H709" s="186"/>
      <c r="I709" s="186"/>
      <c r="J709" s="186">
        <v>1</v>
      </c>
      <c r="K709" s="187" t="s">
        <v>87</v>
      </c>
      <c r="L709" s="186"/>
      <c r="M709" s="186"/>
      <c r="N709" s="186"/>
      <c r="O709" s="187"/>
      <c r="P709" s="187"/>
      <c r="Q709" s="187"/>
      <c r="R709" s="187"/>
      <c r="S709" s="187"/>
      <c r="T709" s="187"/>
      <c r="U709" s="187"/>
      <c r="V709" s="188" t="str">
        <f t="shared" ref="V709:V715" si="1151">IF(ISBLANK(O709),"",(IF(O709=UPPER("IB"),0.005,0.01)))</f>
        <v/>
      </c>
      <c r="W709" s="189" t="str">
        <f t="shared" ref="W709:W715" si="1152">IF(ISBLANK(O709),"",IF(O709="IB",8.63*200,IF(O709="IR",16*100,IF(O709="YT",20*100,IF(O709="YT-XT",24*200,IF(O709="TED",80*100))))))</f>
        <v/>
      </c>
      <c r="X709" s="189"/>
      <c r="Y709" s="189"/>
      <c r="Z709" s="189"/>
      <c r="AA709" s="190"/>
      <c r="AB709" s="186"/>
      <c r="AC709" s="344"/>
      <c r="AD709" s="186"/>
      <c r="AE709" s="186"/>
      <c r="AF709" s="186"/>
      <c r="AG709" s="186"/>
      <c r="AH709" s="186"/>
      <c r="AI709" s="191"/>
      <c r="AJ709" s="191"/>
      <c r="AK709" s="186"/>
      <c r="AL709" s="186"/>
      <c r="AM709" s="186"/>
      <c r="AN709" s="344"/>
      <c r="AO709" s="186"/>
      <c r="AP709" s="193"/>
      <c r="AQ709" s="193"/>
      <c r="AR709" s="191"/>
      <c r="AS709" s="194"/>
      <c r="AT709" s="195"/>
      <c r="AU709" s="425" t="s">
        <v>2952</v>
      </c>
      <c r="AV709" s="425" t="s">
        <v>2953</v>
      </c>
      <c r="AW709" s="425" t="s">
        <v>2954</v>
      </c>
      <c r="AX709" s="425" t="s">
        <v>2955</v>
      </c>
      <c r="AY709" s="425"/>
      <c r="AZ709" s="425"/>
      <c r="BA709" s="425"/>
      <c r="BB709" s="425"/>
      <c r="BC709" s="440"/>
      <c r="BD709" s="404">
        <f>SUM($AS$4:AS709)</f>
        <v>3647.9760620490911</v>
      </c>
      <c r="BE709" s="405">
        <f>SUM($AR$4:AR709)</f>
        <v>11098.925333333331</v>
      </c>
      <c r="BF709" s="330"/>
      <c r="BG709" s="330"/>
    </row>
    <row r="710" spans="1:59" ht="15.75" customHeight="1">
      <c r="A710" s="227" t="s">
        <v>2780</v>
      </c>
      <c r="B710" s="204"/>
      <c r="C710" s="182"/>
      <c r="D710" s="182"/>
      <c r="E710" s="233" t="s">
        <v>2956</v>
      </c>
      <c r="F710" s="184"/>
      <c r="G710" s="185"/>
      <c r="H710" s="186">
        <v>1</v>
      </c>
      <c r="I710" s="186"/>
      <c r="J710" s="186"/>
      <c r="K710" s="187" t="s">
        <v>87</v>
      </c>
      <c r="L710" s="186"/>
      <c r="M710" s="186"/>
      <c r="N710" s="186"/>
      <c r="O710" s="187"/>
      <c r="P710" s="187"/>
      <c r="Q710" s="187"/>
      <c r="R710" s="187"/>
      <c r="S710" s="187"/>
      <c r="T710" s="187"/>
      <c r="U710" s="187"/>
      <c r="V710" s="188" t="str">
        <f t="shared" si="1151"/>
        <v/>
      </c>
      <c r="W710" s="189" t="str">
        <f t="shared" si="1152"/>
        <v/>
      </c>
      <c r="X710" s="189"/>
      <c r="Y710" s="189"/>
      <c r="Z710" s="189"/>
      <c r="AA710" s="190"/>
      <c r="AB710" s="186"/>
      <c r="AC710" s="344"/>
      <c r="AD710" s="186"/>
      <c r="AE710" s="186"/>
      <c r="AF710" s="186"/>
      <c r="AG710" s="186"/>
      <c r="AH710" s="186"/>
      <c r="AI710" s="191"/>
      <c r="AJ710" s="191"/>
      <c r="AK710" s="186"/>
      <c r="AL710" s="186"/>
      <c r="AM710" s="186"/>
      <c r="AN710" s="344"/>
      <c r="AO710" s="186"/>
      <c r="AP710" s="193"/>
      <c r="AQ710" s="193"/>
      <c r="AR710" s="191"/>
      <c r="AS710" s="194"/>
      <c r="AT710" s="195"/>
      <c r="AU710" s="425"/>
      <c r="AV710" s="425"/>
      <c r="AW710" s="425"/>
      <c r="AX710" s="425"/>
      <c r="AY710" s="425"/>
      <c r="AZ710" s="425"/>
      <c r="BA710" s="425"/>
      <c r="BB710" s="425"/>
      <c r="BC710" s="440"/>
      <c r="BD710" s="404">
        <f>SUM($AS$4:AS710)</f>
        <v>3647.9760620490911</v>
      </c>
      <c r="BE710" s="405">
        <f>SUM($AR$4:AR710)</f>
        <v>11098.925333333331</v>
      </c>
      <c r="BF710" s="330"/>
      <c r="BG710" s="330"/>
    </row>
    <row r="711" spans="1:59" ht="15.75" customHeight="1">
      <c r="A711" s="227" t="s">
        <v>2780</v>
      </c>
      <c r="B711" s="204">
        <v>45092</v>
      </c>
      <c r="C711" s="182" t="s">
        <v>2103</v>
      </c>
      <c r="D711" s="182" t="s">
        <v>74</v>
      </c>
      <c r="E711" s="233" t="s">
        <v>2957</v>
      </c>
      <c r="F711" s="184" t="s">
        <v>1609</v>
      </c>
      <c r="G711" s="185"/>
      <c r="H711" s="186"/>
      <c r="I711" s="186">
        <v>1</v>
      </c>
      <c r="J711" s="186"/>
      <c r="K711" s="187"/>
      <c r="L711" s="186"/>
      <c r="M711" s="186"/>
      <c r="N711" s="186"/>
      <c r="O711" s="187"/>
      <c r="P711" s="187"/>
      <c r="Q711" s="187"/>
      <c r="R711" s="187"/>
      <c r="S711" s="187"/>
      <c r="T711" s="187"/>
      <c r="U711" s="187"/>
      <c r="V711" s="188" t="str">
        <f t="shared" si="1151"/>
        <v/>
      </c>
      <c r="W711" s="189" t="str">
        <f t="shared" si="1152"/>
        <v/>
      </c>
      <c r="X711" s="189"/>
      <c r="Y711" s="189"/>
      <c r="Z711" s="189"/>
      <c r="AA711" s="190"/>
      <c r="AB711" s="186"/>
      <c r="AC711" s="344"/>
      <c r="AD711" s="186"/>
      <c r="AE711" s="186"/>
      <c r="AF711" s="186"/>
      <c r="AG711" s="186"/>
      <c r="AH711" s="186"/>
      <c r="AI711" s="191"/>
      <c r="AJ711" s="191"/>
      <c r="AK711" s="186"/>
      <c r="AL711" s="186"/>
      <c r="AM711" s="186"/>
      <c r="AN711" s="344"/>
      <c r="AO711" s="186"/>
      <c r="AP711" s="193"/>
      <c r="AQ711" s="193"/>
      <c r="AR711" s="191"/>
      <c r="AS711" s="194"/>
      <c r="AT711" s="195"/>
      <c r="AU711" s="425"/>
      <c r="AV711" s="425"/>
      <c r="AW711" s="425"/>
      <c r="AX711" s="425"/>
      <c r="AY711" s="425"/>
      <c r="AZ711" s="425"/>
      <c r="BA711" s="425"/>
      <c r="BB711" s="425"/>
      <c r="BC711" s="440"/>
      <c r="BD711" s="404">
        <f>SUM($AS$4:AS711)</f>
        <v>3647.9760620490911</v>
      </c>
      <c r="BE711" s="405">
        <f>SUM($AR$4:AR711)</f>
        <v>11098.925333333331</v>
      </c>
      <c r="BF711" s="330"/>
      <c r="BG711" s="330"/>
    </row>
    <row r="712" spans="1:59" ht="15.75" customHeight="1">
      <c r="A712" s="227" t="s">
        <v>2780</v>
      </c>
      <c r="B712" s="204">
        <v>45092</v>
      </c>
      <c r="C712" s="182" t="s">
        <v>1709</v>
      </c>
      <c r="D712" s="182" t="s">
        <v>74</v>
      </c>
      <c r="E712" s="233" t="s">
        <v>2958</v>
      </c>
      <c r="F712" s="184" t="s">
        <v>1609</v>
      </c>
      <c r="G712" s="185"/>
      <c r="H712" s="186"/>
      <c r="I712" s="186">
        <v>1</v>
      </c>
      <c r="J712" s="186"/>
      <c r="K712" s="187"/>
      <c r="L712" s="186"/>
      <c r="M712" s="186"/>
      <c r="N712" s="186"/>
      <c r="O712" s="187"/>
      <c r="P712" s="187"/>
      <c r="Q712" s="187"/>
      <c r="R712" s="187"/>
      <c r="S712" s="187"/>
      <c r="T712" s="187"/>
      <c r="U712" s="187"/>
      <c r="V712" s="188" t="str">
        <f t="shared" si="1151"/>
        <v/>
      </c>
      <c r="W712" s="189" t="str">
        <f t="shared" si="1152"/>
        <v/>
      </c>
      <c r="X712" s="189"/>
      <c r="Y712" s="189"/>
      <c r="Z712" s="189"/>
      <c r="AA712" s="190"/>
      <c r="AB712" s="186"/>
      <c r="AC712" s="344"/>
      <c r="AD712" s="186"/>
      <c r="AE712" s="186"/>
      <c r="AF712" s="186"/>
      <c r="AG712" s="186"/>
      <c r="AH712" s="186"/>
      <c r="AI712" s="191"/>
      <c r="AJ712" s="191"/>
      <c r="AK712" s="186"/>
      <c r="AL712" s="186"/>
      <c r="AM712" s="186"/>
      <c r="AN712" s="344"/>
      <c r="AO712" s="186"/>
      <c r="AP712" s="193"/>
      <c r="AQ712" s="193"/>
      <c r="AR712" s="191"/>
      <c r="AS712" s="194"/>
      <c r="AT712" s="195"/>
      <c r="AU712" s="425"/>
      <c r="AV712" s="425"/>
      <c r="AW712" s="425"/>
      <c r="AX712" s="425"/>
      <c r="AY712" s="425"/>
      <c r="AZ712" s="425"/>
      <c r="BA712" s="425"/>
      <c r="BB712" s="425"/>
      <c r="BC712" s="440"/>
      <c r="BD712" s="404">
        <f>SUM($AS$4:AS712)</f>
        <v>3647.9760620490911</v>
      </c>
      <c r="BE712" s="405">
        <f>SUM($AR$4:AR712)</f>
        <v>11098.925333333331</v>
      </c>
      <c r="BF712" s="330"/>
      <c r="BG712" s="330"/>
    </row>
    <row r="713" spans="1:59" ht="15.75" customHeight="1">
      <c r="A713" s="227" t="s">
        <v>2780</v>
      </c>
      <c r="B713" s="204"/>
      <c r="C713" s="182"/>
      <c r="D713" s="182"/>
      <c r="E713" s="233" t="s">
        <v>2959</v>
      </c>
      <c r="F713" s="184"/>
      <c r="G713" s="185"/>
      <c r="H713" s="186">
        <v>1</v>
      </c>
      <c r="I713" s="186"/>
      <c r="J713" s="186"/>
      <c r="K713" s="187"/>
      <c r="L713" s="186"/>
      <c r="M713" s="186"/>
      <c r="N713" s="186"/>
      <c r="O713" s="187"/>
      <c r="P713" s="187"/>
      <c r="Q713" s="187"/>
      <c r="R713" s="187"/>
      <c r="S713" s="187"/>
      <c r="T713" s="187"/>
      <c r="U713" s="187"/>
      <c r="V713" s="188" t="str">
        <f t="shared" si="1151"/>
        <v/>
      </c>
      <c r="W713" s="189" t="str">
        <f t="shared" si="1152"/>
        <v/>
      </c>
      <c r="X713" s="189"/>
      <c r="Y713" s="189"/>
      <c r="Z713" s="189"/>
      <c r="AA713" s="190"/>
      <c r="AB713" s="186"/>
      <c r="AC713" s="344"/>
      <c r="AD713" s="186"/>
      <c r="AE713" s="186"/>
      <c r="AF713" s="186"/>
      <c r="AG713" s="186"/>
      <c r="AH713" s="186"/>
      <c r="AI713" s="191"/>
      <c r="AJ713" s="191"/>
      <c r="AK713" s="186"/>
      <c r="AL713" s="186"/>
      <c r="AM713" s="186"/>
      <c r="AN713" s="344"/>
      <c r="AO713" s="186"/>
      <c r="AP713" s="193"/>
      <c r="AQ713" s="193"/>
      <c r="AR713" s="191"/>
      <c r="AS713" s="194"/>
      <c r="AT713" s="195"/>
      <c r="AU713" s="425"/>
      <c r="AV713" s="425"/>
      <c r="AW713" s="425"/>
      <c r="AX713" s="425"/>
      <c r="AY713" s="425"/>
      <c r="AZ713" s="425"/>
      <c r="BA713" s="425"/>
      <c r="BB713" s="425"/>
      <c r="BC713" s="440"/>
      <c r="BD713" s="404">
        <f>SUM($AS$4:AS713)</f>
        <v>3647.9760620490911</v>
      </c>
      <c r="BE713" s="405">
        <f>SUM($AR$4:AR713)</f>
        <v>11098.925333333331</v>
      </c>
      <c r="BF713" s="330"/>
      <c r="BG713" s="330"/>
    </row>
    <row r="714" spans="1:59" ht="15.75" customHeight="1">
      <c r="A714" s="227" t="s">
        <v>2780</v>
      </c>
      <c r="B714" s="204"/>
      <c r="C714" s="182"/>
      <c r="D714" s="182"/>
      <c r="E714" s="233" t="s">
        <v>2960</v>
      </c>
      <c r="F714" s="184"/>
      <c r="G714" s="185"/>
      <c r="H714" s="186"/>
      <c r="I714" s="186">
        <v>1</v>
      </c>
      <c r="J714" s="186"/>
      <c r="K714" s="187"/>
      <c r="L714" s="186"/>
      <c r="M714" s="186"/>
      <c r="N714" s="186"/>
      <c r="O714" s="187"/>
      <c r="P714" s="187"/>
      <c r="Q714" s="187"/>
      <c r="R714" s="187"/>
      <c r="S714" s="187"/>
      <c r="T714" s="187"/>
      <c r="U714" s="187"/>
      <c r="V714" s="188" t="str">
        <f t="shared" si="1151"/>
        <v/>
      </c>
      <c r="W714" s="189" t="str">
        <f t="shared" si="1152"/>
        <v/>
      </c>
      <c r="X714" s="189"/>
      <c r="Y714" s="189"/>
      <c r="Z714" s="189"/>
      <c r="AA714" s="190"/>
      <c r="AB714" s="186"/>
      <c r="AC714" s="344"/>
      <c r="AD714" s="186"/>
      <c r="AE714" s="186"/>
      <c r="AF714" s="186"/>
      <c r="AG714" s="186"/>
      <c r="AH714" s="186"/>
      <c r="AI714" s="191"/>
      <c r="AJ714" s="191"/>
      <c r="AK714" s="186"/>
      <c r="AL714" s="186"/>
      <c r="AM714" s="186"/>
      <c r="AN714" s="344"/>
      <c r="AO714" s="186"/>
      <c r="AP714" s="193"/>
      <c r="AQ714" s="193"/>
      <c r="AR714" s="191"/>
      <c r="AS714" s="194"/>
      <c r="AT714" s="195"/>
      <c r="AU714" s="425"/>
      <c r="AV714" s="425"/>
      <c r="AW714" s="425"/>
      <c r="AX714" s="425"/>
      <c r="AY714" s="425"/>
      <c r="AZ714" s="425"/>
      <c r="BA714" s="425"/>
      <c r="BB714" s="425"/>
      <c r="BC714" s="440"/>
      <c r="BD714" s="404">
        <f>SUM($AS$4:AS714)</f>
        <v>3647.9760620490911</v>
      </c>
      <c r="BE714" s="405">
        <f>SUM($AR$4:AR714)</f>
        <v>11098.925333333331</v>
      </c>
      <c r="BF714" s="330"/>
      <c r="BG714" s="330"/>
    </row>
    <row r="715" spans="1:59" ht="15.75" customHeight="1">
      <c r="A715" s="227" t="s">
        <v>2780</v>
      </c>
      <c r="B715" s="204"/>
      <c r="C715" s="182"/>
      <c r="D715" s="182"/>
      <c r="E715" s="233" t="s">
        <v>2961</v>
      </c>
      <c r="F715" s="184"/>
      <c r="G715" s="185"/>
      <c r="H715" s="186">
        <v>1</v>
      </c>
      <c r="I715" s="186"/>
      <c r="J715" s="186"/>
      <c r="K715" s="187"/>
      <c r="L715" s="186"/>
      <c r="M715" s="186"/>
      <c r="N715" s="186"/>
      <c r="O715" s="187"/>
      <c r="P715" s="187"/>
      <c r="Q715" s="187"/>
      <c r="R715" s="187"/>
      <c r="S715" s="187"/>
      <c r="T715" s="187"/>
      <c r="U715" s="187"/>
      <c r="V715" s="188" t="str">
        <f t="shared" si="1151"/>
        <v/>
      </c>
      <c r="W715" s="189" t="str">
        <f t="shared" si="1152"/>
        <v/>
      </c>
      <c r="X715" s="189"/>
      <c r="Y715" s="189"/>
      <c r="Z715" s="189"/>
      <c r="AA715" s="190"/>
      <c r="AB715" s="186"/>
      <c r="AC715" s="344"/>
      <c r="AD715" s="186"/>
      <c r="AE715" s="186"/>
      <c r="AF715" s="186"/>
      <c r="AG715" s="186"/>
      <c r="AH715" s="186"/>
      <c r="AI715" s="191"/>
      <c r="AJ715" s="191"/>
      <c r="AK715" s="186"/>
      <c r="AL715" s="186"/>
      <c r="AM715" s="186"/>
      <c r="AN715" s="344"/>
      <c r="AO715" s="186"/>
      <c r="AP715" s="193"/>
      <c r="AQ715" s="193"/>
      <c r="AR715" s="191"/>
      <c r="AS715" s="194"/>
      <c r="AT715" s="195"/>
      <c r="AU715" s="425" t="s">
        <v>2962</v>
      </c>
      <c r="AV715" s="425" t="s">
        <v>2963</v>
      </c>
      <c r="AW715" s="425" t="s">
        <v>2964</v>
      </c>
      <c r="AX715" s="425"/>
      <c r="AY715" s="425"/>
      <c r="AZ715" s="425"/>
      <c r="BA715" s="425"/>
      <c r="BB715" s="425"/>
      <c r="BC715" s="440"/>
      <c r="BD715" s="404">
        <f>SUM($AS$4:AS715)</f>
        <v>3647.9760620490911</v>
      </c>
      <c r="BE715" s="405">
        <f>SUM($AR$4:AR715)</f>
        <v>11098.925333333331</v>
      </c>
      <c r="BF715" s="330"/>
      <c r="BG715" s="330"/>
    </row>
    <row r="716" spans="1:59" ht="15.75" customHeight="1">
      <c r="A716" s="227" t="s">
        <v>2780</v>
      </c>
      <c r="B716" s="204">
        <v>45092</v>
      </c>
      <c r="C716" s="182" t="s">
        <v>2965</v>
      </c>
      <c r="D716" s="182" t="s">
        <v>74</v>
      </c>
      <c r="E716" s="233" t="s">
        <v>511</v>
      </c>
      <c r="F716" s="184"/>
      <c r="G716" s="291" t="s">
        <v>2924</v>
      </c>
      <c r="H716" s="186"/>
      <c r="I716" s="186"/>
      <c r="J716" s="186"/>
      <c r="K716" s="187"/>
      <c r="L716" s="186">
        <v>1</v>
      </c>
      <c r="M716" s="186"/>
      <c r="N716" s="186"/>
      <c r="O716" s="187" t="s">
        <v>76</v>
      </c>
      <c r="P716" s="187" t="s">
        <v>119</v>
      </c>
      <c r="Q716" s="187" t="s">
        <v>78</v>
      </c>
      <c r="R716" s="187">
        <v>15</v>
      </c>
      <c r="S716" s="187">
        <v>3</v>
      </c>
      <c r="T716" s="187">
        <v>15</v>
      </c>
      <c r="U716" s="187" t="s">
        <v>22</v>
      </c>
      <c r="V716" s="188">
        <f t="shared" ref="V716" si="1153">IF(ISBLANK(O716),"",(IF(O716=UPPER("IB"),0.005,0.01)))</f>
        <v>0.01</v>
      </c>
      <c r="W716" s="189">
        <f t="shared" ref="W716" si="1154">IF(ISBLANK(O716),"",IF(O716="IB",8.63*200,IF(O716="IR",16*100,IF(O716="YT",20*100,IF(O716="YT-XT",24*200,IF(O716="TED",80*100))))))</f>
        <v>1600</v>
      </c>
      <c r="X716" s="189" t="s">
        <v>2966</v>
      </c>
      <c r="Y716" s="189"/>
      <c r="Z716" s="189"/>
      <c r="AA716" s="190">
        <v>-0.11</v>
      </c>
      <c r="AB716" s="186"/>
      <c r="AC716" s="344">
        <v>-0.13</v>
      </c>
      <c r="AD716" s="186"/>
      <c r="AE716" s="186"/>
      <c r="AF716" s="186"/>
      <c r="AG716" s="186"/>
      <c r="AH716" s="186"/>
      <c r="AI716" s="191">
        <f>-0.02*W716</f>
        <v>-32</v>
      </c>
      <c r="AJ716" s="191">
        <f t="shared" ref="AJ716:AJ717" si="1155">AI716*(R716-S716)</f>
        <v>-384</v>
      </c>
      <c r="AK716" s="186"/>
      <c r="AL716" s="186"/>
      <c r="AM716" s="186" t="s">
        <v>2967</v>
      </c>
      <c r="AN716" s="344" t="s">
        <v>87</v>
      </c>
      <c r="AO716" s="186" t="s">
        <v>2968</v>
      </c>
      <c r="AP716" s="193">
        <f>((-0.11*3)+(-0.1*12))/15</f>
        <v>-0.10200000000000002</v>
      </c>
      <c r="AQ716" s="193">
        <f t="shared" ref="AQ709:AQ719" si="1156">IF(ISBLANK(AP716),,IF(U716="S",AA716-AP716,AP716-AA716))</f>
        <v>7.9999999999999793E-3</v>
      </c>
      <c r="AR716" s="191">
        <f t="shared" ref="AR709:AR719" si="1157">AS716*R716</f>
        <v>191.99999999999952</v>
      </c>
      <c r="AS716" s="194">
        <f t="shared" ref="AS709:AS719" si="1158">IF(ISBLANK(AP716),,(AQ716*W716))</f>
        <v>12.799999999999967</v>
      </c>
      <c r="AT716" s="195" t="s">
        <v>77</v>
      </c>
      <c r="AU716" s="425"/>
      <c r="AV716" s="425"/>
      <c r="AW716" s="425"/>
      <c r="AX716" s="425"/>
      <c r="AY716" s="425"/>
      <c r="AZ716" s="425"/>
      <c r="BA716" s="425"/>
      <c r="BB716" s="425"/>
      <c r="BC716" s="440"/>
      <c r="BD716" s="404">
        <f>SUM($AS$4:AS716)</f>
        <v>3660.7760620490913</v>
      </c>
      <c r="BE716" s="405">
        <f>SUM($AR$4:AR716)</f>
        <v>11290.925333333331</v>
      </c>
      <c r="BF716" s="330"/>
      <c r="BG716" s="330"/>
    </row>
    <row r="717" spans="1:59" ht="15.75" customHeight="1">
      <c r="A717" s="227" t="s">
        <v>2780</v>
      </c>
      <c r="B717" s="204">
        <v>45092</v>
      </c>
      <c r="C717" s="182" t="s">
        <v>2969</v>
      </c>
      <c r="D717" s="182" t="s">
        <v>74</v>
      </c>
      <c r="E717" s="233"/>
      <c r="F717" s="184"/>
      <c r="G717" s="185" t="s">
        <v>1997</v>
      </c>
      <c r="H717" s="186"/>
      <c r="I717" s="186"/>
      <c r="J717" s="186"/>
      <c r="K717" s="187"/>
      <c r="L717" s="186"/>
      <c r="M717" s="186"/>
      <c r="N717" s="186"/>
      <c r="O717" s="187"/>
      <c r="P717" s="187"/>
      <c r="Q717" s="187"/>
      <c r="R717" s="187"/>
      <c r="S717" s="187"/>
      <c r="T717" s="187"/>
      <c r="U717" s="187"/>
      <c r="V717" s="188"/>
      <c r="W717" s="189"/>
      <c r="X717" s="189"/>
      <c r="Y717" s="189"/>
      <c r="Z717" s="189"/>
      <c r="AA717" s="190"/>
      <c r="AB717" s="186"/>
      <c r="AC717" s="344"/>
      <c r="AD717" s="186"/>
      <c r="AE717" s="186"/>
      <c r="AF717" s="186"/>
      <c r="AG717" s="186"/>
      <c r="AH717" s="186"/>
      <c r="AI717" s="191"/>
      <c r="AJ717" s="191"/>
      <c r="AK717" s="186"/>
      <c r="AL717" s="186"/>
      <c r="AM717" s="186"/>
      <c r="AN717" s="344"/>
      <c r="AO717" s="186"/>
      <c r="AP717" s="193"/>
      <c r="AQ717" s="193"/>
      <c r="AR717" s="191"/>
      <c r="AS717" s="194"/>
      <c r="AT717" s="195"/>
      <c r="AU717" s="425" t="s">
        <v>2970</v>
      </c>
      <c r="AV717" s="425" t="s">
        <v>2971</v>
      </c>
      <c r="AW717" s="425"/>
      <c r="AX717" s="425"/>
      <c r="AY717" s="425"/>
      <c r="AZ717" s="425"/>
      <c r="BA717" s="425"/>
      <c r="BB717" s="425"/>
      <c r="BC717" s="440"/>
      <c r="BD717" s="404">
        <f>SUM($AS$4:AS717)</f>
        <v>3660.7760620490913</v>
      </c>
      <c r="BE717" s="405">
        <f>SUM($AR$4:AR717)</f>
        <v>11290.925333333331</v>
      </c>
      <c r="BF717" s="330"/>
      <c r="BG717" s="330"/>
    </row>
    <row r="718" spans="1:59" ht="15.75" customHeight="1">
      <c r="A718" s="227" t="s">
        <v>2780</v>
      </c>
      <c r="B718" s="204">
        <v>45092</v>
      </c>
      <c r="C718" s="182" t="s">
        <v>2972</v>
      </c>
      <c r="D718" s="182" t="s">
        <v>74</v>
      </c>
      <c r="E718" s="233" t="s">
        <v>511</v>
      </c>
      <c r="F718" s="184"/>
      <c r="G718" s="185" t="s">
        <v>2051</v>
      </c>
      <c r="H718" s="186"/>
      <c r="I718" s="186"/>
      <c r="J718" s="186"/>
      <c r="K718" s="187"/>
      <c r="L718" s="186"/>
      <c r="M718" s="186"/>
      <c r="N718" s="186"/>
      <c r="O718" s="187"/>
      <c r="P718" s="187"/>
      <c r="Q718" s="187"/>
      <c r="R718" s="187"/>
      <c r="S718" s="187"/>
      <c r="T718" s="187"/>
      <c r="U718" s="187"/>
      <c r="V718" s="188"/>
      <c r="W718" s="189"/>
      <c r="X718" s="189"/>
      <c r="Y718" s="189"/>
      <c r="Z718" s="189"/>
      <c r="AA718" s="190"/>
      <c r="AB718" s="186"/>
      <c r="AC718" s="344"/>
      <c r="AD718" s="186"/>
      <c r="AE718" s="186"/>
      <c r="AF718" s="186"/>
      <c r="AG718" s="186"/>
      <c r="AH718" s="186"/>
      <c r="AI718" s="191"/>
      <c r="AJ718" s="191"/>
      <c r="AK718" s="186"/>
      <c r="AL718" s="186"/>
      <c r="AM718" s="186"/>
      <c r="AN718" s="344"/>
      <c r="AO718" s="186"/>
      <c r="AP718" s="193"/>
      <c r="AQ718" s="193"/>
      <c r="AR718" s="191"/>
      <c r="AS718" s="194"/>
      <c r="AT718" s="195"/>
      <c r="AU718" s="425" t="s">
        <v>2970</v>
      </c>
      <c r="AV718" s="425" t="s">
        <v>2971</v>
      </c>
      <c r="AW718" s="425"/>
      <c r="AX718" s="425"/>
      <c r="AY718" s="425"/>
      <c r="AZ718" s="425"/>
      <c r="BA718" s="425"/>
      <c r="BB718" s="425"/>
      <c r="BC718" s="440"/>
      <c r="BD718" s="404">
        <f>SUM($AS$4:AS718)</f>
        <v>3660.7760620490913</v>
      </c>
      <c r="BE718" s="405">
        <f>SUM($AR$4:AR718)</f>
        <v>11290.925333333331</v>
      </c>
      <c r="BF718" s="330"/>
      <c r="BG718" s="330"/>
    </row>
    <row r="719" spans="1:59" ht="15.75" customHeight="1">
      <c r="A719" s="227" t="s">
        <v>2780</v>
      </c>
      <c r="B719" s="204">
        <v>45092</v>
      </c>
      <c r="C719" s="182" t="s">
        <v>2972</v>
      </c>
      <c r="D719" s="182" t="s">
        <v>74</v>
      </c>
      <c r="E719" s="233"/>
      <c r="F719" s="184"/>
      <c r="G719" s="291" t="s">
        <v>2973</v>
      </c>
      <c r="H719" s="186"/>
      <c r="I719" s="186"/>
      <c r="J719" s="186"/>
      <c r="K719" s="187"/>
      <c r="L719" s="186">
        <v>1</v>
      </c>
      <c r="M719" s="186"/>
      <c r="N719" s="186"/>
      <c r="O719" s="187" t="s">
        <v>76</v>
      </c>
      <c r="P719" s="187" t="s">
        <v>119</v>
      </c>
      <c r="Q719" s="187" t="s">
        <v>78</v>
      </c>
      <c r="R719" s="187">
        <v>30</v>
      </c>
      <c r="S719" s="187">
        <v>10</v>
      </c>
      <c r="T719" s="187">
        <v>15</v>
      </c>
      <c r="U719" s="187" t="s">
        <v>22</v>
      </c>
      <c r="V719" s="188">
        <f t="shared" ref="V719" si="1159">IF(ISBLANK(O719),"",(IF(O719=UPPER("IB"),0.005,0.01)))</f>
        <v>0.01</v>
      </c>
      <c r="W719" s="189">
        <f t="shared" ref="W719" si="1160">IF(ISBLANK(O719),"",IF(O719="IB",8.63*200,IF(O719="IR",16*100,IF(O719="YT",20*100,IF(O719="YT-XT",24*200,IF(O719="TED",80*100))))))</f>
        <v>1600</v>
      </c>
      <c r="X719" s="495" t="s">
        <v>2974</v>
      </c>
      <c r="Y719" s="189"/>
      <c r="Z719" s="189"/>
      <c r="AA719" s="190">
        <v>-0.28999999999999998</v>
      </c>
      <c r="AB719" s="186"/>
      <c r="AC719" s="344">
        <v>-0.16</v>
      </c>
      <c r="AD719" s="186" t="s">
        <v>2975</v>
      </c>
      <c r="AE719" s="186">
        <v>-0.12</v>
      </c>
      <c r="AF719" s="186"/>
      <c r="AG719" s="186"/>
      <c r="AH719" s="186"/>
      <c r="AI719" s="191">
        <f>-0.03*W719</f>
        <v>-48</v>
      </c>
      <c r="AJ719" s="191">
        <f t="shared" ref="AJ719" si="1161">AI719*(R719-S719)</f>
        <v>-960</v>
      </c>
      <c r="AK719" s="186"/>
      <c r="AL719" s="186"/>
      <c r="AM719" s="186" t="s">
        <v>999</v>
      </c>
      <c r="AN719" s="344" t="s">
        <v>87</v>
      </c>
      <c r="AO719" s="186" t="s">
        <v>2976</v>
      </c>
      <c r="AP719" s="193">
        <f>((-0.29*10)+(-0.28*20))/30</f>
        <v>-0.28333333333333333</v>
      </c>
      <c r="AQ719" s="193">
        <f t="shared" si="1156"/>
        <v>6.6666666666666541E-3</v>
      </c>
      <c r="AR719" s="191">
        <f t="shared" si="1157"/>
        <v>319.99999999999937</v>
      </c>
      <c r="AS719" s="194">
        <f t="shared" si="1158"/>
        <v>10.666666666666647</v>
      </c>
      <c r="AT719" s="195" t="s">
        <v>77</v>
      </c>
      <c r="AU719" s="425"/>
      <c r="AV719" s="425"/>
      <c r="AW719" s="425"/>
      <c r="AX719" s="425"/>
      <c r="AY719" s="425"/>
      <c r="AZ719" s="425"/>
      <c r="BA719" s="425"/>
      <c r="BB719" s="425"/>
      <c r="BC719" s="440"/>
      <c r="BD719" s="404">
        <f>SUM($AS$4:AS719)</f>
        <v>3671.4427287157578</v>
      </c>
      <c r="BE719" s="405">
        <f>SUM($AR$4:AR719)</f>
        <v>11610.925333333331</v>
      </c>
      <c r="BF719" s="330"/>
      <c r="BG719" s="330"/>
    </row>
    <row r="720" spans="1:59" ht="15.75" customHeight="1">
      <c r="A720" s="227" t="s">
        <v>2780</v>
      </c>
      <c r="B720" s="204"/>
      <c r="C720" s="182"/>
      <c r="D720" s="182"/>
      <c r="E720" s="233" t="s">
        <v>511</v>
      </c>
      <c r="F720" s="184"/>
      <c r="G720" s="185"/>
      <c r="H720" s="186"/>
      <c r="I720" s="186"/>
      <c r="J720" s="186"/>
      <c r="K720" s="187"/>
      <c r="L720" s="186"/>
      <c r="M720" s="186"/>
      <c r="N720" s="186"/>
      <c r="O720" s="187"/>
      <c r="P720" s="187"/>
      <c r="Q720" s="187"/>
      <c r="R720" s="187"/>
      <c r="S720" s="187"/>
      <c r="T720" s="187"/>
      <c r="U720" s="187"/>
      <c r="V720" s="187"/>
      <c r="W720" s="187"/>
      <c r="X720" s="189"/>
      <c r="Y720" s="189"/>
      <c r="Z720" s="189"/>
      <c r="AA720" s="190"/>
      <c r="AB720" s="186"/>
      <c r="AC720" s="344"/>
      <c r="AD720" s="186"/>
      <c r="AE720" s="186"/>
      <c r="AF720" s="186"/>
      <c r="AG720" s="186"/>
      <c r="AH720" s="186"/>
      <c r="AI720" s="191"/>
      <c r="AJ720" s="191"/>
      <c r="AK720" s="186"/>
      <c r="AL720" s="186"/>
      <c r="AM720" s="186"/>
      <c r="AN720" s="344"/>
      <c r="AO720" s="186"/>
      <c r="AP720" s="193"/>
      <c r="AQ720" s="193"/>
      <c r="AR720" s="191"/>
      <c r="AS720" s="194"/>
      <c r="AT720" s="195"/>
      <c r="AU720" s="425" t="s">
        <v>2977</v>
      </c>
      <c r="AV720" s="425" t="s">
        <v>2978</v>
      </c>
      <c r="AW720" s="425" t="s">
        <v>2979</v>
      </c>
      <c r="AX720" s="425" t="s">
        <v>2980</v>
      </c>
      <c r="AY720" s="425"/>
      <c r="AZ720" s="425"/>
      <c r="BA720" s="425"/>
      <c r="BB720" s="425"/>
      <c r="BC720" s="440"/>
      <c r="BD720" s="404">
        <f>SUM($AS$4:AS720)</f>
        <v>3671.4427287157578</v>
      </c>
      <c r="BE720" s="405">
        <f>SUM($AR$4:AR720)</f>
        <v>11610.925333333331</v>
      </c>
      <c r="BF720" s="330"/>
      <c r="BG720" s="330"/>
    </row>
    <row r="721" spans="1:59" ht="15.75" customHeight="1">
      <c r="A721" s="227" t="s">
        <v>2780</v>
      </c>
      <c r="B721" s="204">
        <v>45097</v>
      </c>
      <c r="C721" s="182" t="s">
        <v>2062</v>
      </c>
      <c r="D721" s="182" t="s">
        <v>128</v>
      </c>
      <c r="E721" s="233" t="s">
        <v>1830</v>
      </c>
      <c r="F721" s="233" t="s">
        <v>2981</v>
      </c>
      <c r="G721" s="185"/>
      <c r="H721" s="186"/>
      <c r="I721" s="186"/>
      <c r="J721" s="186"/>
      <c r="K721" s="187"/>
      <c r="L721" s="186"/>
      <c r="M721" s="186"/>
      <c r="N721" s="186"/>
      <c r="O721" s="187"/>
      <c r="P721" s="187"/>
      <c r="Q721" s="187"/>
      <c r="R721" s="187"/>
      <c r="S721" s="187"/>
      <c r="T721" s="187"/>
      <c r="U721" s="187"/>
      <c r="V721" s="187"/>
      <c r="W721" s="187"/>
      <c r="X721" s="189"/>
      <c r="Y721" s="189"/>
      <c r="Z721" s="189"/>
      <c r="AA721" s="190"/>
      <c r="AB721" s="186"/>
      <c r="AC721" s="344"/>
      <c r="AD721" s="186"/>
      <c r="AE721" s="186"/>
      <c r="AF721" s="186"/>
      <c r="AG721" s="186"/>
      <c r="AH721" s="186"/>
      <c r="AI721" s="191"/>
      <c r="AJ721" s="191"/>
      <c r="AK721" s="186"/>
      <c r="AL721" s="186"/>
      <c r="AM721" s="186"/>
      <c r="AN721" s="344"/>
      <c r="AO721" s="186"/>
      <c r="AP721" s="193"/>
      <c r="AQ721" s="193"/>
      <c r="AR721" s="191"/>
      <c r="AS721" s="194"/>
      <c r="AT721" s="195"/>
      <c r="AU721" s="425"/>
      <c r="AV721" s="425"/>
      <c r="AW721" s="425"/>
      <c r="AX721" s="425"/>
      <c r="AY721" s="425"/>
      <c r="AZ721" s="425"/>
      <c r="BA721" s="425"/>
      <c r="BB721" s="425"/>
      <c r="BC721" s="440"/>
      <c r="BD721" s="404">
        <f>SUM($AS$4:AS721)</f>
        <v>3671.4427287157578</v>
      </c>
      <c r="BE721" s="405">
        <f>SUM($AR$4:AR721)</f>
        <v>11610.925333333331</v>
      </c>
      <c r="BF721" s="330"/>
      <c r="BG721" s="330"/>
    </row>
    <row r="722" spans="1:59" ht="15.75" customHeight="1">
      <c r="A722" s="227" t="s">
        <v>2780</v>
      </c>
      <c r="B722" s="204">
        <v>45097</v>
      </c>
      <c r="C722" s="182" t="s">
        <v>2351</v>
      </c>
      <c r="D722" s="182" t="s">
        <v>128</v>
      </c>
      <c r="E722" s="233" t="s">
        <v>511</v>
      </c>
      <c r="F722" s="184"/>
      <c r="G722" s="185" t="s">
        <v>1997</v>
      </c>
      <c r="H722" s="186"/>
      <c r="I722" s="186"/>
      <c r="J722" s="186"/>
      <c r="K722" s="187"/>
      <c r="L722" s="186"/>
      <c r="M722" s="186"/>
      <c r="N722" s="186"/>
      <c r="O722" s="187"/>
      <c r="P722" s="187"/>
      <c r="Q722" s="187"/>
      <c r="R722" s="187"/>
      <c r="S722" s="187"/>
      <c r="T722" s="187"/>
      <c r="U722" s="187"/>
      <c r="V722" s="188"/>
      <c r="W722" s="189"/>
      <c r="X722" s="189"/>
      <c r="Y722" s="189"/>
      <c r="Z722" s="189"/>
      <c r="AA722" s="190"/>
      <c r="AB722" s="186"/>
      <c r="AC722" s="344"/>
      <c r="AD722" s="496"/>
      <c r="AE722" s="186"/>
      <c r="AF722" s="186"/>
      <c r="AG722" s="186"/>
      <c r="AH722" s="186"/>
      <c r="AI722" s="191"/>
      <c r="AJ722" s="191"/>
      <c r="AK722" s="186"/>
      <c r="AL722" s="186"/>
      <c r="AM722" s="186"/>
      <c r="AN722" s="344"/>
      <c r="AO722" s="186"/>
      <c r="AP722" s="193"/>
      <c r="AQ722" s="193"/>
      <c r="AR722" s="191"/>
      <c r="AS722" s="194"/>
      <c r="AT722" s="195"/>
      <c r="AU722" s="425" t="s">
        <v>2982</v>
      </c>
      <c r="AV722" s="425"/>
      <c r="AW722" s="425"/>
      <c r="AX722" s="425"/>
      <c r="AY722" s="425"/>
      <c r="AZ722" s="425"/>
      <c r="BA722" s="425"/>
      <c r="BB722" s="425"/>
      <c r="BC722" s="440"/>
      <c r="BD722" s="404">
        <f>SUM($AS$4:AS722)</f>
        <v>3671.4427287157578</v>
      </c>
      <c r="BE722" s="405">
        <f>SUM($AR$4:AR722)</f>
        <v>11610.925333333331</v>
      </c>
      <c r="BF722" s="330"/>
      <c r="BG722" s="330"/>
    </row>
    <row r="723" spans="1:59" ht="15.75" customHeight="1">
      <c r="A723" s="227" t="s">
        <v>2780</v>
      </c>
      <c r="B723" s="204">
        <v>45097</v>
      </c>
      <c r="C723" s="182" t="s">
        <v>2983</v>
      </c>
      <c r="D723" s="182" t="s">
        <v>128</v>
      </c>
      <c r="E723" s="233" t="s">
        <v>511</v>
      </c>
      <c r="F723" s="184"/>
      <c r="G723" s="185" t="s">
        <v>1997</v>
      </c>
      <c r="H723" s="186"/>
      <c r="I723" s="186"/>
      <c r="J723" s="186"/>
      <c r="K723" s="187"/>
      <c r="L723" s="186"/>
      <c r="M723" s="186"/>
      <c r="N723" s="186"/>
      <c r="O723" s="187"/>
      <c r="P723" s="187"/>
      <c r="Q723" s="187"/>
      <c r="R723" s="187"/>
      <c r="S723" s="187"/>
      <c r="T723" s="187"/>
      <c r="U723" s="187"/>
      <c r="V723" s="188"/>
      <c r="W723" s="189"/>
      <c r="X723" s="189"/>
      <c r="Y723" s="189"/>
      <c r="Z723" s="189"/>
      <c r="AA723" s="190"/>
      <c r="AB723" s="186"/>
      <c r="AC723" s="344"/>
      <c r="AD723" s="186"/>
      <c r="AE723" s="186"/>
      <c r="AF723" s="186"/>
      <c r="AG723" s="186"/>
      <c r="AH723" s="186"/>
      <c r="AI723" s="191"/>
      <c r="AJ723" s="191"/>
      <c r="AK723" s="186"/>
      <c r="AL723" s="186"/>
      <c r="AM723" s="186"/>
      <c r="AN723" s="344"/>
      <c r="AO723" s="186"/>
      <c r="AP723" s="193"/>
      <c r="AQ723" s="193"/>
      <c r="AR723" s="191"/>
      <c r="AS723" s="194"/>
      <c r="AT723" s="195"/>
      <c r="AU723" s="425"/>
      <c r="AV723" s="425"/>
      <c r="AW723" s="425"/>
      <c r="AX723" s="425"/>
      <c r="AY723" s="425"/>
      <c r="AZ723" s="425"/>
      <c r="BA723" s="425"/>
      <c r="BB723" s="425"/>
      <c r="BC723" s="440"/>
      <c r="BD723" s="404">
        <f>SUM($AS$4:AS723)</f>
        <v>3671.4427287157578</v>
      </c>
      <c r="BE723" s="405">
        <f>SUM($AR$4:AR723)</f>
        <v>11610.925333333331</v>
      </c>
      <c r="BF723" s="330"/>
      <c r="BG723" s="330"/>
    </row>
    <row r="724" spans="1:59" ht="15.75" customHeight="1">
      <c r="A724" s="227" t="s">
        <v>2780</v>
      </c>
      <c r="B724" s="204">
        <v>45097</v>
      </c>
      <c r="C724" s="182" t="s">
        <v>2983</v>
      </c>
      <c r="D724" s="182" t="s">
        <v>128</v>
      </c>
      <c r="E724" s="233" t="s">
        <v>511</v>
      </c>
      <c r="F724" s="184"/>
      <c r="G724" s="185" t="s">
        <v>118</v>
      </c>
      <c r="H724" s="186"/>
      <c r="I724" s="186"/>
      <c r="J724" s="186"/>
      <c r="K724" s="187"/>
      <c r="L724" s="186">
        <v>1</v>
      </c>
      <c r="M724" s="186"/>
      <c r="N724" s="186"/>
      <c r="O724" s="187" t="s">
        <v>76</v>
      </c>
      <c r="P724" s="187" t="s">
        <v>77</v>
      </c>
      <c r="Q724" s="187" t="s">
        <v>78</v>
      </c>
      <c r="R724" s="187">
        <v>10</v>
      </c>
      <c r="S724" s="187">
        <v>0</v>
      </c>
      <c r="T724" s="187">
        <v>10</v>
      </c>
      <c r="U724" s="187" t="s">
        <v>78</v>
      </c>
      <c r="V724" s="188">
        <f t="shared" ref="V724" si="1162">IF(ISBLANK(O724),"",(IF(O724=UPPER("IB"),0.005,0.01)))</f>
        <v>0.01</v>
      </c>
      <c r="W724" s="189">
        <f t="shared" ref="W724" si="1163">IF(ISBLANK(O724),"",IF(O724="IB",8.63*200,IF(O724="IR",16*100,IF(O724="YT",20*100,IF(O724="YT-XT",24*200,IF(O724="TED",80*100))))))</f>
        <v>1600</v>
      </c>
      <c r="X724" s="189" t="s">
        <v>80</v>
      </c>
      <c r="Y724" s="189" t="s">
        <v>2984</v>
      </c>
      <c r="Z724" s="189"/>
      <c r="AA724" s="190">
        <v>-0.12</v>
      </c>
      <c r="AB724" s="186"/>
      <c r="AC724" s="344">
        <v>-0.09</v>
      </c>
      <c r="AD724" s="186"/>
      <c r="AE724" s="186"/>
      <c r="AF724" s="186"/>
      <c r="AG724" s="186"/>
      <c r="AH724" s="186"/>
      <c r="AI724" s="191">
        <f t="shared" ref="AI724" si="1164">-0.03*W724</f>
        <v>-48</v>
      </c>
      <c r="AJ724" s="191">
        <f t="shared" ref="AJ724" si="1165">AI724*(R724-S724)</f>
        <v>-480</v>
      </c>
      <c r="AK724" s="186"/>
      <c r="AL724" s="186"/>
      <c r="AM724" s="186" t="s">
        <v>1008</v>
      </c>
      <c r="AN724" s="344" t="s">
        <v>87</v>
      </c>
      <c r="AO724" s="186" t="s">
        <v>2985</v>
      </c>
      <c r="AP724" s="193">
        <v>-0.13</v>
      </c>
      <c r="AQ724" s="193">
        <f t="shared" ref="AQ724" si="1166">IF(ISBLANK(AP724),,IF(U724="S",AA724-AP724,AP724-AA724))</f>
        <v>1.0000000000000009E-2</v>
      </c>
      <c r="AR724" s="191">
        <f t="shared" ref="AR724" si="1167">AS724*R724</f>
        <v>160.00000000000014</v>
      </c>
      <c r="AS724" s="194">
        <f t="shared" ref="AS724" si="1168">IF(ISBLANK(AP724),,(AQ724*W724))</f>
        <v>16.000000000000014</v>
      </c>
      <c r="AT724" s="195" t="s">
        <v>77</v>
      </c>
      <c r="AU724" s="425"/>
      <c r="AV724" s="425"/>
      <c r="AW724" s="425"/>
      <c r="AX724" s="425"/>
      <c r="AY724" s="425"/>
      <c r="AZ724" s="425"/>
      <c r="BA724" s="425"/>
      <c r="BB724" s="425"/>
      <c r="BC724" s="440"/>
      <c r="BD724" s="404">
        <f>SUM($AS$4:AS724)</f>
        <v>3687.4427287157578</v>
      </c>
      <c r="BE724" s="405">
        <f>SUM($AR$4:AR724)</f>
        <v>11770.925333333331</v>
      </c>
      <c r="BF724" s="330"/>
      <c r="BG724" s="330"/>
    </row>
    <row r="725" spans="1:59" ht="15.75" customHeight="1">
      <c r="A725" s="227" t="s">
        <v>2780</v>
      </c>
      <c r="B725" s="204">
        <v>45097</v>
      </c>
      <c r="C725" s="182" t="s">
        <v>2986</v>
      </c>
      <c r="D725" s="182" t="s">
        <v>128</v>
      </c>
      <c r="E725" s="233" t="s">
        <v>2987</v>
      </c>
      <c r="F725" s="184"/>
      <c r="G725" s="185"/>
      <c r="H725" s="186"/>
      <c r="I725" s="186"/>
      <c r="J725" s="186"/>
      <c r="K725" s="187"/>
      <c r="L725" s="186"/>
      <c r="M725" s="186"/>
      <c r="N725" s="186"/>
      <c r="O725" s="187"/>
      <c r="P725" s="187"/>
      <c r="Q725" s="187"/>
      <c r="R725" s="187"/>
      <c r="S725" s="187"/>
      <c r="T725" s="187"/>
      <c r="U725" s="187"/>
      <c r="V725" s="188" t="str">
        <f t="shared" ref="V725" si="1169">IF(ISBLANK(O725),"",(IF(O725=UPPER("IB"),0.005,0.01)))</f>
        <v/>
      </c>
      <c r="W725" s="189" t="str">
        <f t="shared" ref="W725" si="1170">IF(ISBLANK(O725),"",IF(O725="IB",8.63*200,IF(O725="IR",16*100,IF(O725="YT",20*100,IF(O725="YT-XT",24*200,IF(O725="TED",80*100))))))</f>
        <v/>
      </c>
      <c r="X725" s="189"/>
      <c r="Y725" s="189"/>
      <c r="Z725" s="189"/>
      <c r="AA725" s="190"/>
      <c r="AB725" s="186"/>
      <c r="AC725" s="344"/>
      <c r="AD725" s="186"/>
      <c r="AE725" s="186"/>
      <c r="AF725" s="186"/>
      <c r="AG725" s="186"/>
      <c r="AH725" s="186"/>
      <c r="AI725" s="191"/>
      <c r="AJ725" s="191"/>
      <c r="AK725" s="186"/>
      <c r="AL725" s="186"/>
      <c r="AM725" s="186"/>
      <c r="AN725" s="344"/>
      <c r="AO725" s="186"/>
      <c r="AP725" s="193"/>
      <c r="AQ725" s="193"/>
      <c r="AR725" s="191"/>
      <c r="AS725" s="194"/>
      <c r="AT725" s="195"/>
      <c r="AU725" s="425" t="s">
        <v>2988</v>
      </c>
      <c r="AV725" s="425" t="s">
        <v>2989</v>
      </c>
      <c r="AW725" s="425"/>
      <c r="AX725" s="425"/>
      <c r="AY725" s="425"/>
      <c r="AZ725" s="425"/>
      <c r="BA725" s="425"/>
      <c r="BB725" s="425"/>
      <c r="BC725" s="440"/>
      <c r="BD725" s="404">
        <f>SUM($AS$4:AS725)</f>
        <v>3687.4427287157578</v>
      </c>
      <c r="BE725" s="405">
        <f>SUM($AR$4:AR725)</f>
        <v>11770.925333333331</v>
      </c>
      <c r="BF725" s="330"/>
      <c r="BG725" s="330"/>
    </row>
    <row r="726" spans="1:59" ht="15.75" customHeight="1">
      <c r="A726" s="227" t="s">
        <v>2780</v>
      </c>
      <c r="B726" s="204">
        <v>45097</v>
      </c>
      <c r="C726" s="182" t="s">
        <v>2990</v>
      </c>
      <c r="D726" s="182" t="s">
        <v>128</v>
      </c>
      <c r="E726" s="233" t="s">
        <v>511</v>
      </c>
      <c r="F726" s="184"/>
      <c r="G726" s="185" t="s">
        <v>2991</v>
      </c>
      <c r="H726" s="186"/>
      <c r="I726" s="186"/>
      <c r="J726" s="186"/>
      <c r="K726" s="187"/>
      <c r="L726" s="186"/>
      <c r="M726" s="186"/>
      <c r="N726" s="186"/>
      <c r="O726" s="187"/>
      <c r="P726" s="187"/>
      <c r="Q726" s="187"/>
      <c r="R726" s="187"/>
      <c r="S726" s="187"/>
      <c r="T726" s="187"/>
      <c r="U726" s="187"/>
      <c r="V726" s="188"/>
      <c r="W726" s="189"/>
      <c r="X726" s="189"/>
      <c r="Y726" s="189"/>
      <c r="Z726" s="189"/>
      <c r="AA726" s="190"/>
      <c r="AB726" s="186"/>
      <c r="AC726" s="344"/>
      <c r="AD726" s="186"/>
      <c r="AE726" s="186"/>
      <c r="AF726" s="186"/>
      <c r="AG726" s="186"/>
      <c r="AH726" s="186"/>
      <c r="AI726" s="191"/>
      <c r="AJ726" s="191"/>
      <c r="AK726" s="186"/>
      <c r="AL726" s="186"/>
      <c r="AM726" s="186"/>
      <c r="AN726" s="344"/>
      <c r="AO726" s="186"/>
      <c r="AP726" s="193"/>
      <c r="AQ726" s="193"/>
      <c r="AR726" s="191"/>
      <c r="AS726" s="194"/>
      <c r="AT726" s="195"/>
      <c r="AU726" s="425" t="s">
        <v>2992</v>
      </c>
      <c r="AV726" s="425" t="s">
        <v>2993</v>
      </c>
      <c r="AW726" s="425"/>
      <c r="AX726" s="425"/>
      <c r="AY726" s="425"/>
      <c r="AZ726" s="425"/>
      <c r="BA726" s="425"/>
      <c r="BB726" s="425"/>
      <c r="BC726" s="440"/>
      <c r="BD726" s="404">
        <f>SUM($AS$4:AS726)</f>
        <v>3687.4427287157578</v>
      </c>
      <c r="BE726" s="405">
        <f>SUM($AR$4:AR726)</f>
        <v>11770.925333333331</v>
      </c>
      <c r="BF726" s="330"/>
      <c r="BG726" s="330"/>
    </row>
    <row r="727" spans="1:59" ht="15.75" customHeight="1">
      <c r="A727" s="227" t="s">
        <v>2780</v>
      </c>
      <c r="B727" s="204">
        <v>45097</v>
      </c>
      <c r="C727" s="182" t="s">
        <v>2994</v>
      </c>
      <c r="D727" s="182" t="s">
        <v>128</v>
      </c>
      <c r="E727" s="233" t="s">
        <v>511</v>
      </c>
      <c r="F727" s="184"/>
      <c r="G727" s="291" t="s">
        <v>163</v>
      </c>
      <c r="H727" s="186"/>
      <c r="I727" s="186"/>
      <c r="J727" s="186"/>
      <c r="K727" s="187"/>
      <c r="L727" s="186">
        <v>1</v>
      </c>
      <c r="M727" s="186"/>
      <c r="N727" s="186"/>
      <c r="O727" s="187" t="s">
        <v>76</v>
      </c>
      <c r="P727" s="187" t="s">
        <v>77</v>
      </c>
      <c r="Q727" s="187" t="s">
        <v>78</v>
      </c>
      <c r="R727" s="187">
        <v>10</v>
      </c>
      <c r="S727" s="187">
        <v>5</v>
      </c>
      <c r="T727" s="187">
        <v>10</v>
      </c>
      <c r="U727" s="187" t="s">
        <v>22</v>
      </c>
      <c r="V727" s="188">
        <f t="shared" ref="V727:V728" si="1171">IF(ISBLANK(O727),"",(IF(O727=UPPER("IB"),0.005,0.01)))</f>
        <v>0.01</v>
      </c>
      <c r="W727" s="189">
        <f t="shared" ref="W727:W728" si="1172">IF(ISBLANK(O727),"",IF(O727="IB",8.63*200,IF(O727="IR",16*100,IF(O727="YT",20*100,IF(O727="YT-XT",24*200,IF(O727="TED",80*100))))))</f>
        <v>1600</v>
      </c>
      <c r="X727" s="189" t="s">
        <v>80</v>
      </c>
      <c r="Y727" s="189"/>
      <c r="Z727" s="189"/>
      <c r="AA727" s="190">
        <v>-0.12</v>
      </c>
      <c r="AB727" s="186"/>
      <c r="AC727" s="344"/>
      <c r="AD727" s="186"/>
      <c r="AE727" s="186"/>
      <c r="AF727" s="186"/>
      <c r="AG727" s="186"/>
      <c r="AH727" s="186"/>
      <c r="AI727" s="191">
        <f>-0.025*W727</f>
        <v>-40</v>
      </c>
      <c r="AJ727" s="191">
        <f t="shared" ref="AJ727" si="1173">AI727*(R727-S727)</f>
        <v>-200</v>
      </c>
      <c r="AK727" s="186"/>
      <c r="AL727" s="186"/>
      <c r="AM727" s="186" t="s">
        <v>752</v>
      </c>
      <c r="AN727" s="344" t="s">
        <v>97</v>
      </c>
      <c r="AO727" s="186" t="s">
        <v>2234</v>
      </c>
      <c r="AP727" s="193">
        <f>((-0.12*5)+(-0.11*5))/10</f>
        <v>-0.11499999999999999</v>
      </c>
      <c r="AQ727" s="193">
        <f t="shared" ref="AQ727:AQ730" si="1174">IF(ISBLANK(AP727),,IF(U727="S",AA727-AP727,AP727-AA727))</f>
        <v>5.0000000000000044E-3</v>
      </c>
      <c r="AR727" s="191">
        <f t="shared" ref="AR727:AR730" si="1175">AS727*R727</f>
        <v>80.000000000000071</v>
      </c>
      <c r="AS727" s="194">
        <f t="shared" ref="AS727:AS730" si="1176">IF(ISBLANK(AP727),,(AQ727*W727))</f>
        <v>8.0000000000000071</v>
      </c>
      <c r="AT727" s="195" t="s">
        <v>77</v>
      </c>
      <c r="AU727" s="425" t="s">
        <v>2995</v>
      </c>
      <c r="AV727" s="425"/>
      <c r="AW727" s="425"/>
      <c r="AX727" s="425"/>
      <c r="AY727" s="425"/>
      <c r="AZ727" s="425"/>
      <c r="BA727" s="425"/>
      <c r="BB727" s="425"/>
      <c r="BC727" s="440"/>
      <c r="BD727" s="404">
        <f>SUM($AS$4:AS727)</f>
        <v>3695.4427287157578</v>
      </c>
      <c r="BE727" s="405">
        <f>SUM($AR$4:AR727)</f>
        <v>11850.925333333331</v>
      </c>
      <c r="BF727" s="330"/>
      <c r="BG727" s="330"/>
    </row>
    <row r="728" spans="1:59" ht="15.75" customHeight="1">
      <c r="A728" s="227" t="s">
        <v>2780</v>
      </c>
      <c r="B728" s="204">
        <v>45098</v>
      </c>
      <c r="C728" s="182" t="s">
        <v>1105</v>
      </c>
      <c r="D728" s="182" t="s">
        <v>133</v>
      </c>
      <c r="E728" s="233" t="s">
        <v>511</v>
      </c>
      <c r="F728" s="184"/>
      <c r="G728" s="185" t="s">
        <v>2991</v>
      </c>
      <c r="H728" s="186"/>
      <c r="I728" s="186"/>
      <c r="J728" s="186"/>
      <c r="K728" s="187"/>
      <c r="L728" s="186"/>
      <c r="M728" s="186"/>
      <c r="N728" s="186"/>
      <c r="O728" s="187"/>
      <c r="P728" s="187"/>
      <c r="Q728" s="187"/>
      <c r="R728" s="187"/>
      <c r="S728" s="187"/>
      <c r="T728" s="187"/>
      <c r="U728" s="187"/>
      <c r="V728" s="188"/>
      <c r="W728" s="189"/>
      <c r="X728" s="189"/>
      <c r="Y728" s="189"/>
      <c r="Z728" s="189"/>
      <c r="AA728" s="190"/>
      <c r="AB728" s="186"/>
      <c r="AC728" s="344"/>
      <c r="AD728" s="186"/>
      <c r="AE728" s="186"/>
      <c r="AF728" s="186"/>
      <c r="AG728" s="186"/>
      <c r="AH728" s="186"/>
      <c r="AI728" s="191"/>
      <c r="AJ728" s="191"/>
      <c r="AK728" s="186"/>
      <c r="AL728" s="186"/>
      <c r="AM728" s="186"/>
      <c r="AN728" s="344"/>
      <c r="AO728" s="186"/>
      <c r="AP728" s="193"/>
      <c r="AQ728" s="193"/>
      <c r="AR728" s="191"/>
      <c r="AS728" s="194"/>
      <c r="AT728" s="195"/>
      <c r="AU728" s="425" t="s">
        <v>2993</v>
      </c>
      <c r="AV728" s="425"/>
      <c r="AW728" s="425"/>
      <c r="AX728" s="425"/>
      <c r="AY728" s="425"/>
      <c r="AZ728" s="425"/>
      <c r="BA728" s="425"/>
      <c r="BB728" s="425"/>
      <c r="BC728" s="440"/>
      <c r="BD728" s="404">
        <f>SUM($AS$4:AS728)</f>
        <v>3695.4427287157578</v>
      </c>
      <c r="BE728" s="405">
        <f>SUM($AR$4:AR728)</f>
        <v>11850.925333333331</v>
      </c>
      <c r="BF728" s="330"/>
      <c r="BG728" s="330"/>
    </row>
    <row r="729" spans="1:59" ht="15.75" customHeight="1">
      <c r="A729" s="227" t="s">
        <v>2780</v>
      </c>
      <c r="B729" s="204">
        <v>45098</v>
      </c>
      <c r="C729" s="182" t="s">
        <v>153</v>
      </c>
      <c r="D729" s="182" t="s">
        <v>133</v>
      </c>
      <c r="E729" s="233" t="s">
        <v>511</v>
      </c>
      <c r="F729" s="184"/>
      <c r="G729" s="291" t="s">
        <v>2817</v>
      </c>
      <c r="H729" s="186"/>
      <c r="I729" s="186"/>
      <c r="J729" s="186"/>
      <c r="K729" s="187"/>
      <c r="L729" s="186">
        <v>1</v>
      </c>
      <c r="M729" s="186">
        <v>1</v>
      </c>
      <c r="N729" s="186"/>
      <c r="O729" s="187" t="s">
        <v>76</v>
      </c>
      <c r="P729" s="187" t="s">
        <v>77</v>
      </c>
      <c r="Q729" s="187" t="s">
        <v>238</v>
      </c>
      <c r="R729" s="187">
        <v>5</v>
      </c>
      <c r="S729" s="187">
        <v>0</v>
      </c>
      <c r="T729" s="187">
        <v>5</v>
      </c>
      <c r="U729" s="187" t="s">
        <v>22</v>
      </c>
      <c r="V729" s="188">
        <f t="shared" ref="V729" si="1177">IF(ISBLANK(O729),"",(IF(O729=UPPER("IB"),0.005,0.01)))</f>
        <v>0.01</v>
      </c>
      <c r="W729" s="189">
        <f t="shared" ref="W729" si="1178">IF(ISBLANK(O729),"",IF(O729="IB",8.63*200,IF(O729="IR",16*100,IF(O729="YT",20*100,IF(O729="YT-XT",24*200,IF(O729="TED",80*100))))))</f>
        <v>1600</v>
      </c>
      <c r="X729" s="189"/>
      <c r="Y729" s="189"/>
      <c r="Z729" s="189" t="s">
        <v>2996</v>
      </c>
      <c r="AA729" s="190">
        <v>0.01</v>
      </c>
      <c r="AB729" s="186"/>
      <c r="AC729" s="344"/>
      <c r="AD729" s="186"/>
      <c r="AE729" s="186"/>
      <c r="AF729" s="186"/>
      <c r="AG729" s="186"/>
      <c r="AH729" s="186"/>
      <c r="AI729" s="191">
        <f>-0.02*W729</f>
        <v>-32</v>
      </c>
      <c r="AJ729" s="191">
        <f t="shared" ref="AJ729:AJ730" si="1179">AI729*(R729-S729)</f>
        <v>-160</v>
      </c>
      <c r="AK729" s="186"/>
      <c r="AL729" s="186"/>
      <c r="AM729" s="186" t="s">
        <v>809</v>
      </c>
      <c r="AN729" s="344" t="s">
        <v>97</v>
      </c>
      <c r="AO729" s="193" t="s">
        <v>2997</v>
      </c>
      <c r="AP729" s="193">
        <v>0.05</v>
      </c>
      <c r="AQ729" s="193">
        <f t="shared" si="1174"/>
        <v>0.04</v>
      </c>
      <c r="AR729" s="191">
        <f t="shared" si="1175"/>
        <v>320</v>
      </c>
      <c r="AS729" s="194">
        <f t="shared" si="1176"/>
        <v>64</v>
      </c>
      <c r="AT729" s="195" t="s">
        <v>77</v>
      </c>
      <c r="AU729" s="425" t="s">
        <v>2998</v>
      </c>
      <c r="AV729" s="425"/>
      <c r="AW729" s="425"/>
      <c r="AX729" s="425" t="s">
        <v>2999</v>
      </c>
      <c r="AY729" s="425"/>
      <c r="AZ729" s="425"/>
      <c r="BA729" s="425"/>
      <c r="BB729" s="425"/>
      <c r="BC729" s="440"/>
      <c r="BD729" s="404">
        <f>SUM($AS$4:AS729)</f>
        <v>3759.4427287157578</v>
      </c>
      <c r="BE729" s="405">
        <f>SUM($AR$4:AR729)</f>
        <v>12170.925333333331</v>
      </c>
      <c r="BF729" s="330"/>
      <c r="BG729" s="330"/>
    </row>
    <row r="730" spans="1:59" ht="15.75" customHeight="1">
      <c r="A730" s="227" t="s">
        <v>2780</v>
      </c>
      <c r="B730" s="204">
        <v>45098</v>
      </c>
      <c r="C730" s="182" t="s">
        <v>3000</v>
      </c>
      <c r="D730" s="182" t="s">
        <v>133</v>
      </c>
      <c r="E730" s="233" t="s">
        <v>511</v>
      </c>
      <c r="F730" s="184"/>
      <c r="G730" s="291" t="s">
        <v>3001</v>
      </c>
      <c r="H730" s="186"/>
      <c r="I730" s="186"/>
      <c r="J730" s="186"/>
      <c r="K730" s="187"/>
      <c r="L730" s="186">
        <v>1</v>
      </c>
      <c r="M730" s="186">
        <v>2</v>
      </c>
      <c r="N730" s="186"/>
      <c r="O730" s="187" t="s">
        <v>76</v>
      </c>
      <c r="P730" s="187" t="s">
        <v>119</v>
      </c>
      <c r="Q730" s="187" t="s">
        <v>238</v>
      </c>
      <c r="R730" s="187">
        <v>10</v>
      </c>
      <c r="S730" s="187">
        <v>0</v>
      </c>
      <c r="T730" s="187">
        <v>10</v>
      </c>
      <c r="U730" s="187" t="s">
        <v>78</v>
      </c>
      <c r="V730" s="188">
        <f t="shared" ref="V730" si="1180">IF(ISBLANK(O730),"",(IF(O730=UPPER("IB"),0.005,0.01)))</f>
        <v>0.01</v>
      </c>
      <c r="W730" s="189">
        <f t="shared" ref="W730" si="1181">IF(ISBLANK(O730),"",IF(O730="IB",8.63*200,IF(O730="IR",16*100,IF(O730="YT",20*100,IF(O730="YT-XT",24*200,IF(O730="TED",80*100))))))</f>
        <v>1600</v>
      </c>
      <c r="X730" s="189" t="s">
        <v>3002</v>
      </c>
      <c r="Y730" s="189"/>
      <c r="Z730" s="189" t="s">
        <v>2996</v>
      </c>
      <c r="AA730" s="190">
        <f>(0*5+(-0.01*5))/10</f>
        <v>-5.0000000000000001E-3</v>
      </c>
      <c r="AB730" s="186"/>
      <c r="AC730" s="344"/>
      <c r="AD730" s="186"/>
      <c r="AE730" s="186"/>
      <c r="AF730" s="186"/>
      <c r="AG730" s="186"/>
      <c r="AH730" s="186"/>
      <c r="AI730" s="191">
        <f t="shared" ref="AI730" si="1182">-0.025*W730</f>
        <v>-40</v>
      </c>
      <c r="AJ730" s="191">
        <f t="shared" si="1179"/>
        <v>-400</v>
      </c>
      <c r="AK730" s="186"/>
      <c r="AL730" s="186"/>
      <c r="AM730" s="186" t="s">
        <v>2475</v>
      </c>
      <c r="AN730" s="344" t="s">
        <v>97</v>
      </c>
      <c r="AO730" s="186" t="s">
        <v>3003</v>
      </c>
      <c r="AP730" s="193">
        <v>-0.01</v>
      </c>
      <c r="AQ730" s="193">
        <f t="shared" si="1174"/>
        <v>5.0000000000000001E-3</v>
      </c>
      <c r="AR730" s="191">
        <f t="shared" si="1175"/>
        <v>80</v>
      </c>
      <c r="AS730" s="194">
        <f t="shared" si="1176"/>
        <v>8</v>
      </c>
      <c r="AT730" s="195" t="s">
        <v>77</v>
      </c>
      <c r="AU730" s="425" t="s">
        <v>3004</v>
      </c>
      <c r="AV730" s="425"/>
      <c r="AW730" s="425"/>
      <c r="AX730" s="425"/>
      <c r="AY730" s="425"/>
      <c r="AZ730" s="425"/>
      <c r="BA730" s="425"/>
      <c r="BB730" s="425"/>
      <c r="BC730" s="440"/>
      <c r="BD730" s="404">
        <f>SUM($AS$4:AS730)</f>
        <v>3767.4427287157578</v>
      </c>
      <c r="BE730" s="405">
        <f>SUM($AR$4:AR730)</f>
        <v>12250.925333333331</v>
      </c>
      <c r="BF730" s="330"/>
      <c r="BG730" s="330"/>
    </row>
    <row r="731" spans="1:59" ht="15.75" customHeight="1">
      <c r="A731" s="227" t="s">
        <v>2780</v>
      </c>
      <c r="B731" s="204">
        <v>45098</v>
      </c>
      <c r="C731" s="182" t="s">
        <v>2234</v>
      </c>
      <c r="D731" s="182" t="s">
        <v>133</v>
      </c>
      <c r="E731" s="233" t="s">
        <v>3005</v>
      </c>
      <c r="F731" s="184" t="s">
        <v>3006</v>
      </c>
      <c r="G731" s="185"/>
      <c r="H731" s="186"/>
      <c r="I731" s="186"/>
      <c r="J731" s="186"/>
      <c r="K731" s="187"/>
      <c r="L731" s="186"/>
      <c r="M731" s="186"/>
      <c r="N731" s="186"/>
      <c r="O731" s="187"/>
      <c r="P731" s="187"/>
      <c r="Q731" s="187"/>
      <c r="R731" s="187"/>
      <c r="S731" s="187"/>
      <c r="T731" s="187"/>
      <c r="U731" s="187"/>
      <c r="V731" s="187"/>
      <c r="W731" s="187"/>
      <c r="X731" s="189"/>
      <c r="Y731" s="189"/>
      <c r="Z731" s="189"/>
      <c r="AA731" s="190"/>
      <c r="AB731" s="186"/>
      <c r="AC731" s="344"/>
      <c r="AD731" s="186"/>
      <c r="AE731" s="186"/>
      <c r="AF731" s="186"/>
      <c r="AG731" s="186"/>
      <c r="AH731" s="186"/>
      <c r="AI731" s="191"/>
      <c r="AJ731" s="187"/>
      <c r="AK731" s="186"/>
      <c r="AL731" s="186"/>
      <c r="AM731" s="186"/>
      <c r="AN731" s="344"/>
      <c r="AO731" s="186"/>
      <c r="AP731" s="193"/>
      <c r="AQ731" s="186"/>
      <c r="AR731" s="191"/>
      <c r="AS731" s="194"/>
      <c r="AT731" s="195"/>
      <c r="AU731" s="425"/>
      <c r="AV731" s="425"/>
      <c r="AW731" s="425"/>
      <c r="AX731" s="425"/>
      <c r="AY731" s="425"/>
      <c r="AZ731" s="425"/>
      <c r="BA731" s="425"/>
      <c r="BB731" s="425"/>
      <c r="BC731" s="440"/>
      <c r="BD731" s="404">
        <f>SUM($AS$4:AS731)</f>
        <v>3767.4427287157578</v>
      </c>
      <c r="BE731" s="405">
        <f>SUM($AR$4:AR731)</f>
        <v>12250.925333333331</v>
      </c>
      <c r="BF731" s="330"/>
      <c r="BG731" s="330"/>
    </row>
    <row r="732" spans="1:59" ht="15.75" customHeight="1">
      <c r="A732" s="227" t="s">
        <v>2780</v>
      </c>
      <c r="B732" s="204">
        <v>45098</v>
      </c>
      <c r="C732" s="182" t="s">
        <v>2234</v>
      </c>
      <c r="D732" s="182" t="s">
        <v>133</v>
      </c>
      <c r="E732" s="233" t="s">
        <v>511</v>
      </c>
      <c r="F732" s="184"/>
      <c r="G732" s="291" t="s">
        <v>2991</v>
      </c>
      <c r="H732" s="186"/>
      <c r="I732" s="186"/>
      <c r="J732" s="186"/>
      <c r="K732" s="187"/>
      <c r="L732" s="186">
        <v>1</v>
      </c>
      <c r="M732" s="186">
        <v>1</v>
      </c>
      <c r="N732" s="186"/>
      <c r="O732" s="187" t="s">
        <v>1039</v>
      </c>
      <c r="P732" s="187"/>
      <c r="Q732" s="187" t="s">
        <v>666</v>
      </c>
      <c r="R732" s="187">
        <v>2</v>
      </c>
      <c r="S732" s="187">
        <v>2</v>
      </c>
      <c r="T732" s="187">
        <v>2</v>
      </c>
      <c r="U732" s="187" t="s">
        <v>78</v>
      </c>
      <c r="V732" s="188">
        <f t="shared" ref="V732" si="1183">IF(ISBLANK(O732),"",(IF(O732=UPPER("IB"),0.005,0.01)))</f>
        <v>5.0000000000000001E-3</v>
      </c>
      <c r="W732" s="189">
        <f t="shared" ref="W732" si="1184">IF(ISBLANK(O732),"",IF(O732="IB",8.63*200,IF(O732="IR",16*100,IF(O732="YT",20*100,IF(O732="YT-XT",24*200,IF(O732="TED",80*100))))))</f>
        <v>1726.0000000000002</v>
      </c>
      <c r="X732" s="189"/>
      <c r="Y732" s="189" t="s">
        <v>3007</v>
      </c>
      <c r="Z732" s="189"/>
      <c r="AA732" s="190">
        <f>(95.84+95.83)/2</f>
        <v>95.835000000000008</v>
      </c>
      <c r="AB732" s="186" t="s">
        <v>3008</v>
      </c>
      <c r="AC732" s="344"/>
      <c r="AD732" s="186"/>
      <c r="AE732" s="186"/>
      <c r="AF732" s="186"/>
      <c r="AG732" s="186"/>
      <c r="AH732" s="186"/>
      <c r="AI732" s="191">
        <f>-0.025*W732</f>
        <v>-43.150000000000006</v>
      </c>
      <c r="AJ732" s="191">
        <f t="shared" ref="AJ732" si="1185">AI732*(R732-S732)</f>
        <v>0</v>
      </c>
      <c r="AK732" s="186"/>
      <c r="AL732" s="186"/>
      <c r="AM732" s="186" t="s">
        <v>752</v>
      </c>
      <c r="AN732" s="344" t="s">
        <v>97</v>
      </c>
      <c r="AO732" s="186" t="s">
        <v>3009</v>
      </c>
      <c r="AP732" s="193">
        <f>(95.82*2+95.835*2)/4</f>
        <v>95.827499999999986</v>
      </c>
      <c r="AQ732" s="193">
        <f t="shared" ref="AQ732" si="1186">IF(ISBLANK(AP732),,IF(U732="S",AA732-AP732,AP732-AA732))</f>
        <v>7.5000000000216005E-3</v>
      </c>
      <c r="AR732" s="191">
        <f t="shared" ref="AR732" si="1187">AS732*R732</f>
        <v>25.890000000074568</v>
      </c>
      <c r="AS732" s="194">
        <f t="shared" ref="AS732" si="1188">IF(ISBLANK(AP732),,(AQ732*W732))</f>
        <v>12.945000000037284</v>
      </c>
      <c r="AT732" s="195" t="s">
        <v>77</v>
      </c>
      <c r="AU732" s="425" t="s">
        <v>2876</v>
      </c>
      <c r="AV732" s="425" t="s">
        <v>3010</v>
      </c>
      <c r="AW732" s="425" t="s">
        <v>3011</v>
      </c>
      <c r="AX732" s="425" t="s">
        <v>889</v>
      </c>
      <c r="AY732" s="425"/>
      <c r="AZ732" s="425"/>
      <c r="BA732" s="425"/>
      <c r="BB732" s="425"/>
      <c r="BC732" s="440"/>
      <c r="BD732" s="404">
        <f>SUM($AS$4:AS732)</f>
        <v>3780.3877287157952</v>
      </c>
      <c r="BE732" s="405">
        <f>SUM($AR$4:AR732)</f>
        <v>12276.815333333405</v>
      </c>
      <c r="BF732" s="330"/>
      <c r="BG732" s="330"/>
    </row>
    <row r="733" spans="1:59" ht="15.75" customHeight="1">
      <c r="A733" s="227" t="s">
        <v>2780</v>
      </c>
      <c r="B733" s="204">
        <v>45099</v>
      </c>
      <c r="C733" s="182" t="s">
        <v>3012</v>
      </c>
      <c r="D733" s="182" t="s">
        <v>74</v>
      </c>
      <c r="E733" s="233" t="s">
        <v>3013</v>
      </c>
      <c r="F733" s="184" t="s">
        <v>3014</v>
      </c>
      <c r="G733" s="185"/>
      <c r="H733" s="186"/>
      <c r="I733" s="186"/>
      <c r="J733" s="186"/>
      <c r="K733" s="187"/>
      <c r="L733" s="186"/>
      <c r="M733" s="186"/>
      <c r="N733" s="186"/>
      <c r="O733" s="187"/>
      <c r="P733" s="187"/>
      <c r="Q733" s="187"/>
      <c r="R733" s="187"/>
      <c r="S733" s="187"/>
      <c r="T733" s="187"/>
      <c r="U733" s="187"/>
      <c r="V733" s="188" t="str">
        <f t="shared" ref="V733:V734" si="1189">IF(ISBLANK(O733),"",(IF(O733=UPPER("IB"),0.005,0.01)))</f>
        <v/>
      </c>
      <c r="W733" s="189" t="str">
        <f t="shared" ref="W733:W734" si="1190">IF(ISBLANK(O733),"",IF(O733="IB",8.63*200,IF(O733="IR",16*100,IF(O733="YT",20*100,IF(O733="YT-XT",24*200,IF(O733="TED",80*100))))))</f>
        <v/>
      </c>
      <c r="X733" s="189"/>
      <c r="Y733" s="189"/>
      <c r="Z733" s="189"/>
      <c r="AA733" s="190"/>
      <c r="AB733" s="186"/>
      <c r="AC733" s="344"/>
      <c r="AD733" s="186"/>
      <c r="AE733" s="186"/>
      <c r="AF733" s="186"/>
      <c r="AG733" s="186"/>
      <c r="AH733" s="186"/>
      <c r="AI733" s="191"/>
      <c r="AJ733" s="191"/>
      <c r="AK733" s="186"/>
      <c r="AL733" s="186"/>
      <c r="AM733" s="186"/>
      <c r="AN733" s="344"/>
      <c r="AO733" s="186"/>
      <c r="AP733" s="193"/>
      <c r="AQ733" s="193">
        <f t="shared" ref="AQ733:AQ738" si="1191">IF(ISBLANK(AP733),,IF(U733="S",AA733-AP733,AP733-AA733))</f>
        <v>0</v>
      </c>
      <c r="AR733" s="191">
        <f t="shared" ref="AR733:AR738" si="1192">AS733*R733</f>
        <v>0</v>
      </c>
      <c r="AS733" s="194">
        <f t="shared" ref="AS733:AS738" si="1193">IF(ISBLANK(AP733),,(AQ733*W733))</f>
        <v>0</v>
      </c>
      <c r="AT733" s="195"/>
      <c r="AU733" s="425"/>
      <c r="AV733" s="425"/>
      <c r="AW733" s="425"/>
      <c r="AX733" s="425" t="s">
        <v>3015</v>
      </c>
      <c r="AY733" s="425"/>
      <c r="AZ733" s="425"/>
      <c r="BA733" s="425"/>
      <c r="BB733" s="425"/>
      <c r="BC733" s="440"/>
      <c r="BD733" s="404">
        <f>SUM($AS$4:AS733)</f>
        <v>3780.3877287157952</v>
      </c>
      <c r="BE733" s="405">
        <f>SUM($AR$4:AR733)</f>
        <v>12276.815333333405</v>
      </c>
      <c r="BF733" s="330"/>
      <c r="BG733" s="330"/>
    </row>
    <row r="734" spans="1:59" ht="15.75" customHeight="1">
      <c r="A734" s="227" t="s">
        <v>2780</v>
      </c>
      <c r="B734" s="204">
        <v>45099</v>
      </c>
      <c r="C734" s="182" t="s">
        <v>3016</v>
      </c>
      <c r="D734" s="182" t="s">
        <v>74</v>
      </c>
      <c r="E734" s="233"/>
      <c r="F734" s="184"/>
      <c r="G734" s="185" t="s">
        <v>163</v>
      </c>
      <c r="H734" s="186"/>
      <c r="I734" s="186"/>
      <c r="J734" s="186"/>
      <c r="K734" s="187"/>
      <c r="L734" s="186"/>
      <c r="M734" s="186"/>
      <c r="N734" s="186"/>
      <c r="O734" s="187"/>
      <c r="P734" s="187"/>
      <c r="Q734" s="187"/>
      <c r="R734" s="187"/>
      <c r="S734" s="187"/>
      <c r="T734" s="187"/>
      <c r="U734" s="187"/>
      <c r="V734" s="188"/>
      <c r="W734" s="189"/>
      <c r="X734" s="189"/>
      <c r="Y734" s="189"/>
      <c r="Z734" s="189"/>
      <c r="AA734" s="190"/>
      <c r="AB734" s="186"/>
      <c r="AC734" s="344"/>
      <c r="AD734" s="186"/>
      <c r="AE734" s="186"/>
      <c r="AF734" s="186"/>
      <c r="AG734" s="186"/>
      <c r="AH734" s="186"/>
      <c r="AI734" s="191"/>
      <c r="AJ734" s="191"/>
      <c r="AK734" s="186"/>
      <c r="AL734" s="186"/>
      <c r="AM734" s="186"/>
      <c r="AN734" s="344"/>
      <c r="AO734" s="186"/>
      <c r="AP734" s="193"/>
      <c r="AQ734" s="193">
        <f t="shared" si="1191"/>
        <v>0</v>
      </c>
      <c r="AR734" s="191">
        <f t="shared" si="1192"/>
        <v>0</v>
      </c>
      <c r="AS734" s="194">
        <f t="shared" si="1193"/>
        <v>0</v>
      </c>
      <c r="AT734" s="195"/>
      <c r="AU734" s="425"/>
      <c r="AV734" s="425"/>
      <c r="AW734" s="425"/>
      <c r="AX734" s="425"/>
      <c r="AY734" s="425"/>
      <c r="AZ734" s="425"/>
      <c r="BA734" s="425"/>
      <c r="BB734" s="425"/>
      <c r="BC734" s="440"/>
      <c r="BD734" s="404"/>
      <c r="BE734" s="405">
        <f>SUM($AR$4:AR734)</f>
        <v>12276.815333333405</v>
      </c>
      <c r="BF734" s="330"/>
      <c r="BG734" s="330"/>
    </row>
    <row r="735" spans="1:59" ht="15.75" customHeight="1">
      <c r="A735" s="227" t="s">
        <v>2780</v>
      </c>
      <c r="B735" s="204">
        <v>45099</v>
      </c>
      <c r="C735" s="182" t="s">
        <v>1695</v>
      </c>
      <c r="D735" s="182" t="s">
        <v>74</v>
      </c>
      <c r="E735" s="233"/>
      <c r="F735" s="184"/>
      <c r="G735" s="289" t="s">
        <v>1594</v>
      </c>
      <c r="H735" s="186"/>
      <c r="I735" s="186"/>
      <c r="J735" s="186"/>
      <c r="K735" s="187"/>
      <c r="L735" s="186">
        <v>2</v>
      </c>
      <c r="M735" s="186">
        <v>2</v>
      </c>
      <c r="N735" s="186"/>
      <c r="O735" s="187" t="s">
        <v>76</v>
      </c>
      <c r="P735" s="187" t="s">
        <v>119</v>
      </c>
      <c r="Q735" s="187" t="s">
        <v>238</v>
      </c>
      <c r="R735" s="187">
        <v>15</v>
      </c>
      <c r="S735" s="187">
        <v>5</v>
      </c>
      <c r="T735" s="187">
        <v>15</v>
      </c>
      <c r="U735" s="187" t="s">
        <v>78</v>
      </c>
      <c r="V735" s="188">
        <f t="shared" ref="V735" si="1194">IF(ISBLANK(O735),"",(IF(O735=UPPER("IB"),0.005,0.01)))</f>
        <v>0.01</v>
      </c>
      <c r="W735" s="189">
        <f t="shared" ref="W735" si="1195">IF(ISBLANK(O735),"",IF(O735="IB",8.63*200,IF(O735="IR",16*100,IF(O735="YT",20*100,IF(O735="YT-XT",24*200,IF(O735="TED",80*100))))))</f>
        <v>1600</v>
      </c>
      <c r="X735" s="189" t="s">
        <v>3017</v>
      </c>
      <c r="Y735" s="189" t="s">
        <v>3018</v>
      </c>
      <c r="Z735" s="189" t="s">
        <v>3019</v>
      </c>
      <c r="AA735" s="190">
        <v>0.01</v>
      </c>
      <c r="AB735" s="186"/>
      <c r="AC735" s="344"/>
      <c r="AD735" s="186"/>
      <c r="AE735" s="496" t="s">
        <v>3020</v>
      </c>
      <c r="AF735" s="186" t="s">
        <v>511</v>
      </c>
      <c r="AG735" s="186"/>
      <c r="AH735" s="186"/>
      <c r="AI735" s="191">
        <f>-0.015*W735</f>
        <v>-24</v>
      </c>
      <c r="AJ735" s="191">
        <f t="shared" ref="AJ735" si="1196">AI735*(R735-S735)</f>
        <v>-240</v>
      </c>
      <c r="AK735" s="186"/>
      <c r="AL735" s="186"/>
      <c r="AM735" s="186" t="s">
        <v>907</v>
      </c>
      <c r="AN735" s="344" t="s">
        <v>77</v>
      </c>
      <c r="AO735" s="186" t="s">
        <v>3021</v>
      </c>
      <c r="AP735" s="193">
        <f>((-0.02*5)+(-0.03*10))/15</f>
        <v>-2.6666666666666668E-2</v>
      </c>
      <c r="AQ735" s="193">
        <f t="shared" si="1191"/>
        <v>3.6666666666666667E-2</v>
      </c>
      <c r="AR735" s="191">
        <f t="shared" si="1192"/>
        <v>880</v>
      </c>
      <c r="AS735" s="194">
        <f t="shared" si="1193"/>
        <v>58.666666666666664</v>
      </c>
      <c r="AT735" s="195" t="s">
        <v>77</v>
      </c>
      <c r="AU735" s="425" t="s">
        <v>3022</v>
      </c>
      <c r="AV735" s="425" t="s">
        <v>3023</v>
      </c>
      <c r="AW735" s="425"/>
      <c r="AX735" s="425"/>
      <c r="AY735" s="425"/>
      <c r="AZ735" s="425"/>
      <c r="BA735" s="425"/>
      <c r="BB735" s="425"/>
      <c r="BC735" s="440"/>
      <c r="BD735" s="404">
        <f>SUM($AS$4:AS735)</f>
        <v>3839.0543953824617</v>
      </c>
      <c r="BE735" s="405">
        <f>SUM($AR$4:AR735)</f>
        <v>13156.815333333405</v>
      </c>
      <c r="BF735" s="330"/>
      <c r="BG735" s="330"/>
    </row>
    <row r="736" spans="1:59" ht="15.75" customHeight="1">
      <c r="A736" s="227" t="s">
        <v>2780</v>
      </c>
      <c r="B736" s="204">
        <v>45099</v>
      </c>
      <c r="C736" s="182" t="s">
        <v>3024</v>
      </c>
      <c r="D736" s="182" t="s">
        <v>74</v>
      </c>
      <c r="E736" s="233"/>
      <c r="F736" s="184"/>
      <c r="G736" s="291" t="s">
        <v>3025</v>
      </c>
      <c r="H736" s="186"/>
      <c r="I736" s="186"/>
      <c r="J736" s="186"/>
      <c r="K736" s="187"/>
      <c r="L736" s="186">
        <v>2</v>
      </c>
      <c r="M736" s="186">
        <v>2</v>
      </c>
      <c r="N736" s="186"/>
      <c r="O736" s="187" t="s">
        <v>76</v>
      </c>
      <c r="P736" s="187" t="s">
        <v>77</v>
      </c>
      <c r="Q736" s="187" t="s">
        <v>238</v>
      </c>
      <c r="R736" s="187">
        <v>6</v>
      </c>
      <c r="S736" s="187">
        <v>2</v>
      </c>
      <c r="T736" s="187">
        <v>6</v>
      </c>
      <c r="U736" s="187" t="s">
        <v>78</v>
      </c>
      <c r="V736" s="188">
        <f t="shared" ref="V736" si="1197">IF(ISBLANK(O736),"",(IF(O736=UPPER("IB"),0.005,0.01)))</f>
        <v>0.01</v>
      </c>
      <c r="W736" s="189">
        <f t="shared" ref="W736" si="1198">IF(ISBLANK(O736),"",IF(O736="IB",8.63*200,IF(O736="IR",16*100,IF(O736="YT",20*100,IF(O736="YT-XT",24*200,IF(O736="TED",80*100))))))</f>
        <v>1600</v>
      </c>
      <c r="X736" s="189" t="s">
        <v>3026</v>
      </c>
      <c r="Y736" s="189" t="s">
        <v>3027</v>
      </c>
      <c r="Z736" s="189" t="s">
        <v>3028</v>
      </c>
      <c r="AA736" s="190">
        <v>0.23</v>
      </c>
      <c r="AB736" s="186"/>
      <c r="AC736" s="344"/>
      <c r="AD736" s="186"/>
      <c r="AE736" s="186"/>
      <c r="AF736" s="186"/>
      <c r="AG736" s="186"/>
      <c r="AH736" s="186"/>
      <c r="AI736" s="191">
        <f>-0.03*W736</f>
        <v>-48</v>
      </c>
      <c r="AJ736" s="191">
        <f t="shared" ref="AJ736:AJ738" si="1199">AI736*(R736-S736)</f>
        <v>-192</v>
      </c>
      <c r="AK736" s="186"/>
      <c r="AL736" s="186"/>
      <c r="AM736" s="186" t="s">
        <v>571</v>
      </c>
      <c r="AN736" s="344" t="s">
        <v>97</v>
      </c>
      <c r="AO736" s="308" t="s">
        <v>3029</v>
      </c>
      <c r="AP736" s="193">
        <f>(0.22*2+0.22*4)/6</f>
        <v>0.22</v>
      </c>
      <c r="AQ736" s="193">
        <f>IF(ISBLANK(AP736),,IF(U736="S",AA736-AP736,AP736-AA736))</f>
        <v>1.0000000000000009E-2</v>
      </c>
      <c r="AR736" s="191">
        <f t="shared" si="1192"/>
        <v>96.000000000000085</v>
      </c>
      <c r="AS736" s="194">
        <f t="shared" si="1193"/>
        <v>16.000000000000014</v>
      </c>
      <c r="AT736" s="195" t="s">
        <v>77</v>
      </c>
      <c r="AU736" s="425" t="s">
        <v>3030</v>
      </c>
      <c r="AV736" s="425"/>
      <c r="AW736" s="425"/>
      <c r="AX736" s="425"/>
      <c r="AY736" s="425"/>
      <c r="AZ736" s="425"/>
      <c r="BA736" s="425"/>
      <c r="BB736" s="425"/>
      <c r="BC736" s="440"/>
      <c r="BD736" s="404">
        <f>SUM($AS$4:AS736)</f>
        <v>3855.0543953824617</v>
      </c>
      <c r="BE736" s="405">
        <f>SUM($AR$4:AR736)</f>
        <v>13252.815333333405</v>
      </c>
      <c r="BF736" s="330"/>
      <c r="BG736" s="330"/>
    </row>
    <row r="737" spans="1:59" ht="15.75" customHeight="1">
      <c r="A737" s="227" t="s">
        <v>2780</v>
      </c>
      <c r="B737" s="204">
        <v>45099</v>
      </c>
      <c r="C737" s="182" t="s">
        <v>3031</v>
      </c>
      <c r="D737" s="182" t="s">
        <v>74</v>
      </c>
      <c r="E737" s="233"/>
      <c r="F737" s="184"/>
      <c r="G737" s="291" t="s">
        <v>1645</v>
      </c>
      <c r="H737" s="186"/>
      <c r="I737" s="186"/>
      <c r="J737" s="186"/>
      <c r="K737" s="187"/>
      <c r="L737" s="186">
        <v>2</v>
      </c>
      <c r="M737" s="186">
        <v>1</v>
      </c>
      <c r="N737" s="186"/>
      <c r="O737" s="187" t="s">
        <v>76</v>
      </c>
      <c r="P737" s="187" t="s">
        <v>77</v>
      </c>
      <c r="Q737" s="187" t="s">
        <v>238</v>
      </c>
      <c r="R737" s="187">
        <v>6</v>
      </c>
      <c r="S737" s="187">
        <v>0</v>
      </c>
      <c r="T737" s="187">
        <v>6</v>
      </c>
      <c r="U737" s="187" t="s">
        <v>78</v>
      </c>
      <c r="V737" s="188">
        <f t="shared" ref="V737" si="1200">IF(ISBLANK(O737),"",(IF(O737=UPPER("IB"),0.005,0.01)))</f>
        <v>0.01</v>
      </c>
      <c r="W737" s="189">
        <f t="shared" ref="W737" si="1201">IF(ISBLANK(O737),"",IF(O737="IB",8.63*200,IF(O737="IR",16*100,IF(O737="YT",20*100,IF(O737="YT-XT",24*200,IF(O737="TED",80*100))))))</f>
        <v>1600</v>
      </c>
      <c r="X737" s="189" t="s">
        <v>3032</v>
      </c>
      <c r="Y737" s="189"/>
      <c r="Z737" s="189" t="s">
        <v>3033</v>
      </c>
      <c r="AA737" s="190">
        <v>0.08</v>
      </c>
      <c r="AB737" s="186"/>
      <c r="AC737" s="344"/>
      <c r="AD737" s="186"/>
      <c r="AE737" s="186"/>
      <c r="AF737" s="186" t="s">
        <v>511</v>
      </c>
      <c r="AG737" s="186"/>
      <c r="AH737" s="186"/>
      <c r="AI737" s="191">
        <f t="shared" ref="AI736:AI738" si="1202">-0.02*W737</f>
        <v>-32</v>
      </c>
      <c r="AJ737" s="191">
        <f t="shared" si="1199"/>
        <v>-192</v>
      </c>
      <c r="AK737" s="186"/>
      <c r="AL737" s="186"/>
      <c r="AM737" s="186" t="s">
        <v>809</v>
      </c>
      <c r="AN737" s="344" t="s">
        <v>97</v>
      </c>
      <c r="AO737" s="186" t="s">
        <v>3034</v>
      </c>
      <c r="AP737" s="193">
        <v>7.0000000000000007E-2</v>
      </c>
      <c r="AQ737" s="193">
        <f t="shared" si="1191"/>
        <v>9.999999999999995E-3</v>
      </c>
      <c r="AR737" s="191">
        <f t="shared" si="1192"/>
        <v>95.999999999999957</v>
      </c>
      <c r="AS737" s="194">
        <f t="shared" si="1193"/>
        <v>15.999999999999993</v>
      </c>
      <c r="AT737" s="195" t="s">
        <v>77</v>
      </c>
      <c r="AU737" s="425" t="s">
        <v>3035</v>
      </c>
      <c r="AV737" s="425"/>
      <c r="AW737" s="425"/>
      <c r="AX737" s="425"/>
      <c r="AY737" s="425"/>
      <c r="AZ737" s="425"/>
      <c r="BA737" s="425"/>
      <c r="BB737" s="425"/>
      <c r="BC737" s="440"/>
      <c r="BD737" s="404">
        <f>SUM($AS$4:AS737)</f>
        <v>3871.0543953824617</v>
      </c>
      <c r="BE737" s="405">
        <f>SUM($AR$4:AR737)</f>
        <v>13348.815333333405</v>
      </c>
      <c r="BF737" s="330"/>
      <c r="BG737" s="330"/>
    </row>
    <row r="738" spans="1:59" ht="15.75" customHeight="1">
      <c r="A738" s="227" t="s">
        <v>2780</v>
      </c>
      <c r="B738" s="204">
        <v>45099</v>
      </c>
      <c r="C738" s="182" t="s">
        <v>3036</v>
      </c>
      <c r="D738" s="182" t="s">
        <v>74</v>
      </c>
      <c r="E738" s="233"/>
      <c r="F738" s="184"/>
      <c r="G738" s="291" t="s">
        <v>75</v>
      </c>
      <c r="H738" s="186"/>
      <c r="I738" s="186"/>
      <c r="J738" s="186"/>
      <c r="K738" s="187"/>
      <c r="L738" s="186">
        <v>1</v>
      </c>
      <c r="M738" s="186"/>
      <c r="N738" s="186"/>
      <c r="O738" s="187" t="s">
        <v>76</v>
      </c>
      <c r="P738" s="187" t="s">
        <v>77</v>
      </c>
      <c r="Q738" s="187" t="s">
        <v>78</v>
      </c>
      <c r="R738" s="187">
        <v>7</v>
      </c>
      <c r="S738" s="187">
        <v>0</v>
      </c>
      <c r="T738" s="187">
        <v>7</v>
      </c>
      <c r="U738" s="187" t="s">
        <v>78</v>
      </c>
      <c r="V738" s="188">
        <f t="shared" ref="V738" si="1203">IF(ISBLANK(O738),"",(IF(O738=UPPER("IB"),0.005,0.01)))</f>
        <v>0.01</v>
      </c>
      <c r="W738" s="189">
        <f t="shared" ref="W738" si="1204">IF(ISBLANK(O738),"",IF(O738="IB",8.63*200,IF(O738="IR",16*100,IF(O738="YT",20*100,IF(O738="YT-XT",24*200,IF(O738="TED",80*100))))))</f>
        <v>1600</v>
      </c>
      <c r="X738" s="189"/>
      <c r="Y738" s="189" t="s">
        <v>3037</v>
      </c>
      <c r="Z738" s="189"/>
      <c r="AA738" s="190">
        <v>0.12</v>
      </c>
      <c r="AB738" s="186"/>
      <c r="AC738" s="344"/>
      <c r="AD738" s="186"/>
      <c r="AE738" s="186"/>
      <c r="AF738" s="186"/>
      <c r="AG738" s="186"/>
      <c r="AH738" s="186"/>
      <c r="AI738" s="191">
        <f>-0.03*W738</f>
        <v>-48</v>
      </c>
      <c r="AJ738" s="191">
        <f t="shared" ref="AJ738" si="1205">AI738*(R738-S738)</f>
        <v>-336</v>
      </c>
      <c r="AK738" s="186"/>
      <c r="AL738" s="186"/>
      <c r="AM738" s="186" t="s">
        <v>1066</v>
      </c>
      <c r="AN738" s="344" t="s">
        <v>87</v>
      </c>
      <c r="AO738" s="186" t="s">
        <v>3038</v>
      </c>
      <c r="AP738" s="193">
        <f>(0.12*4+0.11*3)/7</f>
        <v>0.11571428571428573</v>
      </c>
      <c r="AQ738" s="193">
        <f t="shared" si="1191"/>
        <v>4.2857142857142677E-3</v>
      </c>
      <c r="AR738" s="191">
        <f t="shared" si="1192"/>
        <v>47.999999999999801</v>
      </c>
      <c r="AS738" s="194">
        <f t="shared" si="1193"/>
        <v>6.8571428571428283</v>
      </c>
      <c r="AT738" s="195" t="s">
        <v>77</v>
      </c>
      <c r="AU738" s="425" t="s">
        <v>3039</v>
      </c>
      <c r="AV738" s="425"/>
      <c r="AW738" s="425"/>
      <c r="AX738" s="425"/>
      <c r="AY738" s="425"/>
      <c r="AZ738" s="425"/>
      <c r="BA738" s="425"/>
      <c r="BB738" s="425"/>
      <c r="BC738" s="440"/>
      <c r="BD738" s="404">
        <f>SUM($AS$4:AS738)</f>
        <v>3877.9115382396044</v>
      </c>
      <c r="BE738" s="405">
        <f>SUM($AR$4:AR738)</f>
        <v>13396.815333333405</v>
      </c>
      <c r="BF738" s="330"/>
      <c r="BG738" s="330"/>
    </row>
    <row r="739" spans="1:59" ht="15.75" customHeight="1">
      <c r="A739" s="227" t="s">
        <v>2780</v>
      </c>
      <c r="B739" s="204">
        <v>45100</v>
      </c>
      <c r="C739" s="182" t="s">
        <v>3040</v>
      </c>
      <c r="D739" s="182" t="s">
        <v>93</v>
      </c>
      <c r="E739" s="233"/>
      <c r="F739" s="184"/>
      <c r="G739" s="291" t="s">
        <v>163</v>
      </c>
      <c r="H739" s="186"/>
      <c r="I739" s="186"/>
      <c r="J739" s="186"/>
      <c r="K739" s="187"/>
      <c r="L739" s="186">
        <v>1</v>
      </c>
      <c r="M739" s="186"/>
      <c r="N739" s="186"/>
      <c r="O739" s="187" t="s">
        <v>76</v>
      </c>
      <c r="P739" s="187" t="s">
        <v>77</v>
      </c>
      <c r="Q739" s="187" t="s">
        <v>78</v>
      </c>
      <c r="R739" s="187">
        <v>12</v>
      </c>
      <c r="S739" s="187">
        <v>2</v>
      </c>
      <c r="T739" s="187">
        <v>12</v>
      </c>
      <c r="U739" s="187" t="s">
        <v>22</v>
      </c>
      <c r="V739" s="188">
        <f t="shared" ref="V739" si="1206">IF(ISBLANK(O739),"",(IF(O739=UPPER("IB"),0.005,0.01)))</f>
        <v>0.01</v>
      </c>
      <c r="W739" s="189">
        <f t="shared" ref="W739" si="1207">IF(ISBLANK(O739),"",IF(O739="IB",8.63*200,IF(O739="IR",16*100,IF(O739="YT",20*100,IF(O739="YT-XT",24*200,IF(O739="TED",80*100))))))</f>
        <v>1600</v>
      </c>
      <c r="X739" s="189"/>
      <c r="Y739" s="189" t="s">
        <v>3041</v>
      </c>
      <c r="Z739" s="189"/>
      <c r="AA739" s="190">
        <v>-0.12</v>
      </c>
      <c r="AB739" s="186"/>
      <c r="AC739" s="344"/>
      <c r="AD739" s="186"/>
      <c r="AE739" s="186"/>
      <c r="AF739" s="186"/>
      <c r="AG739" s="186"/>
      <c r="AH739" s="186"/>
      <c r="AI739" s="191">
        <f t="shared" ref="AI739:AI741" si="1208">-0.03*W739</f>
        <v>-48</v>
      </c>
      <c r="AJ739" s="191">
        <f t="shared" ref="AJ739:AJ741" si="1209">AI739*(R739-S739)</f>
        <v>-480</v>
      </c>
      <c r="AK739" s="186"/>
      <c r="AL739" s="186"/>
      <c r="AM739" s="186" t="s">
        <v>2314</v>
      </c>
      <c r="AN739" s="344" t="s">
        <v>97</v>
      </c>
      <c r="AO739" s="186" t="s">
        <v>3042</v>
      </c>
      <c r="AP739" s="193">
        <f>((-0.11*2)+(-0.11*5)+(-0.1*3)+(-0.1*2))/12</f>
        <v>-0.10583333333333333</v>
      </c>
      <c r="AQ739" s="193">
        <f t="shared" ref="AQ739:AQ744" si="1210">IF(ISBLANK(AP739),,IF(U739="S",AA739-AP739,AP739-AA739))</f>
        <v>1.4166666666666661E-2</v>
      </c>
      <c r="AR739" s="191">
        <f t="shared" ref="AR739:AR744" si="1211">AS739*R739</f>
        <v>271.99999999999989</v>
      </c>
      <c r="AS739" s="194">
        <f t="shared" ref="AS739:AS744" si="1212">IF(ISBLANK(AP739),,(AQ739*W739))</f>
        <v>22.666666666666657</v>
      </c>
      <c r="AT739" s="195" t="s">
        <v>77</v>
      </c>
      <c r="AU739" s="425"/>
      <c r="AV739" s="425"/>
      <c r="AW739" s="425"/>
      <c r="AX739" s="425"/>
      <c r="AY739" s="425"/>
      <c r="AZ739" s="425"/>
      <c r="BA739" s="425"/>
      <c r="BB739" s="425"/>
      <c r="BC739" s="440"/>
      <c r="BD739" s="404">
        <f>SUM($AS$4:AS739)</f>
        <v>3900.5782049062709</v>
      </c>
      <c r="BE739" s="405">
        <f>SUM($AR$4:AR739)</f>
        <v>13668.815333333405</v>
      </c>
      <c r="BF739" s="330"/>
      <c r="BG739" s="330"/>
    </row>
    <row r="740" spans="1:59" ht="15.75" customHeight="1">
      <c r="A740" s="227" t="s">
        <v>2780</v>
      </c>
      <c r="B740" s="204">
        <v>45103</v>
      </c>
      <c r="C740" s="182" t="s">
        <v>2088</v>
      </c>
      <c r="D740" s="182" t="s">
        <v>114</v>
      </c>
      <c r="E740" s="233"/>
      <c r="F740" s="184"/>
      <c r="G740" s="185" t="s">
        <v>1997</v>
      </c>
      <c r="H740" s="186"/>
      <c r="I740" s="186"/>
      <c r="J740" s="186"/>
      <c r="K740" s="187"/>
      <c r="L740" s="186"/>
      <c r="M740" s="186"/>
      <c r="N740" s="186"/>
      <c r="O740" s="187"/>
      <c r="P740" s="187"/>
      <c r="Q740" s="187"/>
      <c r="R740" s="187"/>
      <c r="S740" s="187"/>
      <c r="T740" s="187"/>
      <c r="U740" s="187"/>
      <c r="V740" s="188"/>
      <c r="W740" s="189"/>
      <c r="X740" s="189"/>
      <c r="Y740" s="189"/>
      <c r="Z740" s="189"/>
      <c r="AA740" s="190"/>
      <c r="AB740" s="186"/>
      <c r="AC740" s="344"/>
      <c r="AD740" s="186"/>
      <c r="AE740" s="186"/>
      <c r="AF740" s="186"/>
      <c r="AG740" s="186"/>
      <c r="AH740" s="186"/>
      <c r="AI740" s="191"/>
      <c r="AJ740" s="191"/>
      <c r="AK740" s="186"/>
      <c r="AL740" s="186"/>
      <c r="AM740" s="186"/>
      <c r="AN740" s="344"/>
      <c r="AO740" s="186"/>
      <c r="AP740" s="193"/>
      <c r="AQ740" s="193"/>
      <c r="AR740" s="191"/>
      <c r="AS740" s="194"/>
      <c r="AT740" s="195"/>
      <c r="AU740" s="425" t="s">
        <v>3043</v>
      </c>
      <c r="AV740" s="425"/>
      <c r="AW740" s="425"/>
      <c r="AX740" s="425"/>
      <c r="AY740" s="425"/>
      <c r="AZ740" s="425"/>
      <c r="BA740" s="425"/>
      <c r="BB740" s="425"/>
      <c r="BC740" s="440"/>
      <c r="BD740" s="404">
        <f>SUM($AS$4:AS740)</f>
        <v>3900.5782049062709</v>
      </c>
      <c r="BE740" s="405">
        <f>SUM($AR$4:AR740)</f>
        <v>13668.815333333405</v>
      </c>
      <c r="BF740" s="330"/>
      <c r="BG740" s="330"/>
    </row>
    <row r="741" spans="1:59" ht="15.75" customHeight="1">
      <c r="A741" s="227" t="s">
        <v>2780</v>
      </c>
      <c r="B741" s="204">
        <v>45103</v>
      </c>
      <c r="C741" s="182" t="s">
        <v>3044</v>
      </c>
      <c r="D741" s="182" t="s">
        <v>114</v>
      </c>
      <c r="E741" s="233"/>
      <c r="F741" s="184"/>
      <c r="G741" s="185" t="s">
        <v>2991</v>
      </c>
      <c r="H741" s="186"/>
      <c r="I741" s="186"/>
      <c r="J741" s="186"/>
      <c r="K741" s="187"/>
      <c r="L741" s="186"/>
      <c r="M741" s="186"/>
      <c r="N741" s="186"/>
      <c r="O741" s="187"/>
      <c r="P741" s="187"/>
      <c r="Q741" s="187"/>
      <c r="R741" s="187"/>
      <c r="S741" s="187"/>
      <c r="T741" s="187"/>
      <c r="U741" s="187"/>
      <c r="V741" s="188"/>
      <c r="W741" s="189"/>
      <c r="X741" s="189"/>
      <c r="Y741" s="189"/>
      <c r="Z741" s="189"/>
      <c r="AA741" s="190"/>
      <c r="AB741" s="186"/>
      <c r="AC741" s="344"/>
      <c r="AD741" s="186"/>
      <c r="AE741" s="186"/>
      <c r="AF741" s="186"/>
      <c r="AG741" s="186"/>
      <c r="AH741" s="186"/>
      <c r="AI741" s="191"/>
      <c r="AJ741" s="191"/>
      <c r="AK741" s="186"/>
      <c r="AL741" s="186"/>
      <c r="AM741" s="186"/>
      <c r="AN741" s="344"/>
      <c r="AO741" s="186"/>
      <c r="AP741" s="193"/>
      <c r="AQ741" s="193"/>
      <c r="AR741" s="191"/>
      <c r="AS741" s="194"/>
      <c r="AT741" s="195"/>
      <c r="AU741" s="425"/>
      <c r="AV741" s="425"/>
      <c r="AW741" s="425"/>
      <c r="AX741" s="425"/>
      <c r="AY741" s="425"/>
      <c r="AZ741" s="425"/>
      <c r="BA741" s="425"/>
      <c r="BB741" s="425"/>
      <c r="BC741" s="440"/>
      <c r="BD741" s="404">
        <f>SUM($AS$4:AS741)</f>
        <v>3900.5782049062709</v>
      </c>
      <c r="BE741" s="405">
        <f>SUM($AR$4:AR741)</f>
        <v>13668.815333333405</v>
      </c>
      <c r="BF741" s="330"/>
      <c r="BG741" s="330"/>
    </row>
    <row r="742" spans="1:59" ht="15.75" customHeight="1">
      <c r="A742" s="227" t="s">
        <v>2780</v>
      </c>
      <c r="B742" s="204">
        <v>45103</v>
      </c>
      <c r="C742" s="182" t="s">
        <v>3045</v>
      </c>
      <c r="D742" s="182" t="s">
        <v>114</v>
      </c>
      <c r="E742" s="233"/>
      <c r="F742" s="184"/>
      <c r="G742" s="185" t="s">
        <v>1997</v>
      </c>
      <c r="H742" s="186"/>
      <c r="I742" s="186"/>
      <c r="J742" s="186"/>
      <c r="K742" s="187"/>
      <c r="L742" s="186"/>
      <c r="M742" s="186"/>
      <c r="N742" s="186"/>
      <c r="O742" s="187"/>
      <c r="P742" s="187"/>
      <c r="Q742" s="187"/>
      <c r="R742" s="187"/>
      <c r="S742" s="187"/>
      <c r="T742" s="187"/>
      <c r="U742" s="187"/>
      <c r="V742" s="188"/>
      <c r="W742" s="189"/>
      <c r="X742" s="189"/>
      <c r="Y742" s="189"/>
      <c r="Z742" s="189"/>
      <c r="AA742" s="190"/>
      <c r="AB742" s="186"/>
      <c r="AC742" s="344"/>
      <c r="AD742" s="186"/>
      <c r="AE742" s="186"/>
      <c r="AF742" s="186"/>
      <c r="AG742" s="186"/>
      <c r="AH742" s="186"/>
      <c r="AI742" s="191"/>
      <c r="AJ742" s="191"/>
      <c r="AK742" s="186"/>
      <c r="AL742" s="186"/>
      <c r="AM742" s="186"/>
      <c r="AN742" s="344"/>
      <c r="AO742" s="186"/>
      <c r="AP742" s="193"/>
      <c r="AQ742" s="193"/>
      <c r="AR742" s="191"/>
      <c r="AS742" s="194"/>
      <c r="AT742" s="195"/>
      <c r="AU742" s="425" t="s">
        <v>3046</v>
      </c>
      <c r="AV742" s="425"/>
      <c r="AW742" s="425"/>
      <c r="AX742" s="425"/>
      <c r="AY742" s="425"/>
      <c r="AZ742" s="425"/>
      <c r="BA742" s="425"/>
      <c r="BB742" s="425"/>
      <c r="BC742" s="440"/>
      <c r="BD742" s="404">
        <f>SUM($AS$4:AS742)</f>
        <v>3900.5782049062709</v>
      </c>
      <c r="BE742" s="405">
        <f>SUM($AR$4:AR742)</f>
        <v>13668.815333333405</v>
      </c>
      <c r="BF742" s="330"/>
      <c r="BG742" s="330"/>
    </row>
    <row r="743" spans="1:59" ht="15.75" customHeight="1">
      <c r="A743" s="227" t="s">
        <v>2780</v>
      </c>
      <c r="B743" s="204"/>
      <c r="C743" s="182"/>
      <c r="D743" s="182"/>
      <c r="E743" s="233"/>
      <c r="F743" s="184"/>
      <c r="G743" s="185"/>
      <c r="H743" s="186"/>
      <c r="I743" s="186"/>
      <c r="J743" s="186"/>
      <c r="K743" s="187"/>
      <c r="L743" s="186"/>
      <c r="M743" s="186"/>
      <c r="N743" s="186"/>
      <c r="O743" s="187"/>
      <c r="P743" s="187"/>
      <c r="Q743" s="187"/>
      <c r="R743" s="187"/>
      <c r="S743" s="187"/>
      <c r="T743" s="187"/>
      <c r="U743" s="187"/>
      <c r="V743" s="187"/>
      <c r="W743" s="187"/>
      <c r="X743" s="189"/>
      <c r="Y743" s="189"/>
      <c r="Z743" s="189"/>
      <c r="AA743" s="190"/>
      <c r="AB743" s="186"/>
      <c r="AC743" s="344"/>
      <c r="AD743" s="186"/>
      <c r="AE743" s="186"/>
      <c r="AF743" s="186"/>
      <c r="AG743" s="186"/>
      <c r="AH743" s="186"/>
      <c r="AI743" s="191"/>
      <c r="AJ743" s="187"/>
      <c r="AK743" s="186"/>
      <c r="AL743" s="186"/>
      <c r="AM743" s="186"/>
      <c r="AN743" s="344"/>
      <c r="AO743" s="186"/>
      <c r="AP743" s="193"/>
      <c r="AQ743" s="193"/>
      <c r="AR743" s="191"/>
      <c r="AS743" s="194"/>
      <c r="AT743" s="195"/>
      <c r="AU743" s="425" t="s">
        <v>3047</v>
      </c>
      <c r="AV743" s="425" t="s">
        <v>3048</v>
      </c>
      <c r="AW743" s="425" t="s">
        <v>3049</v>
      </c>
      <c r="AX743" s="425" t="s">
        <v>3050</v>
      </c>
      <c r="AY743" s="425"/>
      <c r="AZ743" s="425"/>
      <c r="BA743" s="425"/>
      <c r="BB743" s="425"/>
      <c r="BC743" s="440"/>
      <c r="BD743" s="404">
        <f>SUM($AS$4:AS743)</f>
        <v>3900.5782049062709</v>
      </c>
      <c r="BE743" s="405">
        <f>SUM($AR$4:AR743)</f>
        <v>13668.815333333405</v>
      </c>
      <c r="BF743" s="330"/>
      <c r="BG743" s="330"/>
    </row>
    <row r="744" spans="1:59" ht="15.75" customHeight="1">
      <c r="A744" s="227" t="s">
        <v>2780</v>
      </c>
      <c r="B744" s="204">
        <v>45104</v>
      </c>
      <c r="C744" s="182" t="s">
        <v>3051</v>
      </c>
      <c r="D744" s="182" t="s">
        <v>128</v>
      </c>
      <c r="E744" s="233"/>
      <c r="F744" s="184"/>
      <c r="G744" s="291" t="s">
        <v>2991</v>
      </c>
      <c r="H744" s="186"/>
      <c r="I744" s="186"/>
      <c r="J744" s="186"/>
      <c r="K744" s="187"/>
      <c r="L744" s="186">
        <v>1</v>
      </c>
      <c r="M744" s="186"/>
      <c r="N744" s="186"/>
      <c r="O744" s="187" t="s">
        <v>1039</v>
      </c>
      <c r="P744" s="187"/>
      <c r="Q744" s="187" t="s">
        <v>666</v>
      </c>
      <c r="R744" s="187">
        <v>4</v>
      </c>
      <c r="S744" s="187">
        <v>1</v>
      </c>
      <c r="T744" s="187">
        <v>4</v>
      </c>
      <c r="U744" s="187" t="s">
        <v>78</v>
      </c>
      <c r="V744" s="188">
        <f t="shared" ref="V744" si="1213">IF(ISBLANK(O744),"",(IF(O744=UPPER("IB"),0.005,0.01)))</f>
        <v>5.0000000000000001E-3</v>
      </c>
      <c r="W744" s="189">
        <f t="shared" ref="W744" si="1214">IF(ISBLANK(O744),"",IF(O744="IB",8.63*200,IF(O744="IR",16*100,IF(O744="YT",20*100,IF(O744="YT-XT",24*200,IF(O744="TED",80*100))))))</f>
        <v>1726.0000000000002</v>
      </c>
      <c r="X744" s="189"/>
      <c r="Y744" s="189" t="s">
        <v>3052</v>
      </c>
      <c r="Z744" s="189"/>
      <c r="AA744" s="190">
        <f>(95.86+95.85+95.84*2+95.875*2)/6</f>
        <v>95.856666666666669</v>
      </c>
      <c r="AB744" s="186"/>
      <c r="AC744" s="344"/>
      <c r="AD744" s="186"/>
      <c r="AE744" s="186"/>
      <c r="AF744" s="186"/>
      <c r="AG744" s="186"/>
      <c r="AH744" s="186"/>
      <c r="AI744" s="191">
        <f>-0.05*W744</f>
        <v>-86.300000000000011</v>
      </c>
      <c r="AJ744" s="191">
        <f t="shared" ref="AJ744" si="1215">AI744*(R744-S744)</f>
        <v>-258.90000000000003</v>
      </c>
      <c r="AK744" s="186"/>
      <c r="AL744" s="186"/>
      <c r="AM744" s="186" t="s">
        <v>786</v>
      </c>
      <c r="AN744" s="344" t="s">
        <v>97</v>
      </c>
      <c r="AO744" s="186" t="s">
        <v>3053</v>
      </c>
      <c r="AP744" s="193">
        <f>(95.84+95.855*5)/6</f>
        <v>95.852500000000006</v>
      </c>
      <c r="AQ744" s="193">
        <f t="shared" si="1210"/>
        <v>4.1666666666628771E-3</v>
      </c>
      <c r="AR744" s="191">
        <f t="shared" si="1211"/>
        <v>28.766666666640507</v>
      </c>
      <c r="AS744" s="194">
        <f t="shared" si="1212"/>
        <v>7.1916666666601268</v>
      </c>
      <c r="AT744" s="195" t="s">
        <v>77</v>
      </c>
      <c r="AU744" s="425" t="s">
        <v>3054</v>
      </c>
      <c r="AV744" s="425" t="s">
        <v>3055</v>
      </c>
      <c r="AW744" s="425" t="s">
        <v>3056</v>
      </c>
      <c r="AX744" s="425"/>
      <c r="AY744" s="425"/>
      <c r="AZ744" s="425"/>
      <c r="BA744" s="425"/>
      <c r="BB744" s="425"/>
      <c r="BC744" s="440"/>
      <c r="BD744" s="404">
        <f>SUM($AS$4:AS744)</f>
        <v>3907.7698715729312</v>
      </c>
      <c r="BE744" s="405">
        <f>SUM($AR$4:AR744)</f>
        <v>13697.582000000046</v>
      </c>
      <c r="BF744" s="330"/>
      <c r="BG744" s="330"/>
    </row>
    <row r="745" spans="1:59" ht="15.75" customHeight="1">
      <c r="A745" s="227" t="s">
        <v>2780</v>
      </c>
      <c r="B745" s="204">
        <v>45105</v>
      </c>
      <c r="C745" s="182" t="s">
        <v>2062</v>
      </c>
      <c r="D745" s="182" t="s">
        <v>133</v>
      </c>
      <c r="E745" s="233" t="s">
        <v>3057</v>
      </c>
      <c r="F745" s="184" t="s">
        <v>3058</v>
      </c>
      <c r="G745" s="185"/>
      <c r="H745" s="186"/>
      <c r="I745" s="186"/>
      <c r="J745" s="186">
        <v>1</v>
      </c>
      <c r="K745" s="187" t="s">
        <v>97</v>
      </c>
      <c r="L745" s="186"/>
      <c r="M745" s="186"/>
      <c r="N745" s="186"/>
      <c r="O745" s="187"/>
      <c r="P745" s="187"/>
      <c r="Q745" s="187"/>
      <c r="R745" s="187"/>
      <c r="S745" s="187"/>
      <c r="T745" s="187"/>
      <c r="U745" s="187"/>
      <c r="V745" s="188" t="str">
        <f t="shared" ref="V745:V747" si="1216">IF(ISBLANK(O745),"",(IF(O745=UPPER("IB"),0.005,0.01)))</f>
        <v/>
      </c>
      <c r="W745" s="189" t="str">
        <f t="shared" ref="W745:W747" si="1217">IF(ISBLANK(O745),"",IF(O745="IB",8.63*200,IF(O745="IR",16*100,IF(O745="YT",20*100,IF(O745="YT-XT",24*200,IF(O745="TED",80*100))))))</f>
        <v/>
      </c>
      <c r="X745" s="189"/>
      <c r="Y745" s="189"/>
      <c r="Z745" s="189"/>
      <c r="AA745" s="190"/>
      <c r="AB745" s="186"/>
      <c r="AC745" s="344"/>
      <c r="AD745" s="186"/>
      <c r="AE745" s="186"/>
      <c r="AF745" s="186"/>
      <c r="AG745" s="186"/>
      <c r="AH745" s="186"/>
      <c r="AI745" s="191"/>
      <c r="AJ745" s="191"/>
      <c r="AK745" s="186"/>
      <c r="AL745" s="186"/>
      <c r="AM745" s="186"/>
      <c r="AN745" s="344"/>
      <c r="AO745" s="186"/>
      <c r="AP745" s="193"/>
      <c r="AQ745" s="193"/>
      <c r="AR745" s="191"/>
      <c r="AS745" s="194"/>
      <c r="AT745" s="195"/>
      <c r="AU745" s="425" t="s">
        <v>3059</v>
      </c>
      <c r="AV745" s="425" t="s">
        <v>3060</v>
      </c>
      <c r="AW745" s="425" t="s">
        <v>3061</v>
      </c>
      <c r="AX745" s="425"/>
      <c r="AY745" s="425"/>
      <c r="AZ745" s="425"/>
      <c r="BA745" s="425"/>
      <c r="BB745" s="425"/>
      <c r="BC745" s="440"/>
      <c r="BD745" s="404">
        <f>SUM($AS$4:AS745)</f>
        <v>3907.7698715729312</v>
      </c>
      <c r="BE745" s="405">
        <f>SUM($AR$4:AR745)</f>
        <v>13697.582000000046</v>
      </c>
      <c r="BF745" s="330"/>
      <c r="BG745" s="330"/>
    </row>
    <row r="746" spans="1:59" ht="15.75" customHeight="1">
      <c r="A746" s="227" t="s">
        <v>2780</v>
      </c>
      <c r="B746" s="204">
        <v>45105</v>
      </c>
      <c r="C746" s="182" t="s">
        <v>664</v>
      </c>
      <c r="D746" s="182" t="s">
        <v>133</v>
      </c>
      <c r="E746" s="233"/>
      <c r="F746" s="184"/>
      <c r="G746" s="291" t="s">
        <v>2924</v>
      </c>
      <c r="H746" s="186"/>
      <c r="I746" s="186"/>
      <c r="J746" s="186"/>
      <c r="K746" s="187"/>
      <c r="L746" s="186">
        <v>1</v>
      </c>
      <c r="M746" s="186"/>
      <c r="N746" s="186"/>
      <c r="O746" s="187" t="s">
        <v>76</v>
      </c>
      <c r="P746" s="187" t="s">
        <v>119</v>
      </c>
      <c r="Q746" s="187" t="s">
        <v>78</v>
      </c>
      <c r="R746" s="187">
        <v>12</v>
      </c>
      <c r="S746" s="187">
        <v>0</v>
      </c>
      <c r="T746" s="187">
        <v>10</v>
      </c>
      <c r="U746" s="187" t="s">
        <v>78</v>
      </c>
      <c r="V746" s="188">
        <f t="shared" si="1216"/>
        <v>0.01</v>
      </c>
      <c r="W746" s="189">
        <f t="shared" si="1217"/>
        <v>1600</v>
      </c>
      <c r="X746" s="189" t="s">
        <v>3062</v>
      </c>
      <c r="Y746" s="189"/>
      <c r="Z746" s="189"/>
      <c r="AA746" s="190">
        <v>-0.12</v>
      </c>
      <c r="AB746" s="186"/>
      <c r="AC746" s="344"/>
      <c r="AD746" s="186"/>
      <c r="AE746" s="186"/>
      <c r="AF746" s="186"/>
      <c r="AG746" s="186"/>
      <c r="AH746" s="186"/>
      <c r="AI746" s="191">
        <f>-0.02*W746</f>
        <v>-32</v>
      </c>
      <c r="AJ746" s="191">
        <f t="shared" ref="AJ745:AJ746" si="1218">AI746*(R746-S746)</f>
        <v>-384</v>
      </c>
      <c r="AK746" s="186"/>
      <c r="AL746" s="186"/>
      <c r="AM746" s="186"/>
      <c r="AN746" s="344"/>
      <c r="AO746" s="186" t="s">
        <v>3063</v>
      </c>
      <c r="AP746" s="193">
        <v>-0.13</v>
      </c>
      <c r="AQ746" s="193">
        <f t="shared" ref="AQ745:AQ747" si="1219">IF(ISBLANK(AP746),,IF(U746="S",AA746-AP746,AP746-AA746))</f>
        <v>1.0000000000000009E-2</v>
      </c>
      <c r="AR746" s="191">
        <f t="shared" ref="AR745:AR747" si="1220">AS746*R746</f>
        <v>192.00000000000017</v>
      </c>
      <c r="AS746" s="194">
        <f t="shared" ref="AS745:AS747" si="1221">IF(ISBLANK(AP746),,(AQ746*W746))</f>
        <v>16.000000000000014</v>
      </c>
      <c r="AT746" s="195" t="s">
        <v>77</v>
      </c>
      <c r="AU746" s="425" t="s">
        <v>3064</v>
      </c>
      <c r="AV746" s="425"/>
      <c r="AW746" s="425"/>
      <c r="AX746" s="425" t="s">
        <v>177</v>
      </c>
      <c r="AY746" s="425"/>
      <c r="AZ746" s="425"/>
      <c r="BA746" s="425"/>
      <c r="BB746" s="425"/>
      <c r="BC746" s="440"/>
      <c r="BD746" s="404">
        <f>SUM($AS$4:AS746)</f>
        <v>3923.7698715729312</v>
      </c>
      <c r="BE746" s="405">
        <f>SUM($AR$4:AR746)</f>
        <v>13889.582000000046</v>
      </c>
      <c r="BF746" s="330"/>
      <c r="BG746" s="330"/>
    </row>
    <row r="747" spans="1:59" ht="15.75" customHeight="1">
      <c r="A747" s="227" t="s">
        <v>2780</v>
      </c>
      <c r="B747" s="204">
        <v>45105</v>
      </c>
      <c r="C747" s="182" t="s">
        <v>664</v>
      </c>
      <c r="D747" s="182" t="s">
        <v>133</v>
      </c>
      <c r="E747" s="233"/>
      <c r="F747" s="184"/>
      <c r="G747" s="185" t="s">
        <v>3065</v>
      </c>
      <c r="H747" s="186"/>
      <c r="I747" s="186"/>
      <c r="J747" s="186"/>
      <c r="K747" s="187"/>
      <c r="L747" s="186">
        <v>1</v>
      </c>
      <c r="M747" s="186">
        <v>1</v>
      </c>
      <c r="N747" s="186"/>
      <c r="O747" s="187" t="s">
        <v>2413</v>
      </c>
      <c r="P747" s="187" t="s">
        <v>2241</v>
      </c>
      <c r="Q747" s="187" t="s">
        <v>666</v>
      </c>
      <c r="R747" s="187">
        <v>1</v>
      </c>
      <c r="S747" s="187">
        <v>0</v>
      </c>
      <c r="T747" s="187">
        <v>1</v>
      </c>
      <c r="U747" s="187" t="s">
        <v>78</v>
      </c>
      <c r="V747" s="188">
        <f t="shared" si="1216"/>
        <v>0.01</v>
      </c>
      <c r="W747" s="189">
        <f t="shared" si="1217"/>
        <v>2000</v>
      </c>
      <c r="X747" s="189" t="s">
        <v>3066</v>
      </c>
      <c r="Y747" s="189"/>
      <c r="Z747" s="189"/>
      <c r="AA747" s="190">
        <v>96.24</v>
      </c>
      <c r="AB747" s="186" t="s">
        <v>3067</v>
      </c>
      <c r="AC747" s="344"/>
      <c r="AD747" s="186"/>
      <c r="AE747" s="186"/>
      <c r="AF747" s="186"/>
      <c r="AG747" s="186"/>
      <c r="AH747" s="186"/>
      <c r="AI747" s="191"/>
      <c r="AJ747" s="191"/>
      <c r="AK747" s="186"/>
      <c r="AL747" s="186"/>
      <c r="AM747" s="186" t="s">
        <v>1721</v>
      </c>
      <c r="AN747" s="344" t="s">
        <v>376</v>
      </c>
      <c r="AO747" s="186" t="s">
        <v>664</v>
      </c>
      <c r="AP747" s="193">
        <v>96.21</v>
      </c>
      <c r="AQ747" s="193">
        <f t="shared" si="1219"/>
        <v>3.0000000000001137E-2</v>
      </c>
      <c r="AR747" s="191">
        <f t="shared" si="1220"/>
        <v>60.000000000002274</v>
      </c>
      <c r="AS747" s="194">
        <f t="shared" si="1221"/>
        <v>60.000000000002274</v>
      </c>
      <c r="AT747" s="195" t="s">
        <v>77</v>
      </c>
      <c r="AU747" s="425" t="s">
        <v>3068</v>
      </c>
      <c r="AV747" s="425" t="s">
        <v>3069</v>
      </c>
      <c r="AW747" s="425"/>
      <c r="AX747" s="425"/>
      <c r="AY747" s="425"/>
      <c r="AZ747" s="425"/>
      <c r="BA747" s="425"/>
      <c r="BB747" s="425"/>
      <c r="BC747" s="440"/>
      <c r="BD747" s="404">
        <f>SUM($AS$4:AS747)</f>
        <v>3983.7698715729334</v>
      </c>
      <c r="BE747" s="405">
        <f>SUM($AR$4:AR747)</f>
        <v>13949.582000000048</v>
      </c>
      <c r="BF747" s="330"/>
      <c r="BG747" s="330"/>
    </row>
    <row r="748" spans="1:59" ht="15.75" customHeight="1">
      <c r="A748" s="227" t="s">
        <v>2780</v>
      </c>
      <c r="B748" s="204">
        <v>45105</v>
      </c>
      <c r="C748" s="182" t="s">
        <v>664</v>
      </c>
      <c r="D748" s="182" t="s">
        <v>133</v>
      </c>
      <c r="E748" s="233"/>
      <c r="F748" s="184"/>
      <c r="G748" s="291" t="s">
        <v>118</v>
      </c>
      <c r="H748" s="186"/>
      <c r="I748" s="186"/>
      <c r="J748" s="186"/>
      <c r="K748" s="187"/>
      <c r="L748" s="186">
        <v>1</v>
      </c>
      <c r="M748" s="186"/>
      <c r="N748" s="186"/>
      <c r="O748" s="187" t="s">
        <v>76</v>
      </c>
      <c r="P748" s="187" t="s">
        <v>77</v>
      </c>
      <c r="Q748" s="187" t="s">
        <v>78</v>
      </c>
      <c r="R748" s="187">
        <v>12</v>
      </c>
      <c r="S748" s="187">
        <v>0</v>
      </c>
      <c r="T748" s="187">
        <v>12</v>
      </c>
      <c r="U748" s="187" t="s">
        <v>78</v>
      </c>
      <c r="V748" s="188">
        <f t="shared" ref="V748" si="1222">IF(ISBLANK(O748),"",(IF(O748=UPPER("IB"),0.005,0.01)))</f>
        <v>0.01</v>
      </c>
      <c r="W748" s="189">
        <f t="shared" ref="W748" si="1223">IF(ISBLANK(O748),"",IF(O748="IB",8.63*200,IF(O748="IR",16*100,IF(O748="YT",20*100,IF(O748="YT-XT",24*200,IF(O748="TED",80*100))))))</f>
        <v>1600</v>
      </c>
      <c r="X748" s="189" t="s">
        <v>980</v>
      </c>
      <c r="Y748" s="189"/>
      <c r="Z748" s="189"/>
      <c r="AA748" s="190">
        <v>-0.14000000000000001</v>
      </c>
      <c r="AB748" s="186" t="s">
        <v>3070</v>
      </c>
      <c r="AC748" s="344"/>
      <c r="AD748" s="186"/>
      <c r="AE748" s="186"/>
      <c r="AF748" s="186"/>
      <c r="AG748" s="186"/>
      <c r="AH748" s="186"/>
      <c r="AI748" s="191"/>
      <c r="AJ748" s="191"/>
      <c r="AK748" s="186"/>
      <c r="AL748" s="186"/>
      <c r="AM748" s="186" t="s">
        <v>3071</v>
      </c>
      <c r="AN748" s="344" t="s">
        <v>376</v>
      </c>
      <c r="AO748" s="186" t="s">
        <v>3072</v>
      </c>
      <c r="AP748" s="193">
        <v>-0.15</v>
      </c>
      <c r="AQ748" s="193">
        <f t="shared" ref="AQ748" si="1224">IF(ISBLANK(AP748),,IF(U748="S",AA748-AP748,AP748-AA748))</f>
        <v>9.9999999999999811E-3</v>
      </c>
      <c r="AR748" s="191">
        <f t="shared" ref="AR748" si="1225">AS748*R748</f>
        <v>191.99999999999963</v>
      </c>
      <c r="AS748" s="194">
        <f t="shared" ref="AS748" si="1226">IF(ISBLANK(AP748),,(AQ748*W748))</f>
        <v>15.99999999999997</v>
      </c>
      <c r="AT748" s="195" t="s">
        <v>77</v>
      </c>
      <c r="AU748" s="425" t="s">
        <v>3073</v>
      </c>
      <c r="AV748" s="425"/>
      <c r="AW748" s="425"/>
      <c r="AX748" s="425"/>
      <c r="AY748" s="425"/>
      <c r="AZ748" s="425"/>
      <c r="BA748" s="425"/>
      <c r="BB748" s="425"/>
      <c r="BC748" s="440"/>
      <c r="BD748" s="404">
        <f>SUM($AS$4:AS748)</f>
        <v>3999.7698715729334</v>
      </c>
      <c r="BE748" s="405">
        <f>SUM($AR$4:AR748)</f>
        <v>14141.582000000048</v>
      </c>
      <c r="BF748" s="330"/>
      <c r="BG748" s="330"/>
    </row>
    <row r="749" spans="1:59" ht="15.75" customHeight="1">
      <c r="A749" s="227" t="s">
        <v>2780</v>
      </c>
      <c r="B749" s="204">
        <v>45105</v>
      </c>
      <c r="C749" s="182" t="s">
        <v>3074</v>
      </c>
      <c r="D749" s="182" t="s">
        <v>133</v>
      </c>
      <c r="E749" s="233"/>
      <c r="F749" s="184"/>
      <c r="G749" s="291" t="s">
        <v>2126</v>
      </c>
      <c r="H749" s="186"/>
      <c r="I749" s="186"/>
      <c r="J749" s="186"/>
      <c r="K749" s="187"/>
      <c r="L749" s="186">
        <v>1</v>
      </c>
      <c r="M749" s="186"/>
      <c r="N749" s="186"/>
      <c r="O749" s="187" t="s">
        <v>76</v>
      </c>
      <c r="P749" s="187" t="s">
        <v>77</v>
      </c>
      <c r="Q749" s="187" t="s">
        <v>78</v>
      </c>
      <c r="R749" s="187">
        <v>5</v>
      </c>
      <c r="S749" s="187">
        <v>0</v>
      </c>
      <c r="T749" s="187">
        <v>5</v>
      </c>
      <c r="U749" s="187" t="s">
        <v>22</v>
      </c>
      <c r="V749" s="188">
        <f t="shared" ref="V749" si="1227">IF(ISBLANK(O749),"",(IF(O749=UPPER("IB"),0.005,0.01)))</f>
        <v>0.01</v>
      </c>
      <c r="W749" s="189">
        <f t="shared" ref="W749" si="1228">IF(ISBLANK(O749),"",IF(O749="IB",8.63*200,IF(O749="IR",16*100,IF(O749="YT",20*100,IF(O749="YT-XT",24*200,IF(O749="TED",80*100))))))</f>
        <v>1600</v>
      </c>
      <c r="X749" s="189" t="s">
        <v>980</v>
      </c>
      <c r="Y749" s="189"/>
      <c r="Z749" s="189"/>
      <c r="AA749" s="190">
        <v>-0.04</v>
      </c>
      <c r="AB749" s="186" t="s">
        <v>3070</v>
      </c>
      <c r="AC749" s="344"/>
      <c r="AD749" s="186"/>
      <c r="AE749" s="186"/>
      <c r="AF749" s="186"/>
      <c r="AG749" s="186"/>
      <c r="AH749" s="186"/>
      <c r="AI749" s="191">
        <f t="shared" ref="AI747:AI749" si="1229">-0.02*W749</f>
        <v>-32</v>
      </c>
      <c r="AJ749" s="191">
        <f t="shared" ref="AJ747:AJ749" si="1230">AI749*(R749-S749)</f>
        <v>-160</v>
      </c>
      <c r="AK749" s="186"/>
      <c r="AL749" s="186"/>
      <c r="AM749" s="186" t="s">
        <v>1985</v>
      </c>
      <c r="AN749" s="344" t="s">
        <v>87</v>
      </c>
      <c r="AO749" s="186" t="s">
        <v>3075</v>
      </c>
      <c r="AP749" s="193">
        <v>-0.03</v>
      </c>
      <c r="AQ749" s="193">
        <f t="shared" ref="AQ749" si="1231">IF(ISBLANK(AP749),,IF(U749="S",AA749-AP749,AP749-AA749))</f>
        <v>1.0000000000000002E-2</v>
      </c>
      <c r="AR749" s="191">
        <f t="shared" ref="AR749" si="1232">AS749*R749</f>
        <v>80.000000000000014</v>
      </c>
      <c r="AS749" s="194">
        <f t="shared" ref="AS749" si="1233">IF(ISBLANK(AP749),,(AQ749*W749))</f>
        <v>16.000000000000004</v>
      </c>
      <c r="AT749" s="195" t="s">
        <v>77</v>
      </c>
      <c r="AU749" s="425"/>
      <c r="AV749" s="425"/>
      <c r="AW749" s="425"/>
      <c r="AX749" s="425"/>
      <c r="AY749" s="425"/>
      <c r="AZ749" s="425"/>
      <c r="BA749" s="425"/>
      <c r="BB749" s="425"/>
      <c r="BC749" s="440"/>
      <c r="BD749" s="404">
        <f>SUM($AS$4:AS749)</f>
        <v>4015.7698715729334</v>
      </c>
      <c r="BE749" s="405">
        <f>SUM($AR$4:AR749)</f>
        <v>14221.582000000048</v>
      </c>
      <c r="BF749" s="330"/>
      <c r="BG749" s="330"/>
    </row>
    <row r="750" spans="1:59" ht="15.75" customHeight="1">
      <c r="A750" s="227" t="s">
        <v>2780</v>
      </c>
      <c r="B750" s="204">
        <v>45106</v>
      </c>
      <c r="C750" s="182" t="s">
        <v>2001</v>
      </c>
      <c r="D750" s="182" t="s">
        <v>74</v>
      </c>
      <c r="E750" s="233" t="s">
        <v>3076</v>
      </c>
      <c r="F750" s="184" t="s">
        <v>3077</v>
      </c>
      <c r="G750" s="185"/>
      <c r="H750" s="186">
        <v>1</v>
      </c>
      <c r="I750" s="186"/>
      <c r="J750" s="186"/>
      <c r="K750" s="187" t="s">
        <v>87</v>
      </c>
      <c r="L750" s="186"/>
      <c r="M750" s="186"/>
      <c r="N750" s="186"/>
      <c r="O750" s="187"/>
      <c r="P750" s="187"/>
      <c r="Q750" s="187"/>
      <c r="R750" s="187"/>
      <c r="S750" s="187"/>
      <c r="T750" s="187"/>
      <c r="U750" s="187"/>
      <c r="V750" s="187"/>
      <c r="W750" s="187"/>
      <c r="X750" s="189"/>
      <c r="Y750" s="189"/>
      <c r="Z750" s="189"/>
      <c r="AA750" s="190"/>
      <c r="AB750" s="186"/>
      <c r="AC750" s="344"/>
      <c r="AD750" s="186"/>
      <c r="AE750" s="186"/>
      <c r="AF750" s="186"/>
      <c r="AG750" s="186"/>
      <c r="AH750" s="186"/>
      <c r="AI750" s="191"/>
      <c r="AJ750" s="191"/>
      <c r="AK750" s="186"/>
      <c r="AL750" s="186"/>
      <c r="AM750" s="186"/>
      <c r="AN750" s="344"/>
      <c r="AO750" s="186"/>
      <c r="AP750" s="193"/>
      <c r="AQ750" s="193"/>
      <c r="AR750" s="191"/>
      <c r="AS750" s="194"/>
      <c r="AT750" s="195"/>
      <c r="AU750" s="425"/>
      <c r="AV750" s="425"/>
      <c r="AW750" s="425"/>
      <c r="AX750" s="425"/>
      <c r="AY750" s="425"/>
      <c r="AZ750" s="425"/>
      <c r="BA750" s="425"/>
      <c r="BB750" s="425"/>
      <c r="BC750" s="440"/>
      <c r="BD750" s="404">
        <f>SUM($AS$4:AS750)</f>
        <v>4015.7698715729334</v>
      </c>
      <c r="BE750" s="405">
        <f>SUM($AR$4:AR750)</f>
        <v>14221.582000000048</v>
      </c>
      <c r="BF750" s="330"/>
      <c r="BG750" s="330"/>
    </row>
    <row r="751" spans="1:59" ht="15.75" customHeight="1">
      <c r="A751" s="227" t="s">
        <v>2780</v>
      </c>
      <c r="B751" s="204">
        <v>45106</v>
      </c>
      <c r="C751" s="182" t="s">
        <v>1709</v>
      </c>
      <c r="D751" s="182" t="s">
        <v>74</v>
      </c>
      <c r="E751" s="233" t="s">
        <v>3078</v>
      </c>
      <c r="F751" s="184" t="s">
        <v>3079</v>
      </c>
      <c r="G751" s="185"/>
      <c r="H751" s="186">
        <v>1</v>
      </c>
      <c r="I751" s="186"/>
      <c r="J751" s="186"/>
      <c r="K751" s="187" t="s">
        <v>87</v>
      </c>
      <c r="L751" s="186"/>
      <c r="M751" s="186"/>
      <c r="N751" s="186"/>
      <c r="O751" s="187"/>
      <c r="P751" s="187"/>
      <c r="Q751" s="187"/>
      <c r="R751" s="187"/>
      <c r="S751" s="187"/>
      <c r="T751" s="187"/>
      <c r="U751" s="187"/>
      <c r="V751" s="187"/>
      <c r="W751" s="187"/>
      <c r="X751" s="189"/>
      <c r="Y751" s="189"/>
      <c r="Z751" s="189"/>
      <c r="AA751" s="190"/>
      <c r="AB751" s="186"/>
      <c r="AC751" s="344"/>
      <c r="AD751" s="186"/>
      <c r="AE751" s="186"/>
      <c r="AF751" s="186"/>
      <c r="AG751" s="186"/>
      <c r="AH751" s="186"/>
      <c r="AI751" s="191"/>
      <c r="AJ751" s="191"/>
      <c r="AK751" s="186"/>
      <c r="AL751" s="186"/>
      <c r="AM751" s="186"/>
      <c r="AN751" s="344"/>
      <c r="AO751" s="186"/>
      <c r="AP751" s="193"/>
      <c r="AQ751" s="193"/>
      <c r="AR751" s="191"/>
      <c r="AS751" s="194"/>
      <c r="AT751" s="195"/>
      <c r="AU751" s="425" t="s">
        <v>3080</v>
      </c>
      <c r="AV751" s="425" t="s">
        <v>3081</v>
      </c>
      <c r="AW751" s="425"/>
      <c r="AX751" s="425"/>
      <c r="AY751" s="425"/>
      <c r="AZ751" s="425"/>
      <c r="BA751" s="425"/>
      <c r="BB751" s="425"/>
      <c r="BC751" s="440"/>
      <c r="BD751" s="404">
        <f>SUM($AS$4:AS751)</f>
        <v>4015.7698715729334</v>
      </c>
      <c r="BE751" s="405">
        <f>SUM($AR$4:AR751)</f>
        <v>14221.582000000048</v>
      </c>
      <c r="BF751" s="330"/>
      <c r="BG751" s="330"/>
    </row>
    <row r="752" spans="1:59" ht="15.75" customHeight="1">
      <c r="A752" s="227" t="s">
        <v>2780</v>
      </c>
      <c r="B752" s="204">
        <v>45107</v>
      </c>
      <c r="C752" s="182" t="s">
        <v>3082</v>
      </c>
      <c r="D752" s="182" t="s">
        <v>93</v>
      </c>
      <c r="E752" s="233"/>
      <c r="F752" s="184"/>
      <c r="G752" s="291" t="s">
        <v>3083</v>
      </c>
      <c r="H752" s="186"/>
      <c r="I752" s="186"/>
      <c r="J752" s="186"/>
      <c r="K752" s="187"/>
      <c r="L752" s="186">
        <v>1</v>
      </c>
      <c r="M752" s="186">
        <v>1</v>
      </c>
      <c r="N752" s="186"/>
      <c r="O752" s="187" t="s">
        <v>76</v>
      </c>
      <c r="P752" s="187" t="s">
        <v>77</v>
      </c>
      <c r="Q752" s="187" t="s">
        <v>238</v>
      </c>
      <c r="R752" s="187">
        <v>3</v>
      </c>
      <c r="S752" s="187">
        <v>0</v>
      </c>
      <c r="T752" s="187">
        <v>3</v>
      </c>
      <c r="U752" s="187" t="s">
        <v>78</v>
      </c>
      <c r="V752" s="188">
        <f t="shared" ref="V752" si="1234">IF(ISBLANK(O752),"",(IF(O752=UPPER("IB"),0.005,0.01)))</f>
        <v>0.01</v>
      </c>
      <c r="W752" s="189">
        <f t="shared" ref="W752" si="1235">IF(ISBLANK(O752),"",IF(O752="IB",8.63*200,IF(O752="IR",16*100,IF(O752="YT",20*100,IF(O752="YT-XT",24*200,IF(O752="TED",80*100))))))</f>
        <v>1600</v>
      </c>
      <c r="X752" s="189" t="s">
        <v>3084</v>
      </c>
      <c r="Y752" s="189"/>
      <c r="Z752" s="189" t="s">
        <v>3085</v>
      </c>
      <c r="AA752" s="190">
        <v>0.06</v>
      </c>
      <c r="AB752" s="186"/>
      <c r="AC752" s="344">
        <v>10</v>
      </c>
      <c r="AD752" s="425" t="s">
        <v>3086</v>
      </c>
      <c r="AE752" s="186" t="s">
        <v>3087</v>
      </c>
      <c r="AF752" s="186"/>
      <c r="AG752" s="186" t="s">
        <v>3088</v>
      </c>
      <c r="AH752" s="186"/>
      <c r="AI752" s="191">
        <f>-0.04*W752</f>
        <v>-64</v>
      </c>
      <c r="AJ752" s="191">
        <f t="shared" ref="AJ750:AJ752" si="1236">AI752*(R752-S752)</f>
        <v>-192</v>
      </c>
      <c r="AK752" s="186"/>
      <c r="AL752" s="186"/>
      <c r="AM752" s="186" t="s">
        <v>809</v>
      </c>
      <c r="AN752" s="344" t="s">
        <v>97</v>
      </c>
      <c r="AO752" s="186" t="s">
        <v>3089</v>
      </c>
      <c r="AP752" s="193">
        <v>7.0000000000000007E-2</v>
      </c>
      <c r="AQ752" s="193">
        <f t="shared" ref="AQ750:AQ752" si="1237">IF(ISBLANK(AP752),,IF(U752="S",AA752-AP752,AP752-AA752))</f>
        <v>-1.0000000000000009E-2</v>
      </c>
      <c r="AR752" s="191">
        <f t="shared" ref="AR750:AR752" si="1238">AS752*R752</f>
        <v>-48.000000000000043</v>
      </c>
      <c r="AS752" s="194">
        <f t="shared" ref="AS750:AS752" si="1239">IF(ISBLANK(AP752),,(AQ752*W752))</f>
        <v>-16.000000000000014</v>
      </c>
      <c r="AT752" s="195" t="s">
        <v>211</v>
      </c>
      <c r="AU752" s="425" t="s">
        <v>3090</v>
      </c>
      <c r="AV752" s="425" t="s">
        <v>3091</v>
      </c>
      <c r="AW752" s="425" t="s">
        <v>3092</v>
      </c>
      <c r="AX752" s="425" t="s">
        <v>3093</v>
      </c>
      <c r="AY752" s="425"/>
      <c r="AZ752" s="425"/>
      <c r="BA752" s="425"/>
      <c r="BB752" s="425"/>
      <c r="BC752" s="440"/>
      <c r="BD752" s="404">
        <f>SUM($AS$4:AS752)</f>
        <v>3999.7698715729334</v>
      </c>
      <c r="BE752" s="405">
        <f>SUM($AR$4:AR752)</f>
        <v>14173.582000000048</v>
      </c>
      <c r="BF752" s="330"/>
      <c r="BG752" s="330"/>
    </row>
    <row r="753" spans="1:59" ht="15.75" customHeight="1">
      <c r="A753" s="227" t="s">
        <v>2780</v>
      </c>
      <c r="B753" s="204">
        <v>45107</v>
      </c>
      <c r="C753" s="182" t="s">
        <v>1769</v>
      </c>
      <c r="D753" s="182" t="s">
        <v>93</v>
      </c>
      <c r="E753" s="498" t="s">
        <v>3094</v>
      </c>
      <c r="F753" s="184" t="s">
        <v>3095</v>
      </c>
      <c r="G753" s="185"/>
      <c r="H753" s="186"/>
      <c r="I753" s="186"/>
      <c r="J753" s="186">
        <v>1</v>
      </c>
      <c r="K753" s="187" t="s">
        <v>97</v>
      </c>
      <c r="L753" s="186"/>
      <c r="M753" s="186"/>
      <c r="N753" s="186"/>
      <c r="O753" s="187"/>
      <c r="P753" s="187"/>
      <c r="Q753" s="187"/>
      <c r="R753" s="187"/>
      <c r="S753" s="187"/>
      <c r="T753" s="187"/>
      <c r="U753" s="187"/>
      <c r="V753" s="187"/>
      <c r="W753" s="187"/>
      <c r="X753" s="189"/>
      <c r="Y753" s="189"/>
      <c r="Z753" s="189"/>
      <c r="AA753" s="190"/>
      <c r="AB753" s="186"/>
      <c r="AC753" s="344"/>
      <c r="AD753" s="186"/>
      <c r="AE753" s="186"/>
      <c r="AF753" s="186"/>
      <c r="AG753" s="186"/>
      <c r="AH753" s="186"/>
      <c r="AI753" s="191"/>
      <c r="AJ753" s="191"/>
      <c r="AK753" s="186"/>
      <c r="AL753" s="186"/>
      <c r="AM753" s="186"/>
      <c r="AN753" s="344"/>
      <c r="AO753" s="186"/>
      <c r="AP753" s="193"/>
      <c r="AQ753" s="193"/>
      <c r="AR753" s="191"/>
      <c r="AS753" s="194"/>
      <c r="AT753" s="195"/>
      <c r="AU753" s="425"/>
      <c r="AV753" s="425"/>
      <c r="AW753" s="425"/>
      <c r="AX753" s="425"/>
      <c r="AY753" s="425"/>
      <c r="AZ753" s="425"/>
      <c r="BA753" s="425"/>
      <c r="BB753" s="425"/>
      <c r="BC753" s="440"/>
      <c r="BD753" s="404">
        <f>SUM($AS$4:AS753)</f>
        <v>3999.7698715729334</v>
      </c>
      <c r="BE753" s="405">
        <f>SUM($AR$4:AR753)</f>
        <v>14173.582000000048</v>
      </c>
      <c r="BF753" s="330"/>
      <c r="BG753" s="330"/>
    </row>
    <row r="754" spans="1:59" ht="15.75" customHeight="1">
      <c r="A754" s="227" t="s">
        <v>2780</v>
      </c>
      <c r="B754" s="204"/>
      <c r="C754" s="182"/>
      <c r="D754" s="182"/>
      <c r="E754" s="233" t="s">
        <v>3096</v>
      </c>
      <c r="F754" s="184"/>
      <c r="G754" s="185"/>
      <c r="H754" s="186"/>
      <c r="I754" s="186"/>
      <c r="J754" s="186">
        <v>1</v>
      </c>
      <c r="K754" s="187" t="s">
        <v>97</v>
      </c>
      <c r="L754" s="186"/>
      <c r="M754" s="186"/>
      <c r="N754" s="186"/>
      <c r="O754" s="187"/>
      <c r="P754" s="187"/>
      <c r="Q754" s="187"/>
      <c r="R754" s="187"/>
      <c r="S754" s="187"/>
      <c r="T754" s="187"/>
      <c r="U754" s="187"/>
      <c r="V754" s="187"/>
      <c r="W754" s="187"/>
      <c r="X754" s="189"/>
      <c r="Y754" s="189"/>
      <c r="Z754" s="189"/>
      <c r="AA754" s="190"/>
      <c r="AB754" s="186"/>
      <c r="AC754" s="344"/>
      <c r="AD754" s="186"/>
      <c r="AE754" s="186"/>
      <c r="AF754" s="186"/>
      <c r="AG754" s="186"/>
      <c r="AH754" s="186"/>
      <c r="AI754" s="191"/>
      <c r="AJ754" s="191"/>
      <c r="AK754" s="186"/>
      <c r="AL754" s="186"/>
      <c r="AM754" s="186"/>
      <c r="AN754" s="344"/>
      <c r="AO754" s="186"/>
      <c r="AP754" s="193"/>
      <c r="AQ754" s="193"/>
      <c r="AR754" s="191"/>
      <c r="AS754" s="194"/>
      <c r="AT754" s="195"/>
      <c r="AU754" s="425"/>
      <c r="AV754" s="425"/>
      <c r="AW754" s="425"/>
      <c r="AX754" s="425"/>
      <c r="AY754" s="425"/>
      <c r="AZ754" s="425"/>
      <c r="BA754" s="425"/>
      <c r="BB754" s="425"/>
      <c r="BC754" s="440"/>
      <c r="BD754" s="404">
        <f>SUM($AS$4:AS754)</f>
        <v>3999.7698715729334</v>
      </c>
      <c r="BE754" s="405">
        <f>SUM($AR$4:AR754)</f>
        <v>14173.582000000048</v>
      </c>
      <c r="BF754" s="330"/>
      <c r="BG754" s="330"/>
    </row>
    <row r="755" spans="1:59" ht="15.75" customHeight="1">
      <c r="A755" s="227" t="s">
        <v>2780</v>
      </c>
      <c r="B755" s="204"/>
      <c r="C755" s="182"/>
      <c r="D755" s="182"/>
      <c r="E755" s="233" t="s">
        <v>3097</v>
      </c>
      <c r="F755" s="184"/>
      <c r="G755" s="185"/>
      <c r="H755" s="186"/>
      <c r="I755" s="186">
        <v>1</v>
      </c>
      <c r="J755" s="186"/>
      <c r="K755" s="187"/>
      <c r="L755" s="186"/>
      <c r="M755" s="186"/>
      <c r="N755" s="186"/>
      <c r="O755" s="187"/>
      <c r="P755" s="187"/>
      <c r="Q755" s="187"/>
      <c r="R755" s="187"/>
      <c r="S755" s="187"/>
      <c r="T755" s="187"/>
      <c r="U755" s="187"/>
      <c r="V755" s="187"/>
      <c r="W755" s="187"/>
      <c r="X755" s="189"/>
      <c r="Y755" s="189"/>
      <c r="Z755" s="189"/>
      <c r="AA755" s="190"/>
      <c r="AB755" s="186"/>
      <c r="AC755" s="344"/>
      <c r="AD755" s="186"/>
      <c r="AE755" s="186"/>
      <c r="AF755" s="186"/>
      <c r="AG755" s="186"/>
      <c r="AH755" s="186"/>
      <c r="AI755" s="191"/>
      <c r="AJ755" s="191"/>
      <c r="AK755" s="186"/>
      <c r="AL755" s="186"/>
      <c r="AM755" s="186"/>
      <c r="AN755" s="344"/>
      <c r="AO755" s="186"/>
      <c r="AP755" s="193"/>
      <c r="AQ755" s="193"/>
      <c r="AR755" s="191"/>
      <c r="AS755" s="194"/>
      <c r="AT755" s="195"/>
      <c r="AU755" s="425"/>
      <c r="AV755" s="425"/>
      <c r="AW755" s="425"/>
      <c r="AX755" s="425"/>
      <c r="AY755" s="425"/>
      <c r="AZ755" s="425"/>
      <c r="BA755" s="425"/>
      <c r="BB755" s="425"/>
      <c r="BC755" s="440"/>
      <c r="BD755" s="404">
        <f>SUM($AS$4:AS755)</f>
        <v>3999.7698715729334</v>
      </c>
      <c r="BE755" s="405">
        <f>SUM($AR$4:AR755)</f>
        <v>14173.582000000048</v>
      </c>
      <c r="BF755" s="330"/>
      <c r="BG755" s="330"/>
    </row>
    <row r="756" spans="1:59" ht="15.75" customHeight="1">
      <c r="A756" s="227" t="s">
        <v>2780</v>
      </c>
      <c r="B756" s="204">
        <v>45107</v>
      </c>
      <c r="C756" s="182" t="s">
        <v>1695</v>
      </c>
      <c r="D756" s="182" t="s">
        <v>93</v>
      </c>
      <c r="E756" s="233" t="s">
        <v>3098</v>
      </c>
      <c r="F756" s="184"/>
      <c r="G756" s="185"/>
      <c r="H756" s="186"/>
      <c r="I756" s="186">
        <v>1</v>
      </c>
      <c r="J756" s="186"/>
      <c r="K756" s="187"/>
      <c r="L756" s="186"/>
      <c r="M756" s="186"/>
      <c r="N756" s="186"/>
      <c r="O756" s="187"/>
      <c r="P756" s="187"/>
      <c r="Q756" s="187"/>
      <c r="R756" s="187"/>
      <c r="S756" s="187"/>
      <c r="T756" s="187"/>
      <c r="U756" s="187"/>
      <c r="V756" s="187"/>
      <c r="W756" s="187"/>
      <c r="X756" s="189"/>
      <c r="Y756" s="189"/>
      <c r="Z756" s="189"/>
      <c r="AA756" s="190"/>
      <c r="AB756" s="186"/>
      <c r="AC756" s="344"/>
      <c r="AD756" s="186"/>
      <c r="AE756" s="186"/>
      <c r="AF756" s="186"/>
      <c r="AG756" s="186"/>
      <c r="AH756" s="186"/>
      <c r="AI756" s="191"/>
      <c r="AJ756" s="191"/>
      <c r="AK756" s="186"/>
      <c r="AL756" s="186"/>
      <c r="AM756" s="186"/>
      <c r="AN756" s="344"/>
      <c r="AO756" s="186"/>
      <c r="AP756" s="193"/>
      <c r="AQ756" s="193"/>
      <c r="AR756" s="191"/>
      <c r="AS756" s="194"/>
      <c r="AT756" s="195"/>
      <c r="AU756" s="425"/>
      <c r="AV756" s="425"/>
      <c r="AW756" s="425"/>
      <c r="AX756" s="425"/>
      <c r="AY756" s="425"/>
      <c r="AZ756" s="425"/>
      <c r="BA756" s="425"/>
      <c r="BB756" s="425"/>
      <c r="BC756" s="440"/>
      <c r="BD756" s="404">
        <f>SUM($AS$4:AS756)</f>
        <v>3999.7698715729334</v>
      </c>
      <c r="BE756" s="405">
        <f>SUM($AR$4:AR756)</f>
        <v>14173.582000000048</v>
      </c>
      <c r="BF756" s="330"/>
      <c r="BG756" s="330"/>
    </row>
    <row r="757" spans="1:59" ht="15.75" customHeight="1">
      <c r="A757" s="227" t="s">
        <v>2780</v>
      </c>
      <c r="B757" s="204"/>
      <c r="C757" s="182"/>
      <c r="D757" s="182"/>
      <c r="E757" s="233" t="s">
        <v>3099</v>
      </c>
      <c r="F757" s="184"/>
      <c r="G757" s="185"/>
      <c r="H757" s="186"/>
      <c r="I757" s="186"/>
      <c r="J757" s="186">
        <v>1</v>
      </c>
      <c r="K757" s="187" t="s">
        <v>97</v>
      </c>
      <c r="L757" s="186"/>
      <c r="M757" s="186"/>
      <c r="N757" s="186"/>
      <c r="O757" s="187"/>
      <c r="P757" s="187"/>
      <c r="Q757" s="187"/>
      <c r="R757" s="187"/>
      <c r="S757" s="187"/>
      <c r="T757" s="187"/>
      <c r="U757" s="187"/>
      <c r="V757" s="187"/>
      <c r="W757" s="187"/>
      <c r="X757" s="189"/>
      <c r="Y757" s="189"/>
      <c r="Z757" s="189"/>
      <c r="AA757" s="190"/>
      <c r="AB757" s="186"/>
      <c r="AC757" s="344"/>
      <c r="AD757" s="186"/>
      <c r="AE757" s="186"/>
      <c r="AF757" s="186"/>
      <c r="AG757" s="186"/>
      <c r="AH757" s="186"/>
      <c r="AI757" s="191"/>
      <c r="AJ757" s="191"/>
      <c r="AK757" s="186"/>
      <c r="AL757" s="186"/>
      <c r="AM757" s="186"/>
      <c r="AN757" s="344"/>
      <c r="AO757" s="186"/>
      <c r="AP757" s="193"/>
      <c r="AQ757" s="193"/>
      <c r="AR757" s="191"/>
      <c r="AS757" s="194"/>
      <c r="AT757" s="195"/>
      <c r="AU757" s="425"/>
      <c r="AV757" s="425"/>
      <c r="AW757" s="425"/>
      <c r="AX757" s="425"/>
      <c r="AY757" s="425"/>
      <c r="AZ757" s="425"/>
      <c r="BA757" s="425"/>
      <c r="BB757" s="425"/>
      <c r="BC757" s="440"/>
      <c r="BD757" s="404">
        <f>SUM($AS$4:AS757)</f>
        <v>3999.7698715729334</v>
      </c>
      <c r="BE757" s="405">
        <f>SUM($AR$4:AR757)</f>
        <v>14173.582000000048</v>
      </c>
      <c r="BF757" s="330"/>
      <c r="BG757" s="330"/>
    </row>
    <row r="758" spans="1:59" ht="15.75" customHeight="1">
      <c r="A758" s="227" t="s">
        <v>2780</v>
      </c>
      <c r="B758" s="204"/>
      <c r="C758" s="182"/>
      <c r="D758" s="182"/>
      <c r="E758" s="233" t="s">
        <v>3100</v>
      </c>
      <c r="F758" s="184"/>
      <c r="G758" s="185"/>
      <c r="H758" s="186"/>
      <c r="I758" s="186"/>
      <c r="J758" s="186">
        <v>1</v>
      </c>
      <c r="K758" s="187" t="s">
        <v>97</v>
      </c>
      <c r="L758" s="186"/>
      <c r="M758" s="186"/>
      <c r="N758" s="186"/>
      <c r="O758" s="187"/>
      <c r="P758" s="187"/>
      <c r="Q758" s="187"/>
      <c r="R758" s="187"/>
      <c r="S758" s="187"/>
      <c r="T758" s="187"/>
      <c r="U758" s="187"/>
      <c r="V758" s="187"/>
      <c r="W758" s="187"/>
      <c r="X758" s="189"/>
      <c r="Y758" s="189"/>
      <c r="Z758" s="189"/>
      <c r="AA758" s="190"/>
      <c r="AB758" s="186"/>
      <c r="AC758" s="344"/>
      <c r="AD758" s="186"/>
      <c r="AE758" s="186"/>
      <c r="AF758" s="186"/>
      <c r="AG758" s="186"/>
      <c r="AH758" s="186"/>
      <c r="AI758" s="191"/>
      <c r="AJ758" s="191"/>
      <c r="AK758" s="186"/>
      <c r="AL758" s="186"/>
      <c r="AM758" s="186"/>
      <c r="AN758" s="344"/>
      <c r="AO758" s="186"/>
      <c r="AP758" s="193"/>
      <c r="AQ758" s="193"/>
      <c r="AR758" s="191"/>
      <c r="AS758" s="194"/>
      <c r="AT758" s="195"/>
      <c r="AU758" s="425"/>
      <c r="AV758" s="425"/>
      <c r="AW758" s="425"/>
      <c r="AX758" s="425"/>
      <c r="AY758" s="425"/>
      <c r="AZ758" s="425"/>
      <c r="BA758" s="425"/>
      <c r="BB758" s="425"/>
      <c r="BC758" s="440"/>
      <c r="BD758" s="404">
        <f>SUM($AS$4:AS758)</f>
        <v>3999.7698715729334</v>
      </c>
      <c r="BE758" s="405">
        <f>SUM($AR$4:AR758)</f>
        <v>14173.582000000048</v>
      </c>
      <c r="BF758" s="330"/>
      <c r="BG758" s="330"/>
    </row>
    <row r="759" spans="1:59" ht="15.75" customHeight="1">
      <c r="A759" s="227" t="s">
        <v>2780</v>
      </c>
      <c r="B759" s="204"/>
      <c r="C759" s="182"/>
      <c r="D759" s="182"/>
      <c r="E759" s="233" t="s">
        <v>3101</v>
      </c>
      <c r="F759" s="184"/>
      <c r="G759" s="185"/>
      <c r="H759" s="186">
        <v>1</v>
      </c>
      <c r="I759" s="186"/>
      <c r="J759" s="186"/>
      <c r="K759" s="187" t="s">
        <v>87</v>
      </c>
      <c r="L759" s="186"/>
      <c r="M759" s="186"/>
      <c r="N759" s="186"/>
      <c r="O759" s="187"/>
      <c r="P759" s="187"/>
      <c r="Q759" s="187"/>
      <c r="R759" s="187"/>
      <c r="S759" s="187"/>
      <c r="T759" s="187"/>
      <c r="U759" s="187"/>
      <c r="V759" s="187"/>
      <c r="W759" s="187"/>
      <c r="X759" s="189"/>
      <c r="Y759" s="189"/>
      <c r="Z759" s="189"/>
      <c r="AA759" s="190"/>
      <c r="AB759" s="186"/>
      <c r="AC759" s="344"/>
      <c r="AD759" s="186"/>
      <c r="AE759" s="186"/>
      <c r="AF759" s="186"/>
      <c r="AG759" s="186"/>
      <c r="AH759" s="186"/>
      <c r="AI759" s="191"/>
      <c r="AJ759" s="191"/>
      <c r="AK759" s="186"/>
      <c r="AL759" s="186"/>
      <c r="AM759" s="186"/>
      <c r="AN759" s="344"/>
      <c r="AO759" s="186"/>
      <c r="AP759" s="193"/>
      <c r="AQ759" s="193"/>
      <c r="AR759" s="191"/>
      <c r="AS759" s="194"/>
      <c r="AT759" s="195"/>
      <c r="AU759" s="425"/>
      <c r="AV759" s="425"/>
      <c r="AW759" s="425"/>
      <c r="AX759" s="425"/>
      <c r="AY759" s="425"/>
      <c r="AZ759" s="425"/>
      <c r="BA759" s="425"/>
      <c r="BB759" s="425"/>
      <c r="BC759" s="440"/>
      <c r="BD759" s="404">
        <f>SUM($AS$4:AS759)</f>
        <v>3999.7698715729334</v>
      </c>
      <c r="BE759" s="405">
        <f>SUM($AR$4:AR759)</f>
        <v>14173.582000000048</v>
      </c>
      <c r="BF759" s="330"/>
      <c r="BG759" s="330"/>
    </row>
    <row r="760" spans="1:59" ht="15.75" customHeight="1">
      <c r="A760" s="227" t="s">
        <v>2780</v>
      </c>
      <c r="B760" s="204"/>
      <c r="C760" s="182"/>
      <c r="D760" s="182"/>
      <c r="E760" s="233"/>
      <c r="F760" s="184"/>
      <c r="G760" s="185"/>
      <c r="H760" s="186"/>
      <c r="I760" s="186"/>
      <c r="J760" s="186"/>
      <c r="K760" s="187"/>
      <c r="L760" s="186"/>
      <c r="M760" s="186"/>
      <c r="N760" s="186"/>
      <c r="O760" s="187"/>
      <c r="P760" s="187"/>
      <c r="Q760" s="187"/>
      <c r="R760" s="187"/>
      <c r="S760" s="187"/>
      <c r="T760" s="187"/>
      <c r="U760" s="187"/>
      <c r="V760" s="187"/>
      <c r="W760" s="187"/>
      <c r="X760" s="189"/>
      <c r="Y760" s="189"/>
      <c r="Z760" s="189"/>
      <c r="AA760" s="190"/>
      <c r="AB760" s="186"/>
      <c r="AC760" s="344"/>
      <c r="AD760" s="186"/>
      <c r="AE760" s="186"/>
      <c r="AF760" s="186"/>
      <c r="AG760" s="186"/>
      <c r="AH760" s="186"/>
      <c r="AI760" s="191"/>
      <c r="AJ760" s="191"/>
      <c r="AK760" s="186"/>
      <c r="AL760" s="186"/>
      <c r="AM760" s="186"/>
      <c r="AN760" s="344"/>
      <c r="AO760" s="186"/>
      <c r="AP760" s="193"/>
      <c r="AQ760" s="193"/>
      <c r="AR760" s="191"/>
      <c r="AS760" s="194"/>
      <c r="AT760" s="195"/>
      <c r="AU760" s="425"/>
      <c r="AV760" s="425"/>
      <c r="AW760" s="425"/>
      <c r="AX760" s="425"/>
      <c r="AY760" s="425"/>
      <c r="AZ760" s="425"/>
      <c r="BA760" s="425"/>
      <c r="BB760" s="425"/>
      <c r="BC760" s="440"/>
      <c r="BD760" s="404">
        <f>SUM($AS$4:AS760)</f>
        <v>3999.7698715729334</v>
      </c>
      <c r="BE760" s="405">
        <f>SUM($AR$4:AR760)</f>
        <v>14173.582000000048</v>
      </c>
      <c r="BF760" s="330"/>
      <c r="BG760" s="330"/>
    </row>
    <row r="761" spans="1:59" ht="15.75" customHeight="1">
      <c r="A761" s="227" t="s">
        <v>2780</v>
      </c>
      <c r="B761" s="204"/>
      <c r="C761" s="182"/>
      <c r="D761" s="182"/>
      <c r="E761" s="233"/>
      <c r="F761" s="184"/>
      <c r="G761" s="185"/>
      <c r="H761" s="186"/>
      <c r="I761" s="186"/>
      <c r="J761" s="186"/>
      <c r="K761" s="187"/>
      <c r="L761" s="186"/>
      <c r="M761" s="186"/>
      <c r="N761" s="186"/>
      <c r="O761" s="187"/>
      <c r="P761" s="187"/>
      <c r="Q761" s="187"/>
      <c r="R761" s="187"/>
      <c r="S761" s="187"/>
      <c r="T761" s="187"/>
      <c r="U761" s="187"/>
      <c r="V761" s="187"/>
      <c r="W761" s="187"/>
      <c r="X761" s="189"/>
      <c r="Y761" s="189"/>
      <c r="Z761" s="189"/>
      <c r="AA761" s="190"/>
      <c r="AB761" s="186"/>
      <c r="AC761" s="344"/>
      <c r="AD761" s="186"/>
      <c r="AE761" s="186"/>
      <c r="AF761" s="186"/>
      <c r="AG761" s="186"/>
      <c r="AH761" s="186"/>
      <c r="AI761" s="191"/>
      <c r="AJ761" s="191"/>
      <c r="AK761" s="186"/>
      <c r="AL761" s="186"/>
      <c r="AM761" s="186"/>
      <c r="AN761" s="344"/>
      <c r="AO761" s="186"/>
      <c r="AP761" s="193"/>
      <c r="AQ761" s="193"/>
      <c r="AR761" s="191"/>
      <c r="AS761" s="194"/>
      <c r="AT761" s="195"/>
      <c r="AU761" s="435" t="s">
        <v>3102</v>
      </c>
      <c r="AV761" s="435" t="s">
        <v>3103</v>
      </c>
      <c r="AW761" s="425"/>
      <c r="AX761" s="425"/>
      <c r="AY761" s="425"/>
      <c r="AZ761" s="425"/>
      <c r="BA761" s="425"/>
      <c r="BB761" s="425"/>
      <c r="BC761" s="440"/>
      <c r="BD761" s="404">
        <f>SUM($AS$4:AS761)</f>
        <v>3999.7698715729334</v>
      </c>
      <c r="BE761" s="405">
        <f>SUM($AR$4:AR761)</f>
        <v>14173.582000000048</v>
      </c>
      <c r="BF761" s="330"/>
      <c r="BG761" s="330"/>
    </row>
    <row r="762" spans="1:59" ht="15.75" customHeight="1">
      <c r="A762" s="281" t="s">
        <v>3104</v>
      </c>
      <c r="B762" s="281"/>
      <c r="C762" s="218"/>
      <c r="D762" s="218"/>
      <c r="E762" s="219"/>
      <c r="F762" s="220"/>
      <c r="G762" s="218"/>
      <c r="H762" s="218"/>
      <c r="I762" s="218"/>
      <c r="J762" s="218"/>
      <c r="K762" s="221"/>
      <c r="L762" s="218"/>
      <c r="M762" s="218"/>
      <c r="N762" s="218"/>
      <c r="O762" s="221"/>
      <c r="P762" s="221"/>
      <c r="Q762" s="221"/>
      <c r="R762" s="221"/>
      <c r="S762" s="221"/>
      <c r="T762" s="221"/>
      <c r="U762" s="221"/>
      <c r="V762" s="222" t="str">
        <f t="shared" ref="V762:V763" si="1240">IF(ISBLANK(O762),"",(IF(O762=UPPER("IB"),0.005,0.01)))</f>
        <v/>
      </c>
      <c r="W762" s="222" t="str">
        <f t="shared" ref="W762:W763" si="1241">IF(ISBLANK(O762),"",IF(O762="IB",8.63*200,IF(O762="IR",16*100,IF(O762="YT",20*100,IF(O762="YT-XT",24*200,IF(O762="TED",80*100))))))</f>
        <v/>
      </c>
      <c r="X762" s="222"/>
      <c r="Y762" s="222"/>
      <c r="Z762" s="222"/>
      <c r="AA762" s="223"/>
      <c r="AB762" s="218"/>
      <c r="AC762" s="346"/>
      <c r="AD762" s="218"/>
      <c r="AE762" s="218"/>
      <c r="AF762" s="218"/>
      <c r="AG762" s="218"/>
      <c r="AH762" s="218"/>
      <c r="AI762" s="218"/>
      <c r="AJ762" s="218"/>
      <c r="AK762" s="218"/>
      <c r="AL762" s="218"/>
      <c r="AM762" s="218"/>
      <c r="AN762" s="346"/>
      <c r="AO762" s="218"/>
      <c r="AP762" s="218"/>
      <c r="AQ762" s="218"/>
      <c r="AR762" s="218"/>
      <c r="AS762" s="218"/>
      <c r="AT762" s="226"/>
      <c r="AU762" s="435"/>
      <c r="AV762" s="432"/>
      <c r="AW762" s="432"/>
      <c r="AX762" s="432"/>
      <c r="AY762" s="432"/>
      <c r="AZ762" s="432"/>
      <c r="BA762" s="432"/>
      <c r="BB762" s="432"/>
      <c r="BC762" s="432"/>
      <c r="BD762" s="404">
        <f>SUM($AS$4:AS762)</f>
        <v>3999.7698715729334</v>
      </c>
      <c r="BE762" s="405">
        <f>SUM($AR$4:AR762)</f>
        <v>14173.582000000048</v>
      </c>
      <c r="BF762" s="330"/>
      <c r="BG762" s="330"/>
    </row>
    <row r="763" spans="1:59" ht="15.75" customHeight="1">
      <c r="A763" s="227" t="s">
        <v>3105</v>
      </c>
      <c r="B763" s="181">
        <v>45108</v>
      </c>
      <c r="C763" s="182" t="s">
        <v>3106</v>
      </c>
      <c r="D763" s="182" t="s">
        <v>1657</v>
      </c>
      <c r="E763" s="233"/>
      <c r="F763" s="184"/>
      <c r="G763" s="185" t="s">
        <v>3107</v>
      </c>
      <c r="H763" s="186"/>
      <c r="I763" s="186"/>
      <c r="J763" s="186"/>
      <c r="K763" s="187"/>
      <c r="L763" s="186"/>
      <c r="M763" s="186"/>
      <c r="N763" s="186"/>
      <c r="O763" s="187"/>
      <c r="P763" s="187"/>
      <c r="Q763" s="187"/>
      <c r="R763" s="187"/>
      <c r="S763" s="187"/>
      <c r="T763" s="187"/>
      <c r="U763" s="187"/>
      <c r="V763" s="188"/>
      <c r="W763" s="189"/>
      <c r="X763" s="189"/>
      <c r="Y763" s="189"/>
      <c r="Z763" s="189"/>
      <c r="AA763" s="190"/>
      <c r="AB763" s="186"/>
      <c r="AC763" s="344"/>
      <c r="AD763" s="186"/>
      <c r="AE763" s="186"/>
      <c r="AF763" s="186"/>
      <c r="AG763" s="186"/>
      <c r="AH763" s="186"/>
      <c r="AI763" s="191"/>
      <c r="AJ763" s="191"/>
      <c r="AK763" s="186"/>
      <c r="AL763" s="186"/>
      <c r="AM763" s="186"/>
      <c r="AN763" s="344"/>
      <c r="AO763" s="186"/>
      <c r="AP763" s="193"/>
      <c r="AQ763" s="193"/>
      <c r="AR763" s="191"/>
      <c r="AS763" s="194"/>
      <c r="AT763" s="195"/>
      <c r="AU763" s="425" t="s">
        <v>3108</v>
      </c>
      <c r="AV763" s="425" t="s">
        <v>3109</v>
      </c>
      <c r="AW763" s="425"/>
      <c r="AX763" s="425"/>
      <c r="AY763" s="425"/>
      <c r="AZ763" s="425"/>
      <c r="BA763" s="425"/>
      <c r="BB763" s="425"/>
      <c r="BC763" s="440"/>
      <c r="BD763" s="404">
        <f>SUM($AS$4:AS763)</f>
        <v>3999.7698715729334</v>
      </c>
      <c r="BE763" s="407">
        <f>SUM($AR$4:AR763)</f>
        <v>14173.582000000048</v>
      </c>
      <c r="BF763" s="331"/>
      <c r="BG763" s="331"/>
    </row>
    <row r="764" spans="1:59" ht="15.75" customHeight="1">
      <c r="A764" s="227" t="s">
        <v>3105</v>
      </c>
      <c r="B764" s="181">
        <v>45108</v>
      </c>
      <c r="C764" s="182" t="s">
        <v>3106</v>
      </c>
      <c r="D764" s="182" t="s">
        <v>1657</v>
      </c>
      <c r="E764" s="233"/>
      <c r="F764" s="184"/>
      <c r="G764" s="291" t="s">
        <v>163</v>
      </c>
      <c r="H764" s="186"/>
      <c r="I764" s="186"/>
      <c r="J764" s="186"/>
      <c r="K764" s="187"/>
      <c r="L764" s="186">
        <v>1</v>
      </c>
      <c r="M764" s="186"/>
      <c r="N764" s="186"/>
      <c r="O764" s="187" t="s">
        <v>76</v>
      </c>
      <c r="P764" s="187" t="s">
        <v>77</v>
      </c>
      <c r="Q764" s="187" t="s">
        <v>78</v>
      </c>
      <c r="R764" s="187">
        <v>1</v>
      </c>
      <c r="S764" s="187">
        <v>0</v>
      </c>
      <c r="T764" s="187">
        <v>1</v>
      </c>
      <c r="U764" s="187" t="s">
        <v>78</v>
      </c>
      <c r="V764" s="188">
        <f t="shared" ref="V764:V772" si="1242">IF(ISBLANK(O764),"",(IF(O764=UPPER("IB"),0.005,0.01)))</f>
        <v>0.01</v>
      </c>
      <c r="W764" s="189">
        <f t="shared" ref="W764" si="1243">IF(ISBLANK(O764),"",IF(O764="IB",8.63*200,IF(O764="IR",16*100,IF(O764="YT",20*100,IF(O764="YT-XT",24*200,IF(O764="TED",80*100))))))</f>
        <v>1600</v>
      </c>
      <c r="X764" s="189" t="s">
        <v>80</v>
      </c>
      <c r="Y764" s="189"/>
      <c r="Z764" s="189" t="s">
        <v>3110</v>
      </c>
      <c r="AA764" s="190">
        <v>-0.06</v>
      </c>
      <c r="AB764" s="186"/>
      <c r="AC764" s="344" t="s">
        <v>3111</v>
      </c>
      <c r="AD764" s="186"/>
      <c r="AE764" s="186">
        <v>-7</v>
      </c>
      <c r="AF764" s="186"/>
      <c r="AG764" s="186"/>
      <c r="AH764" s="186"/>
      <c r="AI764" s="191">
        <f>-0.04*W764</f>
        <v>-64</v>
      </c>
      <c r="AJ764" s="191">
        <f t="shared" ref="AJ753:AJ764" si="1244">AI764*(R764-S764)</f>
        <v>-64</v>
      </c>
      <c r="AK764" s="186" t="s">
        <v>114</v>
      </c>
      <c r="AL764" s="186"/>
      <c r="AM764" s="186" t="s">
        <v>571</v>
      </c>
      <c r="AN764" s="344" t="s">
        <v>97</v>
      </c>
      <c r="AO764" s="186" t="s">
        <v>3112</v>
      </c>
      <c r="AP764" s="193">
        <v>-0.05</v>
      </c>
      <c r="AQ764" s="193">
        <f t="shared" ref="AQ753:AQ766" si="1245">IF(ISBLANK(AP764),,IF(U764="S",AA764-AP764,AP764-AA764))</f>
        <v>-9.999999999999995E-3</v>
      </c>
      <c r="AR764" s="191">
        <f t="shared" ref="AR753:AR766" si="1246">AS764*R764</f>
        <v>-15.999999999999993</v>
      </c>
      <c r="AS764" s="194">
        <f t="shared" ref="AS753:AS766" si="1247">IF(ISBLANK(AP764),,(AQ764*W764))</f>
        <v>-15.999999999999993</v>
      </c>
      <c r="AT764" s="195" t="s">
        <v>211</v>
      </c>
      <c r="AU764" s="425" t="s">
        <v>3113</v>
      </c>
      <c r="AV764" s="425" t="s">
        <v>3114</v>
      </c>
      <c r="AW764" s="425"/>
      <c r="AX764" s="425"/>
      <c r="AY764" s="425"/>
      <c r="AZ764" s="425"/>
      <c r="BA764" s="425"/>
      <c r="BB764" s="425"/>
      <c r="BC764" s="440"/>
      <c r="BD764" s="404">
        <f>SUM($AS$4:AS764)</f>
        <v>3983.7698715729334</v>
      </c>
      <c r="BE764" s="407">
        <f>SUM($AR$4:AR764)</f>
        <v>14157.582000000048</v>
      </c>
      <c r="BF764" s="331"/>
      <c r="BG764" s="331"/>
    </row>
    <row r="765" spans="1:59" ht="15.75" customHeight="1">
      <c r="A765" s="227" t="s">
        <v>3105</v>
      </c>
      <c r="B765" s="181">
        <v>45110</v>
      </c>
      <c r="C765" s="182" t="s">
        <v>2001</v>
      </c>
      <c r="D765" s="182" t="s">
        <v>114</v>
      </c>
      <c r="E765" s="497" t="s">
        <v>3115</v>
      </c>
      <c r="F765" s="184" t="s">
        <v>3116</v>
      </c>
      <c r="G765" s="185"/>
      <c r="H765" s="186">
        <v>1</v>
      </c>
      <c r="I765" s="186"/>
      <c r="J765" s="186"/>
      <c r="K765" s="187" t="s">
        <v>87</v>
      </c>
      <c r="L765" s="186"/>
      <c r="M765" s="186"/>
      <c r="N765" s="186"/>
      <c r="O765" s="187"/>
      <c r="P765" s="187"/>
      <c r="Q765" s="187"/>
      <c r="R765" s="187"/>
      <c r="S765" s="187"/>
      <c r="T765" s="187"/>
      <c r="U765" s="187"/>
      <c r="V765" s="188" t="str">
        <f t="shared" si="1242"/>
        <v/>
      </c>
      <c r="W765" s="189" t="str">
        <f t="shared" ref="W765:W774" si="1248">IF(ISBLANK(O765),"",IF(O765="IB",8.63*200,IF(O765="IR",16*100,IF(O765="YT",20*100,IF(O765="YT-XT",24*200,IF(O765="TED",80*100))))))</f>
        <v/>
      </c>
      <c r="X765" s="189"/>
      <c r="Y765" s="189"/>
      <c r="Z765" s="189"/>
      <c r="AA765" s="190"/>
      <c r="AB765" s="186"/>
      <c r="AC765" s="344"/>
      <c r="AD765" s="186"/>
      <c r="AE765" s="186"/>
      <c r="AF765" s="186"/>
      <c r="AG765" s="186"/>
      <c r="AH765" s="186"/>
      <c r="AI765" s="191"/>
      <c r="AJ765" s="191"/>
      <c r="AK765" s="186"/>
      <c r="AL765" s="186"/>
      <c r="AM765" s="186"/>
      <c r="AN765" s="344"/>
      <c r="AO765" s="186"/>
      <c r="AP765" s="193"/>
      <c r="AQ765" s="193"/>
      <c r="AR765" s="191"/>
      <c r="AS765" s="194"/>
      <c r="AT765" s="195"/>
      <c r="AU765" s="425"/>
      <c r="AV765" s="425"/>
      <c r="AW765" s="425"/>
      <c r="AX765" s="425"/>
      <c r="AY765" s="425"/>
      <c r="AZ765" s="425"/>
      <c r="BA765" s="425"/>
      <c r="BB765" s="425"/>
      <c r="BC765" s="440"/>
      <c r="BD765" s="404">
        <f>SUM($AS$4:AS765)</f>
        <v>3983.7698715729334</v>
      </c>
      <c r="BE765" s="407">
        <f>SUM($AR$4:AR765)</f>
        <v>14157.582000000048</v>
      </c>
      <c r="BF765" s="331"/>
      <c r="BG765" s="331"/>
    </row>
    <row r="766" spans="1:59" ht="15.75" customHeight="1">
      <c r="A766" s="227" t="s">
        <v>3105</v>
      </c>
      <c r="B766" s="181"/>
      <c r="C766" s="182"/>
      <c r="D766" s="182"/>
      <c r="E766" s="233"/>
      <c r="F766" s="184"/>
      <c r="G766" s="185"/>
      <c r="H766" s="186"/>
      <c r="I766" s="186"/>
      <c r="J766" s="186"/>
      <c r="K766" s="187"/>
      <c r="L766" s="186"/>
      <c r="M766" s="186"/>
      <c r="N766" s="186"/>
      <c r="O766" s="187"/>
      <c r="P766" s="187"/>
      <c r="Q766" s="187"/>
      <c r="R766" s="187"/>
      <c r="S766" s="187"/>
      <c r="T766" s="187"/>
      <c r="U766" s="187"/>
      <c r="V766" s="188"/>
      <c r="W766" s="189"/>
      <c r="X766" s="189"/>
      <c r="Y766" s="189"/>
      <c r="Z766" s="189"/>
      <c r="AA766" s="190"/>
      <c r="AB766" s="186"/>
      <c r="AC766" s="344"/>
      <c r="AD766" s="186"/>
      <c r="AE766" s="186"/>
      <c r="AF766" s="186"/>
      <c r="AG766" s="186"/>
      <c r="AH766" s="186"/>
      <c r="AI766" s="191"/>
      <c r="AJ766" s="191"/>
      <c r="AK766" s="186"/>
      <c r="AL766" s="186"/>
      <c r="AM766" s="186"/>
      <c r="AN766" s="344"/>
      <c r="AO766" s="186"/>
      <c r="AP766" s="193"/>
      <c r="AQ766" s="193"/>
      <c r="AR766" s="191"/>
      <c r="AS766" s="194"/>
      <c r="AT766" s="195"/>
      <c r="AU766" s="425" t="s">
        <v>3117</v>
      </c>
      <c r="AV766" s="425" t="s">
        <v>3118</v>
      </c>
      <c r="AW766" s="425"/>
      <c r="AX766" s="425"/>
      <c r="AY766" s="425"/>
      <c r="AZ766" s="425"/>
      <c r="BA766" s="425"/>
      <c r="BB766" s="425"/>
      <c r="BC766" s="440"/>
      <c r="BD766" s="404">
        <f>SUM($AS$4:AS766)</f>
        <v>3983.7698715729334</v>
      </c>
      <c r="BE766" s="407">
        <f>SUM($AR$4:AR766)</f>
        <v>14157.582000000048</v>
      </c>
      <c r="BF766" s="331"/>
      <c r="BG766" s="331"/>
    </row>
    <row r="767" spans="1:59" ht="15.75" customHeight="1">
      <c r="A767" s="227" t="s">
        <v>3105</v>
      </c>
      <c r="B767" s="181">
        <v>45110</v>
      </c>
      <c r="C767" s="182" t="s">
        <v>3119</v>
      </c>
      <c r="D767" s="182" t="s">
        <v>114</v>
      </c>
      <c r="E767" s="233"/>
      <c r="F767" s="184"/>
      <c r="G767" s="291" t="s">
        <v>2051</v>
      </c>
      <c r="H767" s="186"/>
      <c r="I767" s="186">
        <v>1</v>
      </c>
      <c r="J767" s="186"/>
      <c r="K767" s="187"/>
      <c r="L767" s="186">
        <v>1</v>
      </c>
      <c r="M767" s="186"/>
      <c r="N767" s="186"/>
      <c r="O767" s="187" t="s">
        <v>76</v>
      </c>
      <c r="P767" s="187" t="s">
        <v>119</v>
      </c>
      <c r="Q767" s="187" t="s">
        <v>78</v>
      </c>
      <c r="R767" s="187">
        <v>5</v>
      </c>
      <c r="S767" s="187"/>
      <c r="T767" s="187">
        <v>5</v>
      </c>
      <c r="U767" s="187" t="s">
        <v>78</v>
      </c>
      <c r="V767" s="188">
        <f t="shared" si="1242"/>
        <v>0.01</v>
      </c>
      <c r="W767" s="189">
        <f t="shared" si="1248"/>
        <v>1600</v>
      </c>
      <c r="X767" s="189"/>
      <c r="Y767" s="189"/>
      <c r="Z767" s="189" t="s">
        <v>3120</v>
      </c>
      <c r="AA767" s="190">
        <v>-0.15</v>
      </c>
      <c r="AB767" s="186"/>
      <c r="AC767" s="344"/>
      <c r="AD767" s="186"/>
      <c r="AE767" s="186"/>
      <c r="AF767" s="186"/>
      <c r="AG767" s="186"/>
      <c r="AH767" s="186"/>
      <c r="AI767" s="191"/>
      <c r="AJ767" s="191"/>
      <c r="AK767" s="186"/>
      <c r="AL767" s="186"/>
      <c r="AM767" s="186" t="s">
        <v>3121</v>
      </c>
      <c r="AN767" s="344" t="s">
        <v>87</v>
      </c>
      <c r="AO767" s="186" t="s">
        <v>715</v>
      </c>
      <c r="AP767" s="193">
        <v>-0.15</v>
      </c>
      <c r="AQ767" s="193">
        <f t="shared" ref="AQ766:AQ767" si="1249">IF(ISBLANK(AP767),,IF(U767="S",AA767-AP767,AP767-AA767))</f>
        <v>0</v>
      </c>
      <c r="AR767" s="191">
        <f t="shared" ref="AR766:AR767" si="1250">AS767*R767</f>
        <v>0</v>
      </c>
      <c r="AS767" s="194">
        <f t="shared" ref="AS766:AS767" si="1251">IF(ISBLANK(AP767),,(AQ767*W767))</f>
        <v>0</v>
      </c>
      <c r="AT767" s="195" t="s">
        <v>97</v>
      </c>
      <c r="AU767" s="425" t="s">
        <v>3122</v>
      </c>
      <c r="AV767" s="425"/>
      <c r="AW767" s="425"/>
      <c r="AX767" s="425"/>
      <c r="AY767" s="425"/>
      <c r="AZ767" s="425"/>
      <c r="BA767" s="425"/>
      <c r="BB767" s="425"/>
      <c r="BC767" s="440"/>
      <c r="BD767" s="404">
        <f>SUM($AS$4:AS767)</f>
        <v>3983.7698715729334</v>
      </c>
      <c r="BE767" s="407">
        <f>SUM($AR$4:AR767)</f>
        <v>14157.582000000048</v>
      </c>
      <c r="BF767" s="331"/>
      <c r="BG767" s="331"/>
    </row>
    <row r="768" spans="1:59" ht="15.75" customHeight="1">
      <c r="A768" s="227" t="s">
        <v>3105</v>
      </c>
      <c r="B768" s="181">
        <v>45111</v>
      </c>
      <c r="C768" s="182" t="s">
        <v>2842</v>
      </c>
      <c r="D768" s="182" t="s">
        <v>3123</v>
      </c>
      <c r="E768" s="233" t="s">
        <v>3124</v>
      </c>
      <c r="F768" s="184"/>
      <c r="G768" s="185"/>
      <c r="H768" s="186"/>
      <c r="I768" s="186"/>
      <c r="J768" s="186"/>
      <c r="K768" s="187"/>
      <c r="L768" s="186"/>
      <c r="M768" s="186"/>
      <c r="N768" s="186"/>
      <c r="O768" s="187"/>
      <c r="P768" s="187"/>
      <c r="Q768" s="187"/>
      <c r="R768" s="187"/>
      <c r="S768" s="187"/>
      <c r="T768" s="187"/>
      <c r="U768" s="187"/>
      <c r="V768" s="188" t="str">
        <f t="shared" si="1242"/>
        <v/>
      </c>
      <c r="W768" s="189" t="str">
        <f t="shared" si="1248"/>
        <v/>
      </c>
      <c r="X768" s="189"/>
      <c r="Y768" s="189"/>
      <c r="Z768" s="189"/>
      <c r="AA768" s="190"/>
      <c r="AB768" s="186"/>
      <c r="AC768" s="344"/>
      <c r="AD768" s="186"/>
      <c r="AE768" s="186"/>
      <c r="AF768" s="186"/>
      <c r="AG768" s="186"/>
      <c r="AH768" s="186"/>
      <c r="AI768" s="191"/>
      <c r="AJ768" s="191"/>
      <c r="AK768" s="186"/>
      <c r="AL768" s="186"/>
      <c r="AM768" s="186"/>
      <c r="AN768" s="344"/>
      <c r="AO768" s="186"/>
      <c r="AP768" s="193"/>
      <c r="AQ768" s="193"/>
      <c r="AR768" s="191"/>
      <c r="AS768" s="194"/>
      <c r="AT768" s="195"/>
      <c r="AU768" s="425"/>
      <c r="AV768" s="425"/>
      <c r="AW768" s="425"/>
      <c r="AX768" s="425"/>
      <c r="AY768" s="425"/>
      <c r="AZ768" s="425"/>
      <c r="BA768" s="425"/>
      <c r="BB768" s="425"/>
      <c r="BC768" s="440"/>
      <c r="BD768" s="404">
        <f>SUM($AS$4:AS768)</f>
        <v>3983.7698715729334</v>
      </c>
      <c r="BE768" s="407">
        <f>SUM($AR$4:AR768)</f>
        <v>14157.582000000048</v>
      </c>
      <c r="BF768" s="331"/>
      <c r="BG768" s="331"/>
    </row>
    <row r="769" spans="1:59" ht="15.75" customHeight="1">
      <c r="A769" s="227" t="s">
        <v>3105</v>
      </c>
      <c r="B769" s="181">
        <v>45111</v>
      </c>
      <c r="C769" s="182" t="s">
        <v>664</v>
      </c>
      <c r="D769" s="182" t="s">
        <v>128</v>
      </c>
      <c r="E769" s="233"/>
      <c r="F769" s="184"/>
      <c r="G769" s="291" t="s">
        <v>965</v>
      </c>
      <c r="H769" s="186"/>
      <c r="I769" s="186"/>
      <c r="J769" s="186"/>
      <c r="K769" s="187"/>
      <c r="L769" s="186">
        <v>2</v>
      </c>
      <c r="M769" s="186"/>
      <c r="N769" s="186"/>
      <c r="O769" s="187" t="s">
        <v>76</v>
      </c>
      <c r="P769" s="187" t="s">
        <v>77</v>
      </c>
      <c r="Q769" s="187" t="s">
        <v>666</v>
      </c>
      <c r="R769" s="187">
        <v>1</v>
      </c>
      <c r="S769" s="187">
        <v>0</v>
      </c>
      <c r="T769" s="187">
        <v>1</v>
      </c>
      <c r="U769" s="187" t="s">
        <v>78</v>
      </c>
      <c r="V769" s="188">
        <f t="shared" si="1242"/>
        <v>0.01</v>
      </c>
      <c r="W769" s="189">
        <f t="shared" si="1248"/>
        <v>1600</v>
      </c>
      <c r="X769" s="189" t="s">
        <v>1533</v>
      </c>
      <c r="Y769" s="189"/>
      <c r="Z769" s="189"/>
      <c r="AA769" s="190">
        <v>95.42</v>
      </c>
      <c r="AB769" s="186"/>
      <c r="AC769" s="344"/>
      <c r="AD769" s="186"/>
      <c r="AE769" s="186"/>
      <c r="AF769" s="186"/>
      <c r="AG769" s="186"/>
      <c r="AH769" s="186"/>
      <c r="AI769" s="191"/>
      <c r="AJ769" s="191"/>
      <c r="AK769" s="186"/>
      <c r="AL769" s="186"/>
      <c r="AM769" s="186" t="s">
        <v>3125</v>
      </c>
      <c r="AN769" s="344" t="s">
        <v>376</v>
      </c>
      <c r="AO769" s="186" t="s">
        <v>3126</v>
      </c>
      <c r="AP769" s="193">
        <v>95.39</v>
      </c>
      <c r="AQ769" s="193">
        <f t="shared" ref="AQ768:AQ769" si="1252">IF(ISBLANK(AP769),,IF(U769="S",AA769-AP769,AP769-AA769))</f>
        <v>3.0000000000001137E-2</v>
      </c>
      <c r="AR769" s="191">
        <f t="shared" ref="AR768:AR769" si="1253">AS769*R769</f>
        <v>48.000000000001819</v>
      </c>
      <c r="AS769" s="194">
        <f t="shared" ref="AS768:AS769" si="1254">IF(ISBLANK(AP769),,(AQ769*W769))</f>
        <v>48.000000000001819</v>
      </c>
      <c r="AT769" s="195" t="s">
        <v>77</v>
      </c>
      <c r="AU769" s="425" t="s">
        <v>3127</v>
      </c>
      <c r="AV769" s="425" t="s">
        <v>3128</v>
      </c>
      <c r="AW769" s="425" t="s">
        <v>3129</v>
      </c>
      <c r="AX769" s="425"/>
      <c r="AY769" s="425"/>
      <c r="AZ769" s="425"/>
      <c r="BA769" s="425"/>
      <c r="BB769" s="425"/>
      <c r="BC769" s="440"/>
      <c r="BD769" s="404">
        <f>SUM($AS$4:AS769)</f>
        <v>4031.7698715729352</v>
      </c>
      <c r="BE769" s="407">
        <f>SUM($AR$4:AR769)</f>
        <v>14205.582000000049</v>
      </c>
      <c r="BF769" s="331"/>
      <c r="BG769" s="331"/>
    </row>
    <row r="770" spans="1:59" ht="15.75" customHeight="1">
      <c r="A770" s="227" t="s">
        <v>3105</v>
      </c>
      <c r="B770" s="181">
        <v>45111</v>
      </c>
      <c r="C770" s="182" t="s">
        <v>3130</v>
      </c>
      <c r="D770" s="182" t="s">
        <v>128</v>
      </c>
      <c r="E770" s="233"/>
      <c r="F770" s="184"/>
      <c r="G770" s="185" t="s">
        <v>163</v>
      </c>
      <c r="H770" s="186"/>
      <c r="I770" s="186"/>
      <c r="J770" s="186"/>
      <c r="K770" s="187"/>
      <c r="L770" s="186"/>
      <c r="M770" s="186"/>
      <c r="N770" s="186"/>
      <c r="O770" s="187"/>
      <c r="P770" s="187"/>
      <c r="Q770" s="187"/>
      <c r="R770" s="187"/>
      <c r="S770" s="187"/>
      <c r="T770" s="187"/>
      <c r="U770" s="187"/>
      <c r="V770" s="188"/>
      <c r="W770" s="189"/>
      <c r="X770" s="189"/>
      <c r="Y770" s="189"/>
      <c r="Z770" s="189"/>
      <c r="AA770" s="190"/>
      <c r="AB770" s="186"/>
      <c r="AC770" s="344"/>
      <c r="AD770" s="186"/>
      <c r="AE770" s="186"/>
      <c r="AF770" s="186"/>
      <c r="AG770" s="186"/>
      <c r="AH770" s="186"/>
      <c r="AI770" s="191"/>
      <c r="AJ770" s="191"/>
      <c r="AK770" s="186"/>
      <c r="AL770" s="186"/>
      <c r="AM770" s="186"/>
      <c r="AN770" s="344"/>
      <c r="AO770" s="186"/>
      <c r="AP770" s="193"/>
      <c r="AQ770" s="193"/>
      <c r="AR770" s="191"/>
      <c r="AS770" s="194"/>
      <c r="AT770" s="195"/>
      <c r="AU770" s="425" t="s">
        <v>3131</v>
      </c>
      <c r="AV770" s="425"/>
      <c r="AW770" s="425"/>
      <c r="AX770" s="425"/>
      <c r="AY770" s="425"/>
      <c r="AZ770" s="425"/>
      <c r="BA770" s="425"/>
      <c r="BB770" s="425"/>
      <c r="BC770" s="440"/>
      <c r="BD770" s="404">
        <f>SUM($AS$4:AS770)</f>
        <v>4031.7698715729352</v>
      </c>
      <c r="BE770" s="407">
        <f>SUM($AR$4:AR770)</f>
        <v>14205.582000000049</v>
      </c>
      <c r="BF770" s="331"/>
      <c r="BG770" s="331"/>
    </row>
    <row r="771" spans="1:59" ht="15.75" customHeight="1">
      <c r="A771" s="227" t="s">
        <v>3105</v>
      </c>
      <c r="B771" s="181">
        <v>45111</v>
      </c>
      <c r="C771" s="182" t="s">
        <v>1812</v>
      </c>
      <c r="D771" s="182" t="s">
        <v>128</v>
      </c>
      <c r="E771" s="233"/>
      <c r="F771" s="184"/>
      <c r="G771" s="185" t="s">
        <v>3132</v>
      </c>
      <c r="H771" s="186"/>
      <c r="I771" s="186"/>
      <c r="J771" s="186"/>
      <c r="K771" s="187"/>
      <c r="L771" s="186"/>
      <c r="M771" s="186"/>
      <c r="N771" s="186"/>
      <c r="O771" s="187"/>
      <c r="P771" s="187"/>
      <c r="Q771" s="187"/>
      <c r="R771" s="187"/>
      <c r="S771" s="187"/>
      <c r="T771" s="187"/>
      <c r="U771" s="187"/>
      <c r="V771" s="188"/>
      <c r="W771" s="189"/>
      <c r="X771" s="189"/>
      <c r="Y771" s="189"/>
      <c r="Z771" s="189"/>
      <c r="AA771" s="190"/>
      <c r="AB771" s="186"/>
      <c r="AC771" s="344"/>
      <c r="AD771" s="186"/>
      <c r="AE771" s="186"/>
      <c r="AF771" s="186"/>
      <c r="AG771" s="186"/>
      <c r="AH771" s="186"/>
      <c r="AI771" s="191"/>
      <c r="AJ771" s="191"/>
      <c r="AK771" s="186"/>
      <c r="AL771" s="186"/>
      <c r="AM771" s="186"/>
      <c r="AN771" s="344"/>
      <c r="AO771" s="186"/>
      <c r="AP771" s="193"/>
      <c r="AQ771" s="193"/>
      <c r="AR771" s="191"/>
      <c r="AS771" s="194"/>
      <c r="AT771" s="195"/>
      <c r="AU771" s="425" t="s">
        <v>3133</v>
      </c>
      <c r="AV771" s="425"/>
      <c r="AW771" s="425"/>
      <c r="AX771" s="425"/>
      <c r="AY771" s="425"/>
      <c r="AZ771" s="425"/>
      <c r="BA771" s="425"/>
      <c r="BB771" s="425"/>
      <c r="BC771" s="440"/>
      <c r="BD771" s="404">
        <f>SUM($AS$4:AS771)</f>
        <v>4031.7698715729352</v>
      </c>
      <c r="BE771" s="407">
        <f>SUM($AR$4:AR771)</f>
        <v>14205.582000000049</v>
      </c>
      <c r="BF771" s="331"/>
      <c r="BG771" s="331"/>
    </row>
    <row r="772" spans="1:59" ht="15.75" customHeight="1">
      <c r="A772" s="227" t="s">
        <v>3105</v>
      </c>
      <c r="B772" s="181">
        <v>45112</v>
      </c>
      <c r="C772" s="182" t="s">
        <v>3134</v>
      </c>
      <c r="D772" s="182" t="s">
        <v>133</v>
      </c>
      <c r="E772" s="233"/>
      <c r="F772" s="184"/>
      <c r="G772" s="291" t="s">
        <v>3135</v>
      </c>
      <c r="H772" s="186"/>
      <c r="I772" s="186"/>
      <c r="J772" s="186"/>
      <c r="K772" s="187"/>
      <c r="L772" s="186">
        <v>1</v>
      </c>
      <c r="M772" s="186">
        <v>1</v>
      </c>
      <c r="N772" s="186"/>
      <c r="O772" s="187" t="s">
        <v>76</v>
      </c>
      <c r="P772" s="187" t="s">
        <v>119</v>
      </c>
      <c r="Q772" s="187" t="s">
        <v>238</v>
      </c>
      <c r="R772" s="187">
        <v>15</v>
      </c>
      <c r="S772" s="187">
        <v>5</v>
      </c>
      <c r="T772" s="187">
        <v>15</v>
      </c>
      <c r="U772" s="187" t="s">
        <v>22</v>
      </c>
      <c r="V772" s="188">
        <f t="shared" si="1242"/>
        <v>0.01</v>
      </c>
      <c r="W772" s="189">
        <f t="shared" si="1248"/>
        <v>1600</v>
      </c>
      <c r="X772" s="189" t="s">
        <v>3136</v>
      </c>
      <c r="Y772" s="189"/>
      <c r="Z772" s="189" t="s">
        <v>3137</v>
      </c>
      <c r="AA772" s="190">
        <v>-0.06</v>
      </c>
      <c r="AB772" s="186"/>
      <c r="AC772" s="344"/>
      <c r="AD772" s="186"/>
      <c r="AE772" s="186"/>
      <c r="AF772" s="186"/>
      <c r="AG772" s="186"/>
      <c r="AH772" s="186"/>
      <c r="AI772" s="191">
        <f>-0.025*W772</f>
        <v>-40</v>
      </c>
      <c r="AJ772" s="191">
        <f t="shared" ref="AJ772" si="1255">AI772*(R772-S772)</f>
        <v>-400</v>
      </c>
      <c r="AK772" s="186"/>
      <c r="AL772" s="186"/>
      <c r="AM772" s="186" t="s">
        <v>879</v>
      </c>
      <c r="AN772" s="344" t="s">
        <v>77</v>
      </c>
      <c r="AO772" s="308">
        <v>45126</v>
      </c>
      <c r="AP772" s="193">
        <f>((-0.06*5)+(-0.06*10))/15</f>
        <v>-5.9999999999999991E-2</v>
      </c>
      <c r="AQ772" s="193">
        <f t="shared" ref="AQ770:AQ781" si="1256">IF(ISBLANK(AP772),,IF(U772="S",AA772-AP772,AP772-AA772))</f>
        <v>6.9388939039072284E-18</v>
      </c>
      <c r="AR772" s="191">
        <f t="shared" ref="AR770:AR781" si="1257">AS772*R772</f>
        <v>1.6653345369377348E-13</v>
      </c>
      <c r="AS772" s="194">
        <f t="shared" ref="AS770:AS781" si="1258">IF(ISBLANK(AP772),,(AQ772*W772))</f>
        <v>1.1102230246251565E-14</v>
      </c>
      <c r="AT772" s="195" t="s">
        <v>97</v>
      </c>
      <c r="AU772" s="425" t="s">
        <v>3138</v>
      </c>
      <c r="AV772" s="425" t="s">
        <v>3139</v>
      </c>
      <c r="AW772" s="425" t="s">
        <v>3140</v>
      </c>
      <c r="AX772" s="425"/>
      <c r="AY772" s="425"/>
      <c r="AZ772" s="425"/>
      <c r="BA772" s="425"/>
      <c r="BB772" s="425"/>
      <c r="BC772" s="440"/>
      <c r="BD772" s="404">
        <f>SUM($AS$4:AS772)</f>
        <v>4031.7698715729352</v>
      </c>
      <c r="BE772" s="407">
        <f>SUM($AR$4:AR772)</f>
        <v>14205.582000000049</v>
      </c>
      <c r="BF772" s="331"/>
      <c r="BG772" s="331"/>
    </row>
    <row r="773" spans="1:59" ht="15.75" customHeight="1">
      <c r="A773" s="227" t="s">
        <v>3105</v>
      </c>
      <c r="B773" s="181">
        <v>45112</v>
      </c>
      <c r="C773" s="182" t="s">
        <v>1791</v>
      </c>
      <c r="D773" s="182" t="s">
        <v>133</v>
      </c>
      <c r="E773" s="233"/>
      <c r="F773" s="184"/>
      <c r="G773" s="185" t="s">
        <v>163</v>
      </c>
      <c r="H773" s="186"/>
      <c r="I773" s="186"/>
      <c r="J773" s="186"/>
      <c r="K773" s="187"/>
      <c r="L773" s="186"/>
      <c r="M773" s="186"/>
      <c r="N773" s="186"/>
      <c r="O773" s="187"/>
      <c r="P773" s="187"/>
      <c r="Q773" s="187"/>
      <c r="R773" s="187"/>
      <c r="S773" s="187"/>
      <c r="T773" s="187"/>
      <c r="U773" s="187"/>
      <c r="V773" s="188"/>
      <c r="W773" s="189"/>
      <c r="X773" s="189"/>
      <c r="Y773" s="189"/>
      <c r="Z773" s="189"/>
      <c r="AA773" s="190"/>
      <c r="AB773" s="186"/>
      <c r="AC773" s="344"/>
      <c r="AD773" s="186"/>
      <c r="AE773" s="186"/>
      <c r="AF773" s="186"/>
      <c r="AG773" s="186"/>
      <c r="AH773" s="186"/>
      <c r="AI773" s="191"/>
      <c r="AJ773" s="191"/>
      <c r="AK773" s="186"/>
      <c r="AL773" s="186"/>
      <c r="AM773" s="186"/>
      <c r="AN773" s="344"/>
      <c r="AO773" s="186"/>
      <c r="AP773" s="193"/>
      <c r="AQ773" s="193"/>
      <c r="AR773" s="191"/>
      <c r="AS773" s="194"/>
      <c r="AT773" s="195"/>
      <c r="AU773" s="425"/>
      <c r="AV773" s="425"/>
      <c r="AW773" s="425"/>
      <c r="AX773" s="425"/>
      <c r="AY773" s="425"/>
      <c r="AZ773" s="425"/>
      <c r="BA773" s="425"/>
      <c r="BB773" s="425"/>
      <c r="BC773" s="440"/>
      <c r="BD773" s="404">
        <f>SUM($AS$4:AS773)</f>
        <v>4031.7698715729352</v>
      </c>
      <c r="BE773" s="407">
        <f>SUM($AR$4:AR773)</f>
        <v>14205.582000000049</v>
      </c>
      <c r="BF773" s="331"/>
      <c r="BG773" s="331"/>
    </row>
    <row r="774" spans="1:59" ht="15.75" customHeight="1">
      <c r="A774" s="227" t="s">
        <v>3105</v>
      </c>
      <c r="B774" s="181">
        <v>45112</v>
      </c>
      <c r="C774" s="182" t="s">
        <v>3141</v>
      </c>
      <c r="D774" s="182" t="s">
        <v>133</v>
      </c>
      <c r="E774" s="233"/>
      <c r="F774" s="184"/>
      <c r="G774" s="185" t="s">
        <v>1997</v>
      </c>
      <c r="H774" s="186"/>
      <c r="I774" s="186"/>
      <c r="J774" s="186"/>
      <c r="K774" s="187"/>
      <c r="L774" s="186"/>
      <c r="M774" s="186"/>
      <c r="N774" s="186"/>
      <c r="O774" s="187"/>
      <c r="P774" s="187"/>
      <c r="Q774" s="187"/>
      <c r="R774" s="187"/>
      <c r="S774" s="187"/>
      <c r="T774" s="187"/>
      <c r="U774" s="187"/>
      <c r="V774" s="188"/>
      <c r="W774" s="189"/>
      <c r="X774" s="189"/>
      <c r="Y774" s="189"/>
      <c r="Z774" s="189"/>
      <c r="AA774" s="190"/>
      <c r="AB774" s="186"/>
      <c r="AC774" s="344"/>
      <c r="AD774" s="186"/>
      <c r="AE774" s="186"/>
      <c r="AF774" s="186"/>
      <c r="AG774" s="186"/>
      <c r="AH774" s="186"/>
      <c r="AI774" s="191"/>
      <c r="AJ774" s="191"/>
      <c r="AK774" s="186"/>
      <c r="AL774" s="186"/>
      <c r="AM774" s="186"/>
      <c r="AN774" s="344"/>
      <c r="AO774" s="186"/>
      <c r="AP774" s="193"/>
      <c r="AQ774" s="193"/>
      <c r="AR774" s="191"/>
      <c r="AS774" s="194"/>
      <c r="AT774" s="195"/>
      <c r="AU774" s="425"/>
      <c r="AV774" s="425"/>
      <c r="AW774" s="425"/>
      <c r="AX774" s="425"/>
      <c r="AY774" s="425"/>
      <c r="AZ774" s="425"/>
      <c r="BA774" s="425"/>
      <c r="BB774" s="425"/>
      <c r="BC774" s="440"/>
      <c r="BD774" s="404">
        <f>SUM($AS$4:AS774)</f>
        <v>4031.7698715729352</v>
      </c>
      <c r="BE774" s="407">
        <f>SUM($AR$4:AR774)</f>
        <v>14205.582000000049</v>
      </c>
      <c r="BF774" s="331"/>
      <c r="BG774" s="331"/>
    </row>
    <row r="775" spans="1:59" ht="15.75" customHeight="1">
      <c r="A775" s="227" t="s">
        <v>3105</v>
      </c>
      <c r="B775" s="181">
        <v>45113</v>
      </c>
      <c r="C775" s="182" t="s">
        <v>2103</v>
      </c>
      <c r="D775" s="182" t="s">
        <v>74</v>
      </c>
      <c r="E775" s="233" t="s">
        <v>3142</v>
      </c>
      <c r="F775" s="184" t="s">
        <v>3143</v>
      </c>
      <c r="G775" s="185"/>
      <c r="H775" s="186">
        <v>1</v>
      </c>
      <c r="I775" s="186"/>
      <c r="J775" s="186"/>
      <c r="K775" s="187" t="s">
        <v>87</v>
      </c>
      <c r="L775" s="186"/>
      <c r="M775" s="186"/>
      <c r="N775" s="186"/>
      <c r="O775" s="187"/>
      <c r="P775" s="187"/>
      <c r="Q775" s="187"/>
      <c r="R775" s="187"/>
      <c r="S775" s="187"/>
      <c r="T775" s="187"/>
      <c r="U775" s="187"/>
      <c r="V775" s="187"/>
      <c r="W775" s="189" t="str">
        <f t="shared" ref="W775:W816" si="1259">IF(ISBLANK(O775),"",IF(O775="IB",8.63*200,IF(O775="IR",16*100,IF(O775="YT",20*100,IF(O775="YT-XT",24*200,IF(O775="TED",80*100))))))</f>
        <v/>
      </c>
      <c r="X775" s="189"/>
      <c r="Y775" s="189"/>
      <c r="Z775" s="189"/>
      <c r="AA775" s="190"/>
      <c r="AB775" s="186"/>
      <c r="AC775" s="344"/>
      <c r="AD775" s="186"/>
      <c r="AE775" s="186"/>
      <c r="AF775" s="186"/>
      <c r="AG775" s="186"/>
      <c r="AH775" s="186"/>
      <c r="AI775" s="191"/>
      <c r="AJ775" s="191"/>
      <c r="AK775" s="186"/>
      <c r="AL775" s="186"/>
      <c r="AM775" s="186"/>
      <c r="AN775" s="344"/>
      <c r="AO775" s="186"/>
      <c r="AP775" s="193"/>
      <c r="AQ775" s="193"/>
      <c r="AR775" s="191"/>
      <c r="AS775" s="194"/>
      <c r="AT775" s="195"/>
      <c r="AU775" s="425" t="s">
        <v>3144</v>
      </c>
      <c r="AV775" s="425" t="s">
        <v>3145</v>
      </c>
      <c r="AW775" s="425" t="s">
        <v>3146</v>
      </c>
      <c r="AX775" s="425" t="s">
        <v>3147</v>
      </c>
      <c r="AY775" s="425"/>
      <c r="AZ775" s="425"/>
      <c r="BA775" s="425"/>
      <c r="BB775" s="425"/>
      <c r="BC775" s="440"/>
      <c r="BD775" s="404">
        <f>SUM($AS$4:AS775)</f>
        <v>4031.7698715729352</v>
      </c>
      <c r="BE775" s="407">
        <f>SUM($AR$4:AR775)</f>
        <v>14205.582000000049</v>
      </c>
      <c r="BF775" s="331"/>
      <c r="BG775" s="331"/>
    </row>
    <row r="776" spans="1:59" ht="15.75" customHeight="1">
      <c r="A776" s="227" t="s">
        <v>3105</v>
      </c>
      <c r="B776" s="181">
        <v>45113</v>
      </c>
      <c r="C776" s="182" t="s">
        <v>664</v>
      </c>
      <c r="D776" s="182" t="s">
        <v>74</v>
      </c>
      <c r="E776" s="233"/>
      <c r="F776" s="184"/>
      <c r="G776" s="185" t="s">
        <v>75</v>
      </c>
      <c r="H776" s="186"/>
      <c r="I776" s="186"/>
      <c r="J776" s="186"/>
      <c r="K776" s="187"/>
      <c r="L776" s="186"/>
      <c r="M776" s="186"/>
      <c r="N776" s="186"/>
      <c r="O776" s="187"/>
      <c r="P776" s="187"/>
      <c r="Q776" s="187"/>
      <c r="R776" s="187"/>
      <c r="S776" s="187"/>
      <c r="T776" s="187"/>
      <c r="U776" s="187"/>
      <c r="V776" s="188"/>
      <c r="W776" s="189"/>
      <c r="X776" s="189"/>
      <c r="Y776" s="189"/>
      <c r="Z776" s="189"/>
      <c r="AA776" s="190"/>
      <c r="AB776" s="186"/>
      <c r="AC776" s="344"/>
      <c r="AD776" s="186"/>
      <c r="AE776" s="186"/>
      <c r="AF776" s="186"/>
      <c r="AG776" s="186"/>
      <c r="AH776" s="186"/>
      <c r="AI776" s="191"/>
      <c r="AJ776" s="191"/>
      <c r="AK776" s="186"/>
      <c r="AL776" s="186"/>
      <c r="AM776" s="186"/>
      <c r="AN776" s="344"/>
      <c r="AO776" s="186"/>
      <c r="AP776" s="193"/>
      <c r="AQ776" s="193"/>
      <c r="AR776" s="191"/>
      <c r="AS776" s="194"/>
      <c r="AT776" s="195"/>
      <c r="AU776" s="425"/>
      <c r="AV776" s="425"/>
      <c r="AW776" s="425"/>
      <c r="AX776" s="425"/>
      <c r="AY776" s="425"/>
      <c r="AZ776" s="425"/>
      <c r="BA776" s="425"/>
      <c r="BB776" s="425"/>
      <c r="BC776" s="440"/>
      <c r="BD776" s="404">
        <f>SUM($AS$4:AS776)</f>
        <v>4031.7698715729352</v>
      </c>
      <c r="BE776" s="407">
        <f>SUM($AR$4:AR776)</f>
        <v>14205.582000000049</v>
      </c>
      <c r="BF776" s="331"/>
      <c r="BG776" s="331"/>
    </row>
    <row r="777" spans="1:59" ht="15.75" customHeight="1">
      <c r="A777" s="227" t="s">
        <v>3105</v>
      </c>
      <c r="B777" s="181">
        <v>45113</v>
      </c>
      <c r="C777" s="182" t="s">
        <v>1695</v>
      </c>
      <c r="D777" s="182" t="s">
        <v>74</v>
      </c>
      <c r="E777" s="233" t="s">
        <v>3148</v>
      </c>
      <c r="F777" s="184"/>
      <c r="G777" s="185"/>
      <c r="H777" s="186"/>
      <c r="I777" s="186"/>
      <c r="J777" s="186">
        <v>1</v>
      </c>
      <c r="K777" s="187" t="s">
        <v>87</v>
      </c>
      <c r="L777" s="186"/>
      <c r="M777" s="186"/>
      <c r="N777" s="186"/>
      <c r="O777" s="187"/>
      <c r="P777" s="187"/>
      <c r="Q777" s="187"/>
      <c r="R777" s="187"/>
      <c r="S777" s="187"/>
      <c r="T777" s="187"/>
      <c r="U777" s="187"/>
      <c r="V777" s="187"/>
      <c r="W777" s="189" t="str">
        <f t="shared" si="1259"/>
        <v/>
      </c>
      <c r="X777" s="189"/>
      <c r="Y777" s="189"/>
      <c r="Z777" s="189"/>
      <c r="AA777" s="190"/>
      <c r="AB777" s="186"/>
      <c r="AC777" s="344"/>
      <c r="AD777" s="186"/>
      <c r="AE777" s="186"/>
      <c r="AF777" s="186"/>
      <c r="AG777" s="186"/>
      <c r="AH777" s="186"/>
      <c r="AI777" s="191"/>
      <c r="AJ777" s="191"/>
      <c r="AK777" s="186"/>
      <c r="AL777" s="186"/>
      <c r="AM777" s="186"/>
      <c r="AN777" s="344"/>
      <c r="AO777" s="186"/>
      <c r="AP777" s="193"/>
      <c r="AQ777" s="193"/>
      <c r="AR777" s="191"/>
      <c r="AS777" s="194"/>
      <c r="AT777" s="195"/>
      <c r="AU777" s="425"/>
      <c r="AV777" s="425"/>
      <c r="AW777" s="425"/>
      <c r="AX777" s="425"/>
      <c r="AY777" s="425"/>
      <c r="AZ777" s="425"/>
      <c r="BA777" s="425"/>
      <c r="BB777" s="425"/>
      <c r="BC777" s="440"/>
      <c r="BD777" s="404">
        <f>SUM($AS$4:AS777)</f>
        <v>4031.7698715729352</v>
      </c>
      <c r="BE777" s="407">
        <f>SUM($AR$4:AR777)</f>
        <v>14205.582000000049</v>
      </c>
      <c r="BF777" s="331"/>
      <c r="BG777" s="331"/>
    </row>
    <row r="778" spans="1:59" ht="15.75" customHeight="1">
      <c r="A778" s="227" t="s">
        <v>3105</v>
      </c>
      <c r="B778" s="181">
        <v>45113</v>
      </c>
      <c r="C778" s="182" t="s">
        <v>3149</v>
      </c>
      <c r="D778" s="182" t="s">
        <v>74</v>
      </c>
      <c r="E778" s="233" t="s">
        <v>3150</v>
      </c>
      <c r="F778" s="184"/>
      <c r="G778" s="185"/>
      <c r="H778" s="186">
        <v>1</v>
      </c>
      <c r="I778" s="186"/>
      <c r="J778" s="186"/>
      <c r="K778" s="187" t="s">
        <v>87</v>
      </c>
      <c r="L778" s="186"/>
      <c r="M778" s="186"/>
      <c r="N778" s="186"/>
      <c r="O778" s="187"/>
      <c r="P778" s="187"/>
      <c r="Q778" s="187"/>
      <c r="R778" s="187"/>
      <c r="S778" s="187"/>
      <c r="T778" s="187"/>
      <c r="U778" s="187"/>
      <c r="V778" s="187"/>
      <c r="W778" s="189" t="str">
        <f t="shared" si="1259"/>
        <v/>
      </c>
      <c r="X778" s="189"/>
      <c r="Y778" s="189"/>
      <c r="Z778" s="189"/>
      <c r="AA778" s="190"/>
      <c r="AB778" s="186"/>
      <c r="AC778" s="344"/>
      <c r="AD778" s="186"/>
      <c r="AE778" s="186"/>
      <c r="AF778" s="186"/>
      <c r="AG778" s="186"/>
      <c r="AH778" s="186"/>
      <c r="AI778" s="191"/>
      <c r="AJ778" s="191"/>
      <c r="AK778" s="186"/>
      <c r="AL778" s="186"/>
      <c r="AM778" s="186"/>
      <c r="AN778" s="344"/>
      <c r="AO778" s="186"/>
      <c r="AP778" s="193"/>
      <c r="AQ778" s="193"/>
      <c r="AR778" s="191"/>
      <c r="AS778" s="194"/>
      <c r="AT778" s="195"/>
      <c r="AU778" s="425"/>
      <c r="AV778" s="425"/>
      <c r="AW778" s="425"/>
      <c r="AX778" s="425"/>
      <c r="AY778" s="425"/>
      <c r="AZ778" s="425"/>
      <c r="BA778" s="425"/>
      <c r="BB778" s="425"/>
      <c r="BC778" s="440"/>
      <c r="BD778" s="404">
        <f>SUM($AS$4:AS778)</f>
        <v>4031.7698715729352</v>
      </c>
      <c r="BE778" s="407">
        <f>SUM($AR$4:AR778)</f>
        <v>14205.582000000049</v>
      </c>
      <c r="BF778" s="331"/>
      <c r="BG778" s="331"/>
    </row>
    <row r="779" spans="1:59" ht="15.75" customHeight="1">
      <c r="A779" s="227" t="s">
        <v>3105</v>
      </c>
      <c r="B779" s="181">
        <v>45113</v>
      </c>
      <c r="C779" s="182" t="s">
        <v>1169</v>
      </c>
      <c r="D779" s="182" t="s">
        <v>74</v>
      </c>
      <c r="E779" s="233" t="s">
        <v>3151</v>
      </c>
      <c r="F779" s="184" t="s">
        <v>3152</v>
      </c>
      <c r="G779" s="185"/>
      <c r="H779" s="186">
        <v>1</v>
      </c>
      <c r="I779" s="186"/>
      <c r="J779" s="186"/>
      <c r="K779" s="187" t="s">
        <v>87</v>
      </c>
      <c r="L779" s="186"/>
      <c r="M779" s="186"/>
      <c r="N779" s="186"/>
      <c r="O779" s="187"/>
      <c r="P779" s="187"/>
      <c r="Q779" s="187"/>
      <c r="R779" s="187"/>
      <c r="S779" s="187"/>
      <c r="T779" s="187"/>
      <c r="U779" s="187"/>
      <c r="V779" s="187"/>
      <c r="W779" s="189" t="str">
        <f t="shared" si="1259"/>
        <v/>
      </c>
      <c r="X779" s="189"/>
      <c r="Y779" s="189"/>
      <c r="Z779" s="189"/>
      <c r="AA779" s="190"/>
      <c r="AB779" s="186"/>
      <c r="AC779" s="344"/>
      <c r="AD779" s="186"/>
      <c r="AE779" s="186"/>
      <c r="AF779" s="186"/>
      <c r="AG779" s="186"/>
      <c r="AH779" s="186"/>
      <c r="AI779" s="191"/>
      <c r="AJ779" s="191"/>
      <c r="AK779" s="186"/>
      <c r="AL779" s="186"/>
      <c r="AM779" s="186"/>
      <c r="AN779" s="344"/>
      <c r="AO779" s="186"/>
      <c r="AP779" s="193"/>
      <c r="AQ779" s="193"/>
      <c r="AR779" s="191"/>
      <c r="AS779" s="194"/>
      <c r="AT779" s="195"/>
      <c r="AU779" s="425"/>
      <c r="AV779" s="425"/>
      <c r="AW779" s="425"/>
      <c r="AX779" s="425"/>
      <c r="AY779" s="425"/>
      <c r="AZ779" s="425"/>
      <c r="BA779" s="425"/>
      <c r="BB779" s="425"/>
      <c r="BC779" s="440"/>
      <c r="BD779" s="404">
        <f>SUM($AS$4:AS779)</f>
        <v>4031.7698715729352</v>
      </c>
      <c r="BE779" s="407">
        <f>SUM($AR$4:AR779)</f>
        <v>14205.582000000049</v>
      </c>
      <c r="BF779" s="331"/>
      <c r="BG779" s="331"/>
    </row>
    <row r="780" spans="1:59" ht="15.75" customHeight="1">
      <c r="A780" s="227" t="s">
        <v>3105</v>
      </c>
      <c r="B780" s="181">
        <v>45113</v>
      </c>
      <c r="C780" s="182" t="s">
        <v>1169</v>
      </c>
      <c r="D780" s="182" t="s">
        <v>74</v>
      </c>
      <c r="E780" s="233" t="s">
        <v>3153</v>
      </c>
      <c r="F780" s="184"/>
      <c r="G780" s="185"/>
      <c r="H780" s="186"/>
      <c r="I780" s="186"/>
      <c r="J780" s="186">
        <v>1</v>
      </c>
      <c r="K780" s="187" t="s">
        <v>97</v>
      </c>
      <c r="L780" s="186"/>
      <c r="M780" s="186"/>
      <c r="N780" s="186"/>
      <c r="O780" s="187"/>
      <c r="P780" s="187"/>
      <c r="Q780" s="187"/>
      <c r="R780" s="187"/>
      <c r="S780" s="187"/>
      <c r="T780" s="187"/>
      <c r="U780" s="187"/>
      <c r="V780" s="187"/>
      <c r="W780" s="189" t="str">
        <f t="shared" si="1259"/>
        <v/>
      </c>
      <c r="X780" s="189"/>
      <c r="Y780" s="189"/>
      <c r="Z780" s="189"/>
      <c r="AA780" s="190"/>
      <c r="AB780" s="186"/>
      <c r="AC780" s="344"/>
      <c r="AD780" s="186"/>
      <c r="AE780" s="186"/>
      <c r="AF780" s="186"/>
      <c r="AG780" s="186"/>
      <c r="AH780" s="186"/>
      <c r="AI780" s="191"/>
      <c r="AJ780" s="191"/>
      <c r="AK780" s="186"/>
      <c r="AL780" s="186"/>
      <c r="AM780" s="186"/>
      <c r="AN780" s="344"/>
      <c r="AO780" s="186"/>
      <c r="AP780" s="193"/>
      <c r="AQ780" s="193"/>
      <c r="AR780" s="191"/>
      <c r="AS780" s="194"/>
      <c r="AT780" s="195"/>
      <c r="AU780" s="425"/>
      <c r="AV780" s="425" t="s">
        <v>3154</v>
      </c>
      <c r="AW780" s="425"/>
      <c r="AX780" s="425"/>
      <c r="AY780" s="425"/>
      <c r="AZ780" s="425"/>
      <c r="BA780" s="425"/>
      <c r="BB780" s="425"/>
      <c r="BC780" s="440"/>
      <c r="BD780" s="404">
        <f>SUM($AS$4:AS780)</f>
        <v>4031.7698715729352</v>
      </c>
      <c r="BE780" s="407">
        <f>SUM($AR$4:AR780)</f>
        <v>14205.582000000049</v>
      </c>
      <c r="BF780" s="331"/>
      <c r="BG780" s="331"/>
    </row>
    <row r="781" spans="1:59" ht="15.75" customHeight="1">
      <c r="A781" s="227" t="s">
        <v>3105</v>
      </c>
      <c r="B781" s="181">
        <v>45113</v>
      </c>
      <c r="C781" s="182" t="s">
        <v>664</v>
      </c>
      <c r="D781" s="182" t="s">
        <v>74</v>
      </c>
      <c r="E781" s="233"/>
      <c r="F781" s="184"/>
      <c r="G781" s="291" t="s">
        <v>75</v>
      </c>
      <c r="H781" s="186"/>
      <c r="I781" s="186"/>
      <c r="J781" s="186"/>
      <c r="K781" s="187"/>
      <c r="L781" s="186">
        <v>1</v>
      </c>
      <c r="M781" s="186"/>
      <c r="N781" s="186"/>
      <c r="O781" s="187" t="s">
        <v>76</v>
      </c>
      <c r="P781" s="187" t="s">
        <v>119</v>
      </c>
      <c r="Q781" s="187" t="s">
        <v>78</v>
      </c>
      <c r="R781" s="187">
        <v>12</v>
      </c>
      <c r="S781" s="187">
        <v>7</v>
      </c>
      <c r="T781" s="187">
        <v>7</v>
      </c>
      <c r="U781" s="187" t="s">
        <v>78</v>
      </c>
      <c r="V781" s="188">
        <f t="shared" ref="V781:V783" si="1260">IF(ISBLANK(O781),"",(IF(O781=UPPER("IB"),0.005,0.01)))</f>
        <v>0.01</v>
      </c>
      <c r="W781" s="189">
        <f t="shared" ref="W781" si="1261">IF(ISBLANK(O781),"",IF(O781="IB",8.63*200,IF(O781="IR",16*100,IF(O781="YT",20*100,IF(O781="YT-XT",24*200,IF(O781="TED",80*100))))))</f>
        <v>1600</v>
      </c>
      <c r="X781" s="189" t="s">
        <v>80</v>
      </c>
      <c r="Y781" s="189"/>
      <c r="Z781" s="189"/>
      <c r="AA781" s="190">
        <f>(0.27*5+0.3*7)/12</f>
        <v>0.28750000000000003</v>
      </c>
      <c r="AB781" s="186"/>
      <c r="AC781" s="344"/>
      <c r="AD781" s="186"/>
      <c r="AE781" s="186"/>
      <c r="AF781" s="186"/>
      <c r="AG781" s="186"/>
      <c r="AH781" s="186"/>
      <c r="AI781" s="191">
        <f>-0.04*W781</f>
        <v>-64</v>
      </c>
      <c r="AJ781" s="191">
        <f t="shared" ref="AJ773:AJ781" si="1262">AI781*(R781-S781)</f>
        <v>-320</v>
      </c>
      <c r="AK781" s="186"/>
      <c r="AL781" s="186"/>
      <c r="AM781" s="186" t="s">
        <v>3155</v>
      </c>
      <c r="AN781" s="344" t="s">
        <v>87</v>
      </c>
      <c r="AO781" s="186" t="s">
        <v>3156</v>
      </c>
      <c r="AP781" s="193">
        <f>(0.29*6+0.28*1+0.28*5)/12</f>
        <v>0.28499999999999998</v>
      </c>
      <c r="AQ781" s="193">
        <f t="shared" si="1256"/>
        <v>2.5000000000000577E-3</v>
      </c>
      <c r="AR781" s="191">
        <f t="shared" si="1257"/>
        <v>48.000000000001108</v>
      </c>
      <c r="AS781" s="194">
        <f t="shared" si="1258"/>
        <v>4.0000000000000924</v>
      </c>
      <c r="AT781" s="195" t="s">
        <v>77</v>
      </c>
      <c r="AU781" s="425" t="s">
        <v>2993</v>
      </c>
      <c r="AV781" s="425" t="s">
        <v>3157</v>
      </c>
      <c r="AW781" s="425" t="s">
        <v>3158</v>
      </c>
      <c r="AX781" s="425" t="s">
        <v>3159</v>
      </c>
      <c r="AY781" s="425" t="s">
        <v>3160</v>
      </c>
      <c r="AZ781" s="425" t="s">
        <v>3161</v>
      </c>
      <c r="BA781" s="425"/>
      <c r="BB781" s="425"/>
      <c r="BC781" s="440"/>
      <c r="BD781" s="404">
        <f>SUM($AS$4:AS781)</f>
        <v>4035.7698715729352</v>
      </c>
      <c r="BE781" s="407">
        <f>SUM($AR$4:AR781)</f>
        <v>14253.582000000051</v>
      </c>
      <c r="BF781" s="331"/>
      <c r="BG781" s="331"/>
    </row>
    <row r="782" spans="1:59" ht="15.75" customHeight="1">
      <c r="A782" s="227" t="s">
        <v>3105</v>
      </c>
      <c r="B782" s="181">
        <v>45113</v>
      </c>
      <c r="C782" s="182" t="s">
        <v>3162</v>
      </c>
      <c r="D782" s="182" t="s">
        <v>74</v>
      </c>
      <c r="E782" s="233"/>
      <c r="F782" s="184"/>
      <c r="G782" s="185" t="s">
        <v>118</v>
      </c>
      <c r="H782" s="186"/>
      <c r="I782" s="186"/>
      <c r="J782" s="186"/>
      <c r="K782" s="187"/>
      <c r="L782" s="186"/>
      <c r="M782" s="186"/>
      <c r="N782" s="186"/>
      <c r="O782" s="187"/>
      <c r="P782" s="187"/>
      <c r="Q782" s="187"/>
      <c r="R782" s="187"/>
      <c r="S782" s="187"/>
      <c r="T782" s="187"/>
      <c r="U782" s="187"/>
      <c r="V782" s="188" t="str">
        <f t="shared" ref="V782:V783" si="1263">IF(ISBLANK(O782),"",(IF(O782=UPPER("IB"),0.005,0.01)))</f>
        <v/>
      </c>
      <c r="W782" s="189" t="str">
        <f t="shared" ref="W782:W783" si="1264">IF(ISBLANK(O782),"",IF(O782="IB",8.63*200,IF(O782="IR",16*100,IF(O782="YT",20*100,IF(O782="YT-XT",24*200,IF(O782="TED",80*100))))))</f>
        <v/>
      </c>
      <c r="X782" s="189"/>
      <c r="Y782" s="189"/>
      <c r="Z782" s="189"/>
      <c r="AA782" s="190"/>
      <c r="AB782" s="186"/>
      <c r="AC782" s="344"/>
      <c r="AD782" s="186"/>
      <c r="AE782" s="186"/>
      <c r="AF782" s="186"/>
      <c r="AG782" s="186"/>
      <c r="AH782" s="186"/>
      <c r="AI782" s="191"/>
      <c r="AJ782" s="191"/>
      <c r="AK782" s="186"/>
      <c r="AL782" s="186"/>
      <c r="AM782" s="186"/>
      <c r="AN782" s="344"/>
      <c r="AO782" s="186"/>
      <c r="AP782" s="193"/>
      <c r="AQ782" s="193">
        <f t="shared" ref="AQ782:AQ783" si="1265">IF(ISBLANK(AP782),,IF(U782="S",AA782-AP782,AP782-AA782))</f>
        <v>0</v>
      </c>
      <c r="AR782" s="191">
        <f t="shared" ref="AR782:AR783" si="1266">AS782*R782</f>
        <v>0</v>
      </c>
      <c r="AS782" s="194">
        <f t="shared" ref="AS782:AS783" si="1267">IF(ISBLANK(AP782),,(AQ782*W782))</f>
        <v>0</v>
      </c>
      <c r="AT782" s="195"/>
      <c r="AU782" s="425"/>
      <c r="AV782" s="425"/>
      <c r="AW782" s="425"/>
      <c r="AX782" s="425"/>
      <c r="AY782" s="425"/>
      <c r="AZ782" s="425"/>
      <c r="BA782" s="425"/>
      <c r="BB782" s="425"/>
      <c r="BC782" s="440"/>
      <c r="BD782" s="404">
        <f>SUM($AS$4:AS782)</f>
        <v>4035.7698715729352</v>
      </c>
      <c r="BE782" s="407">
        <f>SUM($AR$4:AR782)</f>
        <v>14253.582000000051</v>
      </c>
      <c r="BF782" s="331"/>
      <c r="BG782" s="331"/>
    </row>
    <row r="783" spans="1:59" ht="15.75" customHeight="1">
      <c r="A783" s="227" t="s">
        <v>3105</v>
      </c>
      <c r="B783" s="181">
        <v>45113</v>
      </c>
      <c r="C783" s="182" t="s">
        <v>2305</v>
      </c>
      <c r="D783" s="182" t="s">
        <v>74</v>
      </c>
      <c r="E783" s="233"/>
      <c r="F783" s="184"/>
      <c r="G783" s="185" t="s">
        <v>2051</v>
      </c>
      <c r="H783" s="186"/>
      <c r="I783" s="186"/>
      <c r="J783" s="186"/>
      <c r="K783" s="187"/>
      <c r="L783" s="186">
        <v>1</v>
      </c>
      <c r="M783" s="186"/>
      <c r="N783" s="186"/>
      <c r="O783" s="187" t="s">
        <v>76</v>
      </c>
      <c r="P783" s="187" t="s">
        <v>119</v>
      </c>
      <c r="Q783" s="187" t="s">
        <v>78</v>
      </c>
      <c r="R783" s="187">
        <v>1</v>
      </c>
      <c r="S783" s="187"/>
      <c r="T783" s="187">
        <v>1</v>
      </c>
      <c r="U783" s="187" t="s">
        <v>78</v>
      </c>
      <c r="V783" s="188">
        <f t="shared" si="1263"/>
        <v>0.01</v>
      </c>
      <c r="W783" s="189">
        <f t="shared" si="1264"/>
        <v>1600</v>
      </c>
      <c r="X783" s="189" t="s">
        <v>80</v>
      </c>
      <c r="Y783" s="189"/>
      <c r="Z783" s="189" t="s">
        <v>3163</v>
      </c>
      <c r="AA783" s="190">
        <v>-0.14000000000000001</v>
      </c>
      <c r="AB783" s="186"/>
      <c r="AC783" s="344"/>
      <c r="AD783" s="186"/>
      <c r="AE783" s="186"/>
      <c r="AF783" s="186"/>
      <c r="AG783" s="186"/>
      <c r="AH783" s="186"/>
      <c r="AI783" s="191"/>
      <c r="AJ783" s="191"/>
      <c r="AK783" s="186"/>
      <c r="AL783" s="186"/>
      <c r="AM783" s="186" t="s">
        <v>999</v>
      </c>
      <c r="AN783" s="344" t="s">
        <v>87</v>
      </c>
      <c r="AO783" s="186" t="s">
        <v>3164</v>
      </c>
      <c r="AP783" s="193">
        <v>-0.16</v>
      </c>
      <c r="AQ783" s="193">
        <f t="shared" si="1265"/>
        <v>1.999999999999999E-2</v>
      </c>
      <c r="AR783" s="191">
        <f t="shared" si="1266"/>
        <v>31.999999999999986</v>
      </c>
      <c r="AS783" s="194">
        <f t="shared" si="1267"/>
        <v>31.999999999999986</v>
      </c>
      <c r="AT783" s="195" t="s">
        <v>77</v>
      </c>
      <c r="AU783" s="425"/>
      <c r="AV783" s="425"/>
      <c r="AW783" s="425"/>
      <c r="AX783" s="425"/>
      <c r="AY783" s="425"/>
      <c r="AZ783" s="425"/>
      <c r="BA783" s="425"/>
      <c r="BB783" s="425"/>
      <c r="BC783" s="440"/>
      <c r="BD783" s="404">
        <f>SUM($AS$4:AS783)</f>
        <v>4067.7698715729352</v>
      </c>
      <c r="BE783" s="407">
        <f>SUM($AR$4:AR783)</f>
        <v>14285.582000000051</v>
      </c>
      <c r="BF783" s="331"/>
      <c r="BG783" s="331"/>
    </row>
    <row r="784" spans="1:59" ht="15.75" customHeight="1">
      <c r="A784" s="227" t="s">
        <v>3105</v>
      </c>
      <c r="B784" s="181">
        <v>45114</v>
      </c>
      <c r="C784" s="182" t="s">
        <v>3165</v>
      </c>
      <c r="D784" s="182" t="s">
        <v>93</v>
      </c>
      <c r="E784" s="233"/>
      <c r="F784" s="184"/>
      <c r="G784" s="185" t="s">
        <v>3166</v>
      </c>
      <c r="H784" s="186"/>
      <c r="I784" s="186"/>
      <c r="J784" s="186"/>
      <c r="K784" s="187"/>
      <c r="L784" s="186"/>
      <c r="M784" s="186"/>
      <c r="N784" s="186"/>
      <c r="O784" s="187"/>
      <c r="P784" s="187"/>
      <c r="Q784" s="187"/>
      <c r="R784" s="187"/>
      <c r="S784" s="187"/>
      <c r="T784" s="187"/>
      <c r="U784" s="187"/>
      <c r="V784" s="188"/>
      <c r="W784" s="189"/>
      <c r="X784" s="189"/>
      <c r="Y784" s="189"/>
      <c r="Z784" s="189"/>
      <c r="AA784" s="190"/>
      <c r="AB784" s="186"/>
      <c r="AC784" s="344"/>
      <c r="AD784" s="186"/>
      <c r="AE784" s="186"/>
      <c r="AF784" s="186"/>
      <c r="AG784" s="186"/>
      <c r="AH784" s="186"/>
      <c r="AI784" s="191"/>
      <c r="AJ784" s="191"/>
      <c r="AK784" s="186"/>
      <c r="AL784" s="186"/>
      <c r="AM784" s="186"/>
      <c r="AN784" s="344"/>
      <c r="AO784" s="186"/>
      <c r="AP784" s="193"/>
      <c r="AQ784" s="193"/>
      <c r="AR784" s="191"/>
      <c r="AS784" s="194"/>
      <c r="AT784" s="195"/>
      <c r="AU784" s="425" t="s">
        <v>87</v>
      </c>
      <c r="AV784" s="425" t="s">
        <v>3167</v>
      </c>
      <c r="AW784" s="425"/>
      <c r="AX784" s="425"/>
      <c r="AY784" s="425"/>
      <c r="AZ784" s="425"/>
      <c r="BA784" s="425"/>
      <c r="BB784" s="425"/>
      <c r="BC784" s="440"/>
      <c r="BD784" s="404">
        <f>SUM($AS$4:AS784)</f>
        <v>4067.7698715729352</v>
      </c>
      <c r="BE784" s="407">
        <f>SUM($AR$4:AR784)</f>
        <v>14285.582000000051</v>
      </c>
      <c r="BF784" s="331"/>
      <c r="BG784" s="331"/>
    </row>
    <row r="785" spans="1:59" ht="15.75" customHeight="1">
      <c r="A785" s="227" t="s">
        <v>3105</v>
      </c>
      <c r="B785" s="181">
        <v>45114</v>
      </c>
      <c r="C785" s="182" t="s">
        <v>3168</v>
      </c>
      <c r="D785" s="182" t="s">
        <v>93</v>
      </c>
      <c r="E785" s="233"/>
      <c r="F785" s="184"/>
      <c r="G785" s="185" t="s">
        <v>3132</v>
      </c>
      <c r="H785" s="186"/>
      <c r="I785" s="186"/>
      <c r="J785" s="186"/>
      <c r="K785" s="187"/>
      <c r="L785" s="186"/>
      <c r="M785" s="186"/>
      <c r="N785" s="186"/>
      <c r="O785" s="187"/>
      <c r="P785" s="187"/>
      <c r="Q785" s="187"/>
      <c r="R785" s="187"/>
      <c r="S785" s="187"/>
      <c r="T785" s="187"/>
      <c r="U785" s="187"/>
      <c r="V785" s="188"/>
      <c r="W785" s="189"/>
      <c r="X785" s="189"/>
      <c r="Y785" s="189"/>
      <c r="Z785" s="189"/>
      <c r="AA785" s="190"/>
      <c r="AB785" s="186"/>
      <c r="AC785" s="344"/>
      <c r="AD785" s="186"/>
      <c r="AE785" s="186"/>
      <c r="AF785" s="186"/>
      <c r="AG785" s="186"/>
      <c r="AH785" s="186"/>
      <c r="AI785" s="191"/>
      <c r="AJ785" s="191"/>
      <c r="AK785" s="186"/>
      <c r="AL785" s="186"/>
      <c r="AM785" s="186"/>
      <c r="AN785" s="344"/>
      <c r="AO785" s="186"/>
      <c r="AP785" s="193"/>
      <c r="AQ785" s="193"/>
      <c r="AR785" s="191"/>
      <c r="AS785" s="194"/>
      <c r="AT785" s="195"/>
      <c r="AU785" s="425" t="s">
        <v>87</v>
      </c>
      <c r="AV785" s="425" t="s">
        <v>3169</v>
      </c>
      <c r="AW785" s="425"/>
      <c r="AX785" s="425"/>
      <c r="AY785" s="425"/>
      <c r="AZ785" s="425"/>
      <c r="BA785" s="425"/>
      <c r="BB785" s="425"/>
      <c r="BC785" s="440"/>
      <c r="BD785" s="404">
        <f>SUM($AS$4:AS785)</f>
        <v>4067.7698715729352</v>
      </c>
      <c r="BE785" s="407">
        <f>SUM($AR$4:AR785)</f>
        <v>14285.582000000051</v>
      </c>
      <c r="BF785" s="331"/>
      <c r="BG785" s="331"/>
    </row>
    <row r="786" spans="1:59" ht="15.75" customHeight="1">
      <c r="A786" s="227" t="s">
        <v>3105</v>
      </c>
      <c r="B786" s="181">
        <v>45114</v>
      </c>
      <c r="C786" s="182" t="s">
        <v>1695</v>
      </c>
      <c r="D786" s="182" t="s">
        <v>93</v>
      </c>
      <c r="E786" s="233" t="s">
        <v>3170</v>
      </c>
      <c r="F786" s="184"/>
      <c r="G786" s="185"/>
      <c r="H786" s="186">
        <v>1</v>
      </c>
      <c r="I786" s="186"/>
      <c r="J786" s="186"/>
      <c r="K786" s="187" t="s">
        <v>87</v>
      </c>
      <c r="L786" s="186"/>
      <c r="M786" s="186"/>
      <c r="N786" s="186"/>
      <c r="O786" s="187"/>
      <c r="P786" s="187"/>
      <c r="Q786" s="187"/>
      <c r="R786" s="187"/>
      <c r="S786" s="187"/>
      <c r="T786" s="187"/>
      <c r="U786" s="187"/>
      <c r="V786" s="187"/>
      <c r="W786" s="189" t="str">
        <f t="shared" ref="W784:W789" si="1268">IF(ISBLANK(O786),"",IF(O786="IB",8.63*200,IF(O786="IR",16*100,IF(O786="YT",20*100,IF(O786="YT-XT",24*200,IF(O786="TED",80*100))))))</f>
        <v/>
      </c>
      <c r="X786" s="189"/>
      <c r="Y786" s="189"/>
      <c r="Z786" s="189"/>
      <c r="AA786" s="190"/>
      <c r="AB786" s="186"/>
      <c r="AC786" s="344"/>
      <c r="AD786" s="186"/>
      <c r="AE786" s="186"/>
      <c r="AF786" s="186"/>
      <c r="AG786" s="186"/>
      <c r="AH786" s="186"/>
      <c r="AI786" s="191"/>
      <c r="AJ786" s="191"/>
      <c r="AK786" s="186"/>
      <c r="AL786" s="186"/>
      <c r="AM786" s="186"/>
      <c r="AN786" s="344"/>
      <c r="AO786" s="186"/>
      <c r="AP786" s="193"/>
      <c r="AQ786" s="193"/>
      <c r="AR786" s="191"/>
      <c r="AS786" s="194"/>
      <c r="AT786" s="195"/>
      <c r="AU786" s="425" t="s">
        <v>3171</v>
      </c>
      <c r="AV786" s="425" t="s">
        <v>3172</v>
      </c>
      <c r="AW786" s="425"/>
      <c r="AX786" s="425"/>
      <c r="AY786" s="425"/>
      <c r="AZ786" s="425"/>
      <c r="BA786" s="425"/>
      <c r="BB786" s="425"/>
      <c r="BC786" s="440"/>
      <c r="BD786" s="404">
        <f>SUM($AS$4:AS786)</f>
        <v>4067.7698715729352</v>
      </c>
      <c r="BE786" s="407">
        <f>SUM($AR$4:AR786)</f>
        <v>14285.582000000051</v>
      </c>
      <c r="BF786" s="331"/>
      <c r="BG786" s="331"/>
    </row>
    <row r="787" spans="1:59" ht="15.75" customHeight="1">
      <c r="A787" s="227" t="s">
        <v>3105</v>
      </c>
      <c r="B787" s="181"/>
      <c r="C787" s="182"/>
      <c r="D787" s="182"/>
      <c r="E787" s="233" t="s">
        <v>3173</v>
      </c>
      <c r="F787" s="184"/>
      <c r="G787" s="185"/>
      <c r="H787" s="186"/>
      <c r="I787" s="186"/>
      <c r="J787" s="186">
        <v>1</v>
      </c>
      <c r="K787" s="187" t="s">
        <v>97</v>
      </c>
      <c r="L787" s="186"/>
      <c r="M787" s="186"/>
      <c r="N787" s="186"/>
      <c r="O787" s="187"/>
      <c r="P787" s="187"/>
      <c r="Q787" s="187"/>
      <c r="R787" s="187"/>
      <c r="S787" s="187"/>
      <c r="T787" s="187"/>
      <c r="U787" s="187"/>
      <c r="V787" s="187"/>
      <c r="W787" s="189" t="str">
        <f t="shared" si="1268"/>
        <v/>
      </c>
      <c r="X787" s="189"/>
      <c r="Y787" s="189"/>
      <c r="Z787" s="189"/>
      <c r="AA787" s="190"/>
      <c r="AB787" s="186"/>
      <c r="AC787" s="344"/>
      <c r="AD787" s="186"/>
      <c r="AE787" s="186"/>
      <c r="AF787" s="186"/>
      <c r="AG787" s="186"/>
      <c r="AH787" s="186"/>
      <c r="AI787" s="191"/>
      <c r="AJ787" s="191"/>
      <c r="AK787" s="186"/>
      <c r="AL787" s="186"/>
      <c r="AM787" s="186"/>
      <c r="AN787" s="344"/>
      <c r="AO787" s="186"/>
      <c r="AP787" s="193"/>
      <c r="AQ787" s="193"/>
      <c r="AR787" s="191"/>
      <c r="AS787" s="194"/>
      <c r="AT787" s="195"/>
      <c r="AU787" s="425"/>
      <c r="AV787" s="425"/>
      <c r="AW787" s="425"/>
      <c r="AX787" s="425"/>
      <c r="AY787" s="425"/>
      <c r="AZ787" s="425"/>
      <c r="BA787" s="425"/>
      <c r="BB787" s="425"/>
      <c r="BC787" s="440"/>
      <c r="BD787" s="404">
        <f>SUM($AS$4:AS787)</f>
        <v>4067.7698715729352</v>
      </c>
      <c r="BE787" s="407">
        <f>SUM($AR$4:AR787)</f>
        <v>14285.582000000051</v>
      </c>
      <c r="BF787" s="331"/>
      <c r="BG787" s="331"/>
    </row>
    <row r="788" spans="1:59" ht="15.75" customHeight="1">
      <c r="A788" s="227" t="s">
        <v>3105</v>
      </c>
      <c r="B788" s="181"/>
      <c r="C788" s="182"/>
      <c r="D788" s="182"/>
      <c r="E788" s="233" t="s">
        <v>3174</v>
      </c>
      <c r="F788" s="184"/>
      <c r="G788" s="185"/>
      <c r="H788" s="186"/>
      <c r="I788" s="186">
        <v>1</v>
      </c>
      <c r="J788" s="186"/>
      <c r="K788" s="187"/>
      <c r="L788" s="186"/>
      <c r="M788" s="186"/>
      <c r="N788" s="186"/>
      <c r="O788" s="187"/>
      <c r="P788" s="187"/>
      <c r="Q788" s="187"/>
      <c r="R788" s="187"/>
      <c r="S788" s="187"/>
      <c r="T788" s="187"/>
      <c r="U788" s="187"/>
      <c r="V788" s="187"/>
      <c r="W788" s="189" t="str">
        <f t="shared" si="1268"/>
        <v/>
      </c>
      <c r="X788" s="189"/>
      <c r="Y788" s="189"/>
      <c r="Z788" s="189"/>
      <c r="AA788" s="190"/>
      <c r="AB788" s="186"/>
      <c r="AC788" s="344"/>
      <c r="AD788" s="186"/>
      <c r="AE788" s="186"/>
      <c r="AF788" s="186"/>
      <c r="AG788" s="186"/>
      <c r="AH788" s="186"/>
      <c r="AI788" s="191"/>
      <c r="AJ788" s="191"/>
      <c r="AK788" s="186"/>
      <c r="AL788" s="186"/>
      <c r="AM788" s="186"/>
      <c r="AN788" s="344"/>
      <c r="AO788" s="186"/>
      <c r="AP788" s="193"/>
      <c r="AQ788" s="193"/>
      <c r="AR788" s="191"/>
      <c r="AS788" s="194"/>
      <c r="AT788" s="195"/>
      <c r="AU788" s="425"/>
      <c r="AV788" s="425"/>
      <c r="AW788" s="425"/>
      <c r="AX788" s="425"/>
      <c r="AY788" s="425"/>
      <c r="AZ788" s="425"/>
      <c r="BA788" s="425"/>
      <c r="BB788" s="425"/>
      <c r="BC788" s="440"/>
      <c r="BD788" s="404">
        <f>SUM($AS$4:AS788)</f>
        <v>4067.7698715729352</v>
      </c>
      <c r="BE788" s="407">
        <f>SUM($AR$4:AR788)</f>
        <v>14285.582000000051</v>
      </c>
      <c r="BF788" s="331"/>
      <c r="BG788" s="331"/>
    </row>
    <row r="789" spans="1:59" ht="15.75" customHeight="1">
      <c r="A789" s="227" t="s">
        <v>3105</v>
      </c>
      <c r="B789" s="181">
        <v>45114</v>
      </c>
      <c r="C789" s="182" t="s">
        <v>3175</v>
      </c>
      <c r="D789" s="182" t="s">
        <v>93</v>
      </c>
      <c r="E789" s="233"/>
      <c r="F789" s="184"/>
      <c r="G789" s="291" t="s">
        <v>2924</v>
      </c>
      <c r="H789" s="186"/>
      <c r="I789" s="186"/>
      <c r="J789" s="186"/>
      <c r="K789" s="187"/>
      <c r="L789" s="186">
        <v>1</v>
      </c>
      <c r="M789" s="186">
        <v>1</v>
      </c>
      <c r="N789" s="186"/>
      <c r="O789" s="187" t="s">
        <v>76</v>
      </c>
      <c r="P789" s="187" t="s">
        <v>119</v>
      </c>
      <c r="Q789" s="187" t="s">
        <v>78</v>
      </c>
      <c r="R789" s="187">
        <v>18</v>
      </c>
      <c r="S789" s="187">
        <v>0</v>
      </c>
      <c r="T789" s="187">
        <v>18</v>
      </c>
      <c r="U789" s="187" t="s">
        <v>78</v>
      </c>
      <c r="V789" s="188">
        <f t="shared" ref="V789" si="1269">IF(ISBLANK(O789),"",(IF(O789=UPPER("IB"),0.005,0.01)))</f>
        <v>0.01</v>
      </c>
      <c r="W789" s="189">
        <f t="shared" si="1268"/>
        <v>1600</v>
      </c>
      <c r="X789" s="189" t="s">
        <v>3176</v>
      </c>
      <c r="Y789" s="189"/>
      <c r="Z789" s="189"/>
      <c r="AA789" s="190">
        <v>-0.11</v>
      </c>
      <c r="AB789" s="186"/>
      <c r="AC789" s="344"/>
      <c r="AD789" s="186"/>
      <c r="AE789" s="186"/>
      <c r="AF789" s="186"/>
      <c r="AG789" s="186"/>
      <c r="AH789" s="186"/>
      <c r="AI789" s="191">
        <f t="shared" ref="AI786:AI790" si="1270">-0.03*W789</f>
        <v>-48</v>
      </c>
      <c r="AJ789" s="191">
        <f t="shared" ref="AJ786:AJ790" si="1271">AI789*(R789-S789)</f>
        <v>-864</v>
      </c>
      <c r="AK789" s="186"/>
      <c r="AL789" s="186"/>
      <c r="AM789" s="186" t="s">
        <v>1535</v>
      </c>
      <c r="AN789" s="344" t="s">
        <v>87</v>
      </c>
      <c r="AO789" s="186" t="s">
        <v>3177</v>
      </c>
      <c r="AP789" s="193">
        <v>-0.12</v>
      </c>
      <c r="AQ789" s="193">
        <f t="shared" ref="AQ784:AQ790" si="1272">IF(ISBLANK(AP789),,IF(U789="S",AA789-AP789,AP789-AA789))</f>
        <v>9.999999999999995E-3</v>
      </c>
      <c r="AR789" s="191">
        <f t="shared" ref="AR784:AR790" si="1273">AS789*R789</f>
        <v>287.99999999999989</v>
      </c>
      <c r="AS789" s="194">
        <f t="shared" ref="AS784:AS790" si="1274">IF(ISBLANK(AP789),,(AQ789*W789))</f>
        <v>15.999999999999993</v>
      </c>
      <c r="AT789" s="195" t="s">
        <v>77</v>
      </c>
      <c r="AU789" s="425" t="s">
        <v>3178</v>
      </c>
      <c r="AV789" s="425"/>
      <c r="AW789" s="425"/>
      <c r="AX789" s="425"/>
      <c r="AY789" s="425"/>
      <c r="AZ789" s="425"/>
      <c r="BA789" s="425"/>
      <c r="BB789" s="425"/>
      <c r="BC789" s="440"/>
      <c r="BD789" s="404">
        <f>SUM($AS$4:AS789)</f>
        <v>4083.7698715729352</v>
      </c>
      <c r="BE789" s="407">
        <f>SUM($AR$4:AR789)</f>
        <v>14573.582000000051</v>
      </c>
      <c r="BF789" s="331"/>
      <c r="BG789" s="331"/>
    </row>
    <row r="790" spans="1:59" ht="15.75" customHeight="1">
      <c r="A790" s="227" t="s">
        <v>3105</v>
      </c>
      <c r="B790" s="181">
        <v>45117</v>
      </c>
      <c r="C790" s="182" t="s">
        <v>2074</v>
      </c>
      <c r="D790" s="182" t="s">
        <v>114</v>
      </c>
      <c r="E790" s="233"/>
      <c r="F790" s="184"/>
      <c r="G790" s="291" t="s">
        <v>2051</v>
      </c>
      <c r="H790" s="186"/>
      <c r="I790" s="186"/>
      <c r="J790" s="186"/>
      <c r="K790" s="187"/>
      <c r="L790" s="186">
        <v>1</v>
      </c>
      <c r="M790" s="186"/>
      <c r="N790" s="186"/>
      <c r="O790" s="187" t="s">
        <v>76</v>
      </c>
      <c r="P790" s="187" t="s">
        <v>119</v>
      </c>
      <c r="Q790" s="187" t="s">
        <v>78</v>
      </c>
      <c r="R790" s="187">
        <v>3</v>
      </c>
      <c r="S790" s="187">
        <v>0</v>
      </c>
      <c r="T790" s="187">
        <v>3</v>
      </c>
      <c r="U790" s="187" t="s">
        <v>78</v>
      </c>
      <c r="V790" s="188">
        <f t="shared" ref="V790:V791" si="1275">IF(ISBLANK(O790),"",(IF(O790=UPPER("IB"),0.005,0.01)))</f>
        <v>0.01</v>
      </c>
      <c r="W790" s="189">
        <f t="shared" ref="W790:W791" si="1276">IF(ISBLANK(O790),"",IF(O790="IB",8.63*200,IF(O790="IR",16*100,IF(O790="YT",20*100,IF(O790="YT-XT",24*200,IF(O790="TED",80*100))))))</f>
        <v>1600</v>
      </c>
      <c r="X790" s="189" t="s">
        <v>80</v>
      </c>
      <c r="Y790" s="189"/>
      <c r="Z790" s="189" t="s">
        <v>3179</v>
      </c>
      <c r="AA790" s="190">
        <v>-0.14000000000000001</v>
      </c>
      <c r="AB790" s="186"/>
      <c r="AC790" s="344"/>
      <c r="AD790" s="186"/>
      <c r="AE790" s="186"/>
      <c r="AF790" s="186"/>
      <c r="AG790" s="186"/>
      <c r="AH790" s="186"/>
      <c r="AI790" s="191">
        <f t="shared" si="1270"/>
        <v>-48</v>
      </c>
      <c r="AJ790" s="191">
        <f t="shared" si="1271"/>
        <v>-144</v>
      </c>
      <c r="AK790" s="186"/>
      <c r="AL790" s="186"/>
      <c r="AM790" s="186" t="s">
        <v>571</v>
      </c>
      <c r="AN790" s="344" t="s">
        <v>97</v>
      </c>
      <c r="AO790" s="186" t="s">
        <v>3180</v>
      </c>
      <c r="AP790" s="193">
        <v>-0.13</v>
      </c>
      <c r="AQ790" s="193">
        <f t="shared" si="1272"/>
        <v>-1.0000000000000009E-2</v>
      </c>
      <c r="AR790" s="191">
        <f t="shared" si="1273"/>
        <v>-48.000000000000043</v>
      </c>
      <c r="AS790" s="194">
        <f t="shared" si="1274"/>
        <v>-16.000000000000014</v>
      </c>
      <c r="AT790" s="195" t="s">
        <v>211</v>
      </c>
      <c r="AU790" s="425" t="s">
        <v>3181</v>
      </c>
      <c r="AV790" s="425"/>
      <c r="AW790" s="425"/>
      <c r="AX790" s="425"/>
      <c r="AY790" s="425"/>
      <c r="AZ790" s="425"/>
      <c r="BA790" s="425"/>
      <c r="BB790" s="425"/>
      <c r="BC790" s="440"/>
      <c r="BD790" s="404">
        <f>SUM($AS$4:AS790)</f>
        <v>4067.7698715729352</v>
      </c>
      <c r="BE790" s="407">
        <f>SUM($AR$4:AR790)</f>
        <v>14525.582000000051</v>
      </c>
      <c r="BF790" s="331"/>
      <c r="BG790" s="331"/>
    </row>
    <row r="791" spans="1:59" ht="15.75" customHeight="1">
      <c r="A791" s="227" t="s">
        <v>3105</v>
      </c>
      <c r="B791" s="181">
        <v>45118</v>
      </c>
      <c r="C791" s="182" t="s">
        <v>3182</v>
      </c>
      <c r="D791" s="182" t="s">
        <v>128</v>
      </c>
      <c r="E791" s="233"/>
      <c r="F791" s="184"/>
      <c r="G791" s="185" t="s">
        <v>1645</v>
      </c>
      <c r="H791" s="186"/>
      <c r="I791" s="186"/>
      <c r="J791" s="186"/>
      <c r="K791" s="187"/>
      <c r="L791" s="186"/>
      <c r="M791" s="186"/>
      <c r="N791" s="186"/>
      <c r="O791" s="187"/>
      <c r="P791" s="187"/>
      <c r="Q791" s="187"/>
      <c r="R791" s="187"/>
      <c r="S791" s="187"/>
      <c r="T791" s="187"/>
      <c r="U791" s="187"/>
      <c r="V791" s="188"/>
      <c r="W791" s="189"/>
      <c r="X791" s="189"/>
      <c r="Y791" s="189"/>
      <c r="Z791" s="189"/>
      <c r="AA791" s="190"/>
      <c r="AB791" s="186"/>
      <c r="AC791" s="344"/>
      <c r="AD791" s="186"/>
      <c r="AE791" s="186"/>
      <c r="AF791" s="186"/>
      <c r="AG791" s="186"/>
      <c r="AH791" s="186"/>
      <c r="AI791" s="191"/>
      <c r="AJ791" s="191"/>
      <c r="AK791" s="186"/>
      <c r="AL791" s="186"/>
      <c r="AM791" s="186"/>
      <c r="AN791" s="344"/>
      <c r="AO791" s="186"/>
      <c r="AP791" s="193"/>
      <c r="AQ791" s="193"/>
      <c r="AR791" s="191"/>
      <c r="AS791" s="194"/>
      <c r="AT791" s="195"/>
      <c r="AU791" s="425"/>
      <c r="AV791" s="425"/>
      <c r="AW791" s="425"/>
      <c r="AX791" s="425"/>
      <c r="AY791" s="425"/>
      <c r="AZ791" s="425"/>
      <c r="BA791" s="425"/>
      <c r="BB791" s="425"/>
      <c r="BC791" s="440"/>
      <c r="BD791" s="404">
        <f>SUM($AS$4:AS791)</f>
        <v>4067.7698715729352</v>
      </c>
      <c r="BE791" s="407">
        <f>SUM($AR$4:AR791)</f>
        <v>14525.582000000051</v>
      </c>
      <c r="BF791" s="331"/>
      <c r="BG791" s="331"/>
    </row>
    <row r="792" spans="1:59" ht="15.75" customHeight="1">
      <c r="A792" s="227" t="s">
        <v>3105</v>
      </c>
      <c r="B792" s="181"/>
      <c r="C792" s="182"/>
      <c r="D792" s="182"/>
      <c r="E792" s="233"/>
      <c r="F792" s="184"/>
      <c r="G792" s="185"/>
      <c r="H792" s="186"/>
      <c r="I792" s="186"/>
      <c r="J792" s="186"/>
      <c r="K792" s="187"/>
      <c r="L792" s="186"/>
      <c r="M792" s="186"/>
      <c r="N792" s="186"/>
      <c r="O792" s="187"/>
      <c r="P792" s="187"/>
      <c r="Q792" s="187"/>
      <c r="R792" s="187"/>
      <c r="S792" s="187"/>
      <c r="T792" s="187"/>
      <c r="U792" s="187"/>
      <c r="V792" s="187"/>
      <c r="W792" s="189" t="str">
        <f t="shared" ref="W792:W811" si="1277">IF(ISBLANK(O792),"",IF(O792="IB",8.63*200,IF(O792="IR",16*100,IF(O792="YT",20*100,IF(O792="YT-XT",24*200,IF(O792="TED",80*100))))))</f>
        <v/>
      </c>
      <c r="X792" s="189"/>
      <c r="Y792" s="189"/>
      <c r="Z792" s="189"/>
      <c r="AA792" s="190"/>
      <c r="AB792" s="186"/>
      <c r="AC792" s="344"/>
      <c r="AD792" s="186"/>
      <c r="AE792" s="186"/>
      <c r="AF792" s="186"/>
      <c r="AG792" s="186"/>
      <c r="AH792" s="186"/>
      <c r="AI792" s="191"/>
      <c r="AJ792" s="191"/>
      <c r="AK792" s="186"/>
      <c r="AL792" s="186"/>
      <c r="AM792" s="186"/>
      <c r="AN792" s="344"/>
      <c r="AO792" s="186"/>
      <c r="AP792" s="193"/>
      <c r="AQ792" s="193"/>
      <c r="AR792" s="191"/>
      <c r="AS792" s="194"/>
      <c r="AT792" s="195"/>
      <c r="AU792" s="425" t="s">
        <v>3183</v>
      </c>
      <c r="AV792" s="425" t="s">
        <v>3184</v>
      </c>
      <c r="AW792" s="425" t="s">
        <v>3185</v>
      </c>
      <c r="AX792" s="425"/>
      <c r="AY792" s="425"/>
      <c r="AZ792" s="425"/>
      <c r="BA792" s="425"/>
      <c r="BB792" s="425"/>
      <c r="BC792" s="440"/>
      <c r="BD792" s="404">
        <f>SUM($AS$4:AS792)</f>
        <v>4067.7698715729352</v>
      </c>
      <c r="BE792" s="407">
        <f>SUM($AR$4:AR792)</f>
        <v>14525.582000000051</v>
      </c>
      <c r="BF792" s="331"/>
      <c r="BG792" s="331"/>
    </row>
    <row r="793" spans="1:59" ht="15.75" customHeight="1">
      <c r="A793" s="227" t="s">
        <v>3105</v>
      </c>
      <c r="B793" s="181">
        <v>45118</v>
      </c>
      <c r="C793" s="182" t="s">
        <v>2642</v>
      </c>
      <c r="D793" s="182" t="s">
        <v>128</v>
      </c>
      <c r="E793" s="233" t="s">
        <v>3186</v>
      </c>
      <c r="F793" s="184"/>
      <c r="G793" s="185"/>
      <c r="H793" s="186">
        <v>1</v>
      </c>
      <c r="I793" s="186"/>
      <c r="J793" s="186"/>
      <c r="K793" s="187" t="s">
        <v>97</v>
      </c>
      <c r="L793" s="186"/>
      <c r="M793" s="186"/>
      <c r="N793" s="186"/>
      <c r="O793" s="187"/>
      <c r="P793" s="187"/>
      <c r="Q793" s="187"/>
      <c r="R793" s="187"/>
      <c r="S793" s="187"/>
      <c r="T793" s="187"/>
      <c r="U793" s="187"/>
      <c r="V793" s="187"/>
      <c r="W793" s="189" t="str">
        <f t="shared" si="1277"/>
        <v/>
      </c>
      <c r="X793" s="189"/>
      <c r="Y793" s="189"/>
      <c r="Z793" s="189"/>
      <c r="AA793" s="190"/>
      <c r="AB793" s="186"/>
      <c r="AC793" s="344"/>
      <c r="AD793" s="186"/>
      <c r="AE793" s="186"/>
      <c r="AF793" s="186"/>
      <c r="AG793" s="186"/>
      <c r="AH793" s="186"/>
      <c r="AI793" s="191"/>
      <c r="AJ793" s="191"/>
      <c r="AK793" s="186"/>
      <c r="AL793" s="186"/>
      <c r="AM793" s="186"/>
      <c r="AN793" s="344"/>
      <c r="AO793" s="186"/>
      <c r="AP793" s="193"/>
      <c r="AQ793" s="193"/>
      <c r="AR793" s="191"/>
      <c r="AS793" s="194"/>
      <c r="AT793" s="195"/>
      <c r="AU793" s="425"/>
      <c r="AV793" s="425"/>
      <c r="AW793" s="425"/>
      <c r="AX793" s="425"/>
      <c r="AY793" s="425"/>
      <c r="AZ793" s="425"/>
      <c r="BA793" s="425"/>
      <c r="BB793" s="425"/>
      <c r="BC793" s="440"/>
      <c r="BD793" s="404">
        <f>SUM($AS$4:AS793)</f>
        <v>4067.7698715729352</v>
      </c>
      <c r="BE793" s="407">
        <f>SUM($AR$4:AR793)</f>
        <v>14525.582000000051</v>
      </c>
      <c r="BF793" s="331"/>
      <c r="BG793" s="331"/>
    </row>
    <row r="794" spans="1:59" ht="15.75" customHeight="1">
      <c r="A794" s="227" t="s">
        <v>3105</v>
      </c>
      <c r="B794" s="181">
        <v>45118</v>
      </c>
      <c r="C794" s="182" t="s">
        <v>1224</v>
      </c>
      <c r="D794" s="182" t="s">
        <v>128</v>
      </c>
      <c r="E794" s="233"/>
      <c r="F794" s="184"/>
      <c r="G794" s="185" t="s">
        <v>163</v>
      </c>
      <c r="H794" s="186"/>
      <c r="I794" s="186"/>
      <c r="J794" s="186"/>
      <c r="K794" s="187"/>
      <c r="L794" s="186"/>
      <c r="M794" s="186"/>
      <c r="N794" s="186"/>
      <c r="O794" s="187"/>
      <c r="P794" s="187"/>
      <c r="Q794" s="187"/>
      <c r="R794" s="187"/>
      <c r="S794" s="187"/>
      <c r="T794" s="187"/>
      <c r="U794" s="187"/>
      <c r="V794" s="188"/>
      <c r="W794" s="189"/>
      <c r="X794" s="189"/>
      <c r="Y794" s="189"/>
      <c r="Z794" s="189"/>
      <c r="AA794" s="190"/>
      <c r="AB794" s="186"/>
      <c r="AC794" s="344"/>
      <c r="AD794" s="186"/>
      <c r="AE794" s="186"/>
      <c r="AF794" s="186"/>
      <c r="AG794" s="186"/>
      <c r="AH794" s="186"/>
      <c r="AI794" s="191"/>
      <c r="AJ794" s="191"/>
      <c r="AK794" s="186"/>
      <c r="AL794" s="186"/>
      <c r="AM794" s="186"/>
      <c r="AN794" s="344"/>
      <c r="AO794" s="186"/>
      <c r="AP794" s="193"/>
      <c r="AQ794" s="193"/>
      <c r="AR794" s="191"/>
      <c r="AS794" s="194"/>
      <c r="AT794" s="195"/>
      <c r="AU794" s="425"/>
      <c r="AV794" s="425"/>
      <c r="AW794" s="425"/>
      <c r="AX794" s="425"/>
      <c r="AY794" s="425"/>
      <c r="AZ794" s="425"/>
      <c r="BA794" s="425"/>
      <c r="BB794" s="425"/>
      <c r="BC794" s="440"/>
      <c r="BD794" s="404">
        <f>SUM($AS$4:AS794)</f>
        <v>4067.7698715729352</v>
      </c>
      <c r="BE794" s="407">
        <f>SUM($AR$4:AR794)</f>
        <v>14525.582000000051</v>
      </c>
      <c r="BF794" s="331"/>
      <c r="BG794" s="331"/>
    </row>
    <row r="795" spans="1:59" ht="15.75" customHeight="1">
      <c r="A795" s="227" t="s">
        <v>3105</v>
      </c>
      <c r="B795" s="181">
        <v>45118</v>
      </c>
      <c r="C795" s="182" t="s">
        <v>3187</v>
      </c>
      <c r="D795" s="182" t="s">
        <v>128</v>
      </c>
      <c r="E795" s="233"/>
      <c r="F795" s="184"/>
      <c r="G795" s="291" t="s">
        <v>75</v>
      </c>
      <c r="H795" s="186"/>
      <c r="I795" s="186"/>
      <c r="J795" s="186"/>
      <c r="K795" s="187"/>
      <c r="L795" s="186">
        <v>1</v>
      </c>
      <c r="M795" s="186"/>
      <c r="N795" s="186"/>
      <c r="O795" s="187" t="s">
        <v>76</v>
      </c>
      <c r="P795" s="187" t="s">
        <v>77</v>
      </c>
      <c r="Q795" s="187" t="s">
        <v>78</v>
      </c>
      <c r="R795" s="187">
        <v>5</v>
      </c>
      <c r="S795" s="187">
        <v>0</v>
      </c>
      <c r="T795" s="187">
        <v>5</v>
      </c>
      <c r="U795" s="187" t="s">
        <v>22</v>
      </c>
      <c r="V795" s="188">
        <f t="shared" ref="V795:V801" si="1278">IF(ISBLANK(O795),"",(IF(O795=UPPER("IB"),0.005,0.01)))</f>
        <v>0.01</v>
      </c>
      <c r="W795" s="189">
        <f t="shared" si="1277"/>
        <v>1600</v>
      </c>
      <c r="X795" s="189" t="s">
        <v>3188</v>
      </c>
      <c r="Y795" s="189" t="s">
        <v>3189</v>
      </c>
      <c r="Z795" s="189"/>
      <c r="AA795" s="190">
        <v>0.21</v>
      </c>
      <c r="AB795" s="186"/>
      <c r="AC795" s="344"/>
      <c r="AD795" s="186"/>
      <c r="AE795" s="186"/>
      <c r="AF795" s="186"/>
      <c r="AG795" s="425"/>
      <c r="AH795" s="186"/>
      <c r="AI795" s="191">
        <f t="shared" ref="AI791:AI795" si="1279">-0.03*W795</f>
        <v>-48</v>
      </c>
      <c r="AJ795" s="191">
        <f t="shared" ref="AJ791:AJ795" si="1280">AI795*(R795-S795)</f>
        <v>-240</v>
      </c>
      <c r="AK795" s="186"/>
      <c r="AL795" s="186"/>
      <c r="AM795" s="186" t="s">
        <v>949</v>
      </c>
      <c r="AN795" s="344" t="s">
        <v>87</v>
      </c>
      <c r="AO795" s="186" t="s">
        <v>1489</v>
      </c>
      <c r="AP795" s="193">
        <v>0.21</v>
      </c>
      <c r="AQ795" s="193">
        <f t="shared" ref="AQ791:AQ795" si="1281">IF(ISBLANK(AP795),,IF(U795="S",AA795-AP795,AP795-AA795))</f>
        <v>0</v>
      </c>
      <c r="AR795" s="191">
        <f t="shared" ref="AR791:AR795" si="1282">AS795*R795</f>
        <v>0</v>
      </c>
      <c r="AS795" s="194">
        <f t="shared" ref="AS791:AS795" si="1283">IF(ISBLANK(AP795),,(AQ795*W795))</f>
        <v>0</v>
      </c>
      <c r="AT795" s="195" t="s">
        <v>97</v>
      </c>
      <c r="AU795" s="425"/>
      <c r="AV795" s="425"/>
      <c r="AW795" s="425"/>
      <c r="AX795" s="425"/>
      <c r="AY795" s="425"/>
      <c r="AZ795" s="425"/>
      <c r="BA795" s="425"/>
      <c r="BB795" s="425"/>
      <c r="BC795" s="440"/>
      <c r="BD795" s="404">
        <f>SUM($AS$4:AS795)</f>
        <v>4067.7698715729352</v>
      </c>
      <c r="BE795" s="407">
        <f>SUM($AR$4:AR795)</f>
        <v>14525.582000000051</v>
      </c>
      <c r="BF795" s="331"/>
      <c r="BG795" s="331"/>
    </row>
    <row r="796" spans="1:59" ht="15.75" customHeight="1">
      <c r="A796" s="227" t="s">
        <v>3105</v>
      </c>
      <c r="B796" s="181">
        <v>45118</v>
      </c>
      <c r="C796" s="182" t="s">
        <v>3190</v>
      </c>
      <c r="D796" s="182" t="s">
        <v>128</v>
      </c>
      <c r="E796" s="233"/>
      <c r="F796" s="184"/>
      <c r="G796" s="185" t="s">
        <v>3107</v>
      </c>
      <c r="H796" s="186"/>
      <c r="I796" s="186"/>
      <c r="J796" s="186"/>
      <c r="K796" s="187"/>
      <c r="L796" s="186"/>
      <c r="M796" s="186"/>
      <c r="N796" s="186"/>
      <c r="O796" s="187"/>
      <c r="P796" s="187"/>
      <c r="Q796" s="187"/>
      <c r="R796" s="187"/>
      <c r="S796" s="187"/>
      <c r="T796" s="187"/>
      <c r="U796" s="187"/>
      <c r="V796" s="188"/>
      <c r="W796" s="189"/>
      <c r="X796" s="189"/>
      <c r="Y796" s="189"/>
      <c r="Z796" s="189"/>
      <c r="AA796" s="190"/>
      <c r="AB796" s="186"/>
      <c r="AC796" s="344"/>
      <c r="AD796" s="186"/>
      <c r="AE796" s="186"/>
      <c r="AF796" s="186"/>
      <c r="AG796" s="186"/>
      <c r="AH796" s="186"/>
      <c r="AI796" s="191"/>
      <c r="AJ796" s="191"/>
      <c r="AK796" s="186"/>
      <c r="AL796" s="186"/>
      <c r="AM796" s="186"/>
      <c r="AN796" s="344"/>
      <c r="AO796" s="186"/>
      <c r="AP796" s="193"/>
      <c r="AQ796" s="193"/>
      <c r="AR796" s="191"/>
      <c r="AS796" s="194"/>
      <c r="AT796" s="195"/>
      <c r="AU796" s="425" t="s">
        <v>811</v>
      </c>
      <c r="AV796" s="425" t="s">
        <v>3191</v>
      </c>
      <c r="AW796" s="425"/>
      <c r="AX796" s="425"/>
      <c r="AY796" s="425"/>
      <c r="AZ796" s="425"/>
      <c r="BA796" s="425"/>
      <c r="BB796" s="425"/>
      <c r="BC796" s="440"/>
      <c r="BD796" s="404">
        <f>SUM($AS$4:AS796)</f>
        <v>4067.7698715729352</v>
      </c>
      <c r="BE796" s="407">
        <f>SUM($AR$4:AR796)</f>
        <v>14525.582000000051</v>
      </c>
      <c r="BF796" s="331"/>
      <c r="BG796" s="331"/>
    </row>
    <row r="797" spans="1:59" ht="15.75" customHeight="1">
      <c r="A797" s="227" t="s">
        <v>3105</v>
      </c>
      <c r="B797" s="181"/>
      <c r="C797" s="182"/>
      <c r="D797" s="182"/>
      <c r="E797" s="233"/>
      <c r="F797" s="184"/>
      <c r="G797" s="185"/>
      <c r="H797" s="186"/>
      <c r="I797" s="186"/>
      <c r="J797" s="186"/>
      <c r="K797" s="187"/>
      <c r="L797" s="186"/>
      <c r="M797" s="186"/>
      <c r="N797" s="186"/>
      <c r="O797" s="187"/>
      <c r="P797" s="187"/>
      <c r="Q797" s="187"/>
      <c r="R797" s="187"/>
      <c r="S797" s="187"/>
      <c r="T797" s="187"/>
      <c r="U797" s="187"/>
      <c r="V797" s="188" t="str">
        <f t="shared" si="1278"/>
        <v/>
      </c>
      <c r="W797" s="189" t="str">
        <f t="shared" ref="W796:W801" si="1284">IF(ISBLANK(O797),"",IF(O797="IB",8.63*200,IF(O797="IR",16*100,IF(O797="YT",20*100,IF(O797="YT-XT",24*200,IF(O797="TED",80*100))))))</f>
        <v/>
      </c>
      <c r="X797" s="189"/>
      <c r="Y797" s="189"/>
      <c r="Z797" s="189"/>
      <c r="AA797" s="190"/>
      <c r="AB797" s="186"/>
      <c r="AC797" s="344"/>
      <c r="AD797" s="186"/>
      <c r="AE797" s="186"/>
      <c r="AF797" s="186"/>
      <c r="AG797" s="186"/>
      <c r="AH797" s="186"/>
      <c r="AI797" s="191"/>
      <c r="AJ797" s="191"/>
      <c r="AK797" s="186"/>
      <c r="AL797" s="186"/>
      <c r="AM797" s="186"/>
      <c r="AN797" s="344"/>
      <c r="AO797" s="186"/>
      <c r="AP797" s="193"/>
      <c r="AQ797" s="193"/>
      <c r="AR797" s="191"/>
      <c r="AS797" s="194"/>
      <c r="AT797" s="195"/>
      <c r="AU797" s="425" t="s">
        <v>3192</v>
      </c>
      <c r="AV797" s="425" t="s">
        <v>3193</v>
      </c>
      <c r="AW797" s="425" t="s">
        <v>3194</v>
      </c>
      <c r="AX797" s="425"/>
      <c r="AY797" s="425"/>
      <c r="AZ797" s="425"/>
      <c r="BA797" s="425"/>
      <c r="BB797" s="425"/>
      <c r="BC797" s="440"/>
      <c r="BD797" s="404">
        <f>SUM($AS$4:AS797)</f>
        <v>4067.7698715729352</v>
      </c>
      <c r="BE797" s="407">
        <f>SUM($AR$4:AR797)</f>
        <v>14525.582000000051</v>
      </c>
      <c r="BF797" s="331"/>
      <c r="BG797" s="331"/>
    </row>
    <row r="798" spans="1:59" ht="15.75" customHeight="1">
      <c r="A798" s="227" t="s">
        <v>3105</v>
      </c>
      <c r="B798" s="181">
        <v>45119</v>
      </c>
      <c r="C798" s="182" t="s">
        <v>646</v>
      </c>
      <c r="D798" s="182" t="s">
        <v>133</v>
      </c>
      <c r="E798" s="233" t="s">
        <v>3195</v>
      </c>
      <c r="F798" s="184"/>
      <c r="G798" s="185"/>
      <c r="H798" s="186"/>
      <c r="I798" s="186"/>
      <c r="J798" s="186"/>
      <c r="K798" s="187"/>
      <c r="L798" s="186"/>
      <c r="M798" s="186"/>
      <c r="N798" s="186"/>
      <c r="O798" s="187"/>
      <c r="P798" s="187"/>
      <c r="Q798" s="187"/>
      <c r="R798" s="187"/>
      <c r="S798" s="187"/>
      <c r="T798" s="187"/>
      <c r="U798" s="187"/>
      <c r="V798" s="188" t="str">
        <f t="shared" si="1278"/>
        <v/>
      </c>
      <c r="W798" s="189" t="str">
        <f t="shared" si="1284"/>
        <v/>
      </c>
      <c r="X798" s="189"/>
      <c r="Y798" s="189"/>
      <c r="Z798" s="189"/>
      <c r="AA798" s="190"/>
      <c r="AB798" s="186"/>
      <c r="AC798" s="344"/>
      <c r="AD798" s="186"/>
      <c r="AE798" s="186"/>
      <c r="AF798" s="186"/>
      <c r="AG798" s="186"/>
      <c r="AH798" s="186"/>
      <c r="AI798" s="191"/>
      <c r="AJ798" s="191"/>
      <c r="AK798" s="186"/>
      <c r="AL798" s="186"/>
      <c r="AM798" s="186"/>
      <c r="AN798" s="344"/>
      <c r="AO798" s="186"/>
      <c r="AP798" s="193"/>
      <c r="AQ798" s="193"/>
      <c r="AR798" s="191"/>
      <c r="AS798" s="194"/>
      <c r="AT798" s="195"/>
      <c r="AU798" s="425"/>
      <c r="AV798" s="425"/>
      <c r="AW798" s="425"/>
      <c r="AX798" s="425"/>
      <c r="AY798" s="425"/>
      <c r="AZ798" s="425"/>
      <c r="BA798" s="425"/>
      <c r="BB798" s="425"/>
      <c r="BC798" s="440"/>
      <c r="BD798" s="404">
        <f>SUM($AS$4:AS798)</f>
        <v>4067.7698715729352</v>
      </c>
      <c r="BE798" s="407">
        <f>SUM($AR$4:AR798)</f>
        <v>14525.582000000051</v>
      </c>
      <c r="BF798" s="331"/>
      <c r="BG798" s="331"/>
    </row>
    <row r="799" spans="1:59" ht="15.75" customHeight="1">
      <c r="A799" s="227" t="s">
        <v>3105</v>
      </c>
      <c r="B799" s="181">
        <v>45119</v>
      </c>
      <c r="C799" s="182" t="s">
        <v>3196</v>
      </c>
      <c r="D799" s="182" t="s">
        <v>133</v>
      </c>
      <c r="E799" s="233" t="s">
        <v>3197</v>
      </c>
      <c r="F799" s="184"/>
      <c r="G799" s="185"/>
      <c r="H799" s="186"/>
      <c r="I799" s="186"/>
      <c r="J799" s="186"/>
      <c r="K799" s="187"/>
      <c r="L799" s="186"/>
      <c r="M799" s="186"/>
      <c r="N799" s="186"/>
      <c r="O799" s="187"/>
      <c r="P799" s="187"/>
      <c r="Q799" s="187"/>
      <c r="R799" s="187"/>
      <c r="S799" s="187"/>
      <c r="T799" s="187"/>
      <c r="U799" s="187"/>
      <c r="V799" s="188" t="str">
        <f t="shared" si="1278"/>
        <v/>
      </c>
      <c r="W799" s="189" t="str">
        <f t="shared" si="1284"/>
        <v/>
      </c>
      <c r="X799" s="189"/>
      <c r="Y799" s="189"/>
      <c r="Z799" s="189"/>
      <c r="AA799" s="190"/>
      <c r="AB799" s="186"/>
      <c r="AC799" s="344"/>
      <c r="AD799" s="186"/>
      <c r="AE799" s="186"/>
      <c r="AF799" s="186"/>
      <c r="AG799" s="186"/>
      <c r="AH799" s="186"/>
      <c r="AI799" s="191"/>
      <c r="AJ799" s="191"/>
      <c r="AK799" s="186"/>
      <c r="AL799" s="186"/>
      <c r="AM799" s="186"/>
      <c r="AN799" s="344"/>
      <c r="AO799" s="186"/>
      <c r="AP799" s="193"/>
      <c r="AQ799" s="193"/>
      <c r="AR799" s="191"/>
      <c r="AS799" s="194"/>
      <c r="AT799" s="195"/>
      <c r="AU799" s="425"/>
      <c r="AV799" s="425"/>
      <c r="AW799" s="425"/>
      <c r="AX799" s="425"/>
      <c r="AY799" s="425"/>
      <c r="AZ799" s="425"/>
      <c r="BA799" s="425"/>
      <c r="BB799" s="425"/>
      <c r="BC799" s="440"/>
      <c r="BD799" s="404">
        <f>SUM($AS$4:AS799)</f>
        <v>4067.7698715729352</v>
      </c>
      <c r="BE799" s="407">
        <f>SUM($AR$4:AR799)</f>
        <v>14525.582000000051</v>
      </c>
      <c r="BF799" s="331"/>
      <c r="BG799" s="331"/>
    </row>
    <row r="800" spans="1:59" ht="15.75" customHeight="1">
      <c r="A800" s="227" t="s">
        <v>3105</v>
      </c>
      <c r="B800" s="181">
        <v>45119</v>
      </c>
      <c r="C800" s="182" t="s">
        <v>2692</v>
      </c>
      <c r="D800" s="182" t="s">
        <v>133</v>
      </c>
      <c r="E800" s="233"/>
      <c r="F800" s="184"/>
      <c r="G800" s="291" t="s">
        <v>75</v>
      </c>
      <c r="H800" s="186"/>
      <c r="I800" s="186"/>
      <c r="J800" s="186"/>
      <c r="K800" s="187"/>
      <c r="L800" s="186">
        <v>1</v>
      </c>
      <c r="M800" s="186">
        <v>1</v>
      </c>
      <c r="N800" s="186"/>
      <c r="O800" s="187" t="s">
        <v>76</v>
      </c>
      <c r="P800" s="187" t="s">
        <v>77</v>
      </c>
      <c r="Q800" s="187" t="s">
        <v>78</v>
      </c>
      <c r="R800" s="187">
        <v>5</v>
      </c>
      <c r="S800" s="187">
        <v>0</v>
      </c>
      <c r="T800" s="187">
        <v>5</v>
      </c>
      <c r="U800" s="187" t="s">
        <v>22</v>
      </c>
      <c r="V800" s="188">
        <f t="shared" si="1278"/>
        <v>0.01</v>
      </c>
      <c r="W800" s="189">
        <f t="shared" si="1284"/>
        <v>1600</v>
      </c>
      <c r="X800" s="189" t="s">
        <v>3198</v>
      </c>
      <c r="Y800" s="189"/>
      <c r="Z800" s="189"/>
      <c r="AA800" s="190">
        <v>0.15</v>
      </c>
      <c r="AB800" s="186"/>
      <c r="AC800" s="344"/>
      <c r="AD800" s="186"/>
      <c r="AE800" s="186"/>
      <c r="AF800" s="186"/>
      <c r="AG800" s="186"/>
      <c r="AH800" s="186"/>
      <c r="AI800" s="191">
        <f t="shared" ref="AI797:AI801" si="1285">-0.03*W800</f>
        <v>-48</v>
      </c>
      <c r="AJ800" s="191">
        <f t="shared" ref="AJ797:AJ801" si="1286">AI800*(R800-S800)</f>
        <v>-240</v>
      </c>
      <c r="AK800" s="186"/>
      <c r="AL800" s="186"/>
      <c r="AM800" s="186" t="s">
        <v>2893</v>
      </c>
      <c r="AN800" s="344" t="s">
        <v>376</v>
      </c>
      <c r="AO800" s="186" t="s">
        <v>964</v>
      </c>
      <c r="AP800" s="193">
        <v>0.16</v>
      </c>
      <c r="AQ800" s="193">
        <f t="shared" ref="AQ796:AQ800" si="1287">IF(ISBLANK(AP800),,IF(U800="S",AA800-AP800,AP800-AA800))</f>
        <v>1.0000000000000009E-2</v>
      </c>
      <c r="AR800" s="191">
        <f t="shared" ref="AR796:AR800" si="1288">AS800*R800</f>
        <v>80.000000000000071</v>
      </c>
      <c r="AS800" s="194">
        <f t="shared" ref="AS796:AS800" si="1289">IF(ISBLANK(AP800),,(AQ800*W800))</f>
        <v>16.000000000000014</v>
      </c>
      <c r="AT800" s="195" t="s">
        <v>77</v>
      </c>
      <c r="AU800" s="425"/>
      <c r="AV800" s="425"/>
      <c r="AW800" s="425"/>
      <c r="AX800" s="425"/>
      <c r="AY800" s="425"/>
      <c r="AZ800" s="425"/>
      <c r="BA800" s="425"/>
      <c r="BB800" s="425"/>
      <c r="BC800" s="440"/>
      <c r="BD800" s="404">
        <f>SUM($AS$4:AS800)</f>
        <v>4083.7698715729352</v>
      </c>
      <c r="BE800" s="407">
        <f>SUM($AR$4:AR800)</f>
        <v>14605.582000000051</v>
      </c>
      <c r="BF800" s="331"/>
      <c r="BG800" s="331"/>
    </row>
    <row r="801" spans="1:59" ht="15.75" customHeight="1">
      <c r="A801" s="227" t="s">
        <v>3105</v>
      </c>
      <c r="B801" s="181">
        <v>45119</v>
      </c>
      <c r="C801" s="182" t="s">
        <v>3199</v>
      </c>
      <c r="D801" s="182" t="s">
        <v>133</v>
      </c>
      <c r="E801" s="233"/>
      <c r="F801" s="184"/>
      <c r="G801" s="185" t="s">
        <v>3200</v>
      </c>
      <c r="H801" s="186"/>
      <c r="I801" s="186"/>
      <c r="J801" s="186"/>
      <c r="K801" s="187"/>
      <c r="L801" s="186"/>
      <c r="M801" s="186"/>
      <c r="N801" s="186"/>
      <c r="O801" s="187"/>
      <c r="P801" s="187"/>
      <c r="Q801" s="187"/>
      <c r="R801" s="187"/>
      <c r="S801" s="187"/>
      <c r="T801" s="187"/>
      <c r="U801" s="187"/>
      <c r="V801" s="188"/>
      <c r="W801" s="189"/>
      <c r="X801" s="189"/>
      <c r="Y801" s="189"/>
      <c r="Z801" s="189"/>
      <c r="AA801" s="190"/>
      <c r="AB801" s="186"/>
      <c r="AC801" s="344"/>
      <c r="AD801" s="186"/>
      <c r="AE801" s="186"/>
      <c r="AF801" s="186"/>
      <c r="AG801" s="186"/>
      <c r="AH801" s="186"/>
      <c r="AI801" s="191"/>
      <c r="AJ801" s="191"/>
      <c r="AK801" s="186"/>
      <c r="AL801" s="186"/>
      <c r="AM801" s="186"/>
      <c r="AN801" s="344"/>
      <c r="AO801" s="186"/>
      <c r="AP801" s="193"/>
      <c r="AQ801" s="193"/>
      <c r="AR801" s="191"/>
      <c r="AS801" s="194"/>
      <c r="AT801" s="195"/>
      <c r="AU801" s="425"/>
      <c r="AV801" s="425"/>
      <c r="AW801" s="425"/>
      <c r="AX801" s="425"/>
      <c r="AY801" s="425"/>
      <c r="AZ801" s="425"/>
      <c r="BA801" s="425"/>
      <c r="BB801" s="425"/>
      <c r="BC801" s="440"/>
      <c r="BD801" s="404">
        <f>SUM($AS$4:AS801)</f>
        <v>4083.7698715729352</v>
      </c>
      <c r="BE801" s="407">
        <f>SUM($AR$4:AR801)</f>
        <v>14605.582000000051</v>
      </c>
      <c r="BF801" s="331"/>
      <c r="BG801" s="331"/>
    </row>
    <row r="802" spans="1:59" ht="15.75" customHeight="1">
      <c r="A802" s="227" t="s">
        <v>3105</v>
      </c>
      <c r="B802" s="181">
        <v>45119</v>
      </c>
      <c r="C802" s="182" t="s">
        <v>664</v>
      </c>
      <c r="D802" s="182" t="s">
        <v>133</v>
      </c>
      <c r="E802" s="233"/>
      <c r="F802" s="184"/>
      <c r="G802" s="185" t="s">
        <v>2789</v>
      </c>
      <c r="H802" s="186"/>
      <c r="I802" s="186"/>
      <c r="J802" s="186"/>
      <c r="K802" s="187"/>
      <c r="L802" s="186">
        <v>1</v>
      </c>
      <c r="M802" s="186"/>
      <c r="N802" s="186"/>
      <c r="O802" s="187"/>
      <c r="P802" s="187"/>
      <c r="Q802" s="187"/>
      <c r="R802" s="187"/>
      <c r="S802" s="187"/>
      <c r="T802" s="187"/>
      <c r="U802" s="187"/>
      <c r="V802" s="188"/>
      <c r="W802" s="189"/>
      <c r="X802" s="189"/>
      <c r="Y802" s="189"/>
      <c r="Z802" s="189"/>
      <c r="AA802" s="190"/>
      <c r="AB802" s="186"/>
      <c r="AC802" s="344"/>
      <c r="AD802" s="186"/>
      <c r="AE802" s="186"/>
      <c r="AF802" s="186"/>
      <c r="AG802" s="186"/>
      <c r="AH802" s="186"/>
      <c r="AI802" s="191"/>
      <c r="AJ802" s="191"/>
      <c r="AK802" s="186"/>
      <c r="AL802" s="186"/>
      <c r="AM802" s="186"/>
      <c r="AN802" s="344"/>
      <c r="AO802" s="186"/>
      <c r="AP802" s="193"/>
      <c r="AQ802" s="193"/>
      <c r="AR802" s="191"/>
      <c r="AS802" s="194"/>
      <c r="AT802" s="195"/>
      <c r="AU802" s="425"/>
      <c r="AV802" s="425"/>
      <c r="AW802" s="425"/>
      <c r="AX802" s="425"/>
      <c r="AY802" s="425"/>
      <c r="AZ802" s="425"/>
      <c r="BA802" s="425"/>
      <c r="BB802" s="425"/>
      <c r="BC802" s="440"/>
      <c r="BD802" s="404">
        <f>SUM($AS$4:AS802)</f>
        <v>4083.7698715729352</v>
      </c>
      <c r="BE802" s="407">
        <f>SUM($AR$4:AR802)</f>
        <v>14605.582000000051</v>
      </c>
      <c r="BF802" s="331"/>
      <c r="BG802" s="331"/>
    </row>
    <row r="803" spans="1:59" ht="15.75" customHeight="1">
      <c r="A803" s="227" t="s">
        <v>3105</v>
      </c>
      <c r="B803" s="181">
        <v>45119</v>
      </c>
      <c r="C803" s="182" t="s">
        <v>664</v>
      </c>
      <c r="D803" s="182" t="s">
        <v>133</v>
      </c>
      <c r="E803" s="233"/>
      <c r="F803" s="184"/>
      <c r="G803" s="185" t="s">
        <v>2051</v>
      </c>
      <c r="H803" s="186"/>
      <c r="I803" s="186"/>
      <c r="J803" s="186"/>
      <c r="K803" s="187"/>
      <c r="L803" s="186">
        <v>1</v>
      </c>
      <c r="M803" s="186"/>
      <c r="N803" s="186"/>
      <c r="O803" s="187"/>
      <c r="P803" s="187"/>
      <c r="Q803" s="187"/>
      <c r="R803" s="187"/>
      <c r="S803" s="187"/>
      <c r="T803" s="187"/>
      <c r="U803" s="187"/>
      <c r="V803" s="188"/>
      <c r="W803" s="189"/>
      <c r="X803" s="189"/>
      <c r="Y803" s="189"/>
      <c r="Z803" s="189"/>
      <c r="AA803" s="190"/>
      <c r="AB803" s="186"/>
      <c r="AC803" s="344"/>
      <c r="AD803" s="186"/>
      <c r="AE803" s="186"/>
      <c r="AF803" s="186"/>
      <c r="AG803" s="186"/>
      <c r="AH803" s="186"/>
      <c r="AI803" s="191"/>
      <c r="AJ803" s="191"/>
      <c r="AK803" s="186"/>
      <c r="AL803" s="186"/>
      <c r="AM803" s="186"/>
      <c r="AN803" s="344"/>
      <c r="AO803" s="186"/>
      <c r="AP803" s="193"/>
      <c r="AQ803" s="193"/>
      <c r="AR803" s="191"/>
      <c r="AS803" s="194"/>
      <c r="AT803" s="195"/>
      <c r="AU803" s="425"/>
      <c r="AV803" s="425"/>
      <c r="AW803" s="425"/>
      <c r="AX803" s="425"/>
      <c r="AY803" s="425"/>
      <c r="AZ803" s="425"/>
      <c r="BA803" s="425"/>
      <c r="BB803" s="425"/>
      <c r="BC803" s="440"/>
      <c r="BD803" s="404">
        <f>SUM($AS$4:AS803)</f>
        <v>4083.7698715729352</v>
      </c>
      <c r="BE803" s="407">
        <f>SUM($AR$4:AR803)</f>
        <v>14605.582000000051</v>
      </c>
      <c r="BF803" s="331"/>
      <c r="BG803" s="331"/>
    </row>
    <row r="804" spans="1:59" ht="15.75" customHeight="1">
      <c r="A804" s="227" t="s">
        <v>3105</v>
      </c>
      <c r="B804" s="181">
        <v>45119</v>
      </c>
      <c r="C804" s="182" t="s">
        <v>1695</v>
      </c>
      <c r="D804" s="182" t="s">
        <v>133</v>
      </c>
      <c r="E804" s="233" t="s">
        <v>3201</v>
      </c>
      <c r="F804" s="184"/>
      <c r="G804" s="185"/>
      <c r="H804" s="186"/>
      <c r="I804" s="186"/>
      <c r="J804" s="186">
        <v>1</v>
      </c>
      <c r="K804" s="187" t="s">
        <v>97</v>
      </c>
      <c r="L804" s="186"/>
      <c r="M804" s="186"/>
      <c r="N804" s="186"/>
      <c r="O804" s="187"/>
      <c r="P804" s="187"/>
      <c r="Q804" s="187"/>
      <c r="R804" s="187"/>
      <c r="S804" s="187"/>
      <c r="T804" s="187"/>
      <c r="U804" s="187"/>
      <c r="V804" s="187"/>
      <c r="W804" s="189" t="str">
        <f t="shared" si="1277"/>
        <v/>
      </c>
      <c r="X804" s="189"/>
      <c r="Y804" s="189"/>
      <c r="Z804" s="189"/>
      <c r="AA804" s="190"/>
      <c r="AB804" s="186"/>
      <c r="AC804" s="344"/>
      <c r="AD804" s="186"/>
      <c r="AE804" s="186"/>
      <c r="AF804" s="186"/>
      <c r="AG804" s="186"/>
      <c r="AH804" s="186"/>
      <c r="AI804" s="191"/>
      <c r="AJ804" s="191"/>
      <c r="AK804" s="186"/>
      <c r="AL804" s="186"/>
      <c r="AM804" s="186"/>
      <c r="AN804" s="344"/>
      <c r="AO804" s="186"/>
      <c r="AP804" s="193"/>
      <c r="AQ804" s="193"/>
      <c r="AR804" s="191"/>
      <c r="AS804" s="194"/>
      <c r="AT804" s="195"/>
      <c r="AU804" s="425"/>
      <c r="AV804" s="425"/>
      <c r="AW804" s="425"/>
      <c r="AX804" s="435" t="s">
        <v>3202</v>
      </c>
      <c r="AY804" s="425" t="s">
        <v>3203</v>
      </c>
      <c r="AZ804" s="425"/>
      <c r="BA804" s="425"/>
      <c r="BB804" s="425"/>
      <c r="BC804" s="440"/>
      <c r="BD804" s="404">
        <f>SUM($AS$4:AS804)</f>
        <v>4083.7698715729352</v>
      </c>
      <c r="BE804" s="407">
        <f>SUM($AR$4:AR804)</f>
        <v>14605.582000000051</v>
      </c>
      <c r="BF804" s="331"/>
      <c r="BG804" s="331"/>
    </row>
    <row r="805" spans="1:59" ht="15.75" customHeight="1">
      <c r="A805" s="227" t="s">
        <v>3105</v>
      </c>
      <c r="B805" s="181"/>
      <c r="C805" s="182"/>
      <c r="D805" s="182"/>
      <c r="E805" s="233" t="s">
        <v>3204</v>
      </c>
      <c r="F805" s="184"/>
      <c r="G805" s="185"/>
      <c r="H805" s="186"/>
      <c r="I805" s="186"/>
      <c r="J805" s="186">
        <v>1</v>
      </c>
      <c r="K805" s="187" t="s">
        <v>97</v>
      </c>
      <c r="L805" s="186"/>
      <c r="M805" s="186"/>
      <c r="N805" s="186"/>
      <c r="O805" s="187"/>
      <c r="P805" s="187"/>
      <c r="Q805" s="187"/>
      <c r="R805" s="187"/>
      <c r="S805" s="187"/>
      <c r="T805" s="187"/>
      <c r="U805" s="187"/>
      <c r="V805" s="187"/>
      <c r="W805" s="189" t="str">
        <f t="shared" si="1277"/>
        <v/>
      </c>
      <c r="X805" s="189"/>
      <c r="Y805" s="189"/>
      <c r="Z805" s="189"/>
      <c r="AA805" s="190"/>
      <c r="AB805" s="186"/>
      <c r="AC805" s="344"/>
      <c r="AD805" s="186"/>
      <c r="AE805" s="186"/>
      <c r="AF805" s="186"/>
      <c r="AG805" s="186"/>
      <c r="AH805" s="186"/>
      <c r="AI805" s="191"/>
      <c r="AJ805" s="191"/>
      <c r="AK805" s="186"/>
      <c r="AL805" s="186"/>
      <c r="AM805" s="186"/>
      <c r="AN805" s="344"/>
      <c r="AO805" s="186"/>
      <c r="AP805" s="193"/>
      <c r="AQ805" s="193"/>
      <c r="AR805" s="191"/>
      <c r="AS805" s="194"/>
      <c r="AT805" s="195"/>
      <c r="AU805" s="425"/>
      <c r="AV805" s="425"/>
      <c r="AW805" s="425"/>
      <c r="AX805" s="425"/>
      <c r="AY805" s="425"/>
      <c r="AZ805" s="425"/>
      <c r="BA805" s="425"/>
      <c r="BB805" s="425"/>
      <c r="BC805" s="440"/>
      <c r="BD805" s="404">
        <f>SUM($AS$4:AS805)</f>
        <v>4083.7698715729352</v>
      </c>
      <c r="BE805" s="407">
        <f>SUM($AR$4:AR805)</f>
        <v>14605.582000000051</v>
      </c>
      <c r="BF805" s="331"/>
      <c r="BG805" s="331"/>
    </row>
    <row r="806" spans="1:59" ht="15.75" customHeight="1">
      <c r="A806" s="227" t="s">
        <v>3105</v>
      </c>
      <c r="B806" s="181"/>
      <c r="C806" s="182"/>
      <c r="D806" s="182"/>
      <c r="E806" s="233" t="s">
        <v>3205</v>
      </c>
      <c r="F806" s="184"/>
      <c r="G806" s="185"/>
      <c r="H806" s="186"/>
      <c r="I806" s="186"/>
      <c r="J806" s="186">
        <v>1</v>
      </c>
      <c r="K806" s="187" t="s">
        <v>97</v>
      </c>
      <c r="L806" s="186"/>
      <c r="M806" s="186"/>
      <c r="N806" s="186"/>
      <c r="O806" s="187"/>
      <c r="P806" s="187"/>
      <c r="Q806" s="187"/>
      <c r="R806" s="187"/>
      <c r="S806" s="187"/>
      <c r="T806" s="187"/>
      <c r="U806" s="187"/>
      <c r="V806" s="187"/>
      <c r="W806" s="189" t="str">
        <f t="shared" si="1277"/>
        <v/>
      </c>
      <c r="X806" s="189"/>
      <c r="Y806" s="189"/>
      <c r="Z806" s="189"/>
      <c r="AA806" s="190"/>
      <c r="AB806" s="186"/>
      <c r="AC806" s="344"/>
      <c r="AD806" s="186"/>
      <c r="AE806" s="186"/>
      <c r="AF806" s="186"/>
      <c r="AG806" s="186"/>
      <c r="AH806" s="186"/>
      <c r="AI806" s="191"/>
      <c r="AJ806" s="191"/>
      <c r="AK806" s="186"/>
      <c r="AL806" s="186"/>
      <c r="AM806" s="186"/>
      <c r="AN806" s="344"/>
      <c r="AO806" s="186"/>
      <c r="AP806" s="193"/>
      <c r="AQ806" s="193"/>
      <c r="AR806" s="191"/>
      <c r="AS806" s="194"/>
      <c r="AT806" s="195"/>
      <c r="AU806" s="425"/>
      <c r="AV806" s="425"/>
      <c r="AW806" s="425"/>
      <c r="AX806" s="425"/>
      <c r="AY806" s="425"/>
      <c r="AZ806" s="425"/>
      <c r="BA806" s="425"/>
      <c r="BB806" s="425"/>
      <c r="BC806" s="440"/>
      <c r="BD806" s="404">
        <f>SUM($AS$4:AS806)</f>
        <v>4083.7698715729352</v>
      </c>
      <c r="BE806" s="407">
        <f>SUM($AR$4:AR806)</f>
        <v>14605.582000000051</v>
      </c>
      <c r="BF806" s="331"/>
      <c r="BG806" s="331"/>
    </row>
    <row r="807" spans="1:59" ht="15.75" customHeight="1">
      <c r="A807" s="227" t="s">
        <v>3105</v>
      </c>
      <c r="B807" s="181">
        <v>45119</v>
      </c>
      <c r="C807" s="182" t="s">
        <v>664</v>
      </c>
      <c r="D807" s="182" t="s">
        <v>133</v>
      </c>
      <c r="E807" s="233"/>
      <c r="F807" s="184"/>
      <c r="G807" s="500" t="s">
        <v>3132</v>
      </c>
      <c r="H807" s="186"/>
      <c r="I807" s="186"/>
      <c r="J807" s="186"/>
      <c r="K807" s="187"/>
      <c r="L807" s="186">
        <v>2</v>
      </c>
      <c r="M807" s="186">
        <v>2</v>
      </c>
      <c r="N807" s="186"/>
      <c r="O807" s="187" t="s">
        <v>76</v>
      </c>
      <c r="P807" s="187" t="s">
        <v>77</v>
      </c>
      <c r="Q807" s="187" t="s">
        <v>238</v>
      </c>
      <c r="R807" s="187">
        <v>20</v>
      </c>
      <c r="S807" s="187">
        <v>20</v>
      </c>
      <c r="T807" s="187">
        <v>7</v>
      </c>
      <c r="U807" s="187" t="s">
        <v>22</v>
      </c>
      <c r="V807" s="188">
        <f t="shared" ref="V807:V812" si="1290">IF(ISBLANK(O807),"",(IF(O807=UPPER("IB"),0.005,0.01)))</f>
        <v>0.01</v>
      </c>
      <c r="W807" s="189">
        <f t="shared" si="1277"/>
        <v>1600</v>
      </c>
      <c r="X807" s="189" t="s">
        <v>3206</v>
      </c>
      <c r="Y807" s="189"/>
      <c r="Z807" s="189" t="s">
        <v>3207</v>
      </c>
      <c r="AA807" s="190">
        <f>((0*7)+(-0.02*1)+(-0.03*7)+(-0.04*5))/20</f>
        <v>-2.1499999999999998E-2</v>
      </c>
      <c r="AB807" s="186"/>
      <c r="AC807" s="344"/>
      <c r="AD807" s="186"/>
      <c r="AE807" s="186" t="s">
        <v>2577</v>
      </c>
      <c r="AF807" s="186"/>
      <c r="AG807" s="186"/>
      <c r="AH807" s="186"/>
      <c r="AI807" s="191">
        <f>-0.02*W807</f>
        <v>-32</v>
      </c>
      <c r="AJ807" s="191">
        <f t="shared" ref="AJ802:AJ809" si="1291">AI807*(R807-S807)</f>
        <v>0</v>
      </c>
      <c r="AK807" s="186"/>
      <c r="AL807" s="186"/>
      <c r="AM807" s="186" t="s">
        <v>733</v>
      </c>
      <c r="AN807" s="344" t="s">
        <v>97</v>
      </c>
      <c r="AO807" s="186" t="s">
        <v>3208</v>
      </c>
      <c r="AP807" s="193">
        <f>((-0.01*5)+(0*5)+(0*5)+(0.03*5))/20</f>
        <v>4.9999999999999992E-3</v>
      </c>
      <c r="AQ807" s="193">
        <f t="shared" ref="AQ801:AQ809" si="1292">IF(ISBLANK(AP807),,IF(U807="S",AA807-AP807,AP807-AA807))</f>
        <v>2.6499999999999996E-2</v>
      </c>
      <c r="AR807" s="191">
        <f t="shared" ref="AR801:AR809" si="1293">AS807*R807</f>
        <v>847.99999999999977</v>
      </c>
      <c r="AS807" s="194">
        <f t="shared" ref="AS801:AS809" si="1294">IF(ISBLANK(AP807),,(AQ807*W807))</f>
        <v>42.399999999999991</v>
      </c>
      <c r="AT807" s="195" t="s">
        <v>77</v>
      </c>
      <c r="AU807" s="425" t="s">
        <v>3209</v>
      </c>
      <c r="AV807" s="425"/>
      <c r="AW807" s="425"/>
      <c r="AX807" s="425" t="s">
        <v>764</v>
      </c>
      <c r="AY807" s="425"/>
      <c r="AZ807" s="425"/>
      <c r="BA807" s="425"/>
      <c r="BB807" s="425"/>
      <c r="BC807" s="440"/>
      <c r="BD807" s="404">
        <f>SUM($AS$4:AS807)</f>
        <v>4126.1698715729353</v>
      </c>
      <c r="BE807" s="407">
        <f>SUM($AR$4:AR807)</f>
        <v>15453.582000000051</v>
      </c>
      <c r="BF807" s="331"/>
      <c r="BG807" s="331"/>
    </row>
    <row r="808" spans="1:59" ht="15.75" customHeight="1">
      <c r="A808" s="227" t="s">
        <v>3105</v>
      </c>
      <c r="B808" s="181">
        <v>45119</v>
      </c>
      <c r="C808" s="182" t="s">
        <v>664</v>
      </c>
      <c r="D808" s="182" t="s">
        <v>133</v>
      </c>
      <c r="E808" s="233"/>
      <c r="F808" s="184"/>
      <c r="G808" s="500" t="s">
        <v>3166</v>
      </c>
      <c r="H808" s="186"/>
      <c r="I808" s="186"/>
      <c r="J808" s="186"/>
      <c r="K808" s="187"/>
      <c r="L808" s="186">
        <v>2</v>
      </c>
      <c r="M808" s="186">
        <v>2</v>
      </c>
      <c r="N808" s="186"/>
      <c r="O808" s="187" t="s">
        <v>76</v>
      </c>
      <c r="P808" s="187" t="s">
        <v>77</v>
      </c>
      <c r="Q808" s="187" t="s">
        <v>238</v>
      </c>
      <c r="R808" s="187">
        <v>15</v>
      </c>
      <c r="S808" s="187">
        <v>5</v>
      </c>
      <c r="T808" s="187">
        <v>9</v>
      </c>
      <c r="U808" s="187" t="s">
        <v>78</v>
      </c>
      <c r="V808" s="188">
        <f t="shared" si="1290"/>
        <v>0.01</v>
      </c>
      <c r="W808" s="189">
        <f t="shared" si="1277"/>
        <v>1600</v>
      </c>
      <c r="X808" s="189"/>
      <c r="Y808" s="189"/>
      <c r="Z808" s="189" t="s">
        <v>3210</v>
      </c>
      <c r="AA808" s="190">
        <f>((0.09*9)+(0.1*6))/15</f>
        <v>9.4000000000000014E-2</v>
      </c>
      <c r="AB808" s="186"/>
      <c r="AC808" s="344"/>
      <c r="AD808" s="186"/>
      <c r="AE808" s="186" t="s">
        <v>1270</v>
      </c>
      <c r="AF808" s="186"/>
      <c r="AG808" s="186"/>
      <c r="AH808" s="186"/>
      <c r="AI808" s="191">
        <f>-0.025*W808</f>
        <v>-40</v>
      </c>
      <c r="AJ808" s="191">
        <f t="shared" si="1291"/>
        <v>-400</v>
      </c>
      <c r="AK808" s="186"/>
      <c r="AL808" s="186"/>
      <c r="AM808" s="186" t="s">
        <v>3211</v>
      </c>
      <c r="AN808" s="344" t="s">
        <v>77</v>
      </c>
      <c r="AO808" s="186" t="s">
        <v>3212</v>
      </c>
      <c r="AP808" s="193">
        <f>(0.05*5+0.05*5+0.05*5)/15</f>
        <v>0.05</v>
      </c>
      <c r="AQ808" s="193">
        <f t="shared" si="1292"/>
        <v>4.4000000000000011E-2</v>
      </c>
      <c r="AR808" s="191">
        <f t="shared" si="1293"/>
        <v>1056.0000000000002</v>
      </c>
      <c r="AS808" s="194">
        <f t="shared" si="1294"/>
        <v>70.40000000000002</v>
      </c>
      <c r="AT808" s="195" t="s">
        <v>77</v>
      </c>
      <c r="AU808" s="425" t="s">
        <v>3213</v>
      </c>
      <c r="AV808" s="425" t="s">
        <v>3214</v>
      </c>
      <c r="AW808" s="425" t="s">
        <v>3215</v>
      </c>
      <c r="AX808" s="425"/>
      <c r="AY808" s="425"/>
      <c r="AZ808" s="425"/>
      <c r="BA808" s="425"/>
      <c r="BB808" s="425"/>
      <c r="BC808" s="440"/>
      <c r="BD808" s="404">
        <f>SUM($AS$4:AS808)</f>
        <v>4196.569871572935</v>
      </c>
      <c r="BE808" s="407">
        <f>SUM($AR$4:AR808)</f>
        <v>16509.582000000053</v>
      </c>
      <c r="BF808" s="331"/>
      <c r="BG808" s="331"/>
    </row>
    <row r="809" spans="1:59" ht="15.75" customHeight="1">
      <c r="A809" s="227" t="s">
        <v>3105</v>
      </c>
      <c r="B809" s="181">
        <v>45119</v>
      </c>
      <c r="C809" s="182" t="s">
        <v>3216</v>
      </c>
      <c r="D809" s="182" t="s">
        <v>133</v>
      </c>
      <c r="E809" s="233"/>
      <c r="F809" s="184"/>
      <c r="G809" s="291" t="s">
        <v>2526</v>
      </c>
      <c r="H809" s="186"/>
      <c r="I809" s="186"/>
      <c r="J809" s="186"/>
      <c r="K809" s="187"/>
      <c r="L809" s="186">
        <v>1</v>
      </c>
      <c r="M809" s="186"/>
      <c r="N809" s="186"/>
      <c r="O809" s="187" t="s">
        <v>2240</v>
      </c>
      <c r="P809" s="187" t="s">
        <v>2241</v>
      </c>
      <c r="Q809" s="187"/>
      <c r="R809" s="187">
        <v>2</v>
      </c>
      <c r="S809" s="187">
        <v>0</v>
      </c>
      <c r="T809" s="187">
        <v>2</v>
      </c>
      <c r="U809" s="187" t="s">
        <v>78</v>
      </c>
      <c r="V809" s="188">
        <f t="shared" si="1290"/>
        <v>0.01</v>
      </c>
      <c r="W809" s="189">
        <f t="shared" si="1277"/>
        <v>4800</v>
      </c>
      <c r="X809" s="189" t="s">
        <v>3217</v>
      </c>
      <c r="Y809" s="427" t="s">
        <v>3218</v>
      </c>
      <c r="Z809" s="189"/>
      <c r="AA809" s="190">
        <v>0.1</v>
      </c>
      <c r="AB809" s="186"/>
      <c r="AC809" s="344"/>
      <c r="AD809" s="186"/>
      <c r="AE809" s="186" t="s">
        <v>3219</v>
      </c>
      <c r="AF809" s="186"/>
      <c r="AG809" s="186" t="s">
        <v>3220</v>
      </c>
      <c r="AH809" s="186"/>
      <c r="AI809" s="191">
        <f>-0.03*W809</f>
        <v>-144</v>
      </c>
      <c r="AJ809" s="191">
        <f t="shared" ref="AJ809" si="1295">AI809*(R809-S809)</f>
        <v>-288</v>
      </c>
      <c r="AK809" s="186"/>
      <c r="AL809" s="186"/>
      <c r="AM809" s="186" t="s">
        <v>3221</v>
      </c>
      <c r="AN809" s="344" t="s">
        <v>87</v>
      </c>
      <c r="AO809" s="186" t="s">
        <v>3222</v>
      </c>
      <c r="AP809" s="193">
        <f>(0.11+0.1)/2</f>
        <v>0.10500000000000001</v>
      </c>
      <c r="AQ809" s="193">
        <f t="shared" si="1292"/>
        <v>-5.0000000000000044E-3</v>
      </c>
      <c r="AR809" s="191">
        <f t="shared" si="1293"/>
        <v>-48.000000000000043</v>
      </c>
      <c r="AS809" s="194">
        <f t="shared" si="1294"/>
        <v>-24.000000000000021</v>
      </c>
      <c r="AT809" s="195" t="s">
        <v>211</v>
      </c>
      <c r="AU809" s="425"/>
      <c r="AV809" s="425"/>
      <c r="AW809" s="425"/>
      <c r="AX809" s="425"/>
      <c r="AY809" s="425"/>
      <c r="AZ809" s="425"/>
      <c r="BA809" s="425"/>
      <c r="BB809" s="425"/>
      <c r="BC809" s="440"/>
      <c r="BD809" s="404">
        <f>SUM($AS$4:AS809)</f>
        <v>4172.569871572935</v>
      </c>
      <c r="BE809" s="407">
        <f>SUM($AR$4:AR809)</f>
        <v>16461.582000000053</v>
      </c>
      <c r="BF809" s="331"/>
      <c r="BG809" s="331"/>
    </row>
    <row r="810" spans="1:59" ht="15.75" customHeight="1">
      <c r="A810" s="227" t="s">
        <v>3105</v>
      </c>
      <c r="B810" s="181">
        <v>45119</v>
      </c>
      <c r="C810" s="182" t="s">
        <v>1169</v>
      </c>
      <c r="D810" s="182" t="s">
        <v>133</v>
      </c>
      <c r="E810" s="233" t="s">
        <v>3223</v>
      </c>
      <c r="F810" s="184"/>
      <c r="G810" s="185"/>
      <c r="H810" s="186"/>
      <c r="I810" s="186"/>
      <c r="J810" s="186"/>
      <c r="K810" s="187"/>
      <c r="L810" s="186"/>
      <c r="M810" s="186"/>
      <c r="N810" s="186"/>
      <c r="O810" s="187"/>
      <c r="P810" s="187"/>
      <c r="Q810" s="187"/>
      <c r="R810" s="187"/>
      <c r="S810" s="187"/>
      <c r="T810" s="187"/>
      <c r="U810" s="187"/>
      <c r="V810" s="188" t="str">
        <f t="shared" si="1290"/>
        <v/>
      </c>
      <c r="W810" s="189" t="str">
        <f t="shared" ref="W807:W810" si="1296">IF(ISBLANK(O810),"",IF(O810="IB",8.63*200,IF(O810="IR",16*100,IF(O810="YT",20*100,IF(O810="YT-XT",24*200,IF(O810="TED",80*100))))))</f>
        <v/>
      </c>
      <c r="X810" s="189"/>
      <c r="Y810" s="189"/>
      <c r="Z810" s="189"/>
      <c r="AA810" s="190"/>
      <c r="AB810" s="186"/>
      <c r="AC810" s="344"/>
      <c r="AD810" s="186"/>
      <c r="AE810" s="186"/>
      <c r="AF810" s="186"/>
      <c r="AG810" s="186"/>
      <c r="AH810" s="186"/>
      <c r="AI810" s="191"/>
      <c r="AJ810" s="191"/>
      <c r="AK810" s="186"/>
      <c r="AL810" s="186"/>
      <c r="AM810" s="186"/>
      <c r="AN810" s="344"/>
      <c r="AO810" s="186"/>
      <c r="AP810" s="193"/>
      <c r="AQ810" s="193"/>
      <c r="AR810" s="191"/>
      <c r="AS810" s="194"/>
      <c r="AT810" s="195"/>
      <c r="AU810" s="425"/>
      <c r="AV810" s="425"/>
      <c r="AW810" s="425"/>
      <c r="AX810" s="425"/>
      <c r="AY810" s="425"/>
      <c r="AZ810" s="425"/>
      <c r="BA810" s="425"/>
      <c r="BB810" s="425"/>
      <c r="BC810" s="440"/>
      <c r="BD810" s="404">
        <f>SUM($AS$4:AS810)</f>
        <v>4172.569871572935</v>
      </c>
      <c r="BE810" s="407">
        <f>SUM($AR$4:AR810)</f>
        <v>16461.582000000053</v>
      </c>
      <c r="BF810" s="331"/>
      <c r="BG810" s="331"/>
    </row>
    <row r="811" spans="1:59" ht="15.75" customHeight="1">
      <c r="A811" s="227" t="s">
        <v>3105</v>
      </c>
      <c r="B811" s="181">
        <v>45119</v>
      </c>
      <c r="C811" s="182" t="s">
        <v>3224</v>
      </c>
      <c r="D811" s="182" t="s">
        <v>133</v>
      </c>
      <c r="E811" s="233"/>
      <c r="F811" s="184"/>
      <c r="G811" s="291" t="s">
        <v>118</v>
      </c>
      <c r="H811" s="186"/>
      <c r="I811" s="186"/>
      <c r="J811" s="186"/>
      <c r="K811" s="187"/>
      <c r="L811" s="186">
        <v>1</v>
      </c>
      <c r="M811" s="186"/>
      <c r="N811" s="186"/>
      <c r="O811" s="187" t="s">
        <v>76</v>
      </c>
      <c r="P811" s="187" t="s">
        <v>77</v>
      </c>
      <c r="Q811" s="187" t="s">
        <v>78</v>
      </c>
      <c r="R811" s="187">
        <v>5</v>
      </c>
      <c r="S811" s="187">
        <v>0</v>
      </c>
      <c r="T811" s="187">
        <v>5</v>
      </c>
      <c r="U811" s="187" t="s">
        <v>22</v>
      </c>
      <c r="V811" s="188">
        <f t="shared" si="1290"/>
        <v>0.01</v>
      </c>
      <c r="W811" s="189">
        <f t="shared" si="1277"/>
        <v>1600</v>
      </c>
      <c r="X811" s="189" t="s">
        <v>80</v>
      </c>
      <c r="Y811" s="189"/>
      <c r="Z811" s="189"/>
      <c r="AA811" s="190">
        <f>-0.11</f>
        <v>-0.11</v>
      </c>
      <c r="AB811" s="186"/>
      <c r="AC811" s="344"/>
      <c r="AD811" s="186"/>
      <c r="AE811" s="186"/>
      <c r="AF811" s="186"/>
      <c r="AG811" s="186"/>
      <c r="AH811" s="186"/>
      <c r="AI811" s="191">
        <f>-0.025*W811</f>
        <v>-40</v>
      </c>
      <c r="AJ811" s="191">
        <f t="shared" ref="AJ810:AJ811" si="1297">AI811*(R811-S811)</f>
        <v>-200</v>
      </c>
      <c r="AK811" s="186"/>
      <c r="AL811" s="186"/>
      <c r="AM811" s="186" t="s">
        <v>999</v>
      </c>
      <c r="AN811" s="344" t="s">
        <v>87</v>
      </c>
      <c r="AO811" s="308" t="s">
        <v>3225</v>
      </c>
      <c r="AP811" s="193">
        <v>-0.13</v>
      </c>
      <c r="AQ811" s="193">
        <f t="shared" ref="AQ811:AQ812" si="1298">IF(ISBLANK(AP811),,IF(U811="S",AA811-AP811,AP811-AA811))</f>
        <v>-2.0000000000000004E-2</v>
      </c>
      <c r="AR811" s="191">
        <f t="shared" ref="AR811:AR812" si="1299">AS811*R811</f>
        <v>-160.00000000000003</v>
      </c>
      <c r="AS811" s="194">
        <f t="shared" ref="AS811:AS812" si="1300">IF(ISBLANK(AP811),,(AQ811*W811))</f>
        <v>-32.000000000000007</v>
      </c>
      <c r="AT811" s="195" t="s">
        <v>211</v>
      </c>
      <c r="AU811" s="425" t="s">
        <v>3226</v>
      </c>
      <c r="AV811" s="425"/>
      <c r="AW811" s="425"/>
      <c r="AX811" s="425"/>
      <c r="AY811" s="425"/>
      <c r="AZ811" s="425"/>
      <c r="BA811" s="425"/>
      <c r="BB811" s="425"/>
      <c r="BC811" s="440"/>
      <c r="BD811" s="404">
        <f>SUM($AS$4:AS811)</f>
        <v>4140.569871572935</v>
      </c>
      <c r="BE811" s="407">
        <f>SUM($AR$4:AR811)</f>
        <v>16301.582000000053</v>
      </c>
      <c r="BF811" s="331"/>
      <c r="BG811" s="331"/>
    </row>
    <row r="812" spans="1:59" ht="15.75" customHeight="1">
      <c r="A812" s="227" t="s">
        <v>3105</v>
      </c>
      <c r="B812" s="181">
        <v>45119</v>
      </c>
      <c r="C812" s="182" t="s">
        <v>1303</v>
      </c>
      <c r="D812" s="182" t="s">
        <v>133</v>
      </c>
      <c r="E812" s="233"/>
      <c r="F812" s="184"/>
      <c r="G812" s="291" t="s">
        <v>2126</v>
      </c>
      <c r="H812" s="186"/>
      <c r="I812" s="186"/>
      <c r="J812" s="186"/>
      <c r="K812" s="187"/>
      <c r="L812" s="186">
        <v>1</v>
      </c>
      <c r="M812" s="186"/>
      <c r="N812" s="186"/>
      <c r="O812" s="187" t="s">
        <v>76</v>
      </c>
      <c r="P812" s="187" t="s">
        <v>77</v>
      </c>
      <c r="Q812" s="187" t="s">
        <v>78</v>
      </c>
      <c r="R812" s="187">
        <v>5</v>
      </c>
      <c r="S812" s="187">
        <v>0</v>
      </c>
      <c r="T812" s="187">
        <v>5</v>
      </c>
      <c r="U812" s="187" t="s">
        <v>22</v>
      </c>
      <c r="V812" s="188">
        <f t="shared" si="1290"/>
        <v>0.01</v>
      </c>
      <c r="W812" s="189">
        <f t="shared" si="1259"/>
        <v>1600</v>
      </c>
      <c r="X812" s="189" t="s">
        <v>3227</v>
      </c>
      <c r="Y812" s="189"/>
      <c r="Z812" s="189"/>
      <c r="AA812" s="190">
        <v>0.01</v>
      </c>
      <c r="AB812" s="186"/>
      <c r="AC812" s="344"/>
      <c r="AD812" s="186"/>
      <c r="AE812" s="186"/>
      <c r="AF812" s="186"/>
      <c r="AG812" s="186"/>
      <c r="AH812" s="186"/>
      <c r="AI812" s="191"/>
      <c r="AJ812" s="191"/>
      <c r="AK812" s="186"/>
      <c r="AL812" s="186"/>
      <c r="AM812" s="186" t="s">
        <v>949</v>
      </c>
      <c r="AN812" s="344" t="s">
        <v>87</v>
      </c>
      <c r="AO812" s="186" t="s">
        <v>3228</v>
      </c>
      <c r="AP812" s="193">
        <v>0.02</v>
      </c>
      <c r="AQ812" s="193">
        <f t="shared" si="1298"/>
        <v>0.01</v>
      </c>
      <c r="AR812" s="191">
        <f t="shared" si="1299"/>
        <v>80</v>
      </c>
      <c r="AS812" s="194">
        <f t="shared" si="1300"/>
        <v>16</v>
      </c>
      <c r="AT812" s="195" t="s">
        <v>77</v>
      </c>
      <c r="AU812" s="425"/>
      <c r="AV812" s="425"/>
      <c r="AW812" s="425"/>
      <c r="AX812" s="425"/>
      <c r="AY812" s="425"/>
      <c r="AZ812" s="425"/>
      <c r="BA812" s="425"/>
      <c r="BB812" s="425"/>
      <c r="BC812" s="440"/>
      <c r="BD812" s="404">
        <f>SUM($AS$4:AS812)</f>
        <v>4156.569871572935</v>
      </c>
      <c r="BE812" s="407">
        <f>SUM($AR$4:AR812)</f>
        <v>16381.582000000053</v>
      </c>
      <c r="BF812" s="331"/>
      <c r="BG812" s="331"/>
    </row>
    <row r="813" spans="1:59" ht="15.75" customHeight="1">
      <c r="A813" s="227" t="s">
        <v>3105</v>
      </c>
      <c r="B813" s="181">
        <v>45120</v>
      </c>
      <c r="C813" s="182" t="s">
        <v>2983</v>
      </c>
      <c r="D813" s="182" t="s">
        <v>133</v>
      </c>
      <c r="E813" s="233"/>
      <c r="F813" s="184"/>
      <c r="G813" s="500" t="s">
        <v>3229</v>
      </c>
      <c r="H813" s="186"/>
      <c r="I813" s="186"/>
      <c r="J813" s="186"/>
      <c r="K813" s="187"/>
      <c r="L813" s="186">
        <v>1</v>
      </c>
      <c r="M813" s="186"/>
      <c r="N813" s="186"/>
      <c r="O813" s="187" t="s">
        <v>76</v>
      </c>
      <c r="P813" s="187" t="s">
        <v>77</v>
      </c>
      <c r="Q813" s="187" t="s">
        <v>238</v>
      </c>
      <c r="R813" s="187">
        <v>12</v>
      </c>
      <c r="S813" s="187">
        <v>12</v>
      </c>
      <c r="T813" s="187">
        <v>5</v>
      </c>
      <c r="U813" s="187" t="s">
        <v>78</v>
      </c>
      <c r="V813" s="188">
        <f t="shared" ref="V813:V814" si="1301">IF(ISBLANK(O813),"",(IF(O813=UPPER("IB"),0.005,0.01)))</f>
        <v>0.01</v>
      </c>
      <c r="W813" s="189">
        <f t="shared" ref="W813:W814" si="1302">IF(ISBLANK(O813),"",IF(O813="IB",8.63*200,IF(O813="IR",16*100,IF(O813="YT",20*100,IF(O813="YT-XT",24*200,IF(O813="TED",80*100))))))</f>
        <v>1600</v>
      </c>
      <c r="X813" s="189" t="s">
        <v>3230</v>
      </c>
      <c r="Y813" s="189" t="s">
        <v>3231</v>
      </c>
      <c r="Z813" s="189" t="s">
        <v>3232</v>
      </c>
      <c r="AA813" s="190">
        <f>(0.09*5+0.08*7)/12</f>
        <v>8.4166666666666667E-2</v>
      </c>
      <c r="AB813" s="186"/>
      <c r="AC813" s="344"/>
      <c r="AD813" s="186"/>
      <c r="AE813" s="186" t="s">
        <v>3233</v>
      </c>
      <c r="AF813" s="186"/>
      <c r="AG813" s="186" t="s">
        <v>3234</v>
      </c>
      <c r="AH813" s="186"/>
      <c r="AI813" s="191">
        <f t="shared" ref="AI812:AI813" si="1303">-0.025*W813</f>
        <v>-40</v>
      </c>
      <c r="AJ813" s="191">
        <f t="shared" ref="AJ812:AJ814" si="1304">AI813*(R813-S813)</f>
        <v>0</v>
      </c>
      <c r="AK813" s="186"/>
      <c r="AL813" s="186"/>
      <c r="AM813" s="186" t="s">
        <v>3235</v>
      </c>
      <c r="AN813" s="344" t="s">
        <v>97</v>
      </c>
      <c r="AO813" s="186" t="s">
        <v>3236</v>
      </c>
      <c r="AP813" s="193">
        <f>(0.07*3+0.07*9)/12</f>
        <v>7.0000000000000007E-2</v>
      </c>
      <c r="AQ813" s="193">
        <f t="shared" ref="AQ813" si="1305">IF(ISBLANK(AP813),,IF(U813="S",AA813-AP813,AP813-AA813))</f>
        <v>1.4166666666666661E-2</v>
      </c>
      <c r="AR813" s="191">
        <f t="shared" ref="AR813" si="1306">AS813*R813</f>
        <v>271.99999999999989</v>
      </c>
      <c r="AS813" s="194">
        <f t="shared" ref="AS813" si="1307">IF(ISBLANK(AP813),,(AQ813*W813))</f>
        <v>22.666666666666657</v>
      </c>
      <c r="AT813" s="195" t="s">
        <v>77</v>
      </c>
      <c r="AU813" s="425" t="s">
        <v>3237</v>
      </c>
      <c r="AV813" s="425" t="s">
        <v>3238</v>
      </c>
      <c r="AW813" s="425"/>
      <c r="AX813" s="425"/>
      <c r="AY813" s="425"/>
      <c r="AZ813" s="425"/>
      <c r="BA813" s="425"/>
      <c r="BB813" s="425"/>
      <c r="BC813" s="440"/>
      <c r="BD813" s="404">
        <f>SUM($AS$4:AS813)</f>
        <v>4179.2365382396019</v>
      </c>
      <c r="BE813" s="407">
        <f>SUM($AR$4:AR813)</f>
        <v>16653.582000000053</v>
      </c>
      <c r="BF813" s="331"/>
      <c r="BG813" s="331"/>
    </row>
    <row r="814" spans="1:59" ht="15.75" customHeight="1">
      <c r="A814" s="227" t="s">
        <v>3105</v>
      </c>
      <c r="B814" s="181">
        <v>45120</v>
      </c>
      <c r="C814" s="182" t="s">
        <v>3239</v>
      </c>
      <c r="D814" s="182" t="s">
        <v>133</v>
      </c>
      <c r="E814" s="233"/>
      <c r="F814" s="184"/>
      <c r="G814" s="185" t="s">
        <v>3200</v>
      </c>
      <c r="H814" s="186"/>
      <c r="I814" s="186"/>
      <c r="J814" s="186"/>
      <c r="K814" s="187"/>
      <c r="L814" s="186"/>
      <c r="M814" s="186"/>
      <c r="N814" s="186"/>
      <c r="O814" s="187"/>
      <c r="P814" s="187"/>
      <c r="Q814" s="187"/>
      <c r="R814" s="187"/>
      <c r="S814" s="187"/>
      <c r="T814" s="187"/>
      <c r="U814" s="187"/>
      <c r="V814" s="188"/>
      <c r="W814" s="189"/>
      <c r="X814" s="189"/>
      <c r="Y814" s="189"/>
      <c r="Z814" s="189"/>
      <c r="AA814" s="190"/>
      <c r="AB814" s="186"/>
      <c r="AC814" s="344"/>
      <c r="AD814" s="186"/>
      <c r="AE814" s="186"/>
      <c r="AF814" s="186"/>
      <c r="AG814" s="186"/>
      <c r="AH814" s="186"/>
      <c r="AI814" s="191"/>
      <c r="AJ814" s="191"/>
      <c r="AK814" s="186"/>
      <c r="AL814" s="186"/>
      <c r="AM814" s="186"/>
      <c r="AN814" s="344"/>
      <c r="AO814" s="186"/>
      <c r="AP814" s="193"/>
      <c r="AQ814" s="193"/>
      <c r="AR814" s="191"/>
      <c r="AS814" s="194"/>
      <c r="AT814" s="195"/>
      <c r="AU814" s="425"/>
      <c r="AV814" s="425" t="s">
        <v>3240</v>
      </c>
      <c r="AW814" s="425" t="s">
        <v>3241</v>
      </c>
      <c r="AX814" s="425"/>
      <c r="AY814" s="425"/>
      <c r="AZ814" s="425"/>
      <c r="BA814" s="425" t="s">
        <v>3242</v>
      </c>
      <c r="BB814" s="425" t="s">
        <v>3243</v>
      </c>
      <c r="BC814" s="440"/>
      <c r="BD814" s="404">
        <f>SUM($AS$4:AS814)</f>
        <v>4179.2365382396019</v>
      </c>
      <c r="BE814" s="407">
        <f>SUM($AR$4:AR814)</f>
        <v>16653.582000000053</v>
      </c>
      <c r="BF814" s="331"/>
      <c r="BG814" s="331"/>
    </row>
    <row r="815" spans="1:59" ht="15.75" customHeight="1">
      <c r="A815" s="227" t="s">
        <v>3105</v>
      </c>
      <c r="B815" s="181">
        <v>45120</v>
      </c>
      <c r="C815" s="182" t="s">
        <v>2234</v>
      </c>
      <c r="D815" s="182" t="s">
        <v>74</v>
      </c>
      <c r="E815" s="233" t="s">
        <v>3244</v>
      </c>
      <c r="F815" s="184" t="s">
        <v>3245</v>
      </c>
      <c r="G815" s="185"/>
      <c r="H815" s="186">
        <v>1</v>
      </c>
      <c r="I815" s="186"/>
      <c r="J815" s="186"/>
      <c r="K815" s="187" t="s">
        <v>87</v>
      </c>
      <c r="L815" s="186"/>
      <c r="M815" s="186"/>
      <c r="N815" s="186"/>
      <c r="O815" s="187"/>
      <c r="P815" s="187"/>
      <c r="Q815" s="187"/>
      <c r="R815" s="187"/>
      <c r="S815" s="187"/>
      <c r="T815" s="187"/>
      <c r="U815" s="187"/>
      <c r="V815" s="187"/>
      <c r="W815" s="189" t="str">
        <f t="shared" si="1259"/>
        <v/>
      </c>
      <c r="X815" s="189"/>
      <c r="Y815" s="189"/>
      <c r="Z815" s="189"/>
      <c r="AA815" s="190"/>
      <c r="AB815" s="186"/>
      <c r="AC815" s="344"/>
      <c r="AD815" s="186"/>
      <c r="AE815" s="186"/>
      <c r="AF815" s="186"/>
      <c r="AG815" s="186"/>
      <c r="AH815" s="186"/>
      <c r="AI815" s="191"/>
      <c r="AJ815" s="191"/>
      <c r="AK815" s="186"/>
      <c r="AL815" s="186"/>
      <c r="AM815" s="186"/>
      <c r="AN815" s="344"/>
      <c r="AO815" s="186"/>
      <c r="AP815" s="193"/>
      <c r="AQ815" s="193">
        <f t="shared" ref="AQ815:AQ816" si="1308">IF(ISBLANK(AP815),,IF(U815="S",AA815-AP815,AP815-AA815))</f>
        <v>0</v>
      </c>
      <c r="AR815" s="191">
        <f t="shared" ref="AR815:AR816" si="1309">AS815*R815</f>
        <v>0</v>
      </c>
      <c r="AS815" s="194">
        <f t="shared" ref="AS815:AS816" si="1310">IF(ISBLANK(AP815),,(AQ815*W815))</f>
        <v>0</v>
      </c>
      <c r="AT815" s="195"/>
      <c r="AU815" s="425"/>
      <c r="AV815" s="425"/>
      <c r="AW815" s="425"/>
      <c r="AX815" s="425"/>
      <c r="AY815" s="425"/>
      <c r="AZ815" s="425"/>
      <c r="BA815" s="425"/>
      <c r="BB815" s="425"/>
      <c r="BC815" s="440"/>
      <c r="BD815" s="404">
        <f>SUM($AS$4:AS815)</f>
        <v>4179.2365382396019</v>
      </c>
      <c r="BE815" s="407">
        <f>SUM($AR$4:AR815)</f>
        <v>16653.582000000053</v>
      </c>
      <c r="BF815" s="331"/>
      <c r="BG815" s="331"/>
    </row>
    <row r="816" spans="1:59" ht="15.75" customHeight="1">
      <c r="A816" s="227" t="s">
        <v>3105</v>
      </c>
      <c r="B816" s="181">
        <v>45120</v>
      </c>
      <c r="C816" s="182" t="s">
        <v>1674</v>
      </c>
      <c r="D816" s="182" t="s">
        <v>74</v>
      </c>
      <c r="E816" s="233"/>
      <c r="F816" s="184"/>
      <c r="G816" s="500" t="s">
        <v>3246</v>
      </c>
      <c r="H816" s="186"/>
      <c r="I816" s="186"/>
      <c r="J816" s="186"/>
      <c r="K816" s="187"/>
      <c r="L816" s="186">
        <v>2</v>
      </c>
      <c r="M816" s="186">
        <v>1</v>
      </c>
      <c r="N816" s="186"/>
      <c r="O816" s="187" t="s">
        <v>76</v>
      </c>
      <c r="P816" s="187" t="s">
        <v>119</v>
      </c>
      <c r="Q816" s="187" t="s">
        <v>238</v>
      </c>
      <c r="R816" s="187">
        <v>24</v>
      </c>
      <c r="S816" s="187">
        <v>10</v>
      </c>
      <c r="T816" s="187">
        <v>10</v>
      </c>
      <c r="U816" s="187" t="s">
        <v>22</v>
      </c>
      <c r="V816" s="188">
        <f t="shared" ref="V816:V819" si="1311">IF(ISBLANK(O816),"",(IF(O816=UPPER("IB"),0.005,0.01)))</f>
        <v>0.01</v>
      </c>
      <c r="W816" s="189">
        <f t="shared" si="1259"/>
        <v>1600</v>
      </c>
      <c r="X816" s="189" t="s">
        <v>3247</v>
      </c>
      <c r="Y816" s="189"/>
      <c r="Z816" s="189"/>
      <c r="AA816" s="190">
        <f>((-0.04*14)+(-0.05*10))/24</f>
        <v>-4.4166666666666667E-2</v>
      </c>
      <c r="AB816" s="186"/>
      <c r="AC816" s="344"/>
      <c r="AD816" s="186"/>
      <c r="AE816" s="186">
        <v>-1</v>
      </c>
      <c r="AF816" s="186"/>
      <c r="AG816" s="186"/>
      <c r="AH816" s="186"/>
      <c r="AI816" s="191">
        <f>-0.03*W816</f>
        <v>-48</v>
      </c>
      <c r="AJ816" s="191">
        <f t="shared" ref="AJ815:AJ817" si="1312">AI816*(R816-S816)</f>
        <v>-672</v>
      </c>
      <c r="AK816" s="186"/>
      <c r="AL816" s="186"/>
      <c r="AM816" s="186" t="s">
        <v>3248</v>
      </c>
      <c r="AN816" s="344" t="s">
        <v>77</v>
      </c>
      <c r="AO816" s="186" t="s">
        <v>3249</v>
      </c>
      <c r="AP816" s="193">
        <f>((-0.02*10)+(-0.02*4)+(-0.02*10))/24</f>
        <v>-0.02</v>
      </c>
      <c r="AQ816" s="193">
        <f t="shared" si="1308"/>
        <v>2.4166666666666666E-2</v>
      </c>
      <c r="AR816" s="191">
        <f t="shared" si="1309"/>
        <v>928</v>
      </c>
      <c r="AS816" s="194">
        <f t="shared" si="1310"/>
        <v>38.666666666666664</v>
      </c>
      <c r="AT816" s="195" t="s">
        <v>77</v>
      </c>
      <c r="AU816" s="425"/>
      <c r="AV816" s="425"/>
      <c r="AW816" s="425"/>
      <c r="AX816" s="425"/>
      <c r="AY816" s="425"/>
      <c r="AZ816" s="425"/>
      <c r="BA816" s="425"/>
      <c r="BB816" s="425"/>
      <c r="BC816" s="440"/>
      <c r="BD816" s="404">
        <f>SUM($AS$4:AS816)</f>
        <v>4217.9032049062689</v>
      </c>
      <c r="BE816" s="407">
        <f>SUM($AR$4:AR816)</f>
        <v>17581.582000000053</v>
      </c>
      <c r="BF816" s="331"/>
      <c r="BG816" s="331"/>
    </row>
    <row r="817" spans="1:59" ht="15.75" customHeight="1">
      <c r="A817" s="227" t="s">
        <v>3105</v>
      </c>
      <c r="B817" s="181">
        <v>45120</v>
      </c>
      <c r="C817" s="182" t="s">
        <v>1695</v>
      </c>
      <c r="D817" s="182" t="s">
        <v>74</v>
      </c>
      <c r="E817" s="233" t="s">
        <v>3250</v>
      </c>
      <c r="F817" s="184"/>
      <c r="G817" s="185"/>
      <c r="H817" s="186"/>
      <c r="I817" s="186"/>
      <c r="J817" s="186">
        <v>1</v>
      </c>
      <c r="K817" s="187" t="s">
        <v>87</v>
      </c>
      <c r="L817" s="186"/>
      <c r="M817" s="186"/>
      <c r="N817" s="186"/>
      <c r="O817" s="187"/>
      <c r="P817" s="187"/>
      <c r="Q817" s="187"/>
      <c r="R817" s="187"/>
      <c r="S817" s="187"/>
      <c r="T817" s="187"/>
      <c r="U817" s="187"/>
      <c r="V817" s="188" t="str">
        <f t="shared" si="1311"/>
        <v/>
      </c>
      <c r="W817" s="189" t="str">
        <f t="shared" ref="W817:W844" si="1313">IF(ISBLANK(O817),"",IF(O817="IB",8.63*200,IF(O817="IR",16*100,IF(O817="YT",20*100,IF(O817="YT-XT",24*200,IF(O817="TED",80*100))))))</f>
        <v/>
      </c>
      <c r="X817" s="189"/>
      <c r="Y817" s="189"/>
      <c r="Z817" s="189"/>
      <c r="AA817" s="190"/>
      <c r="AB817" s="186"/>
      <c r="AC817" s="344"/>
      <c r="AD817" s="186"/>
      <c r="AE817" s="186"/>
      <c r="AF817" s="186"/>
      <c r="AG817" s="186"/>
      <c r="AH817" s="186"/>
      <c r="AI817" s="191"/>
      <c r="AJ817" s="191"/>
      <c r="AK817" s="186"/>
      <c r="AL817" s="186"/>
      <c r="AM817" s="186"/>
      <c r="AN817" s="344"/>
      <c r="AO817" s="186"/>
      <c r="AP817" s="193"/>
      <c r="AQ817" s="193"/>
      <c r="AR817" s="191"/>
      <c r="AS817" s="194"/>
      <c r="AT817" s="195"/>
      <c r="AU817" s="425"/>
      <c r="AV817" s="425"/>
      <c r="AW817" s="425"/>
      <c r="AX817" s="425"/>
      <c r="AY817" s="425"/>
      <c r="AZ817" s="425"/>
      <c r="BA817" s="425"/>
      <c r="BB817" s="425"/>
      <c r="BC817" s="440"/>
      <c r="BD817" s="404">
        <f>SUM($AS$4:AS817)</f>
        <v>4217.9032049062689</v>
      </c>
      <c r="BE817" s="407">
        <f>SUM($AR$4:AR817)</f>
        <v>17581.582000000053</v>
      </c>
      <c r="BF817" s="331"/>
      <c r="BG817" s="331"/>
    </row>
    <row r="818" spans="1:59" ht="15.75" customHeight="1">
      <c r="A818" s="227" t="s">
        <v>3105</v>
      </c>
      <c r="B818" s="181"/>
      <c r="C818" s="182"/>
      <c r="D818" s="182"/>
      <c r="E818" s="233" t="s">
        <v>3251</v>
      </c>
      <c r="F818" s="184"/>
      <c r="G818" s="185"/>
      <c r="H818" s="186"/>
      <c r="I818" s="186"/>
      <c r="J818" s="186">
        <v>1</v>
      </c>
      <c r="K818" s="187" t="s">
        <v>97</v>
      </c>
      <c r="L818" s="186"/>
      <c r="M818" s="186"/>
      <c r="N818" s="186"/>
      <c r="O818" s="187"/>
      <c r="P818" s="187"/>
      <c r="Q818" s="187"/>
      <c r="R818" s="187"/>
      <c r="S818" s="187"/>
      <c r="T818" s="187"/>
      <c r="U818" s="187"/>
      <c r="V818" s="188" t="str">
        <f t="shared" si="1311"/>
        <v/>
      </c>
      <c r="W818" s="189" t="str">
        <f t="shared" si="1313"/>
        <v/>
      </c>
      <c r="X818" s="189"/>
      <c r="Y818" s="189"/>
      <c r="Z818" s="189"/>
      <c r="AA818" s="190"/>
      <c r="AB818" s="186"/>
      <c r="AC818" s="344"/>
      <c r="AD818" s="186"/>
      <c r="AE818" s="186"/>
      <c r="AF818" s="186"/>
      <c r="AG818" s="186"/>
      <c r="AH818" s="186"/>
      <c r="AI818" s="191"/>
      <c r="AJ818" s="187"/>
      <c r="AK818" s="186"/>
      <c r="AL818" s="186"/>
      <c r="AM818" s="186"/>
      <c r="AN818" s="344"/>
      <c r="AO818" s="186"/>
      <c r="AP818" s="193"/>
      <c r="AQ818" s="193"/>
      <c r="AR818" s="191"/>
      <c r="AS818" s="194"/>
      <c r="AT818" s="195"/>
      <c r="AU818" s="425"/>
      <c r="AV818" s="425"/>
      <c r="AW818" s="425"/>
      <c r="AX818" s="425"/>
      <c r="AY818" s="425"/>
      <c r="AZ818" s="425"/>
      <c r="BA818" s="425"/>
      <c r="BB818" s="425"/>
      <c r="BC818" s="440"/>
      <c r="BD818" s="404">
        <f>SUM($AS$4:AS818)</f>
        <v>4217.9032049062689</v>
      </c>
      <c r="BE818" s="407">
        <f>SUM($AR$4:AR818)</f>
        <v>17581.582000000053</v>
      </c>
      <c r="BF818" s="331"/>
      <c r="BG818" s="331"/>
    </row>
    <row r="819" spans="1:59" ht="15.75" customHeight="1">
      <c r="A819" s="227" t="s">
        <v>3105</v>
      </c>
      <c r="B819" s="181">
        <v>45121</v>
      </c>
      <c r="C819" s="182" t="s">
        <v>3252</v>
      </c>
      <c r="D819" s="182" t="s">
        <v>93</v>
      </c>
      <c r="E819" s="233"/>
      <c r="F819" s="184"/>
      <c r="G819" s="185" t="s">
        <v>2126</v>
      </c>
      <c r="H819" s="186"/>
      <c r="I819" s="186"/>
      <c r="J819" s="186"/>
      <c r="K819" s="187"/>
      <c r="L819" s="186"/>
      <c r="M819" s="186"/>
      <c r="N819" s="186"/>
      <c r="O819" s="187"/>
      <c r="P819" s="187"/>
      <c r="Q819" s="187"/>
      <c r="R819" s="187"/>
      <c r="S819" s="187"/>
      <c r="T819" s="187"/>
      <c r="U819" s="187"/>
      <c r="V819" s="188"/>
      <c r="W819" s="189"/>
      <c r="X819" s="189"/>
      <c r="Y819" s="189"/>
      <c r="Z819" s="189"/>
      <c r="AA819" s="190"/>
      <c r="AB819" s="186"/>
      <c r="AC819" s="344"/>
      <c r="AD819" s="186"/>
      <c r="AE819" s="186"/>
      <c r="AF819" s="186"/>
      <c r="AG819" s="186"/>
      <c r="AH819" s="186"/>
      <c r="AI819" s="191"/>
      <c r="AJ819" s="187"/>
      <c r="AK819" s="186"/>
      <c r="AL819" s="186"/>
      <c r="AM819" s="186"/>
      <c r="AN819" s="344"/>
      <c r="AO819" s="186"/>
      <c r="AP819" s="193"/>
      <c r="AQ819" s="193"/>
      <c r="AR819" s="191"/>
      <c r="AS819" s="194"/>
      <c r="AT819" s="195"/>
      <c r="AU819" s="425" t="s">
        <v>3253</v>
      </c>
      <c r="AV819" s="425" t="s">
        <v>3254</v>
      </c>
      <c r="AW819" s="189" t="s">
        <v>3255</v>
      </c>
      <c r="AX819" s="189" t="s">
        <v>3256</v>
      </c>
      <c r="AY819" s="425"/>
      <c r="AZ819" s="425"/>
      <c r="BA819" s="425"/>
      <c r="BB819" s="425"/>
      <c r="BC819" s="440"/>
      <c r="BD819" s="404">
        <f>SUM($AS$4:AS819)</f>
        <v>4217.9032049062689</v>
      </c>
      <c r="BE819" s="407">
        <f>SUM($AR$4:AR819)</f>
        <v>17581.582000000053</v>
      </c>
      <c r="BF819" s="331"/>
      <c r="BG819" s="331"/>
    </row>
    <row r="820" spans="1:59" ht="15.75" customHeight="1">
      <c r="A820" s="227" t="s">
        <v>3105</v>
      </c>
      <c r="B820" s="181"/>
      <c r="C820" s="182"/>
      <c r="D820" s="182"/>
      <c r="E820" s="233"/>
      <c r="F820" s="184"/>
      <c r="G820" s="185" t="s">
        <v>118</v>
      </c>
      <c r="H820" s="186"/>
      <c r="I820" s="186"/>
      <c r="J820" s="186"/>
      <c r="K820" s="187"/>
      <c r="L820" s="186"/>
      <c r="M820" s="186"/>
      <c r="N820" s="186"/>
      <c r="O820" s="187"/>
      <c r="P820" s="187"/>
      <c r="Q820" s="187"/>
      <c r="R820" s="187"/>
      <c r="S820" s="187"/>
      <c r="T820" s="187"/>
      <c r="U820" s="187"/>
      <c r="V820" s="188"/>
      <c r="W820" s="189"/>
      <c r="X820" s="189"/>
      <c r="Y820" s="189"/>
      <c r="Z820" s="189"/>
      <c r="AA820" s="190"/>
      <c r="AB820" s="186"/>
      <c r="AC820" s="344"/>
      <c r="AD820" s="186"/>
      <c r="AE820" s="186"/>
      <c r="AF820" s="186"/>
      <c r="AG820" s="186"/>
      <c r="AH820" s="186"/>
      <c r="AI820" s="191"/>
      <c r="AJ820" s="187"/>
      <c r="AK820" s="186"/>
      <c r="AL820" s="186"/>
      <c r="AM820" s="186"/>
      <c r="AN820" s="344"/>
      <c r="AO820" s="186"/>
      <c r="AP820" s="193"/>
      <c r="AQ820" s="193"/>
      <c r="AR820" s="191"/>
      <c r="AS820" s="194"/>
      <c r="AT820" s="195"/>
      <c r="AU820" s="425"/>
      <c r="AV820" s="425"/>
      <c r="AW820" s="425"/>
      <c r="AX820" s="425"/>
      <c r="AY820" s="425"/>
      <c r="AZ820" s="425"/>
      <c r="BA820" s="425"/>
      <c r="BB820" s="425"/>
      <c r="BC820" s="440"/>
      <c r="BD820" s="404">
        <f>SUM($AS$4:AS820)</f>
        <v>4217.9032049062689</v>
      </c>
      <c r="BE820" s="407">
        <f>SUM($AR$4:AR820)</f>
        <v>17581.582000000053</v>
      </c>
      <c r="BF820" s="331"/>
      <c r="BG820" s="331"/>
    </row>
    <row r="821" spans="1:59" ht="15.75" customHeight="1">
      <c r="A821" s="227" t="s">
        <v>3105</v>
      </c>
      <c r="B821" s="181">
        <v>45122</v>
      </c>
      <c r="C821" s="182" t="s">
        <v>3257</v>
      </c>
      <c r="D821" s="182" t="s">
        <v>1657</v>
      </c>
      <c r="E821" s="233"/>
      <c r="F821" s="184"/>
      <c r="G821" s="185" t="s">
        <v>118</v>
      </c>
      <c r="H821" s="186"/>
      <c r="I821" s="186"/>
      <c r="J821" s="186"/>
      <c r="K821" s="187"/>
      <c r="L821" s="186"/>
      <c r="M821" s="186"/>
      <c r="N821" s="186"/>
      <c r="O821" s="187"/>
      <c r="P821" s="187"/>
      <c r="Q821" s="187"/>
      <c r="R821" s="187"/>
      <c r="S821" s="187"/>
      <c r="T821" s="187"/>
      <c r="U821" s="187"/>
      <c r="V821" s="188"/>
      <c r="W821" s="189"/>
      <c r="X821" s="189"/>
      <c r="Y821" s="189"/>
      <c r="Z821" s="189"/>
      <c r="AA821" s="190"/>
      <c r="AB821" s="186"/>
      <c r="AC821" s="344"/>
      <c r="AD821" s="186"/>
      <c r="AE821" s="186"/>
      <c r="AF821" s="186"/>
      <c r="AG821" s="186"/>
      <c r="AH821" s="186"/>
      <c r="AI821" s="191"/>
      <c r="AJ821" s="187"/>
      <c r="AK821" s="186"/>
      <c r="AL821" s="186"/>
      <c r="AM821" s="186"/>
      <c r="AN821" s="344"/>
      <c r="AO821" s="186"/>
      <c r="AP821" s="193"/>
      <c r="AQ821" s="193"/>
      <c r="AR821" s="191"/>
      <c r="AS821" s="194"/>
      <c r="AT821" s="195"/>
      <c r="AU821" s="425"/>
      <c r="AV821" s="425"/>
      <c r="AW821" s="425"/>
      <c r="AX821" s="425"/>
      <c r="AY821" s="425"/>
      <c r="AZ821" s="425"/>
      <c r="BA821" s="425"/>
      <c r="BB821" s="425"/>
      <c r="BC821" s="440"/>
      <c r="BD821" s="404">
        <f>SUM($AS$4:AS821)</f>
        <v>4217.9032049062689</v>
      </c>
      <c r="BE821" s="407">
        <f>SUM($AR$4:AR821)</f>
        <v>17581.582000000053</v>
      </c>
      <c r="BF821" s="331"/>
      <c r="BG821" s="331"/>
    </row>
    <row r="822" spans="1:59" ht="15.75" customHeight="1">
      <c r="A822" s="227" t="s">
        <v>3105</v>
      </c>
      <c r="B822" s="181">
        <v>45124</v>
      </c>
      <c r="C822" s="182" t="s">
        <v>3258</v>
      </c>
      <c r="D822" s="182" t="s">
        <v>114</v>
      </c>
      <c r="E822" s="233"/>
      <c r="F822" s="184"/>
      <c r="G822" s="185" t="s">
        <v>1997</v>
      </c>
      <c r="H822" s="186"/>
      <c r="I822" s="186"/>
      <c r="J822" s="186"/>
      <c r="K822" s="187"/>
      <c r="L822" s="186"/>
      <c r="M822" s="186"/>
      <c r="N822" s="186"/>
      <c r="O822" s="187"/>
      <c r="P822" s="187"/>
      <c r="Q822" s="187"/>
      <c r="R822" s="187"/>
      <c r="S822" s="187"/>
      <c r="T822" s="187"/>
      <c r="U822" s="187"/>
      <c r="V822" s="188"/>
      <c r="W822" s="189"/>
      <c r="X822" s="189"/>
      <c r="Y822" s="189"/>
      <c r="Z822" s="189"/>
      <c r="AA822" s="190"/>
      <c r="AB822" s="186"/>
      <c r="AC822" s="344"/>
      <c r="AD822" s="186"/>
      <c r="AE822" s="186"/>
      <c r="AF822" s="186"/>
      <c r="AG822" s="186"/>
      <c r="AH822" s="186"/>
      <c r="AI822" s="191"/>
      <c r="AJ822" s="187"/>
      <c r="AK822" s="186"/>
      <c r="AL822" s="186"/>
      <c r="AM822" s="186"/>
      <c r="AN822" s="344"/>
      <c r="AO822" s="186"/>
      <c r="AP822" s="193"/>
      <c r="AQ822" s="193"/>
      <c r="AR822" s="191"/>
      <c r="AS822" s="194"/>
      <c r="AT822" s="195"/>
      <c r="AU822" s="425"/>
      <c r="AV822" s="425"/>
      <c r="AW822" s="425"/>
      <c r="AX822" s="425"/>
      <c r="AY822" s="425"/>
      <c r="AZ822" s="425"/>
      <c r="BA822" s="425"/>
      <c r="BB822" s="425"/>
      <c r="BC822" s="440"/>
      <c r="BD822" s="404">
        <f>SUM($AS$4:AS822)</f>
        <v>4217.9032049062689</v>
      </c>
      <c r="BE822" s="407">
        <f>SUM($AR$4:AR822)</f>
        <v>17581.582000000053</v>
      </c>
      <c r="BF822" s="331"/>
      <c r="BG822" s="331"/>
    </row>
    <row r="823" spans="1:59" ht="15.75" customHeight="1">
      <c r="A823" s="227" t="s">
        <v>3105</v>
      </c>
      <c r="B823" s="181">
        <v>45124</v>
      </c>
      <c r="C823" s="182" t="s">
        <v>646</v>
      </c>
      <c r="D823" s="182" t="s">
        <v>114</v>
      </c>
      <c r="E823" s="233" t="s">
        <v>3259</v>
      </c>
      <c r="F823" s="184"/>
      <c r="G823" s="185"/>
      <c r="H823" s="186"/>
      <c r="I823" s="186"/>
      <c r="J823" s="186">
        <v>1</v>
      </c>
      <c r="K823" s="187" t="s">
        <v>97</v>
      </c>
      <c r="L823" s="186"/>
      <c r="M823" s="186"/>
      <c r="N823" s="186"/>
      <c r="O823" s="187"/>
      <c r="P823" s="187"/>
      <c r="Q823" s="187"/>
      <c r="R823" s="187"/>
      <c r="S823" s="187"/>
      <c r="T823" s="187"/>
      <c r="U823" s="187"/>
      <c r="V823" s="188" t="str">
        <f t="shared" ref="V823:V872" si="1314">IF(ISBLANK(O823),"",(IF(O823=UPPER("IB"),0.005,0.01)))</f>
        <v/>
      </c>
      <c r="W823" s="189" t="str">
        <f t="shared" si="1313"/>
        <v/>
      </c>
      <c r="X823" s="189"/>
      <c r="Y823" s="189"/>
      <c r="Z823" s="189"/>
      <c r="AA823" s="190"/>
      <c r="AB823" s="186"/>
      <c r="AC823" s="344"/>
      <c r="AD823" s="186"/>
      <c r="AE823" s="186"/>
      <c r="AF823" s="186"/>
      <c r="AG823" s="186"/>
      <c r="AH823" s="186"/>
      <c r="AI823" s="191"/>
      <c r="AJ823" s="187"/>
      <c r="AK823" s="186"/>
      <c r="AL823" s="186"/>
      <c r="AM823" s="186"/>
      <c r="AN823" s="344"/>
      <c r="AO823" s="186"/>
      <c r="AP823" s="193"/>
      <c r="AQ823" s="193"/>
      <c r="AR823" s="191"/>
      <c r="AS823" s="194"/>
      <c r="AT823" s="195"/>
      <c r="AU823" s="425"/>
      <c r="AV823" s="425"/>
      <c r="AW823" s="425"/>
      <c r="AX823" s="425"/>
      <c r="AY823" s="425"/>
      <c r="AZ823" s="425"/>
      <c r="BA823" s="425"/>
      <c r="BB823" s="425"/>
      <c r="BC823" s="440"/>
      <c r="BD823" s="404">
        <f>SUM($AS$4:AS823)</f>
        <v>4217.9032049062689</v>
      </c>
      <c r="BE823" s="407">
        <f>SUM($AR$4:AR823)</f>
        <v>17581.582000000053</v>
      </c>
      <c r="BF823" s="331"/>
      <c r="BG823" s="331"/>
    </row>
    <row r="824" spans="1:59" ht="15.75" customHeight="1">
      <c r="A824" s="227" t="s">
        <v>3105</v>
      </c>
      <c r="B824" s="181">
        <v>45124</v>
      </c>
      <c r="C824" s="182" t="s">
        <v>3260</v>
      </c>
      <c r="D824" s="182" t="s">
        <v>114</v>
      </c>
      <c r="E824" s="233"/>
      <c r="F824" s="184"/>
      <c r="G824" s="185" t="s">
        <v>118</v>
      </c>
      <c r="H824" s="186"/>
      <c r="I824" s="186"/>
      <c r="J824" s="186"/>
      <c r="K824" s="187"/>
      <c r="L824" s="186"/>
      <c r="M824" s="186"/>
      <c r="N824" s="186"/>
      <c r="O824" s="187"/>
      <c r="P824" s="187"/>
      <c r="Q824" s="187"/>
      <c r="R824" s="187"/>
      <c r="S824" s="187"/>
      <c r="T824" s="187"/>
      <c r="U824" s="187"/>
      <c r="V824" s="188"/>
      <c r="W824" s="189"/>
      <c r="X824" s="189"/>
      <c r="Y824" s="189"/>
      <c r="Z824" s="189"/>
      <c r="AA824" s="190"/>
      <c r="AB824" s="186"/>
      <c r="AC824" s="344"/>
      <c r="AD824" s="186"/>
      <c r="AE824" s="186"/>
      <c r="AF824" s="186"/>
      <c r="AG824" s="186"/>
      <c r="AH824" s="186"/>
      <c r="AI824" s="191"/>
      <c r="AJ824" s="187"/>
      <c r="AK824" s="186"/>
      <c r="AL824" s="186"/>
      <c r="AM824" s="186"/>
      <c r="AN824" s="344"/>
      <c r="AO824" s="186"/>
      <c r="AP824" s="193"/>
      <c r="AQ824" s="193"/>
      <c r="AR824" s="191"/>
      <c r="AS824" s="194"/>
      <c r="AT824" s="195"/>
      <c r="AU824" s="189" t="s">
        <v>80</v>
      </c>
      <c r="AV824" s="189" t="s">
        <v>3261</v>
      </c>
      <c r="AW824" s="189"/>
      <c r="AX824" s="425"/>
      <c r="AY824" s="425"/>
      <c r="AZ824" s="425"/>
      <c r="BA824" s="425"/>
      <c r="BB824" s="425"/>
      <c r="BC824" s="440"/>
      <c r="BD824" s="404">
        <f>SUM($AS$4:AS824)</f>
        <v>4217.9032049062689</v>
      </c>
      <c r="BE824" s="407">
        <f>SUM($AR$4:AR824)</f>
        <v>17581.582000000053</v>
      </c>
      <c r="BF824" s="331"/>
      <c r="BG824" s="331"/>
    </row>
    <row r="825" spans="1:59" ht="15.75" customHeight="1">
      <c r="A825" s="181"/>
      <c r="B825" s="204"/>
      <c r="C825" s="182"/>
      <c r="D825" s="182"/>
      <c r="E825" s="233"/>
      <c r="F825" s="184"/>
      <c r="G825" s="185"/>
      <c r="H825" s="186"/>
      <c r="I825" s="186"/>
      <c r="J825" s="186"/>
      <c r="K825" s="187"/>
      <c r="L825" s="186"/>
      <c r="M825" s="186"/>
      <c r="N825" s="186"/>
      <c r="O825" s="187"/>
      <c r="P825" s="187"/>
      <c r="Q825" s="187"/>
      <c r="R825" s="187"/>
      <c r="S825" s="187"/>
      <c r="T825" s="187"/>
      <c r="U825" s="187"/>
      <c r="V825" s="282"/>
      <c r="W825" s="187"/>
      <c r="X825" s="189"/>
      <c r="Y825" s="189"/>
      <c r="Z825" s="189"/>
      <c r="AA825" s="190"/>
      <c r="AB825" s="186"/>
      <c r="AC825" s="344"/>
      <c r="AD825" s="186"/>
      <c r="AE825" s="186"/>
      <c r="AF825" s="186"/>
      <c r="AG825" s="186"/>
      <c r="AH825" s="186"/>
      <c r="AI825" s="191"/>
      <c r="AJ825" s="187"/>
      <c r="AK825" s="186"/>
      <c r="AL825" s="186"/>
      <c r="AM825" s="186"/>
      <c r="AN825" s="344"/>
      <c r="AO825" s="186"/>
      <c r="AP825" s="193"/>
      <c r="AQ825" s="193"/>
      <c r="AR825" s="191"/>
      <c r="AS825" s="194"/>
      <c r="AT825" s="195"/>
      <c r="AU825" s="425" t="s">
        <v>3262</v>
      </c>
      <c r="AV825" s="425" t="s">
        <v>3263</v>
      </c>
      <c r="AW825" s="425" t="s">
        <v>3264</v>
      </c>
      <c r="AX825" s="425" t="s">
        <v>3265</v>
      </c>
      <c r="AY825" s="425" t="s">
        <v>3266</v>
      </c>
      <c r="AZ825" s="425" t="s">
        <v>3267</v>
      </c>
      <c r="BA825" s="425"/>
      <c r="BB825" s="425"/>
      <c r="BC825" s="440"/>
      <c r="BD825" s="404"/>
      <c r="BE825" s="405">
        <f>SUM($AR$4:AR825)</f>
        <v>17581.582000000053</v>
      </c>
      <c r="BF825" s="330"/>
      <c r="BG825" s="330"/>
    </row>
    <row r="826" spans="1:59" ht="15.75" customHeight="1">
      <c r="A826" s="227" t="s">
        <v>3105</v>
      </c>
      <c r="B826" s="181">
        <v>45125</v>
      </c>
      <c r="C826" s="182" t="s">
        <v>2816</v>
      </c>
      <c r="D826" s="182" t="s">
        <v>128</v>
      </c>
      <c r="E826" s="233"/>
      <c r="F826" s="184"/>
      <c r="G826" s="499" t="s">
        <v>2126</v>
      </c>
      <c r="H826" s="186"/>
      <c r="I826" s="186"/>
      <c r="J826" s="186"/>
      <c r="K826" s="187"/>
      <c r="L826" s="186">
        <v>1</v>
      </c>
      <c r="M826" s="186">
        <v>1</v>
      </c>
      <c r="N826" s="186"/>
      <c r="O826" s="187" t="s">
        <v>76</v>
      </c>
      <c r="P826" s="187" t="s">
        <v>77</v>
      </c>
      <c r="Q826" s="187" t="s">
        <v>78</v>
      </c>
      <c r="R826" s="187">
        <v>5</v>
      </c>
      <c r="S826" s="187">
        <v>0</v>
      </c>
      <c r="T826" s="187">
        <v>5</v>
      </c>
      <c r="U826" s="187" t="s">
        <v>78</v>
      </c>
      <c r="V826" s="188">
        <f t="shared" ref="V824:V826" si="1315">IF(ISBLANK(O826),"",(IF(O826=UPPER("IB"),0.005,0.01)))</f>
        <v>0.01</v>
      </c>
      <c r="W826" s="189">
        <f t="shared" ref="W826:W827" si="1316">IF(ISBLANK(O826),"",IF(O826="IB",8.63*200,IF(O826="IR",16*100,IF(O826="YT",20*100,IF(O826="YT-XT",24*200,IF(O826="TED",80*100))))))</f>
        <v>1600</v>
      </c>
      <c r="X826" s="189"/>
      <c r="Y826" s="189" t="s">
        <v>3255</v>
      </c>
      <c r="Z826" s="189" t="s">
        <v>3256</v>
      </c>
      <c r="AA826" s="190">
        <v>0.04</v>
      </c>
      <c r="AB826" s="186"/>
      <c r="AC826" s="344"/>
      <c r="AD826" s="186"/>
      <c r="AE826" s="186"/>
      <c r="AF826" s="186"/>
      <c r="AG826" s="186"/>
      <c r="AH826" s="186"/>
      <c r="AI826" s="191"/>
      <c r="AJ826" s="187"/>
      <c r="AK826" s="186"/>
      <c r="AL826" s="186"/>
      <c r="AM826" s="186" t="s">
        <v>3268</v>
      </c>
      <c r="AN826" s="344" t="s">
        <v>376</v>
      </c>
      <c r="AO826" s="186" t="s">
        <v>3269</v>
      </c>
      <c r="AP826" s="193">
        <v>0.03</v>
      </c>
      <c r="AQ826" s="193">
        <f t="shared" ref="AQ826" si="1317">IF(ISBLANK(AP826),,IF(U826="S",AA826-AP826,AP826-AA826))</f>
        <v>1.0000000000000002E-2</v>
      </c>
      <c r="AR826" s="191">
        <f t="shared" ref="AR826" si="1318">AS826*R826</f>
        <v>80.000000000000014</v>
      </c>
      <c r="AS826" s="194">
        <f t="shared" ref="AS826" si="1319">IF(ISBLANK(AP826),,(AQ826*W826))</f>
        <v>16.000000000000004</v>
      </c>
      <c r="AT826" s="195" t="s">
        <v>77</v>
      </c>
      <c r="AU826" s="425"/>
      <c r="AV826" s="425"/>
      <c r="AW826" s="425"/>
      <c r="AX826" s="425"/>
      <c r="AY826" s="425"/>
      <c r="AZ826" s="425"/>
      <c r="BA826" s="425"/>
      <c r="BB826" s="425"/>
      <c r="BC826" s="440"/>
      <c r="BD826" s="404">
        <f>SUM($AS$4:AS826)</f>
        <v>4233.9032049062689</v>
      </c>
      <c r="BE826" s="407">
        <f>SUM($AR$4:AR826)</f>
        <v>17661.582000000053</v>
      </c>
      <c r="BF826" s="331"/>
      <c r="BG826" s="331"/>
    </row>
    <row r="827" spans="1:59" ht="15.75" customHeight="1">
      <c r="A827" s="227" t="s">
        <v>3105</v>
      </c>
      <c r="B827" s="181">
        <v>45125</v>
      </c>
      <c r="C827" s="182" t="s">
        <v>3270</v>
      </c>
      <c r="D827" s="182" t="s">
        <v>128</v>
      </c>
      <c r="E827" s="233"/>
      <c r="F827" s="184"/>
      <c r="G827" s="499" t="s">
        <v>118</v>
      </c>
      <c r="H827" s="186"/>
      <c r="I827" s="186"/>
      <c r="J827" s="186"/>
      <c r="K827" s="187"/>
      <c r="L827" s="186">
        <v>1</v>
      </c>
      <c r="M827" s="186">
        <v>1</v>
      </c>
      <c r="N827" s="186"/>
      <c r="O827" s="187" t="s">
        <v>76</v>
      </c>
      <c r="P827" s="187" t="s">
        <v>77</v>
      </c>
      <c r="Q827" s="187" t="s">
        <v>78</v>
      </c>
      <c r="R827" s="187">
        <v>8</v>
      </c>
      <c r="S827" s="187">
        <v>0</v>
      </c>
      <c r="T827" s="187">
        <v>10</v>
      </c>
      <c r="U827" s="187" t="s">
        <v>78</v>
      </c>
      <c r="V827" s="188">
        <f t="shared" ref="V827" si="1320">IF(ISBLANK(O827),"",(IF(O827=UPPER("IB"),0.005,0.01)))</f>
        <v>0.01</v>
      </c>
      <c r="W827" s="189">
        <f t="shared" si="1316"/>
        <v>1600</v>
      </c>
      <c r="X827" s="189" t="s">
        <v>80</v>
      </c>
      <c r="Y827" s="189"/>
      <c r="Z827" s="189" t="s">
        <v>3271</v>
      </c>
      <c r="AA827" s="190">
        <v>-0.12</v>
      </c>
      <c r="AB827" s="186"/>
      <c r="AC827" s="344"/>
      <c r="AD827" s="186"/>
      <c r="AE827" s="186"/>
      <c r="AF827" s="186"/>
      <c r="AG827" s="186"/>
      <c r="AH827" s="186"/>
      <c r="AI827" s="191">
        <f>-0.04*W827</f>
        <v>-64</v>
      </c>
      <c r="AJ827" s="191">
        <f t="shared" ref="AJ827:AJ828" si="1321">AI827*(R827-S827)</f>
        <v>-512</v>
      </c>
      <c r="AK827" s="186"/>
      <c r="AL827" s="186"/>
      <c r="AM827" s="186" t="s">
        <v>752</v>
      </c>
      <c r="AN827" s="344" t="s">
        <v>97</v>
      </c>
      <c r="AO827" s="186" t="s">
        <v>3272</v>
      </c>
      <c r="AP827" s="193">
        <v>-0.13</v>
      </c>
      <c r="AQ827" s="193">
        <f t="shared" ref="AQ827" si="1322">IF(ISBLANK(AP827),,IF(U827="S",AA827-AP827,AP827-AA827))</f>
        <v>1.0000000000000009E-2</v>
      </c>
      <c r="AR827" s="191">
        <f t="shared" ref="AR827" si="1323">AS827*R827</f>
        <v>128.00000000000011</v>
      </c>
      <c r="AS827" s="194">
        <f t="shared" ref="AS827" si="1324">IF(ISBLANK(AP827),,(AQ827*W827))</f>
        <v>16.000000000000014</v>
      </c>
      <c r="AT827" s="195" t="s">
        <v>77</v>
      </c>
      <c r="AU827" s="425"/>
      <c r="AV827" s="425"/>
      <c r="AW827" s="425"/>
      <c r="AX827" s="425"/>
      <c r="AY827" s="425"/>
      <c r="AZ827" s="425"/>
      <c r="BA827" s="425"/>
      <c r="BB827" s="425"/>
      <c r="BC827" s="440"/>
      <c r="BD827" s="404">
        <f>SUM($AS$4:AS827)</f>
        <v>4249.9032049062689</v>
      </c>
      <c r="BE827" s="407">
        <f>SUM($AR$4:AR827)</f>
        <v>17789.582000000053</v>
      </c>
      <c r="BF827" s="331"/>
      <c r="BG827" s="331"/>
    </row>
    <row r="828" spans="1:59" ht="15.75" customHeight="1">
      <c r="A828" s="227" t="s">
        <v>3105</v>
      </c>
      <c r="B828" s="181">
        <v>45125</v>
      </c>
      <c r="C828" s="182" t="s">
        <v>1271</v>
      </c>
      <c r="D828" s="182" t="s">
        <v>128</v>
      </c>
      <c r="E828" s="233"/>
      <c r="F828" s="184"/>
      <c r="G828" s="185" t="s">
        <v>118</v>
      </c>
      <c r="H828" s="186"/>
      <c r="I828" s="186"/>
      <c r="J828" s="186"/>
      <c r="K828" s="187"/>
      <c r="L828" s="186"/>
      <c r="M828" s="186"/>
      <c r="N828" s="186"/>
      <c r="O828" s="187"/>
      <c r="P828" s="187"/>
      <c r="Q828" s="187"/>
      <c r="R828" s="187"/>
      <c r="S828" s="187"/>
      <c r="T828" s="187"/>
      <c r="U828" s="187"/>
      <c r="V828" s="188"/>
      <c r="W828" s="189"/>
      <c r="X828" s="189"/>
      <c r="Y828" s="189"/>
      <c r="Z828" s="189"/>
      <c r="AA828" s="190"/>
      <c r="AB828" s="186"/>
      <c r="AC828" s="344"/>
      <c r="AD828" s="186"/>
      <c r="AE828" s="186"/>
      <c r="AF828" s="186"/>
      <c r="AG828" s="186"/>
      <c r="AH828" s="186"/>
      <c r="AI828" s="191"/>
      <c r="AJ828" s="191"/>
      <c r="AK828" s="186"/>
      <c r="AL828" s="186"/>
      <c r="AM828" s="186"/>
      <c r="AN828" s="344"/>
      <c r="AO828" s="186"/>
      <c r="AP828" s="193"/>
      <c r="AQ828" s="186"/>
      <c r="AR828" s="191"/>
      <c r="AS828" s="332"/>
      <c r="AT828" s="195"/>
      <c r="AU828" s="425"/>
      <c r="AV828" s="425"/>
      <c r="AW828" s="425"/>
      <c r="AX828" s="425"/>
      <c r="AY828" s="425"/>
      <c r="AZ828" s="425"/>
      <c r="BA828" s="425"/>
      <c r="BB828" s="425"/>
      <c r="BC828" s="440"/>
      <c r="BD828" s="404">
        <f>SUM($AS$4:AS828)</f>
        <v>4249.9032049062689</v>
      </c>
      <c r="BE828" s="407">
        <f>SUM($AR$4:AR828)</f>
        <v>17789.582000000053</v>
      </c>
      <c r="BF828" s="331"/>
      <c r="BG828" s="331"/>
    </row>
    <row r="829" spans="1:59" ht="15.75" customHeight="1">
      <c r="A829" s="227" t="s">
        <v>3105</v>
      </c>
      <c r="B829" s="181">
        <v>45125</v>
      </c>
      <c r="C829" s="182" t="s">
        <v>1032</v>
      </c>
      <c r="D829" s="182" t="s">
        <v>128</v>
      </c>
      <c r="E829" s="233"/>
      <c r="F829" s="184"/>
      <c r="G829" s="185" t="s">
        <v>2051</v>
      </c>
      <c r="H829" s="186"/>
      <c r="I829" s="186"/>
      <c r="J829" s="186"/>
      <c r="K829" s="187"/>
      <c r="L829" s="186"/>
      <c r="M829" s="186"/>
      <c r="N829" s="186"/>
      <c r="O829" s="187"/>
      <c r="P829" s="187"/>
      <c r="Q829" s="187"/>
      <c r="R829" s="187"/>
      <c r="S829" s="187"/>
      <c r="T829" s="187"/>
      <c r="U829" s="187"/>
      <c r="V829" s="188"/>
      <c r="W829" s="189"/>
      <c r="X829" s="189"/>
      <c r="Y829" s="189"/>
      <c r="Z829" s="189"/>
      <c r="AA829" s="190"/>
      <c r="AB829" s="186"/>
      <c r="AC829" s="344"/>
      <c r="AD829" s="186"/>
      <c r="AE829" s="186"/>
      <c r="AF829" s="186"/>
      <c r="AG829" s="186"/>
      <c r="AH829" s="186"/>
      <c r="AI829" s="191"/>
      <c r="AJ829" s="191"/>
      <c r="AK829" s="186"/>
      <c r="AL829" s="186"/>
      <c r="AM829" s="186"/>
      <c r="AN829" s="344"/>
      <c r="AO829" s="186"/>
      <c r="AP829" s="193"/>
      <c r="AQ829" s="186"/>
      <c r="AR829" s="191"/>
      <c r="AS829" s="332"/>
      <c r="AT829" s="195"/>
      <c r="AU829" s="425"/>
      <c r="AV829" s="425"/>
      <c r="AW829" s="425"/>
      <c r="AX829" s="425"/>
      <c r="AY829" s="425"/>
      <c r="AZ829" s="425"/>
      <c r="BA829" s="425" t="s">
        <v>3273</v>
      </c>
      <c r="BB829" s="425" t="s">
        <v>3274</v>
      </c>
      <c r="BC829" s="440"/>
      <c r="BD829" s="404">
        <f>SUM($AS$4:AS829)</f>
        <v>4249.9032049062689</v>
      </c>
      <c r="BE829" s="407">
        <f>SUM($AR$4:AR829)</f>
        <v>17789.582000000053</v>
      </c>
      <c r="BF829" s="331"/>
      <c r="BG829" s="331"/>
    </row>
    <row r="830" spans="1:59" ht="15.75" customHeight="1">
      <c r="A830" s="227" t="s">
        <v>3105</v>
      </c>
      <c r="B830" s="181">
        <v>45125</v>
      </c>
      <c r="C830" s="182" t="s">
        <v>3275</v>
      </c>
      <c r="D830" s="182" t="s">
        <v>128</v>
      </c>
      <c r="E830" s="233"/>
      <c r="F830" s="184"/>
      <c r="G830" s="501" t="s">
        <v>3200</v>
      </c>
      <c r="H830" s="186"/>
      <c r="I830" s="186"/>
      <c r="J830" s="186"/>
      <c r="K830" s="187"/>
      <c r="L830" s="186">
        <v>2</v>
      </c>
      <c r="M830" s="186"/>
      <c r="N830" s="186"/>
      <c r="O830" s="187" t="s">
        <v>1039</v>
      </c>
      <c r="P830" s="187"/>
      <c r="Q830" s="187" t="s">
        <v>666</v>
      </c>
      <c r="R830" s="187">
        <v>8</v>
      </c>
      <c r="S830" s="187">
        <v>3</v>
      </c>
      <c r="T830" s="187">
        <v>2</v>
      </c>
      <c r="U830" s="187" t="s">
        <v>78</v>
      </c>
      <c r="V830" s="188">
        <f t="shared" ref="V830:V836" si="1325">IF(ISBLANK(O830),"",(IF(O830=UPPER("IB"),0.005,0.01)))</f>
        <v>5.0000000000000001E-3</v>
      </c>
      <c r="W830" s="189">
        <f t="shared" ref="W830:W836" si="1326">IF(ISBLANK(O830),"",IF(O830="IB",8.63*200,IF(O830="IR",16*100,IF(O830="YT",20*100,IF(O830="YT-XT",24*200,IF(O830="TED",80*100))))))</f>
        <v>1726.0000000000002</v>
      </c>
      <c r="X830" s="189"/>
      <c r="Y830" s="189" t="s">
        <v>3189</v>
      </c>
      <c r="Z830" s="189"/>
      <c r="AA830" s="190">
        <f>(95.81*2+95.825*4+95.85*2)/8</f>
        <v>95.827500000000015</v>
      </c>
      <c r="AB830" s="186"/>
      <c r="AC830" s="344"/>
      <c r="AD830" s="186"/>
      <c r="AE830" s="186">
        <v>95.79</v>
      </c>
      <c r="AF830" s="186" t="s">
        <v>3276</v>
      </c>
      <c r="AG830" s="186" t="s">
        <v>3277</v>
      </c>
      <c r="AH830" s="186"/>
      <c r="AI830" s="191">
        <f>-0.05*W830</f>
        <v>-86.300000000000011</v>
      </c>
      <c r="AJ830" s="191">
        <f t="shared" ref="AJ830" si="1327">AI830*(R830-S830)</f>
        <v>-431.50000000000006</v>
      </c>
      <c r="AK830" s="186"/>
      <c r="AL830" s="186"/>
      <c r="AM830" s="186"/>
      <c r="AN830" s="344"/>
      <c r="AO830" s="186" t="s">
        <v>3278</v>
      </c>
      <c r="AP830" s="193">
        <f>(95.83*1+95.84*2+95.83*2+95.795*3)/8</f>
        <v>95.819374999999994</v>
      </c>
      <c r="AQ830" s="193">
        <f t="shared" ref="AQ830" si="1328">IF(ISBLANK(AP830),,IF(U830="S",AA830-AP830,AP830-AA830))</f>
        <v>8.1250000000210321E-3</v>
      </c>
      <c r="AR830" s="191">
        <f t="shared" ref="AR830" si="1329">AS830*R830</f>
        <v>112.19000000029042</v>
      </c>
      <c r="AS830" s="194">
        <f t="shared" ref="AS830" si="1330">IF(ISBLANK(AP830),,(AQ830*W830))</f>
        <v>14.023750000036303</v>
      </c>
      <c r="AT830" s="195" t="s">
        <v>77</v>
      </c>
      <c r="AU830" s="425" t="s">
        <v>3279</v>
      </c>
      <c r="AV830" s="425" t="s">
        <v>3280</v>
      </c>
      <c r="AW830" s="425" t="s">
        <v>3281</v>
      </c>
      <c r="AX830" s="425"/>
      <c r="AY830" s="425"/>
      <c r="AZ830" s="425"/>
      <c r="BA830" s="425" t="s">
        <v>3242</v>
      </c>
      <c r="BB830" s="425" t="s">
        <v>3243</v>
      </c>
      <c r="BC830" s="440"/>
      <c r="BD830" s="404">
        <f>SUM($AS$4:AS830)</f>
        <v>4263.9269549063056</v>
      </c>
      <c r="BE830" s="407">
        <f>SUM($AR$4:AR830)</f>
        <v>17901.772000000343</v>
      </c>
      <c r="BF830" s="331"/>
      <c r="BG830" s="331"/>
    </row>
    <row r="831" spans="1:59" ht="15.75" customHeight="1">
      <c r="A831" s="227" t="s">
        <v>3105</v>
      </c>
      <c r="B831" s="181">
        <v>45125</v>
      </c>
      <c r="C831" s="182" t="s">
        <v>1695</v>
      </c>
      <c r="D831" s="182" t="s">
        <v>128</v>
      </c>
      <c r="E831" s="233" t="s">
        <v>3282</v>
      </c>
      <c r="F831" s="184"/>
      <c r="G831" s="185"/>
      <c r="H831" s="186"/>
      <c r="I831" s="186"/>
      <c r="J831" s="186">
        <v>1</v>
      </c>
      <c r="K831" s="187" t="s">
        <v>97</v>
      </c>
      <c r="L831" s="186"/>
      <c r="M831" s="186"/>
      <c r="N831" s="186"/>
      <c r="O831" s="187"/>
      <c r="P831" s="187"/>
      <c r="Q831" s="187"/>
      <c r="R831" s="187"/>
      <c r="S831" s="187"/>
      <c r="T831" s="187"/>
      <c r="U831" s="187"/>
      <c r="V831" s="188" t="str">
        <f t="shared" ref="V831:V834" si="1331">IF(ISBLANK(O831),"",(IF(O831=UPPER("IB"),0.005,0.01)))</f>
        <v/>
      </c>
      <c r="W831" s="189" t="str">
        <f t="shared" ref="W831:W834" si="1332">IF(ISBLANK(O831),"",IF(O831="IB",8.63*200,IF(O831="IR",16*100,IF(O831="YT",20*100,IF(O831="YT-XT",24*200,IF(O831="TED",80*100))))))</f>
        <v/>
      </c>
      <c r="X831" s="189"/>
      <c r="Y831" s="189"/>
      <c r="Z831" s="189"/>
      <c r="AA831" s="190"/>
      <c r="AB831" s="186"/>
      <c r="AC831" s="344"/>
      <c r="AD831" s="186"/>
      <c r="AE831" s="186"/>
      <c r="AF831" s="186"/>
      <c r="AG831" s="186"/>
      <c r="AH831" s="186"/>
      <c r="AI831" s="191"/>
      <c r="AJ831" s="191"/>
      <c r="AK831" s="186"/>
      <c r="AL831" s="186"/>
      <c r="AM831" s="186"/>
      <c r="AN831" s="344"/>
      <c r="AO831" s="186"/>
      <c r="AP831" s="193"/>
      <c r="AQ831" s="193"/>
      <c r="AR831" s="191"/>
      <c r="AS831" s="194"/>
      <c r="AT831" s="195"/>
      <c r="AU831" s="425"/>
      <c r="AV831" s="425"/>
      <c r="AW831" s="425"/>
      <c r="AX831" s="425"/>
      <c r="AY831" s="425"/>
      <c r="AZ831" s="425"/>
      <c r="BA831" s="425"/>
      <c r="BB831" s="425"/>
      <c r="BC831" s="440"/>
      <c r="BD831" s="404">
        <f>SUM($AS$4:AS831)</f>
        <v>4263.9269549063056</v>
      </c>
      <c r="BE831" s="407">
        <f>SUM($AR$4:AR831)</f>
        <v>17901.772000000343</v>
      </c>
      <c r="BF831" s="331"/>
      <c r="BG831" s="331"/>
    </row>
    <row r="832" spans="1:59" ht="15.75" customHeight="1">
      <c r="A832" s="227" t="s">
        <v>3105</v>
      </c>
      <c r="B832" s="181"/>
      <c r="C832" s="182"/>
      <c r="D832" s="182"/>
      <c r="E832" s="233" t="s">
        <v>3283</v>
      </c>
      <c r="F832" s="184"/>
      <c r="G832" s="185"/>
      <c r="H832" s="186"/>
      <c r="I832" s="186"/>
      <c r="J832" s="186">
        <v>1</v>
      </c>
      <c r="K832" s="187" t="s">
        <v>97</v>
      </c>
      <c r="L832" s="186"/>
      <c r="M832" s="186"/>
      <c r="N832" s="186"/>
      <c r="O832" s="187"/>
      <c r="P832" s="187"/>
      <c r="Q832" s="187"/>
      <c r="R832" s="187"/>
      <c r="S832" s="187"/>
      <c r="T832" s="187"/>
      <c r="U832" s="187"/>
      <c r="V832" s="188" t="str">
        <f t="shared" si="1331"/>
        <v/>
      </c>
      <c r="W832" s="189" t="str">
        <f t="shared" si="1332"/>
        <v/>
      </c>
      <c r="X832" s="189"/>
      <c r="Y832" s="189"/>
      <c r="Z832" s="189"/>
      <c r="AA832" s="190"/>
      <c r="AB832" s="186"/>
      <c r="AC832" s="344"/>
      <c r="AD832" s="186"/>
      <c r="AE832" s="186"/>
      <c r="AF832" s="186"/>
      <c r="AG832" s="186"/>
      <c r="AH832" s="186"/>
      <c r="AI832" s="191"/>
      <c r="AJ832" s="191"/>
      <c r="AK832" s="186"/>
      <c r="AL832" s="186"/>
      <c r="AM832" s="186"/>
      <c r="AN832" s="344"/>
      <c r="AO832" s="186"/>
      <c r="AP832" s="193"/>
      <c r="AQ832" s="193"/>
      <c r="AR832" s="191"/>
      <c r="AS832" s="194"/>
      <c r="AT832" s="195"/>
      <c r="AU832" s="425"/>
      <c r="AV832" s="425"/>
      <c r="AW832" s="425"/>
      <c r="AX832" s="425"/>
      <c r="AY832" s="425"/>
      <c r="AZ832" s="425"/>
      <c r="BA832" s="425"/>
      <c r="BB832" s="425"/>
      <c r="BC832" s="440"/>
      <c r="BD832" s="404">
        <f>SUM($AS$4:AS832)</f>
        <v>4263.9269549063056</v>
      </c>
      <c r="BE832" s="407">
        <f>SUM($AR$4:AR832)</f>
        <v>17901.772000000343</v>
      </c>
      <c r="BF832" s="331"/>
      <c r="BG832" s="331"/>
    </row>
    <row r="833" spans="1:59" ht="15.75" customHeight="1">
      <c r="A833" s="227" t="s">
        <v>3105</v>
      </c>
      <c r="B833" s="181"/>
      <c r="C833" s="182"/>
      <c r="D833" s="182"/>
      <c r="E833" s="233" t="s">
        <v>3284</v>
      </c>
      <c r="F833" s="184"/>
      <c r="G833" s="185"/>
      <c r="H833" s="186"/>
      <c r="I833" s="186"/>
      <c r="J833" s="186">
        <v>1</v>
      </c>
      <c r="K833" s="187" t="s">
        <v>97</v>
      </c>
      <c r="L833" s="186"/>
      <c r="M833" s="186"/>
      <c r="N833" s="186"/>
      <c r="O833" s="187"/>
      <c r="P833" s="187"/>
      <c r="Q833" s="187"/>
      <c r="R833" s="187"/>
      <c r="S833" s="187"/>
      <c r="T833" s="187"/>
      <c r="U833" s="187"/>
      <c r="V833" s="188" t="str">
        <f t="shared" si="1331"/>
        <v/>
      </c>
      <c r="W833" s="189" t="str">
        <f t="shared" si="1332"/>
        <v/>
      </c>
      <c r="X833" s="189"/>
      <c r="Y833" s="189"/>
      <c r="Z833" s="189"/>
      <c r="AA833" s="190"/>
      <c r="AB833" s="186"/>
      <c r="AC833" s="344"/>
      <c r="AD833" s="186"/>
      <c r="AE833" s="186"/>
      <c r="AF833" s="186"/>
      <c r="AG833" s="186"/>
      <c r="AH833" s="186"/>
      <c r="AI833" s="191"/>
      <c r="AJ833" s="191"/>
      <c r="AK833" s="186"/>
      <c r="AL833" s="186"/>
      <c r="AM833" s="186"/>
      <c r="AN833" s="344"/>
      <c r="AO833" s="186"/>
      <c r="AP833" s="193"/>
      <c r="AQ833" s="193"/>
      <c r="AR833" s="191"/>
      <c r="AS833" s="194"/>
      <c r="AT833" s="195"/>
      <c r="AU833" s="425"/>
      <c r="AV833" s="425"/>
      <c r="AW833" s="425"/>
      <c r="AX833" s="425"/>
      <c r="AY833" s="425"/>
      <c r="AZ833" s="425"/>
      <c r="BA833" s="425"/>
      <c r="BB833" s="425"/>
      <c r="BC833" s="440"/>
      <c r="BD833" s="404">
        <f>SUM($AS$4:AS833)</f>
        <v>4263.9269549063056</v>
      </c>
      <c r="BE833" s="407">
        <f>SUM($AR$4:AR833)</f>
        <v>17901.772000000343</v>
      </c>
      <c r="BF833" s="331"/>
      <c r="BG833" s="331"/>
    </row>
    <row r="834" spans="1:59" ht="15.75" customHeight="1">
      <c r="A834" s="227" t="s">
        <v>3105</v>
      </c>
      <c r="B834" s="181"/>
      <c r="C834" s="182"/>
      <c r="D834" s="182"/>
      <c r="E834" s="233" t="s">
        <v>3285</v>
      </c>
      <c r="F834" s="184"/>
      <c r="G834" s="185"/>
      <c r="H834" s="186"/>
      <c r="I834" s="186"/>
      <c r="J834" s="186">
        <v>1</v>
      </c>
      <c r="K834" s="187" t="s">
        <v>97</v>
      </c>
      <c r="L834" s="186"/>
      <c r="M834" s="186"/>
      <c r="N834" s="186"/>
      <c r="O834" s="187"/>
      <c r="P834" s="187"/>
      <c r="Q834" s="187"/>
      <c r="R834" s="187"/>
      <c r="S834" s="187"/>
      <c r="T834" s="187"/>
      <c r="U834" s="187"/>
      <c r="V834" s="188" t="str">
        <f t="shared" si="1331"/>
        <v/>
      </c>
      <c r="W834" s="189" t="str">
        <f t="shared" si="1332"/>
        <v/>
      </c>
      <c r="X834" s="189"/>
      <c r="Y834" s="189"/>
      <c r="Z834" s="189"/>
      <c r="AA834" s="190"/>
      <c r="AB834" s="186"/>
      <c r="AC834" s="344"/>
      <c r="AD834" s="186"/>
      <c r="AE834" s="186"/>
      <c r="AF834" s="186"/>
      <c r="AG834" s="186"/>
      <c r="AH834" s="186"/>
      <c r="AI834" s="191"/>
      <c r="AJ834" s="191"/>
      <c r="AK834" s="186"/>
      <c r="AL834" s="186"/>
      <c r="AM834" s="186"/>
      <c r="AN834" s="344"/>
      <c r="AO834" s="186"/>
      <c r="AP834" s="193"/>
      <c r="AQ834" s="193"/>
      <c r="AR834" s="191"/>
      <c r="AS834" s="194"/>
      <c r="AT834" s="195"/>
      <c r="AU834" s="425"/>
      <c r="AV834" s="425"/>
      <c r="AW834" s="425"/>
      <c r="AX834" s="425"/>
      <c r="AY834" s="425"/>
      <c r="AZ834" s="425"/>
      <c r="BA834" s="425"/>
      <c r="BB834" s="425"/>
      <c r="BC834" s="440"/>
      <c r="BD834" s="404">
        <f>SUM($AS$4:AS834)</f>
        <v>4263.9269549063056</v>
      </c>
      <c r="BE834" s="407">
        <f>SUM($AR$4:AR834)</f>
        <v>17901.772000000343</v>
      </c>
      <c r="BF834" s="331"/>
      <c r="BG834" s="331"/>
    </row>
    <row r="835" spans="1:59" ht="15.75" customHeight="1">
      <c r="A835" s="227" t="s">
        <v>3105</v>
      </c>
      <c r="B835" s="181"/>
      <c r="C835" s="182"/>
      <c r="D835" s="182"/>
      <c r="E835" s="233" t="s">
        <v>3286</v>
      </c>
      <c r="F835" s="184" t="s">
        <v>3287</v>
      </c>
      <c r="G835" s="185"/>
      <c r="H835" s="186"/>
      <c r="I835" s="186"/>
      <c r="J835" s="186">
        <v>1</v>
      </c>
      <c r="K835" s="187" t="s">
        <v>97</v>
      </c>
      <c r="L835" s="186"/>
      <c r="M835" s="186"/>
      <c r="N835" s="186"/>
      <c r="O835" s="187"/>
      <c r="P835" s="187"/>
      <c r="Q835" s="187"/>
      <c r="R835" s="187"/>
      <c r="S835" s="187"/>
      <c r="T835" s="187"/>
      <c r="U835" s="187"/>
      <c r="V835" s="188" t="str">
        <f t="shared" si="1325"/>
        <v/>
      </c>
      <c r="W835" s="189" t="str">
        <f t="shared" si="1326"/>
        <v/>
      </c>
      <c r="X835" s="189"/>
      <c r="Y835" s="189"/>
      <c r="Z835" s="189"/>
      <c r="AA835" s="190"/>
      <c r="AB835" s="186"/>
      <c r="AC835" s="344"/>
      <c r="AD835" s="186"/>
      <c r="AE835" s="186"/>
      <c r="AF835" s="186"/>
      <c r="AG835" s="186"/>
      <c r="AH835" s="186"/>
      <c r="AI835" s="191"/>
      <c r="AJ835" s="191"/>
      <c r="AK835" s="186"/>
      <c r="AL835" s="186"/>
      <c r="AM835" s="186"/>
      <c r="AN835" s="344"/>
      <c r="AO835" s="186"/>
      <c r="AP835" s="193"/>
      <c r="AQ835" s="193"/>
      <c r="AR835" s="191"/>
      <c r="AS835" s="194"/>
      <c r="AT835" s="195"/>
      <c r="AU835" s="425"/>
      <c r="AV835" s="425"/>
      <c r="AW835" s="425"/>
      <c r="AX835" s="425"/>
      <c r="AY835" s="425"/>
      <c r="AZ835" s="425"/>
      <c r="BA835" s="425"/>
      <c r="BB835" s="425"/>
      <c r="BC835" s="440"/>
      <c r="BD835" s="404">
        <f>SUM($AS$4:AS835)</f>
        <v>4263.9269549063056</v>
      </c>
      <c r="BE835" s="407">
        <f>SUM($AR$4:AR835)</f>
        <v>17901.772000000343</v>
      </c>
      <c r="BF835" s="331"/>
      <c r="BG835" s="331"/>
    </row>
    <row r="836" spans="1:59" ht="15.75" customHeight="1">
      <c r="A836" s="227" t="s">
        <v>3105</v>
      </c>
      <c r="B836" s="181">
        <v>45125</v>
      </c>
      <c r="C836" s="182" t="s">
        <v>3288</v>
      </c>
      <c r="D836" s="182" t="s">
        <v>128</v>
      </c>
      <c r="E836" s="233"/>
      <c r="F836" s="184"/>
      <c r="G836" s="499" t="s">
        <v>2126</v>
      </c>
      <c r="H836" s="186"/>
      <c r="I836" s="186"/>
      <c r="J836" s="186"/>
      <c r="K836" s="187"/>
      <c r="L836" s="186">
        <v>1</v>
      </c>
      <c r="M836" s="186">
        <v>1</v>
      </c>
      <c r="N836" s="186"/>
      <c r="O836" s="187" t="s">
        <v>76</v>
      </c>
      <c r="P836" s="187" t="s">
        <v>77</v>
      </c>
      <c r="Q836" s="187" t="s">
        <v>78</v>
      </c>
      <c r="R836" s="187">
        <v>5</v>
      </c>
      <c r="S836" s="187">
        <v>0</v>
      </c>
      <c r="T836" s="187">
        <v>5</v>
      </c>
      <c r="U836" s="187" t="s">
        <v>78</v>
      </c>
      <c r="V836" s="188">
        <f t="shared" si="1325"/>
        <v>0.01</v>
      </c>
      <c r="W836" s="189">
        <f t="shared" si="1326"/>
        <v>1600</v>
      </c>
      <c r="X836" s="189" t="s">
        <v>80</v>
      </c>
      <c r="Y836" s="189"/>
      <c r="Z836" s="189" t="s">
        <v>3289</v>
      </c>
      <c r="AA836" s="190">
        <v>-0.03</v>
      </c>
      <c r="AB836" s="186"/>
      <c r="AC836" s="344"/>
      <c r="AD836" s="186"/>
      <c r="AE836" s="186"/>
      <c r="AF836" s="186"/>
      <c r="AG836" s="186"/>
      <c r="AH836" s="186"/>
      <c r="AI836" s="191">
        <f>-0.03*W836</f>
        <v>-48</v>
      </c>
      <c r="AJ836" s="191">
        <f t="shared" ref="AJ836:AJ837" si="1333">AI836*(R836-S836)</f>
        <v>-240</v>
      </c>
      <c r="AK836" s="186"/>
      <c r="AL836" s="186"/>
      <c r="AM836" s="186" t="s">
        <v>752</v>
      </c>
      <c r="AN836" s="344" t="s">
        <v>97</v>
      </c>
      <c r="AO836" s="186" t="s">
        <v>3290</v>
      </c>
      <c r="AP836" s="193">
        <v>-0.03</v>
      </c>
      <c r="AQ836" s="193">
        <f t="shared" ref="AQ836:AQ837" si="1334">IF(ISBLANK(AP836),,IF(U836="S",AA836-AP836,AP836-AA836))</f>
        <v>0</v>
      </c>
      <c r="AR836" s="191">
        <f t="shared" ref="AR836:AR837" si="1335">AS836*R836</f>
        <v>0</v>
      </c>
      <c r="AS836" s="194">
        <f t="shared" ref="AS836:AS837" si="1336">IF(ISBLANK(AP836),,(AQ836*W836))</f>
        <v>0</v>
      </c>
      <c r="AT836" s="195" t="s">
        <v>97</v>
      </c>
      <c r="AU836" s="425"/>
      <c r="AV836" s="425"/>
      <c r="AW836" s="425"/>
      <c r="AX836" s="425"/>
      <c r="AY836" s="425"/>
      <c r="AZ836" s="425"/>
      <c r="BA836" s="425"/>
      <c r="BB836" s="425"/>
      <c r="BC836" s="440"/>
      <c r="BD836" s="404">
        <f>SUM($AS$4:AS836)</f>
        <v>4263.9269549063056</v>
      </c>
      <c r="BE836" s="407">
        <f>SUM($AR$4:AR836)</f>
        <v>17901.772000000343</v>
      </c>
      <c r="BF836" s="331"/>
      <c r="BG836" s="331"/>
    </row>
    <row r="837" spans="1:59" ht="15.75" customHeight="1">
      <c r="A837" s="227" t="s">
        <v>3105</v>
      </c>
      <c r="B837" s="181">
        <v>45126</v>
      </c>
      <c r="C837" s="182" t="s">
        <v>3291</v>
      </c>
      <c r="D837" s="182" t="s">
        <v>133</v>
      </c>
      <c r="E837" s="233"/>
      <c r="F837" s="184"/>
      <c r="G837" s="499" t="s">
        <v>75</v>
      </c>
      <c r="H837" s="186"/>
      <c r="I837" s="186"/>
      <c r="J837" s="186"/>
      <c r="K837" s="187"/>
      <c r="L837" s="186">
        <v>1</v>
      </c>
      <c r="M837" s="186"/>
      <c r="N837" s="186"/>
      <c r="O837" s="187" t="s">
        <v>76</v>
      </c>
      <c r="P837" s="187" t="s">
        <v>77</v>
      </c>
      <c r="Q837" s="187" t="s">
        <v>78</v>
      </c>
      <c r="R837" s="187">
        <v>7</v>
      </c>
      <c r="S837" s="187">
        <v>2</v>
      </c>
      <c r="T837" s="187">
        <v>7</v>
      </c>
      <c r="U837" s="187" t="s">
        <v>78</v>
      </c>
      <c r="V837" s="188">
        <f t="shared" si="1314"/>
        <v>0.01</v>
      </c>
      <c r="W837" s="189">
        <f t="shared" si="1313"/>
        <v>1600</v>
      </c>
      <c r="X837" s="189" t="s">
        <v>3292</v>
      </c>
      <c r="Y837" s="189"/>
      <c r="Z837" s="189"/>
      <c r="AA837" s="190">
        <v>0.18</v>
      </c>
      <c r="AB837" s="186"/>
      <c r="AC837" s="344"/>
      <c r="AD837" s="186"/>
      <c r="AE837" s="186"/>
      <c r="AF837" s="186"/>
      <c r="AG837" s="186"/>
      <c r="AH837" s="186"/>
      <c r="AI837" s="191">
        <f>-0.04*W837</f>
        <v>-64</v>
      </c>
      <c r="AJ837" s="191">
        <f t="shared" si="1333"/>
        <v>-320</v>
      </c>
      <c r="AK837" s="186"/>
      <c r="AL837" s="186"/>
      <c r="AM837" s="186" t="s">
        <v>1681</v>
      </c>
      <c r="AN837" s="344" t="s">
        <v>87</v>
      </c>
      <c r="AO837" s="186" t="s">
        <v>3293</v>
      </c>
      <c r="AP837" s="193">
        <f>(0.17*2+0.16*5)/7</f>
        <v>0.16285714285714287</v>
      </c>
      <c r="AQ837" s="193">
        <f t="shared" si="1334"/>
        <v>1.7142857142857126E-2</v>
      </c>
      <c r="AR837" s="191">
        <f t="shared" si="1335"/>
        <v>191.99999999999983</v>
      </c>
      <c r="AS837" s="194">
        <f t="shared" si="1336"/>
        <v>27.428571428571402</v>
      </c>
      <c r="AT837" s="195" t="s">
        <v>77</v>
      </c>
      <c r="AU837" s="425"/>
      <c r="AV837" s="425"/>
      <c r="AW837" s="425"/>
      <c r="AX837" s="425"/>
      <c r="AY837" s="425"/>
      <c r="AZ837" s="425"/>
      <c r="BA837" s="425"/>
      <c r="BB837" s="425"/>
      <c r="BC837" s="440"/>
      <c r="BD837" s="404">
        <f>SUM($AS$4:AS837)</f>
        <v>4291.3555263348771</v>
      </c>
      <c r="BE837" s="407">
        <f>SUM($AR$4:AR837)</f>
        <v>18093.772000000343</v>
      </c>
      <c r="BF837" s="331"/>
      <c r="BG837" s="331"/>
    </row>
    <row r="838" spans="1:59" ht="15.75" customHeight="1">
      <c r="A838" s="227" t="s">
        <v>3105</v>
      </c>
      <c r="B838" s="181">
        <v>45126</v>
      </c>
      <c r="C838" s="182" t="s">
        <v>3294</v>
      </c>
      <c r="D838" s="182" t="s">
        <v>133</v>
      </c>
      <c r="E838" s="233"/>
      <c r="F838" s="184"/>
      <c r="G838" s="185" t="s">
        <v>2126</v>
      </c>
      <c r="H838" s="186"/>
      <c r="I838" s="186"/>
      <c r="J838" s="186"/>
      <c r="K838" s="187"/>
      <c r="L838" s="186"/>
      <c r="M838" s="186"/>
      <c r="N838" s="186"/>
      <c r="O838" s="187"/>
      <c r="P838" s="187"/>
      <c r="Q838" s="187"/>
      <c r="R838" s="187"/>
      <c r="S838" s="187"/>
      <c r="T838" s="187"/>
      <c r="U838" s="187"/>
      <c r="V838" s="188"/>
      <c r="W838" s="189"/>
      <c r="X838" s="189"/>
      <c r="Y838" s="189"/>
      <c r="Z838" s="189"/>
      <c r="AA838" s="190"/>
      <c r="AB838" s="186"/>
      <c r="AC838" s="344"/>
      <c r="AD838" s="186"/>
      <c r="AE838" s="186"/>
      <c r="AF838" s="186"/>
      <c r="AG838" s="186"/>
      <c r="AH838" s="186"/>
      <c r="AI838" s="191"/>
      <c r="AJ838" s="191"/>
      <c r="AK838" s="186"/>
      <c r="AL838" s="186"/>
      <c r="AM838" s="186"/>
      <c r="AN838" s="344"/>
      <c r="AO838" s="186"/>
      <c r="AP838" s="193"/>
      <c r="AQ838" s="193"/>
      <c r="AR838" s="191"/>
      <c r="AS838" s="194"/>
      <c r="AT838" s="195"/>
      <c r="AU838" s="425" t="s">
        <v>3295</v>
      </c>
      <c r="AV838" s="425" t="s">
        <v>3296</v>
      </c>
      <c r="AW838" s="425" t="s">
        <v>3297</v>
      </c>
      <c r="AX838" s="425"/>
      <c r="AY838" s="425"/>
      <c r="AZ838" s="425"/>
      <c r="BA838" s="425"/>
      <c r="BB838" s="425"/>
      <c r="BC838" s="440"/>
      <c r="BD838" s="404">
        <f>SUM($AS$4:AS838)</f>
        <v>4291.3555263348771</v>
      </c>
      <c r="BE838" s="407">
        <f>SUM($AR$4:AR838)</f>
        <v>18093.772000000343</v>
      </c>
      <c r="BF838" s="331"/>
      <c r="BG838" s="331"/>
    </row>
    <row r="839" spans="1:59" ht="15.75" customHeight="1">
      <c r="A839" s="227" t="s">
        <v>3105</v>
      </c>
      <c r="B839" s="181">
        <v>45126</v>
      </c>
      <c r="C839" s="182" t="s">
        <v>2642</v>
      </c>
      <c r="D839" s="182" t="s">
        <v>133</v>
      </c>
      <c r="E839" s="233" t="s">
        <v>3298</v>
      </c>
      <c r="F839" s="184" t="s">
        <v>3299</v>
      </c>
      <c r="G839" s="185"/>
      <c r="H839" s="186"/>
      <c r="I839" s="186"/>
      <c r="J839" s="186">
        <v>1</v>
      </c>
      <c r="K839" s="187" t="s">
        <v>97</v>
      </c>
      <c r="L839" s="186"/>
      <c r="M839" s="186"/>
      <c r="N839" s="186"/>
      <c r="O839" s="187"/>
      <c r="P839" s="187"/>
      <c r="Q839" s="187"/>
      <c r="R839" s="187"/>
      <c r="S839" s="187"/>
      <c r="T839" s="187"/>
      <c r="U839" s="187"/>
      <c r="V839" s="188" t="str">
        <f t="shared" si="1314"/>
        <v/>
      </c>
      <c r="W839" s="189" t="str">
        <f t="shared" ref="W839:W842" si="1337">IF(ISBLANK(O839),"",IF(O839="IB",8.63*200,IF(O839="IR",16*100,IF(O839="YT",20*100,IF(O839="YT-XT",24*200,IF(O839="TED",80*100))))))</f>
        <v/>
      </c>
      <c r="X839" s="189"/>
      <c r="Y839" s="189"/>
      <c r="Z839" s="189"/>
      <c r="AA839" s="190"/>
      <c r="AB839" s="186"/>
      <c r="AC839" s="344"/>
      <c r="AD839" s="186"/>
      <c r="AE839" s="186"/>
      <c r="AF839" s="186"/>
      <c r="AG839" s="186"/>
      <c r="AH839" s="186"/>
      <c r="AI839" s="191"/>
      <c r="AJ839" s="191"/>
      <c r="AK839" s="186"/>
      <c r="AL839" s="186"/>
      <c r="AM839" s="186"/>
      <c r="AN839" s="344"/>
      <c r="AO839" s="186"/>
      <c r="AP839" s="193"/>
      <c r="AQ839" s="193"/>
      <c r="AR839" s="191"/>
      <c r="AS839" s="194"/>
      <c r="AT839" s="195"/>
      <c r="AU839" s="425" t="s">
        <v>3300</v>
      </c>
      <c r="AV839" s="425" t="s">
        <v>3301</v>
      </c>
      <c r="AW839" s="425" t="s">
        <v>3302</v>
      </c>
      <c r="AX839" s="425"/>
      <c r="AY839" s="425"/>
      <c r="AZ839" s="425"/>
      <c r="BA839" s="425"/>
      <c r="BB839" s="425"/>
      <c r="BC839" s="440"/>
      <c r="BD839" s="404">
        <f>SUM($AS$4:AS839)</f>
        <v>4291.3555263348771</v>
      </c>
      <c r="BE839" s="407">
        <f>SUM($AR$4:AR839)</f>
        <v>18093.772000000343</v>
      </c>
      <c r="BF839" s="331"/>
      <c r="BG839" s="331"/>
    </row>
    <row r="840" spans="1:59" ht="15.75" customHeight="1">
      <c r="A840" s="227" t="s">
        <v>3105</v>
      </c>
      <c r="B840" s="181"/>
      <c r="C840" s="182"/>
      <c r="D840" s="182"/>
      <c r="E840" s="233" t="s">
        <v>3303</v>
      </c>
      <c r="F840" s="184"/>
      <c r="G840" s="185"/>
      <c r="H840" s="186"/>
      <c r="I840" s="186"/>
      <c r="J840" s="186">
        <v>1</v>
      </c>
      <c r="K840" s="187" t="s">
        <v>97</v>
      </c>
      <c r="L840" s="186"/>
      <c r="M840" s="186"/>
      <c r="N840" s="186"/>
      <c r="O840" s="187"/>
      <c r="P840" s="187"/>
      <c r="Q840" s="187"/>
      <c r="R840" s="187"/>
      <c r="S840" s="187"/>
      <c r="T840" s="187"/>
      <c r="U840" s="187"/>
      <c r="V840" s="188" t="str">
        <f t="shared" si="1314"/>
        <v/>
      </c>
      <c r="W840" s="189" t="str">
        <f t="shared" si="1337"/>
        <v/>
      </c>
      <c r="X840" s="189"/>
      <c r="Y840" s="189"/>
      <c r="Z840" s="189"/>
      <c r="AA840" s="190"/>
      <c r="AB840" s="186"/>
      <c r="AC840" s="344"/>
      <c r="AD840" s="186"/>
      <c r="AE840" s="186"/>
      <c r="AF840" s="186"/>
      <c r="AG840" s="186"/>
      <c r="AH840" s="186"/>
      <c r="AI840" s="191"/>
      <c r="AJ840" s="191"/>
      <c r="AK840" s="186"/>
      <c r="AL840" s="186"/>
      <c r="AM840" s="186"/>
      <c r="AN840" s="344"/>
      <c r="AO840" s="186"/>
      <c r="AP840" s="193"/>
      <c r="AQ840" s="193"/>
      <c r="AR840" s="191"/>
      <c r="AS840" s="194"/>
      <c r="AT840" s="195"/>
      <c r="AU840" s="425"/>
      <c r="AV840" s="425"/>
      <c r="AW840" s="425"/>
      <c r="AX840" s="425"/>
      <c r="AY840" s="425"/>
      <c r="AZ840" s="425"/>
      <c r="BA840" s="425"/>
      <c r="BB840" s="425"/>
      <c r="BC840" s="440"/>
      <c r="BD840" s="404">
        <f>SUM($AS$4:AS840)</f>
        <v>4291.3555263348771</v>
      </c>
      <c r="BE840" s="407">
        <f>SUM($AR$4:AR840)</f>
        <v>18093.772000000343</v>
      </c>
      <c r="BF840" s="331"/>
      <c r="BG840" s="331"/>
    </row>
    <row r="841" spans="1:59" ht="15.75" customHeight="1">
      <c r="A841" s="227" t="s">
        <v>3105</v>
      </c>
      <c r="B841" s="181">
        <v>45126</v>
      </c>
      <c r="C841" s="182" t="s">
        <v>2388</v>
      </c>
      <c r="D841" s="182" t="s">
        <v>133</v>
      </c>
      <c r="E841" s="233" t="s">
        <v>3304</v>
      </c>
      <c r="F841" s="184" t="s">
        <v>3305</v>
      </c>
      <c r="G841" s="185"/>
      <c r="H841" s="186">
        <v>1</v>
      </c>
      <c r="I841" s="186"/>
      <c r="J841" s="186"/>
      <c r="K841" s="187" t="s">
        <v>87</v>
      </c>
      <c r="L841" s="186"/>
      <c r="M841" s="186"/>
      <c r="N841" s="186"/>
      <c r="O841" s="187"/>
      <c r="P841" s="187"/>
      <c r="Q841" s="187"/>
      <c r="R841" s="187"/>
      <c r="S841" s="187"/>
      <c r="T841" s="187"/>
      <c r="U841" s="187"/>
      <c r="V841" s="188" t="str">
        <f t="shared" si="1314"/>
        <v/>
      </c>
      <c r="W841" s="189" t="str">
        <f t="shared" si="1337"/>
        <v/>
      </c>
      <c r="X841" s="189"/>
      <c r="Y841" s="189"/>
      <c r="Z841" s="189"/>
      <c r="AA841" s="190"/>
      <c r="AB841" s="186"/>
      <c r="AC841" s="344"/>
      <c r="AD841" s="186"/>
      <c r="AE841" s="186"/>
      <c r="AF841" s="186"/>
      <c r="AG841" s="186"/>
      <c r="AH841" s="186"/>
      <c r="AI841" s="191"/>
      <c r="AJ841" s="191"/>
      <c r="AK841" s="186"/>
      <c r="AL841" s="186"/>
      <c r="AM841" s="186"/>
      <c r="AN841" s="344"/>
      <c r="AO841" s="186"/>
      <c r="AP841" s="193"/>
      <c r="AQ841" s="193"/>
      <c r="AR841" s="191"/>
      <c r="AS841" s="194"/>
      <c r="AT841" s="195"/>
      <c r="AU841" s="425"/>
      <c r="AV841" s="425"/>
      <c r="AW841" s="425"/>
      <c r="AX841" s="425"/>
      <c r="AY841" s="425"/>
      <c r="AZ841" s="425"/>
      <c r="BA841" s="425"/>
      <c r="BB841" s="425"/>
      <c r="BC841" s="440"/>
      <c r="BD841" s="404">
        <f>SUM($AS$4:AS841)</f>
        <v>4291.3555263348771</v>
      </c>
      <c r="BE841" s="407">
        <f>SUM($AR$4:AR841)</f>
        <v>18093.772000000343</v>
      </c>
      <c r="BF841" s="331"/>
      <c r="BG841" s="331"/>
    </row>
    <row r="842" spans="1:59" ht="15.75" customHeight="1">
      <c r="A842" s="227" t="s">
        <v>3105</v>
      </c>
      <c r="B842" s="181"/>
      <c r="C842" s="182"/>
      <c r="D842" s="182"/>
      <c r="E842" s="233" t="s">
        <v>3306</v>
      </c>
      <c r="F842" s="184"/>
      <c r="G842" s="185"/>
      <c r="H842" s="186">
        <v>1</v>
      </c>
      <c r="I842" s="186"/>
      <c r="J842" s="186"/>
      <c r="K842" s="187" t="s">
        <v>87</v>
      </c>
      <c r="L842" s="186"/>
      <c r="M842" s="186"/>
      <c r="N842" s="186"/>
      <c r="O842" s="187"/>
      <c r="P842" s="187"/>
      <c r="Q842" s="187"/>
      <c r="R842" s="187"/>
      <c r="S842" s="187"/>
      <c r="T842" s="187"/>
      <c r="U842" s="187"/>
      <c r="V842" s="188" t="str">
        <f t="shared" si="1314"/>
        <v/>
      </c>
      <c r="W842" s="189" t="str">
        <f t="shared" si="1337"/>
        <v/>
      </c>
      <c r="X842" s="189"/>
      <c r="Y842" s="189"/>
      <c r="Z842" s="189"/>
      <c r="AA842" s="190"/>
      <c r="AB842" s="186"/>
      <c r="AC842" s="344"/>
      <c r="AD842" s="186"/>
      <c r="AE842" s="186"/>
      <c r="AF842" s="186"/>
      <c r="AG842" s="186"/>
      <c r="AH842" s="186"/>
      <c r="AI842" s="191"/>
      <c r="AJ842" s="191"/>
      <c r="AK842" s="186"/>
      <c r="AL842" s="186"/>
      <c r="AM842" s="186"/>
      <c r="AN842" s="344"/>
      <c r="AO842" s="186"/>
      <c r="AP842" s="193"/>
      <c r="AQ842" s="193"/>
      <c r="AR842" s="191"/>
      <c r="AS842" s="194"/>
      <c r="AT842" s="195"/>
      <c r="AU842" s="425"/>
      <c r="AV842" s="425"/>
      <c r="AW842" s="425"/>
      <c r="AX842" s="425"/>
      <c r="AY842" s="425"/>
      <c r="AZ842" s="425"/>
      <c r="BA842" s="425"/>
      <c r="BB842" s="425"/>
      <c r="BC842" s="440"/>
      <c r="BD842" s="404">
        <f>SUM($AS$4:AS842)</f>
        <v>4291.3555263348771</v>
      </c>
      <c r="BE842" s="407">
        <f>SUM($AR$4:AR842)</f>
        <v>18093.772000000343</v>
      </c>
      <c r="BF842" s="331"/>
      <c r="BG842" s="331"/>
    </row>
    <row r="843" spans="1:59" ht="15.75" customHeight="1">
      <c r="A843" s="227" t="s">
        <v>3105</v>
      </c>
      <c r="B843" s="181"/>
      <c r="C843" s="182"/>
      <c r="D843" s="182"/>
      <c r="E843" s="233" t="s">
        <v>3307</v>
      </c>
      <c r="F843" s="184"/>
      <c r="G843" s="185"/>
      <c r="H843" s="186"/>
      <c r="I843" s="186">
        <v>1</v>
      </c>
      <c r="J843" s="186"/>
      <c r="K843" s="187"/>
      <c r="L843" s="186"/>
      <c r="M843" s="186"/>
      <c r="N843" s="186"/>
      <c r="O843" s="187"/>
      <c r="P843" s="187"/>
      <c r="Q843" s="187"/>
      <c r="R843" s="187"/>
      <c r="S843" s="187"/>
      <c r="T843" s="187"/>
      <c r="U843" s="187"/>
      <c r="V843" s="188" t="str">
        <f t="shared" ref="V843:V850" si="1338">IF(ISBLANK(O843),"",(IF(O843=UPPER("IB"),0.005,0.01)))</f>
        <v/>
      </c>
      <c r="W843" s="189" t="str">
        <f t="shared" si="1313"/>
        <v/>
      </c>
      <c r="X843" s="189"/>
      <c r="Y843" s="189"/>
      <c r="Z843" s="189"/>
      <c r="AA843" s="190"/>
      <c r="AB843" s="186"/>
      <c r="AC843" s="344"/>
      <c r="AD843" s="186"/>
      <c r="AE843" s="186"/>
      <c r="AF843" s="186"/>
      <c r="AG843" s="186"/>
      <c r="AH843" s="186"/>
      <c r="AI843" s="191"/>
      <c r="AJ843" s="191"/>
      <c r="AK843" s="186"/>
      <c r="AL843" s="186"/>
      <c r="AM843" s="186"/>
      <c r="AN843" s="344"/>
      <c r="AO843" s="186"/>
      <c r="AP843" s="193"/>
      <c r="AQ843" s="193"/>
      <c r="AR843" s="191"/>
      <c r="AS843" s="194"/>
      <c r="AT843" s="195"/>
      <c r="AU843" s="425"/>
      <c r="AV843" s="425"/>
      <c r="AW843" s="425"/>
      <c r="AX843" s="425"/>
      <c r="AY843" s="425"/>
      <c r="AZ843" s="425"/>
      <c r="BA843" s="425"/>
      <c r="BB843" s="425"/>
      <c r="BC843" s="440"/>
      <c r="BD843" s="404">
        <f>SUM($AS$4:AS843)</f>
        <v>4291.3555263348771</v>
      </c>
      <c r="BE843" s="407">
        <f>SUM($AR$4:AR843)</f>
        <v>18093.772000000343</v>
      </c>
      <c r="BF843" s="331"/>
      <c r="BG843" s="331"/>
    </row>
    <row r="844" spans="1:59" ht="15.75" customHeight="1">
      <c r="A844" s="227" t="s">
        <v>3105</v>
      </c>
      <c r="B844" s="181">
        <v>45126</v>
      </c>
      <c r="C844" s="182" t="s">
        <v>3308</v>
      </c>
      <c r="D844" s="182" t="s">
        <v>133</v>
      </c>
      <c r="E844" s="233"/>
      <c r="F844" s="184"/>
      <c r="G844" s="185" t="s">
        <v>2126</v>
      </c>
      <c r="H844" s="186"/>
      <c r="I844" s="186"/>
      <c r="J844" s="186"/>
      <c r="K844" s="187"/>
      <c r="L844" s="186">
        <v>1</v>
      </c>
      <c r="M844" s="186"/>
      <c r="N844" s="186"/>
      <c r="O844" s="187" t="s">
        <v>76</v>
      </c>
      <c r="P844" s="187" t="s">
        <v>77</v>
      </c>
      <c r="Q844" s="187" t="s">
        <v>78</v>
      </c>
      <c r="R844" s="187">
        <v>5</v>
      </c>
      <c r="S844" s="187">
        <v>0</v>
      </c>
      <c r="T844" s="187">
        <v>5</v>
      </c>
      <c r="U844" s="187" t="s">
        <v>78</v>
      </c>
      <c r="V844" s="188">
        <f t="shared" si="1338"/>
        <v>0.01</v>
      </c>
      <c r="W844" s="189">
        <f t="shared" ref="W844:W850" si="1339">IF(ISBLANK(O844),"",IF(O844="IB",8.63*200,IF(O844="IR",16*100,IF(O844="YT",20*100,IF(O844="YT-XT",24*200,IF(O844="TED",80*100))))))</f>
        <v>1600</v>
      </c>
      <c r="X844" s="189" t="s">
        <v>80</v>
      </c>
      <c r="Y844" s="189"/>
      <c r="Z844" s="189"/>
      <c r="AA844" s="190">
        <v>0.03</v>
      </c>
      <c r="AB844" s="186"/>
      <c r="AC844" s="344"/>
      <c r="AD844" s="186"/>
      <c r="AE844" s="186"/>
      <c r="AF844" s="186"/>
      <c r="AG844" s="186"/>
      <c r="AH844" s="186"/>
      <c r="AI844" s="191">
        <f t="shared" ref="AI844" si="1340">-0.04*W844</f>
        <v>-64</v>
      </c>
      <c r="AJ844" s="191">
        <f t="shared" ref="AJ844" si="1341">AI844*(R844-S844)</f>
        <v>-320</v>
      </c>
      <c r="AK844" s="186"/>
      <c r="AL844" s="186"/>
      <c r="AM844" s="186" t="s">
        <v>664</v>
      </c>
      <c r="AN844" s="344" t="s">
        <v>97</v>
      </c>
      <c r="AO844" s="186" t="s">
        <v>3309</v>
      </c>
      <c r="AP844" s="193">
        <v>0.02</v>
      </c>
      <c r="AQ844" s="193">
        <f t="shared" ref="AQ844" si="1342">IF(ISBLANK(AP844),,IF(U844="S",AA844-AP844,AP844-AA844))</f>
        <v>9.9999999999999985E-3</v>
      </c>
      <c r="AR844" s="191">
        <f t="shared" ref="AR844" si="1343">AS844*R844</f>
        <v>79.999999999999986</v>
      </c>
      <c r="AS844" s="194">
        <f t="shared" ref="AS844" si="1344">IF(ISBLANK(AP844),,(AQ844*W844))</f>
        <v>15.999999999999998</v>
      </c>
      <c r="AT844" s="195" t="s">
        <v>77</v>
      </c>
      <c r="AU844" s="425"/>
      <c r="AV844" s="425"/>
      <c r="AW844" s="425"/>
      <c r="AX844" s="425"/>
      <c r="AY844" s="425"/>
      <c r="AZ844" s="425"/>
      <c r="BA844" s="425"/>
      <c r="BB844" s="425"/>
      <c r="BC844" s="440"/>
      <c r="BD844" s="404">
        <f>SUM($AS$4:AS844)</f>
        <v>4307.3555263348771</v>
      </c>
      <c r="BE844" s="407">
        <f>SUM($AR$4:AR844)</f>
        <v>18173.772000000343</v>
      </c>
      <c r="BF844" s="331"/>
      <c r="BG844" s="331"/>
    </row>
    <row r="845" spans="1:59" ht="15.75" customHeight="1">
      <c r="A845" s="227" t="s">
        <v>3105</v>
      </c>
      <c r="B845" s="181">
        <v>45127</v>
      </c>
      <c r="C845" s="182" t="s">
        <v>2062</v>
      </c>
      <c r="D845" s="182" t="s">
        <v>74</v>
      </c>
      <c r="E845" s="233" t="s">
        <v>3310</v>
      </c>
      <c r="F845" s="184"/>
      <c r="G845" s="185"/>
      <c r="H845" s="186">
        <v>1</v>
      </c>
      <c r="I845" s="186"/>
      <c r="J845" s="186"/>
      <c r="K845" s="187" t="s">
        <v>87</v>
      </c>
      <c r="L845" s="186"/>
      <c r="M845" s="186"/>
      <c r="N845" s="186"/>
      <c r="O845" s="187"/>
      <c r="P845" s="187"/>
      <c r="Q845" s="187"/>
      <c r="R845" s="187"/>
      <c r="S845" s="187"/>
      <c r="T845" s="187"/>
      <c r="U845" s="187"/>
      <c r="V845" s="188" t="str">
        <f t="shared" si="1338"/>
        <v/>
      </c>
      <c r="W845" s="189" t="str">
        <f t="shared" si="1339"/>
        <v/>
      </c>
      <c r="X845" s="189"/>
      <c r="Y845" s="189"/>
      <c r="Z845" s="189"/>
      <c r="AA845" s="190"/>
      <c r="AB845" s="186"/>
      <c r="AC845" s="344"/>
      <c r="AD845" s="186"/>
      <c r="AE845" s="186"/>
      <c r="AF845" s="186"/>
      <c r="AG845" s="186"/>
      <c r="AH845" s="186"/>
      <c r="AI845" s="191"/>
      <c r="AJ845" s="191"/>
      <c r="AK845" s="186"/>
      <c r="AL845" s="186"/>
      <c r="AM845" s="186"/>
      <c r="AN845" s="344"/>
      <c r="AO845" s="186"/>
      <c r="AP845" s="193"/>
      <c r="AQ845" s="193"/>
      <c r="AR845" s="191"/>
      <c r="AS845" s="194"/>
      <c r="AT845" s="195"/>
      <c r="AU845" s="425" t="s">
        <v>3311</v>
      </c>
      <c r="AV845" s="425" t="s">
        <v>3312</v>
      </c>
      <c r="AW845" s="425" t="s">
        <v>3313</v>
      </c>
      <c r="AX845" s="425" t="s">
        <v>3314</v>
      </c>
      <c r="AY845" s="425"/>
      <c r="AZ845" s="425"/>
      <c r="BA845" s="425"/>
      <c r="BB845" s="425"/>
      <c r="BC845" s="440"/>
      <c r="BD845" s="404">
        <f>SUM($AS$4:AS845)</f>
        <v>4307.3555263348771</v>
      </c>
      <c r="BE845" s="407">
        <f>SUM($AR$4:AR845)</f>
        <v>18173.772000000343</v>
      </c>
      <c r="BF845" s="331"/>
      <c r="BG845" s="331"/>
    </row>
    <row r="846" spans="1:59" ht="15.75" customHeight="1">
      <c r="A846" s="227" t="s">
        <v>3105</v>
      </c>
      <c r="B846" s="181"/>
      <c r="C846" s="182"/>
      <c r="D846" s="182"/>
      <c r="E846" s="233" t="s">
        <v>3315</v>
      </c>
      <c r="F846" s="184"/>
      <c r="G846" s="185"/>
      <c r="H846" s="186"/>
      <c r="I846" s="186">
        <v>1</v>
      </c>
      <c r="J846" s="186"/>
      <c r="K846" s="187"/>
      <c r="L846" s="186"/>
      <c r="M846" s="186"/>
      <c r="N846" s="186"/>
      <c r="O846" s="187"/>
      <c r="P846" s="187"/>
      <c r="Q846" s="187"/>
      <c r="R846" s="187"/>
      <c r="S846" s="187"/>
      <c r="T846" s="187"/>
      <c r="U846" s="187"/>
      <c r="V846" s="188" t="str">
        <f t="shared" si="1338"/>
        <v/>
      </c>
      <c r="W846" s="189" t="str">
        <f t="shared" si="1339"/>
        <v/>
      </c>
      <c r="X846" s="189"/>
      <c r="Y846" s="189"/>
      <c r="Z846" s="189"/>
      <c r="AA846" s="190"/>
      <c r="AB846" s="186"/>
      <c r="AC846" s="344"/>
      <c r="AD846" s="186"/>
      <c r="AE846" s="186"/>
      <c r="AF846" s="186"/>
      <c r="AG846" s="186"/>
      <c r="AH846" s="186"/>
      <c r="AI846" s="191"/>
      <c r="AJ846" s="191"/>
      <c r="AK846" s="186"/>
      <c r="AL846" s="186"/>
      <c r="AM846" s="186"/>
      <c r="AN846" s="344"/>
      <c r="AO846" s="186"/>
      <c r="AP846" s="193"/>
      <c r="AQ846" s="193"/>
      <c r="AR846" s="191"/>
      <c r="AS846" s="194"/>
      <c r="AT846" s="195"/>
      <c r="AU846" s="425"/>
      <c r="AV846" s="425"/>
      <c r="AW846" s="425"/>
      <c r="AX846" s="425"/>
      <c r="AY846" s="425"/>
      <c r="AZ846" s="425"/>
      <c r="BA846" s="425"/>
      <c r="BB846" s="425"/>
      <c r="BC846" s="440"/>
      <c r="BD846" s="404">
        <f>SUM($AS$4:AS846)</f>
        <v>4307.3555263348771</v>
      </c>
      <c r="BE846" s="407">
        <f>SUM($AR$4:AR846)</f>
        <v>18173.772000000343</v>
      </c>
      <c r="BF846" s="331"/>
      <c r="BG846" s="331"/>
    </row>
    <row r="847" spans="1:59" ht="15.75" customHeight="1">
      <c r="A847" s="227" t="s">
        <v>3105</v>
      </c>
      <c r="B847" s="181">
        <v>45127</v>
      </c>
      <c r="C847" s="182" t="s">
        <v>664</v>
      </c>
      <c r="D847" s="182" t="s">
        <v>74</v>
      </c>
      <c r="E847" s="233"/>
      <c r="F847" s="184"/>
      <c r="G847" s="499" t="s">
        <v>3316</v>
      </c>
      <c r="H847" s="186"/>
      <c r="I847" s="186"/>
      <c r="J847" s="186"/>
      <c r="K847" s="187"/>
      <c r="L847" s="186">
        <v>1</v>
      </c>
      <c r="M847" s="186"/>
      <c r="N847" s="186"/>
      <c r="O847" s="187" t="s">
        <v>76</v>
      </c>
      <c r="P847" s="187" t="s">
        <v>119</v>
      </c>
      <c r="Q847" s="187" t="s">
        <v>78</v>
      </c>
      <c r="R847" s="187">
        <v>2</v>
      </c>
      <c r="S847" s="187">
        <v>0</v>
      </c>
      <c r="T847" s="187">
        <v>2</v>
      </c>
      <c r="U847" s="187" t="s">
        <v>22</v>
      </c>
      <c r="V847" s="188">
        <f t="shared" si="1338"/>
        <v>0.01</v>
      </c>
      <c r="W847" s="189">
        <f t="shared" si="1339"/>
        <v>1600</v>
      </c>
      <c r="X847" s="189" t="s">
        <v>3317</v>
      </c>
      <c r="Y847" s="189"/>
      <c r="Z847" s="189"/>
      <c r="AA847" s="190">
        <v>-0.1</v>
      </c>
      <c r="AB847" s="186"/>
      <c r="AC847" s="344"/>
      <c r="AD847" s="186"/>
      <c r="AE847" s="186"/>
      <c r="AF847" s="186"/>
      <c r="AG847" s="186"/>
      <c r="AH847" s="186"/>
      <c r="AI847" s="191"/>
      <c r="AJ847" s="191"/>
      <c r="AK847" s="186"/>
      <c r="AL847" s="186"/>
      <c r="AM847" s="186"/>
      <c r="AN847" s="344" t="s">
        <v>376</v>
      </c>
      <c r="AO847" s="186" t="s">
        <v>2351</v>
      </c>
      <c r="AP847" s="193">
        <v>-0.09</v>
      </c>
      <c r="AQ847" s="193">
        <f t="shared" ref="AQ845:AQ847" si="1345">IF(ISBLANK(AP847),,IF(U847="S",AA847-AP847,AP847-AA847))</f>
        <v>1.0000000000000009E-2</v>
      </c>
      <c r="AR847" s="191">
        <f t="shared" ref="AR845:AR847" si="1346">AS847*R847</f>
        <v>32.000000000000028</v>
      </c>
      <c r="AS847" s="194">
        <f t="shared" ref="AS845:AS847" si="1347">IF(ISBLANK(AP847),,(AQ847*W847))</f>
        <v>16.000000000000014</v>
      </c>
      <c r="AT847" s="195" t="s">
        <v>77</v>
      </c>
      <c r="AU847" s="425"/>
      <c r="AV847" s="425"/>
      <c r="AW847" s="425"/>
      <c r="AX847" s="425"/>
      <c r="AY847" s="425"/>
      <c r="AZ847" s="425"/>
      <c r="BA847" s="425"/>
      <c r="BB847" s="425"/>
      <c r="BC847" s="440"/>
      <c r="BD847" s="404">
        <f>SUM($AS$4:AS847)</f>
        <v>4323.3555263348771</v>
      </c>
      <c r="BE847" s="407">
        <f>SUM($AR$4:AR847)</f>
        <v>18205.772000000343</v>
      </c>
      <c r="BF847" s="331"/>
      <c r="BG847" s="331"/>
    </row>
    <row r="848" spans="1:59" ht="15.75" customHeight="1">
      <c r="A848" s="227" t="s">
        <v>3105</v>
      </c>
      <c r="B848" s="181">
        <v>45127</v>
      </c>
      <c r="C848" s="182" t="s">
        <v>3318</v>
      </c>
      <c r="D848" s="182" t="s">
        <v>74</v>
      </c>
      <c r="E848" s="233"/>
      <c r="F848" s="184"/>
      <c r="G848" s="499" t="s">
        <v>3319</v>
      </c>
      <c r="H848" s="186"/>
      <c r="I848" s="186"/>
      <c r="J848" s="186"/>
      <c r="K848" s="187"/>
      <c r="L848" s="186">
        <v>1</v>
      </c>
      <c r="M848" s="186">
        <v>1</v>
      </c>
      <c r="N848" s="186"/>
      <c r="O848" s="187" t="s">
        <v>76</v>
      </c>
      <c r="P848" s="187" t="s">
        <v>77</v>
      </c>
      <c r="Q848" s="187" t="s">
        <v>666</v>
      </c>
      <c r="R848" s="187">
        <v>1</v>
      </c>
      <c r="S848" s="187">
        <v>0</v>
      </c>
      <c r="T848" s="187">
        <v>1</v>
      </c>
      <c r="U848" s="187" t="s">
        <v>22</v>
      </c>
      <c r="V848" s="188">
        <f t="shared" si="1338"/>
        <v>0.01</v>
      </c>
      <c r="W848" s="189">
        <f t="shared" si="1339"/>
        <v>1600</v>
      </c>
      <c r="X848" s="189" t="s">
        <v>3320</v>
      </c>
      <c r="Y848" s="189"/>
      <c r="Z848" s="189"/>
      <c r="AA848" s="190">
        <v>95.55</v>
      </c>
      <c r="AB848" s="186"/>
      <c r="AC848" s="344"/>
      <c r="AD848" s="186"/>
      <c r="AE848" s="186"/>
      <c r="AF848" s="186"/>
      <c r="AG848" s="186"/>
      <c r="AH848" s="186"/>
      <c r="AI848" s="191"/>
      <c r="AJ848" s="191"/>
      <c r="AK848" s="186"/>
      <c r="AL848" s="186"/>
      <c r="AM848" s="186" t="s">
        <v>3321</v>
      </c>
      <c r="AN848" s="344" t="s">
        <v>376</v>
      </c>
      <c r="AO848" s="186" t="s">
        <v>534</v>
      </c>
      <c r="AP848" s="193">
        <v>95.53</v>
      </c>
      <c r="AQ848" s="193">
        <f t="shared" ref="AQ848" si="1348">IF(ISBLANK(AP848),,IF(U848="S",AA848-AP848,AP848-AA848))</f>
        <v>-1.9999999999996021E-2</v>
      </c>
      <c r="AR848" s="191">
        <f t="shared" ref="AR848" si="1349">AS848*R848</f>
        <v>-31.999999999993634</v>
      </c>
      <c r="AS848" s="194">
        <f t="shared" ref="AS848" si="1350">IF(ISBLANK(AP848),,(AQ848*W848))</f>
        <v>-31.999999999993634</v>
      </c>
      <c r="AT848" s="195" t="s">
        <v>211</v>
      </c>
      <c r="AU848" s="425" t="s">
        <v>3322</v>
      </c>
      <c r="AV848" s="425"/>
      <c r="AW848" s="425"/>
      <c r="AX848" s="425"/>
      <c r="AY848" s="425"/>
      <c r="AZ848" s="425"/>
      <c r="BA848" s="425"/>
      <c r="BB848" s="425"/>
      <c r="BC848" s="440"/>
      <c r="BD848" s="404">
        <f>SUM($AS$4:AS848)</f>
        <v>4291.3555263348835</v>
      </c>
      <c r="BE848" s="407">
        <f>SUM($AR$4:AR848)</f>
        <v>18173.77200000035</v>
      </c>
      <c r="BF848" s="331"/>
      <c r="BG848" s="331"/>
    </row>
    <row r="849" spans="1:59" ht="15.75" customHeight="1">
      <c r="A849" s="227" t="s">
        <v>3105</v>
      </c>
      <c r="B849" s="181">
        <v>45127</v>
      </c>
      <c r="C849" s="182" t="s">
        <v>3323</v>
      </c>
      <c r="D849" s="182" t="s">
        <v>74</v>
      </c>
      <c r="E849" s="233"/>
      <c r="F849" s="184"/>
      <c r="G849" s="499" t="s">
        <v>2526</v>
      </c>
      <c r="H849" s="186"/>
      <c r="I849" s="186"/>
      <c r="J849" s="186"/>
      <c r="K849" s="187"/>
      <c r="L849" s="186">
        <v>1</v>
      </c>
      <c r="M849" s="186"/>
      <c r="N849" s="186"/>
      <c r="O849" s="187" t="s">
        <v>2240</v>
      </c>
      <c r="P849" s="187" t="s">
        <v>2241</v>
      </c>
      <c r="Q849" s="187"/>
      <c r="R849" s="187">
        <v>1</v>
      </c>
      <c r="S849" s="187">
        <v>0</v>
      </c>
      <c r="T849" s="187">
        <v>1</v>
      </c>
      <c r="U849" s="187" t="s">
        <v>22</v>
      </c>
      <c r="V849" s="188">
        <f t="shared" si="1338"/>
        <v>0.01</v>
      </c>
      <c r="W849" s="189">
        <f t="shared" si="1339"/>
        <v>4800</v>
      </c>
      <c r="X849" s="189" t="s">
        <v>80</v>
      </c>
      <c r="Y849" s="427"/>
      <c r="Z849" s="189"/>
      <c r="AA849" s="190">
        <v>4.4999999999999998E-2</v>
      </c>
      <c r="AB849" s="186"/>
      <c r="AC849" s="344"/>
      <c r="AD849" s="186"/>
      <c r="AE849" s="186"/>
      <c r="AF849" s="186"/>
      <c r="AG849" s="186"/>
      <c r="AH849" s="186"/>
      <c r="AI849" s="191"/>
      <c r="AJ849" s="191"/>
      <c r="AK849" s="186"/>
      <c r="AL849" s="186"/>
      <c r="AM849" s="186" t="s">
        <v>959</v>
      </c>
      <c r="AN849" s="344" t="s">
        <v>376</v>
      </c>
      <c r="AO849" s="186" t="s">
        <v>3324</v>
      </c>
      <c r="AP849" s="193">
        <v>0.05</v>
      </c>
      <c r="AQ849" s="193">
        <f t="shared" ref="AQ849" si="1351">IF(ISBLANK(AP849),,IF(U849="S",AA849-AP849,AP849-AA849))</f>
        <v>5.0000000000000044E-3</v>
      </c>
      <c r="AR849" s="191">
        <f t="shared" ref="AR849" si="1352">AS849*R849</f>
        <v>24.000000000000021</v>
      </c>
      <c r="AS849" s="194">
        <f t="shared" ref="AS849" si="1353">IF(ISBLANK(AP849),,(AQ849*W849))</f>
        <v>24.000000000000021</v>
      </c>
      <c r="AT849" s="195" t="s">
        <v>77</v>
      </c>
      <c r="AU849" s="425"/>
      <c r="AV849" s="425"/>
      <c r="AW849" s="425"/>
      <c r="AX849" s="425"/>
      <c r="AY849" s="425"/>
      <c r="AZ849" s="425"/>
      <c r="BA849" s="425"/>
      <c r="BB849" s="425"/>
      <c r="BC849" s="440"/>
      <c r="BD849" s="404">
        <f>SUM($AS$4:AS849)</f>
        <v>4315.3555263348835</v>
      </c>
      <c r="BE849" s="407">
        <f>SUM($AR$4:AR849)</f>
        <v>18197.77200000035</v>
      </c>
      <c r="BF849" s="331"/>
      <c r="BG849" s="331"/>
    </row>
    <row r="850" spans="1:59" ht="15.75" customHeight="1">
      <c r="A850" s="227" t="s">
        <v>3105</v>
      </c>
      <c r="B850" s="181">
        <v>45127</v>
      </c>
      <c r="C850" s="182" t="s">
        <v>1709</v>
      </c>
      <c r="D850" s="182" t="s">
        <v>74</v>
      </c>
      <c r="E850" s="233" t="s">
        <v>3325</v>
      </c>
      <c r="F850" s="184"/>
      <c r="G850" s="185"/>
      <c r="H850" s="186"/>
      <c r="I850" s="186"/>
      <c r="J850" s="186">
        <v>1</v>
      </c>
      <c r="K850" s="187" t="s">
        <v>87</v>
      </c>
      <c r="L850" s="186"/>
      <c r="M850" s="186"/>
      <c r="N850" s="186"/>
      <c r="O850" s="187"/>
      <c r="P850" s="187"/>
      <c r="Q850" s="187"/>
      <c r="R850" s="187"/>
      <c r="S850" s="187"/>
      <c r="T850" s="187"/>
      <c r="U850" s="187"/>
      <c r="V850" s="188" t="str">
        <f t="shared" si="1338"/>
        <v/>
      </c>
      <c r="W850" s="189" t="str">
        <f t="shared" si="1339"/>
        <v/>
      </c>
      <c r="X850" s="189"/>
      <c r="Y850" s="189"/>
      <c r="Z850" s="189"/>
      <c r="AA850" s="190"/>
      <c r="AB850" s="186"/>
      <c r="AC850" s="344"/>
      <c r="AD850" s="186"/>
      <c r="AE850" s="186"/>
      <c r="AF850" s="186"/>
      <c r="AG850" s="186"/>
      <c r="AH850" s="186"/>
      <c r="AI850" s="191"/>
      <c r="AJ850" s="191"/>
      <c r="AK850" s="186"/>
      <c r="AL850" s="186"/>
      <c r="AM850" s="186"/>
      <c r="AN850" s="344"/>
      <c r="AO850" s="186"/>
      <c r="AP850" s="193"/>
      <c r="AQ850" s="193"/>
      <c r="AR850" s="191"/>
      <c r="AS850" s="194"/>
      <c r="AT850" s="195"/>
      <c r="AU850" s="425"/>
      <c r="AV850" s="425"/>
      <c r="AW850" s="425"/>
      <c r="AX850" s="425"/>
      <c r="AY850" s="425"/>
      <c r="AZ850" s="425"/>
      <c r="BA850" s="425"/>
      <c r="BB850" s="425"/>
      <c r="BC850" s="440"/>
      <c r="BD850" s="404">
        <f>SUM($AS$4:AS850)</f>
        <v>4315.3555263348835</v>
      </c>
      <c r="BE850" s="407">
        <f>SUM($AR$4:AR850)</f>
        <v>18197.77200000035</v>
      </c>
      <c r="BF850" s="331"/>
      <c r="BG850" s="331"/>
    </row>
    <row r="851" spans="1:59" ht="15.75" customHeight="1">
      <c r="A851" s="227" t="s">
        <v>3105</v>
      </c>
      <c r="B851" s="181">
        <v>45128</v>
      </c>
      <c r="C851" s="182" t="s">
        <v>2410</v>
      </c>
      <c r="D851" s="182" t="s">
        <v>93</v>
      </c>
      <c r="E851" s="233"/>
      <c r="F851" s="184"/>
      <c r="G851" s="185" t="s">
        <v>1997</v>
      </c>
      <c r="H851" s="186"/>
      <c r="I851" s="186"/>
      <c r="J851" s="186"/>
      <c r="K851" s="187"/>
      <c r="L851" s="186"/>
      <c r="M851" s="186"/>
      <c r="N851" s="186"/>
      <c r="O851" s="187"/>
      <c r="P851" s="187"/>
      <c r="Q851" s="187"/>
      <c r="R851" s="187"/>
      <c r="S851" s="187"/>
      <c r="T851" s="187"/>
      <c r="U851" s="187"/>
      <c r="V851" s="188"/>
      <c r="W851" s="189"/>
      <c r="X851" s="189"/>
      <c r="Y851" s="189"/>
      <c r="Z851" s="189"/>
      <c r="AA851" s="190"/>
      <c r="AB851" s="186"/>
      <c r="AC851" s="344"/>
      <c r="AD851" s="186"/>
      <c r="AE851" s="186"/>
      <c r="AF851" s="186"/>
      <c r="AG851" s="186"/>
      <c r="AH851" s="186"/>
      <c r="AI851" s="191"/>
      <c r="AJ851" s="191"/>
      <c r="AK851" s="186"/>
      <c r="AL851" s="186"/>
      <c r="AM851" s="186"/>
      <c r="AN851" s="344"/>
      <c r="AO851" s="186"/>
      <c r="AP851" s="193"/>
      <c r="AQ851" s="193"/>
      <c r="AR851" s="191"/>
      <c r="AS851" s="194"/>
      <c r="AT851" s="195"/>
      <c r="AU851" s="425"/>
      <c r="AV851" s="425"/>
      <c r="AW851" s="425"/>
      <c r="AX851" s="425"/>
      <c r="AY851" s="425"/>
      <c r="AZ851" s="425"/>
      <c r="BA851" s="425"/>
      <c r="BB851" s="425"/>
      <c r="BC851" s="440"/>
      <c r="BD851" s="404">
        <f>SUM($AS$4:AS851)</f>
        <v>4315.3555263348835</v>
      </c>
      <c r="BE851" s="407">
        <f>SUM($AR$4:AR851)</f>
        <v>18197.77200000035</v>
      </c>
      <c r="BF851" s="331"/>
      <c r="BG851" s="331"/>
    </row>
    <row r="852" spans="1:59" ht="15.75" customHeight="1">
      <c r="A852" s="227" t="s">
        <v>3105</v>
      </c>
      <c r="B852" s="181">
        <v>45128</v>
      </c>
      <c r="C852" s="182" t="s">
        <v>3326</v>
      </c>
      <c r="D852" s="182" t="s">
        <v>93</v>
      </c>
      <c r="E852" s="233"/>
      <c r="F852" s="184"/>
      <c r="G852" s="185" t="s">
        <v>118</v>
      </c>
      <c r="H852" s="186"/>
      <c r="I852" s="186"/>
      <c r="J852" s="186"/>
      <c r="K852" s="187"/>
      <c r="L852" s="186"/>
      <c r="M852" s="186"/>
      <c r="N852" s="186"/>
      <c r="O852" s="187"/>
      <c r="P852" s="187"/>
      <c r="Q852" s="187"/>
      <c r="R852" s="187"/>
      <c r="S852" s="187"/>
      <c r="T852" s="187"/>
      <c r="U852" s="187"/>
      <c r="V852" s="188"/>
      <c r="W852" s="189"/>
      <c r="X852" s="189"/>
      <c r="Y852" s="189"/>
      <c r="Z852" s="189"/>
      <c r="AA852" s="190"/>
      <c r="AB852" s="186"/>
      <c r="AC852" s="344"/>
      <c r="AD852" s="186"/>
      <c r="AE852" s="186"/>
      <c r="AF852" s="186"/>
      <c r="AG852" s="186"/>
      <c r="AH852" s="186"/>
      <c r="AI852" s="191"/>
      <c r="AJ852" s="191"/>
      <c r="AK852" s="186"/>
      <c r="AL852" s="186"/>
      <c r="AM852" s="186"/>
      <c r="AN852" s="344"/>
      <c r="AO852" s="186"/>
      <c r="AP852" s="193"/>
      <c r="AQ852" s="193"/>
      <c r="AR852" s="191"/>
      <c r="AS852" s="194"/>
      <c r="AT852" s="195"/>
      <c r="AU852" s="425"/>
      <c r="AV852" s="425"/>
      <c r="AW852" s="425"/>
      <c r="AX852" s="425"/>
      <c r="AY852" s="425"/>
      <c r="AZ852" s="425"/>
      <c r="BA852" s="425"/>
      <c r="BB852" s="425"/>
      <c r="BC852" s="440"/>
      <c r="BD852" s="404">
        <f>SUM($AS$4:AS852)</f>
        <v>4315.3555263348835</v>
      </c>
      <c r="BE852" s="407">
        <f>SUM($AR$4:AR852)</f>
        <v>18197.77200000035</v>
      </c>
      <c r="BF852" s="331"/>
      <c r="BG852" s="331"/>
    </row>
    <row r="853" spans="1:59" ht="15.75" customHeight="1">
      <c r="A853" s="227" t="s">
        <v>3105</v>
      </c>
      <c r="B853" s="181">
        <v>45128</v>
      </c>
      <c r="C853" s="182" t="s">
        <v>3327</v>
      </c>
      <c r="D853" s="182" t="s">
        <v>93</v>
      </c>
      <c r="E853" s="233" t="s">
        <v>3328</v>
      </c>
      <c r="F853" s="184"/>
      <c r="G853" s="185"/>
      <c r="H853" s="186"/>
      <c r="I853" s="186">
        <v>1</v>
      </c>
      <c r="J853" s="186"/>
      <c r="K853" s="187"/>
      <c r="L853" s="186"/>
      <c r="M853" s="186"/>
      <c r="N853" s="186"/>
      <c r="O853" s="187"/>
      <c r="P853" s="187"/>
      <c r="Q853" s="187"/>
      <c r="R853" s="187"/>
      <c r="S853" s="187"/>
      <c r="T853" s="187"/>
      <c r="U853" s="187"/>
      <c r="V853" s="282"/>
      <c r="W853" s="187"/>
      <c r="X853" s="189"/>
      <c r="Y853" s="189"/>
      <c r="Z853" s="189"/>
      <c r="AA853" s="190"/>
      <c r="AB853" s="186"/>
      <c r="AC853" s="344"/>
      <c r="AD853" s="186"/>
      <c r="AE853" s="186"/>
      <c r="AF853" s="186"/>
      <c r="AG853" s="186"/>
      <c r="AH853" s="186"/>
      <c r="AI853" s="191"/>
      <c r="AJ853" s="191"/>
      <c r="AK853" s="186"/>
      <c r="AL853" s="186"/>
      <c r="AM853" s="186"/>
      <c r="AN853" s="344"/>
      <c r="AO853" s="186"/>
      <c r="AP853" s="193"/>
      <c r="AQ853" s="193"/>
      <c r="AR853" s="191"/>
      <c r="AS853" s="194"/>
      <c r="AT853" s="195"/>
      <c r="AU853" s="425" t="s">
        <v>3329</v>
      </c>
      <c r="AV853" s="425" t="s">
        <v>3330</v>
      </c>
      <c r="AW853" s="425"/>
      <c r="AX853" s="425"/>
      <c r="AY853" s="425"/>
      <c r="AZ853" s="425"/>
      <c r="BA853" s="425"/>
      <c r="BB853" s="425"/>
      <c r="BC853" s="440"/>
      <c r="BD853" s="404"/>
      <c r="BE853" s="405">
        <f>SUM($AR$4:AR853)</f>
        <v>18197.77200000035</v>
      </c>
      <c r="BF853" s="330"/>
      <c r="BG853" s="330"/>
    </row>
    <row r="854" spans="1:59" ht="15.75" customHeight="1">
      <c r="A854" s="227" t="s">
        <v>3105</v>
      </c>
      <c r="B854" s="181">
        <v>45128</v>
      </c>
      <c r="C854" s="182" t="s">
        <v>3331</v>
      </c>
      <c r="D854" s="182" t="s">
        <v>93</v>
      </c>
      <c r="E854" s="233"/>
      <c r="F854" s="184"/>
      <c r="G854" s="185" t="s">
        <v>1997</v>
      </c>
      <c r="H854" s="186"/>
      <c r="I854" s="186"/>
      <c r="J854" s="186"/>
      <c r="K854" s="187"/>
      <c r="L854" s="186"/>
      <c r="M854" s="186"/>
      <c r="N854" s="186"/>
      <c r="O854" s="187"/>
      <c r="P854" s="187"/>
      <c r="Q854" s="187"/>
      <c r="R854" s="187"/>
      <c r="S854" s="187"/>
      <c r="T854" s="187"/>
      <c r="U854" s="187"/>
      <c r="V854" s="188"/>
      <c r="W854" s="189"/>
      <c r="X854" s="189"/>
      <c r="Y854" s="189"/>
      <c r="Z854" s="189"/>
      <c r="AA854" s="190"/>
      <c r="AB854" s="186"/>
      <c r="AC854" s="344"/>
      <c r="AD854" s="186"/>
      <c r="AE854" s="186"/>
      <c r="AF854" s="186"/>
      <c r="AG854" s="186"/>
      <c r="AH854" s="186"/>
      <c r="AI854" s="191"/>
      <c r="AJ854" s="191"/>
      <c r="AK854" s="186"/>
      <c r="AL854" s="186"/>
      <c r="AM854" s="186"/>
      <c r="AN854" s="344"/>
      <c r="AO854" s="186"/>
      <c r="AP854" s="193"/>
      <c r="AQ854" s="193"/>
      <c r="AR854" s="191"/>
      <c r="AS854" s="194"/>
      <c r="AT854" s="195"/>
      <c r="AU854" s="425"/>
      <c r="AV854" s="425"/>
      <c r="AW854" s="425"/>
      <c r="AX854" s="425"/>
      <c r="AY854" s="425"/>
      <c r="AZ854" s="425"/>
      <c r="BA854" s="425"/>
      <c r="BB854" s="425"/>
      <c r="BC854" s="440"/>
      <c r="BD854" s="404">
        <f>SUM($AS$4:AS854)</f>
        <v>4315.3555263348835</v>
      </c>
      <c r="BE854" s="407">
        <f>SUM($AR$4:AR854)</f>
        <v>18197.77200000035</v>
      </c>
      <c r="BF854" s="331"/>
      <c r="BG854" s="331"/>
    </row>
    <row r="855" spans="1:59" ht="15.75" customHeight="1">
      <c r="A855" s="227" t="s">
        <v>3105</v>
      </c>
      <c r="B855" s="181">
        <v>45128</v>
      </c>
      <c r="C855" s="182" t="s">
        <v>3331</v>
      </c>
      <c r="D855" s="182" t="s">
        <v>93</v>
      </c>
      <c r="E855" s="233"/>
      <c r="F855" s="184"/>
      <c r="G855" s="185" t="s">
        <v>1997</v>
      </c>
      <c r="H855" s="186"/>
      <c r="I855" s="186"/>
      <c r="J855" s="186"/>
      <c r="K855" s="187"/>
      <c r="L855" s="186"/>
      <c r="M855" s="186"/>
      <c r="N855" s="186"/>
      <c r="O855" s="187"/>
      <c r="P855" s="187"/>
      <c r="Q855" s="187"/>
      <c r="R855" s="187"/>
      <c r="S855" s="187"/>
      <c r="T855" s="187"/>
      <c r="U855" s="187"/>
      <c r="V855" s="188"/>
      <c r="W855" s="189"/>
      <c r="X855" s="189"/>
      <c r="Y855" s="189"/>
      <c r="Z855" s="189"/>
      <c r="AA855" s="190"/>
      <c r="AB855" s="186"/>
      <c r="AC855" s="344"/>
      <c r="AD855" s="186"/>
      <c r="AE855" s="186"/>
      <c r="AF855" s="186"/>
      <c r="AG855" s="186"/>
      <c r="AH855" s="186"/>
      <c r="AI855" s="191"/>
      <c r="AJ855" s="191"/>
      <c r="AK855" s="186"/>
      <c r="AL855" s="186"/>
      <c r="AM855" s="186"/>
      <c r="AN855" s="344"/>
      <c r="AO855" s="186"/>
      <c r="AP855" s="193"/>
      <c r="AQ855" s="193"/>
      <c r="AR855" s="191"/>
      <c r="AS855" s="194"/>
      <c r="AT855" s="195"/>
      <c r="AU855" s="425"/>
      <c r="AV855" s="425"/>
      <c r="AW855" s="425"/>
      <c r="AX855" s="425"/>
      <c r="AY855" s="425"/>
      <c r="AZ855" s="425"/>
      <c r="BA855" s="425"/>
      <c r="BB855" s="425"/>
      <c r="BC855" s="440"/>
      <c r="BD855" s="404">
        <f>SUM($AS$4:AS855)</f>
        <v>4315.3555263348835</v>
      </c>
      <c r="BE855" s="407">
        <f>SUM($AR$4:AR855)</f>
        <v>18197.77200000035</v>
      </c>
      <c r="BF855" s="331"/>
      <c r="BG855" s="331"/>
    </row>
    <row r="856" spans="1:59" ht="15.75" customHeight="1">
      <c r="A856" s="227" t="s">
        <v>3105</v>
      </c>
      <c r="B856" s="181">
        <v>45128</v>
      </c>
      <c r="C856" s="182" t="s">
        <v>1540</v>
      </c>
      <c r="D856" s="182" t="s">
        <v>93</v>
      </c>
      <c r="E856" s="233"/>
      <c r="F856" s="184"/>
      <c r="G856" s="185" t="s">
        <v>118</v>
      </c>
      <c r="H856" s="186"/>
      <c r="I856" s="186"/>
      <c r="J856" s="186"/>
      <c r="K856" s="187"/>
      <c r="L856" s="186"/>
      <c r="M856" s="186"/>
      <c r="N856" s="186"/>
      <c r="O856" s="187"/>
      <c r="P856" s="187"/>
      <c r="Q856" s="187"/>
      <c r="R856" s="187"/>
      <c r="S856" s="187"/>
      <c r="T856" s="187"/>
      <c r="U856" s="187"/>
      <c r="V856" s="188"/>
      <c r="W856" s="189"/>
      <c r="X856" s="189"/>
      <c r="Y856" s="189"/>
      <c r="Z856" s="189"/>
      <c r="AA856" s="190"/>
      <c r="AB856" s="186"/>
      <c r="AC856" s="344"/>
      <c r="AD856" s="186"/>
      <c r="AE856" s="186"/>
      <c r="AF856" s="186"/>
      <c r="AG856" s="186"/>
      <c r="AH856" s="186"/>
      <c r="AI856" s="191"/>
      <c r="AJ856" s="191"/>
      <c r="AK856" s="186"/>
      <c r="AL856" s="186"/>
      <c r="AM856" s="186"/>
      <c r="AN856" s="344"/>
      <c r="AO856" s="186"/>
      <c r="AP856" s="193"/>
      <c r="AQ856" s="193"/>
      <c r="AR856" s="191"/>
      <c r="AS856" s="194"/>
      <c r="AT856" s="195"/>
      <c r="AU856" s="425"/>
      <c r="AV856" s="425"/>
      <c r="AW856" s="425"/>
      <c r="AX856" s="425"/>
      <c r="AY856" s="425"/>
      <c r="AZ856" s="425"/>
      <c r="BA856" s="425"/>
      <c r="BB856" s="425"/>
      <c r="BC856" s="440"/>
      <c r="BD856" s="404">
        <f>SUM($AS$4:AS856)</f>
        <v>4315.3555263348835</v>
      </c>
      <c r="BE856" s="407">
        <f>SUM($AR$4:AR856)</f>
        <v>18197.77200000035</v>
      </c>
      <c r="BF856" s="331"/>
      <c r="BG856" s="331"/>
    </row>
    <row r="857" spans="1:59" ht="15.75" customHeight="1">
      <c r="A857" s="227" t="s">
        <v>3105</v>
      </c>
      <c r="B857" s="181">
        <v>45131</v>
      </c>
      <c r="C857" s="182" t="s">
        <v>3332</v>
      </c>
      <c r="D857" s="182" t="s">
        <v>114</v>
      </c>
      <c r="E857" s="233"/>
      <c r="F857" s="184"/>
      <c r="G857" s="185" t="s">
        <v>118</v>
      </c>
      <c r="H857" s="186"/>
      <c r="I857" s="186"/>
      <c r="J857" s="186"/>
      <c r="K857" s="187"/>
      <c r="L857" s="186"/>
      <c r="M857" s="186"/>
      <c r="N857" s="186"/>
      <c r="O857" s="187"/>
      <c r="P857" s="187"/>
      <c r="Q857" s="187"/>
      <c r="R857" s="187"/>
      <c r="S857" s="187"/>
      <c r="T857" s="187"/>
      <c r="U857" s="187"/>
      <c r="V857" s="188"/>
      <c r="W857" s="189"/>
      <c r="X857" s="189"/>
      <c r="Y857" s="189"/>
      <c r="Z857" s="189"/>
      <c r="AA857" s="190"/>
      <c r="AB857" s="186"/>
      <c r="AC857" s="344"/>
      <c r="AD857" s="186"/>
      <c r="AE857" s="186"/>
      <c r="AF857" s="186"/>
      <c r="AG857" s="186"/>
      <c r="AH857" s="186"/>
      <c r="AI857" s="191"/>
      <c r="AJ857" s="191"/>
      <c r="AK857" s="186"/>
      <c r="AL857" s="186"/>
      <c r="AM857" s="186"/>
      <c r="AN857" s="344"/>
      <c r="AO857" s="186"/>
      <c r="AP857" s="193"/>
      <c r="AQ857" s="193"/>
      <c r="AR857" s="191"/>
      <c r="AS857" s="194"/>
      <c r="AT857" s="195"/>
      <c r="AU857" s="425"/>
      <c r="AV857" s="425"/>
      <c r="AW857" s="425"/>
      <c r="AX857" s="425"/>
      <c r="AY857" s="425"/>
      <c r="AZ857" s="425"/>
      <c r="BA857" s="425"/>
      <c r="BB857" s="425"/>
      <c r="BC857" s="440"/>
      <c r="BD857" s="404">
        <f>SUM($AS$4:AS857)</f>
        <v>4315.3555263348835</v>
      </c>
      <c r="BE857" s="407">
        <f>SUM($AR$4:AR857)</f>
        <v>18197.77200000035</v>
      </c>
      <c r="BF857" s="331"/>
      <c r="BG857" s="331"/>
    </row>
    <row r="858" spans="1:59" ht="15.75" customHeight="1">
      <c r="A858" s="227" t="s">
        <v>3105</v>
      </c>
      <c r="B858" s="181"/>
      <c r="C858" s="182"/>
      <c r="D858" s="182"/>
      <c r="E858" s="233"/>
      <c r="F858" s="184"/>
      <c r="G858" s="185"/>
      <c r="H858" s="186"/>
      <c r="I858" s="186"/>
      <c r="J858" s="186"/>
      <c r="K858" s="187"/>
      <c r="L858" s="186"/>
      <c r="M858" s="186"/>
      <c r="N858" s="186"/>
      <c r="O858" s="187"/>
      <c r="P858" s="187"/>
      <c r="Q858" s="187"/>
      <c r="R858" s="187"/>
      <c r="S858" s="187"/>
      <c r="T858" s="187"/>
      <c r="U858" s="187"/>
      <c r="V858" s="188" t="str">
        <f t="shared" ref="V856:V859" si="1354">IF(ISBLANK(O858),"",(IF(O858=UPPER("IB"),0.005,0.01)))</f>
        <v/>
      </c>
      <c r="W858" s="189" t="str">
        <f t="shared" ref="W856:W859" si="1355">IF(ISBLANK(O858),"",IF(O858="IB",8.63*200,IF(O858="IR",16*100,IF(O858="YT",20*100,IF(O858="YT-XT",24*200,IF(O858="TED",80*100))))))</f>
        <v/>
      </c>
      <c r="X858" s="189"/>
      <c r="Y858" s="189"/>
      <c r="Z858" s="189"/>
      <c r="AA858" s="190"/>
      <c r="AB858" s="186"/>
      <c r="AC858" s="344"/>
      <c r="AD858" s="186"/>
      <c r="AE858" s="186"/>
      <c r="AF858" s="186"/>
      <c r="AG858" s="186"/>
      <c r="AH858" s="186"/>
      <c r="AI858" s="191"/>
      <c r="AJ858" s="191"/>
      <c r="AK858" s="186"/>
      <c r="AL858" s="186"/>
      <c r="AM858" s="186"/>
      <c r="AN858" s="344"/>
      <c r="AO858" s="186"/>
      <c r="AP858" s="193"/>
      <c r="AQ858" s="193"/>
      <c r="AR858" s="191"/>
      <c r="AS858" s="194"/>
      <c r="AT858" s="195"/>
      <c r="AU858" s="425" t="s">
        <v>3333</v>
      </c>
      <c r="AV858" s="425" t="s">
        <v>3334</v>
      </c>
      <c r="AW858" s="425" t="s">
        <v>3335</v>
      </c>
      <c r="AX858" s="425" t="s">
        <v>3336</v>
      </c>
      <c r="AY858" s="425"/>
      <c r="AZ858" s="425"/>
      <c r="BA858" s="425"/>
      <c r="BB858" s="425"/>
      <c r="BC858" s="440"/>
      <c r="BD858" s="404">
        <f>SUM($AS$4:AS858)</f>
        <v>4315.3555263348835</v>
      </c>
      <c r="BE858" s="407">
        <f>SUM($AR$4:AR858)</f>
        <v>18197.77200000035</v>
      </c>
      <c r="BF858" s="331"/>
      <c r="BG858" s="331"/>
    </row>
    <row r="859" spans="1:59" ht="15.75" customHeight="1">
      <c r="A859" s="227" t="s">
        <v>3105</v>
      </c>
      <c r="B859" s="181">
        <v>45133</v>
      </c>
      <c r="C859" s="182" t="s">
        <v>2001</v>
      </c>
      <c r="D859" s="182" t="s">
        <v>133</v>
      </c>
      <c r="E859" s="233" t="s">
        <v>3337</v>
      </c>
      <c r="F859" s="184" t="s">
        <v>3338</v>
      </c>
      <c r="G859" s="185"/>
      <c r="H859" s="186"/>
      <c r="I859" s="186"/>
      <c r="J859" s="186">
        <v>1</v>
      </c>
      <c r="K859" s="187" t="s">
        <v>97</v>
      </c>
      <c r="L859" s="186"/>
      <c r="M859" s="186"/>
      <c r="N859" s="186"/>
      <c r="O859" s="187"/>
      <c r="P859" s="187"/>
      <c r="Q859" s="187"/>
      <c r="R859" s="187"/>
      <c r="S859" s="187"/>
      <c r="T859" s="187"/>
      <c r="U859" s="187"/>
      <c r="V859" s="188" t="str">
        <f t="shared" si="1354"/>
        <v/>
      </c>
      <c r="W859" s="189" t="str">
        <f t="shared" si="1355"/>
        <v/>
      </c>
      <c r="X859" s="189"/>
      <c r="Y859" s="189"/>
      <c r="Z859" s="189"/>
      <c r="AA859" s="190"/>
      <c r="AB859" s="186"/>
      <c r="AC859" s="344"/>
      <c r="AD859" s="186"/>
      <c r="AE859" s="186"/>
      <c r="AF859" s="186"/>
      <c r="AG859" s="186"/>
      <c r="AH859" s="186"/>
      <c r="AI859" s="191"/>
      <c r="AJ859" s="191"/>
      <c r="AK859" s="186"/>
      <c r="AL859" s="186"/>
      <c r="AM859" s="186"/>
      <c r="AN859" s="344"/>
      <c r="AO859" s="186"/>
      <c r="AP859" s="193"/>
      <c r="AQ859" s="193"/>
      <c r="AR859" s="191"/>
      <c r="AS859" s="194"/>
      <c r="AT859" s="195"/>
      <c r="AU859" s="425"/>
      <c r="AV859" s="425"/>
      <c r="AW859" s="425"/>
      <c r="AX859" s="425"/>
      <c r="AY859" s="425"/>
      <c r="AZ859" s="425"/>
      <c r="BA859" s="425"/>
      <c r="BB859" s="425"/>
      <c r="BC859" s="440"/>
      <c r="BD859" s="404">
        <f>SUM($AS$4:AS859)</f>
        <v>4315.3555263348835</v>
      </c>
      <c r="BE859" s="407">
        <f>SUM($AR$4:AR859)</f>
        <v>18197.77200000035</v>
      </c>
      <c r="BF859" s="331"/>
      <c r="BG859" s="331"/>
    </row>
    <row r="860" spans="1:59" ht="15.75" customHeight="1">
      <c r="A860" s="227" t="s">
        <v>3105</v>
      </c>
      <c r="B860" s="181"/>
      <c r="C860" s="182"/>
      <c r="D860" s="182"/>
      <c r="E860" s="233" t="s">
        <v>3339</v>
      </c>
      <c r="F860" s="184"/>
      <c r="G860" s="185"/>
      <c r="H860" s="186"/>
      <c r="I860" s="186"/>
      <c r="J860" s="186">
        <v>1</v>
      </c>
      <c r="K860" s="187" t="s">
        <v>97</v>
      </c>
      <c r="L860" s="186"/>
      <c r="M860" s="186"/>
      <c r="N860" s="186"/>
      <c r="O860" s="187"/>
      <c r="P860" s="187"/>
      <c r="Q860" s="187"/>
      <c r="R860" s="187"/>
      <c r="S860" s="187"/>
      <c r="T860" s="187"/>
      <c r="U860" s="187"/>
      <c r="V860" s="188" t="str">
        <f t="shared" ref="V860:V867" si="1356">IF(ISBLANK(O860),"",(IF(O860=UPPER("IB"),0.005,0.01)))</f>
        <v/>
      </c>
      <c r="W860" s="189" t="str">
        <f t="shared" ref="W860:W867" si="1357">IF(ISBLANK(O860),"",IF(O860="IB",8.63*200,IF(O860="IR",16*100,IF(O860="YT",20*100,IF(O860="YT-XT",24*200,IF(O860="TED",80*100))))))</f>
        <v/>
      </c>
      <c r="X860" s="189"/>
      <c r="Y860" s="189"/>
      <c r="Z860" s="189"/>
      <c r="AA860" s="190"/>
      <c r="AB860" s="186"/>
      <c r="AC860" s="344"/>
      <c r="AD860" s="186"/>
      <c r="AE860" s="186"/>
      <c r="AF860" s="186"/>
      <c r="AG860" s="186"/>
      <c r="AH860" s="186"/>
      <c r="AI860" s="191"/>
      <c r="AJ860" s="191"/>
      <c r="AK860" s="186"/>
      <c r="AL860" s="186"/>
      <c r="AM860" s="186"/>
      <c r="AN860" s="344"/>
      <c r="AO860" s="186"/>
      <c r="AP860" s="193"/>
      <c r="AQ860" s="193"/>
      <c r="AR860" s="191"/>
      <c r="AS860" s="194"/>
      <c r="AT860" s="195"/>
      <c r="AU860" s="425"/>
      <c r="AV860" s="425"/>
      <c r="AW860" s="425"/>
      <c r="AX860" s="425"/>
      <c r="AY860" s="425"/>
      <c r="AZ860" s="425"/>
      <c r="BA860" s="425"/>
      <c r="BB860" s="425"/>
      <c r="BC860" s="440"/>
      <c r="BD860" s="404">
        <f>SUM($AS$4:AS860)</f>
        <v>4315.3555263348835</v>
      </c>
      <c r="BE860" s="407">
        <f>SUM($AR$4:AR860)</f>
        <v>18197.77200000035</v>
      </c>
      <c r="BF860" s="331"/>
      <c r="BG860" s="331"/>
    </row>
    <row r="861" spans="1:59" ht="15.75" customHeight="1">
      <c r="A861" s="227" t="s">
        <v>3105</v>
      </c>
      <c r="B861" s="181">
        <v>45133</v>
      </c>
      <c r="C861" s="182" t="s">
        <v>2942</v>
      </c>
      <c r="D861" s="182" t="s">
        <v>133</v>
      </c>
      <c r="E861" s="233" t="s">
        <v>3340</v>
      </c>
      <c r="F861" s="184" t="s">
        <v>3095</v>
      </c>
      <c r="G861" s="185"/>
      <c r="H861" s="186"/>
      <c r="I861" s="186"/>
      <c r="J861" s="186"/>
      <c r="K861" s="187"/>
      <c r="L861" s="186"/>
      <c r="M861" s="186"/>
      <c r="N861" s="186"/>
      <c r="O861" s="187"/>
      <c r="P861" s="187"/>
      <c r="Q861" s="187"/>
      <c r="R861" s="187"/>
      <c r="S861" s="187"/>
      <c r="T861" s="187"/>
      <c r="U861" s="187"/>
      <c r="V861" s="188" t="str">
        <f t="shared" ref="V861:V869" si="1358">IF(ISBLANK(O861),"",(IF(O861=UPPER("IB"),0.005,0.01)))</f>
        <v/>
      </c>
      <c r="W861" s="189" t="str">
        <f t="shared" ref="W861:W869" si="1359">IF(ISBLANK(O861),"",IF(O861="IB",8.63*200,IF(O861="IR",16*100,IF(O861="YT",20*100,IF(O861="YT-XT",24*200,IF(O861="TED",80*100))))))</f>
        <v/>
      </c>
      <c r="X861" s="189"/>
      <c r="Y861" s="189"/>
      <c r="Z861" s="189"/>
      <c r="AA861" s="190"/>
      <c r="AB861" s="186"/>
      <c r="AC861" s="344"/>
      <c r="AD861" s="186"/>
      <c r="AE861" s="186"/>
      <c r="AF861" s="186"/>
      <c r="AG861" s="186"/>
      <c r="AH861" s="186"/>
      <c r="AI861" s="191"/>
      <c r="AJ861" s="191"/>
      <c r="AK861" s="186"/>
      <c r="AL861" s="186"/>
      <c r="AM861" s="186"/>
      <c r="AN861" s="344"/>
      <c r="AO861" s="186"/>
      <c r="AP861" s="193"/>
      <c r="AQ861" s="193"/>
      <c r="AR861" s="191"/>
      <c r="AS861" s="194"/>
      <c r="AT861" s="195"/>
      <c r="AU861" s="425"/>
      <c r="AV861" s="425"/>
      <c r="AW861" s="425"/>
      <c r="AX861" s="425"/>
      <c r="AY861" s="425"/>
      <c r="AZ861" s="425"/>
      <c r="BA861" s="425"/>
      <c r="BB861" s="425"/>
      <c r="BC861" s="440"/>
      <c r="BD861" s="404">
        <f>SUM($AS$4:AS861)</f>
        <v>4315.3555263348835</v>
      </c>
      <c r="BE861" s="407">
        <f>SUM($AR$4:AR861)</f>
        <v>18197.77200000035</v>
      </c>
      <c r="BF861" s="331"/>
      <c r="BG861" s="331"/>
    </row>
    <row r="862" spans="1:59" ht="15.75" customHeight="1">
      <c r="A862" s="227" t="s">
        <v>3105</v>
      </c>
      <c r="B862" s="181">
        <v>45134</v>
      </c>
      <c r="C862" s="182" t="s">
        <v>293</v>
      </c>
      <c r="D862" s="182" t="s">
        <v>74</v>
      </c>
      <c r="E862" s="233" t="s">
        <v>3341</v>
      </c>
      <c r="F862" s="184" t="s">
        <v>3095</v>
      </c>
      <c r="G862" s="185"/>
      <c r="H862" s="186"/>
      <c r="I862" s="186"/>
      <c r="J862" s="186"/>
      <c r="K862" s="187"/>
      <c r="L862" s="186"/>
      <c r="M862" s="186"/>
      <c r="N862" s="186"/>
      <c r="O862" s="187"/>
      <c r="P862" s="187"/>
      <c r="Q862" s="187"/>
      <c r="R862" s="187"/>
      <c r="S862" s="187"/>
      <c r="T862" s="187"/>
      <c r="U862" s="187"/>
      <c r="V862" s="188" t="str">
        <f t="shared" si="1358"/>
        <v/>
      </c>
      <c r="W862" s="189" t="str">
        <f t="shared" si="1359"/>
        <v/>
      </c>
      <c r="X862" s="189"/>
      <c r="Y862" s="189"/>
      <c r="Z862" s="189"/>
      <c r="AA862" s="190"/>
      <c r="AB862" s="186"/>
      <c r="AC862" s="344"/>
      <c r="AD862" s="186"/>
      <c r="AE862" s="186"/>
      <c r="AF862" s="186"/>
      <c r="AG862" s="186"/>
      <c r="AH862" s="186"/>
      <c r="AI862" s="191"/>
      <c r="AJ862" s="191"/>
      <c r="AK862" s="186"/>
      <c r="AL862" s="186"/>
      <c r="AM862" s="186"/>
      <c r="AN862" s="344"/>
      <c r="AO862" s="186"/>
      <c r="AP862" s="193"/>
      <c r="AQ862" s="193"/>
      <c r="AR862" s="191"/>
      <c r="AS862" s="194"/>
      <c r="AT862" s="195"/>
      <c r="AU862" s="425"/>
      <c r="AV862" s="425"/>
      <c r="AW862" s="425"/>
      <c r="AX862" s="425"/>
      <c r="AY862" s="425"/>
      <c r="AZ862" s="425"/>
      <c r="BA862" s="425"/>
      <c r="BB862" s="425"/>
      <c r="BC862" s="440"/>
      <c r="BD862" s="404">
        <f>SUM($AS$4:AS862)</f>
        <v>4315.3555263348835</v>
      </c>
      <c r="BE862" s="407">
        <f>SUM($AR$4:AR862)</f>
        <v>18197.77200000035</v>
      </c>
      <c r="BF862" s="331"/>
      <c r="BG862" s="331"/>
    </row>
    <row r="863" spans="1:59" ht="15.75" customHeight="1">
      <c r="A863" s="227" t="s">
        <v>3105</v>
      </c>
      <c r="B863" s="181"/>
      <c r="C863" s="182"/>
      <c r="D863" s="182"/>
      <c r="E863" s="233" t="s">
        <v>3342</v>
      </c>
      <c r="F863" s="184"/>
      <c r="G863" s="185"/>
      <c r="H863" s="186">
        <v>1</v>
      </c>
      <c r="I863" s="186"/>
      <c r="J863" s="186"/>
      <c r="K863" s="187" t="s">
        <v>87</v>
      </c>
      <c r="L863" s="186"/>
      <c r="M863" s="186"/>
      <c r="N863" s="186"/>
      <c r="O863" s="187"/>
      <c r="P863" s="187"/>
      <c r="Q863" s="187"/>
      <c r="R863" s="187"/>
      <c r="S863" s="187"/>
      <c r="T863" s="187"/>
      <c r="U863" s="187"/>
      <c r="V863" s="188" t="str">
        <f t="shared" si="1358"/>
        <v/>
      </c>
      <c r="W863" s="189" t="str">
        <f t="shared" si="1359"/>
        <v/>
      </c>
      <c r="X863" s="189"/>
      <c r="Y863" s="189"/>
      <c r="Z863" s="189"/>
      <c r="AA863" s="190"/>
      <c r="AB863" s="186"/>
      <c r="AC863" s="344"/>
      <c r="AD863" s="186"/>
      <c r="AE863" s="186"/>
      <c r="AF863" s="186"/>
      <c r="AG863" s="186"/>
      <c r="AH863" s="186"/>
      <c r="AI863" s="191"/>
      <c r="AJ863" s="191"/>
      <c r="AK863" s="186"/>
      <c r="AL863" s="186"/>
      <c r="AM863" s="186"/>
      <c r="AN863" s="344"/>
      <c r="AO863" s="186"/>
      <c r="AP863" s="193"/>
      <c r="AQ863" s="193"/>
      <c r="AR863" s="191"/>
      <c r="AS863" s="194"/>
      <c r="AT863" s="195"/>
      <c r="AU863" s="425" t="s">
        <v>3343</v>
      </c>
      <c r="AV863" s="425" t="s">
        <v>3344</v>
      </c>
      <c r="AW863" s="425" t="s">
        <v>3345</v>
      </c>
      <c r="AX863" s="425" t="s">
        <v>3346</v>
      </c>
      <c r="AY863" s="425"/>
      <c r="AZ863" s="425"/>
      <c r="BA863" s="425"/>
      <c r="BB863" s="425"/>
      <c r="BC863" s="440"/>
      <c r="BD863" s="404">
        <f>SUM($AS$4:AS863)</f>
        <v>4315.3555263348835</v>
      </c>
      <c r="BE863" s="407">
        <f>SUM($AR$4:AR863)</f>
        <v>18197.77200000035</v>
      </c>
      <c r="BF863" s="331"/>
      <c r="BG863" s="331"/>
    </row>
    <row r="864" spans="1:59" ht="15.75" customHeight="1">
      <c r="A864" s="227" t="s">
        <v>3105</v>
      </c>
      <c r="B864" s="181">
        <v>45135</v>
      </c>
      <c r="C864" s="182" t="s">
        <v>2001</v>
      </c>
      <c r="D864" s="182" t="s">
        <v>93</v>
      </c>
      <c r="E864" s="233" t="s">
        <v>3347</v>
      </c>
      <c r="F864" s="184"/>
      <c r="G864" s="185"/>
      <c r="H864" s="186"/>
      <c r="I864" s="186">
        <v>1</v>
      </c>
      <c r="J864" s="186"/>
      <c r="K864" s="187"/>
      <c r="L864" s="186"/>
      <c r="M864" s="186"/>
      <c r="N864" s="186"/>
      <c r="O864" s="187"/>
      <c r="P864" s="187"/>
      <c r="Q864" s="187"/>
      <c r="R864" s="187"/>
      <c r="S864" s="187"/>
      <c r="T864" s="187"/>
      <c r="U864" s="187"/>
      <c r="V864" s="188" t="str">
        <f t="shared" si="1358"/>
        <v/>
      </c>
      <c r="W864" s="189" t="str">
        <f t="shared" si="1359"/>
        <v/>
      </c>
      <c r="X864" s="189"/>
      <c r="Y864" s="189"/>
      <c r="Z864" s="189"/>
      <c r="AA864" s="190"/>
      <c r="AB864" s="186"/>
      <c r="AC864" s="344"/>
      <c r="AD864" s="186"/>
      <c r="AE864" s="186"/>
      <c r="AF864" s="186"/>
      <c r="AG864" s="186"/>
      <c r="AH864" s="186"/>
      <c r="AI864" s="191"/>
      <c r="AJ864" s="191"/>
      <c r="AK864" s="186"/>
      <c r="AL864" s="186"/>
      <c r="AM864" s="186"/>
      <c r="AN864" s="344"/>
      <c r="AO864" s="186"/>
      <c r="AP864" s="193"/>
      <c r="AQ864" s="193"/>
      <c r="AR864" s="191"/>
      <c r="AS864" s="194"/>
      <c r="AT864" s="195"/>
      <c r="AU864" s="425"/>
      <c r="AV864" s="425"/>
      <c r="AW864" s="425"/>
      <c r="AX864" s="425"/>
      <c r="AY864" s="425"/>
      <c r="AZ864" s="425"/>
      <c r="BA864" s="425"/>
      <c r="BB864" s="425"/>
      <c r="BC864" s="440"/>
      <c r="BD864" s="404">
        <f>SUM($AS$4:AS864)</f>
        <v>4315.3555263348835</v>
      </c>
      <c r="BE864" s="407">
        <f>SUM($AR$4:AR864)</f>
        <v>18197.77200000035</v>
      </c>
      <c r="BF864" s="331"/>
      <c r="BG864" s="331"/>
    </row>
    <row r="865" spans="1:59" ht="15.75" customHeight="1">
      <c r="A865" s="227" t="s">
        <v>3105</v>
      </c>
      <c r="B865" s="181"/>
      <c r="C865" s="182"/>
      <c r="D865" s="182"/>
      <c r="E865" s="233" t="s">
        <v>3348</v>
      </c>
      <c r="F865" s="184"/>
      <c r="G865" s="185"/>
      <c r="H865" s="186"/>
      <c r="I865" s="186"/>
      <c r="J865" s="186">
        <v>1</v>
      </c>
      <c r="K865" s="187" t="s">
        <v>97</v>
      </c>
      <c r="L865" s="186"/>
      <c r="M865" s="186"/>
      <c r="N865" s="186"/>
      <c r="O865" s="187"/>
      <c r="P865" s="187"/>
      <c r="Q865" s="187"/>
      <c r="R865" s="187"/>
      <c r="S865" s="187"/>
      <c r="T865" s="187"/>
      <c r="U865" s="187"/>
      <c r="V865" s="188" t="str">
        <f t="shared" si="1358"/>
        <v/>
      </c>
      <c r="W865" s="189" t="str">
        <f t="shared" si="1359"/>
        <v/>
      </c>
      <c r="X865" s="189"/>
      <c r="Y865" s="189"/>
      <c r="Z865" s="189"/>
      <c r="AA865" s="190"/>
      <c r="AB865" s="186"/>
      <c r="AC865" s="344"/>
      <c r="AD865" s="186"/>
      <c r="AE865" s="186"/>
      <c r="AF865" s="186"/>
      <c r="AG865" s="186"/>
      <c r="AH865" s="186"/>
      <c r="AI865" s="191"/>
      <c r="AJ865" s="191"/>
      <c r="AK865" s="186"/>
      <c r="AL865" s="186"/>
      <c r="AM865" s="186"/>
      <c r="AN865" s="344"/>
      <c r="AO865" s="186"/>
      <c r="AP865" s="193"/>
      <c r="AQ865" s="193"/>
      <c r="AR865" s="191"/>
      <c r="AS865" s="194"/>
      <c r="AT865" s="195"/>
      <c r="AU865" s="425"/>
      <c r="AV865" s="425"/>
      <c r="AW865" s="425"/>
      <c r="AX865" s="425"/>
      <c r="AY865" s="425"/>
      <c r="AZ865" s="425"/>
      <c r="BA865" s="425"/>
      <c r="BB865" s="425"/>
      <c r="BC865" s="440"/>
      <c r="BD865" s="404">
        <f>SUM($AS$4:AS865)</f>
        <v>4315.3555263348835</v>
      </c>
      <c r="BE865" s="407">
        <f>SUM($AR$4:AR865)</f>
        <v>18197.77200000035</v>
      </c>
      <c r="BF865" s="331"/>
      <c r="BG865" s="331"/>
    </row>
    <row r="866" spans="1:59" ht="15.75" customHeight="1">
      <c r="A866" s="227" t="s">
        <v>3105</v>
      </c>
      <c r="B866" s="181"/>
      <c r="C866" s="182"/>
      <c r="D866" s="182"/>
      <c r="E866" s="233" t="s">
        <v>3349</v>
      </c>
      <c r="F866" s="184"/>
      <c r="G866" s="185"/>
      <c r="H866" s="186"/>
      <c r="I866" s="186"/>
      <c r="J866" s="186"/>
      <c r="K866" s="187"/>
      <c r="L866" s="186"/>
      <c r="M866" s="186"/>
      <c r="N866" s="186"/>
      <c r="O866" s="187"/>
      <c r="P866" s="187"/>
      <c r="Q866" s="187"/>
      <c r="R866" s="187"/>
      <c r="S866" s="187"/>
      <c r="T866" s="187"/>
      <c r="U866" s="187"/>
      <c r="V866" s="188" t="str">
        <f t="shared" si="1358"/>
        <v/>
      </c>
      <c r="W866" s="189" t="str">
        <f t="shared" si="1359"/>
        <v/>
      </c>
      <c r="X866" s="189"/>
      <c r="Y866" s="189"/>
      <c r="Z866" s="189"/>
      <c r="AA866" s="190"/>
      <c r="AB866" s="186"/>
      <c r="AC866" s="344"/>
      <c r="AD866" s="186"/>
      <c r="AE866" s="186"/>
      <c r="AF866" s="186"/>
      <c r="AG866" s="186"/>
      <c r="AH866" s="186"/>
      <c r="AI866" s="191"/>
      <c r="AJ866" s="191"/>
      <c r="AK866" s="186"/>
      <c r="AL866" s="186"/>
      <c r="AM866" s="186"/>
      <c r="AN866" s="344"/>
      <c r="AO866" s="186"/>
      <c r="AP866" s="193"/>
      <c r="AQ866" s="193"/>
      <c r="AR866" s="191"/>
      <c r="AS866" s="194"/>
      <c r="AT866" s="195"/>
      <c r="AU866" s="425"/>
      <c r="AV866" s="425"/>
      <c r="AW866" s="425"/>
      <c r="AX866" s="425"/>
      <c r="AY866" s="425"/>
      <c r="AZ866" s="425"/>
      <c r="BA866" s="425"/>
      <c r="BB866" s="425"/>
      <c r="BC866" s="440"/>
      <c r="BD866" s="404">
        <f>SUM($AS$4:AS866)</f>
        <v>4315.3555263348835</v>
      </c>
      <c r="BE866" s="407">
        <f>SUM($AR$4:AR866)</f>
        <v>18197.77200000035</v>
      </c>
      <c r="BF866" s="331"/>
      <c r="BG866" s="331"/>
    </row>
    <row r="867" spans="1:59" ht="15.75" customHeight="1">
      <c r="A867" s="227" t="s">
        <v>3105</v>
      </c>
      <c r="B867" s="181">
        <v>45135</v>
      </c>
      <c r="C867" s="182" t="s">
        <v>3350</v>
      </c>
      <c r="D867" s="182" t="s">
        <v>93</v>
      </c>
      <c r="E867" s="233" t="s">
        <v>3351</v>
      </c>
      <c r="F867" s="184"/>
      <c r="G867" s="185" t="s">
        <v>813</v>
      </c>
      <c r="H867" s="186"/>
      <c r="I867" s="186"/>
      <c r="J867" s="186"/>
      <c r="K867" s="187"/>
      <c r="L867" s="186">
        <v>2</v>
      </c>
      <c r="M867" s="186"/>
      <c r="N867" s="186"/>
      <c r="O867" s="187" t="s">
        <v>76</v>
      </c>
      <c r="P867" s="187" t="s">
        <v>77</v>
      </c>
      <c r="Q867" s="187" t="s">
        <v>666</v>
      </c>
      <c r="R867" s="187">
        <v>2</v>
      </c>
      <c r="S867" s="187">
        <v>0</v>
      </c>
      <c r="T867" s="187">
        <v>2</v>
      </c>
      <c r="U867" s="187" t="s">
        <v>22</v>
      </c>
      <c r="V867" s="188">
        <f t="shared" si="1358"/>
        <v>0.01</v>
      </c>
      <c r="W867" s="189">
        <f t="shared" si="1359"/>
        <v>1600</v>
      </c>
      <c r="X867" s="189" t="s">
        <v>3352</v>
      </c>
      <c r="Y867" s="189"/>
      <c r="Z867" s="189"/>
      <c r="AA867" s="190">
        <v>95.51</v>
      </c>
      <c r="AB867" s="186"/>
      <c r="AC867" s="344"/>
      <c r="AD867" s="186"/>
      <c r="AE867" s="186"/>
      <c r="AF867" s="186"/>
      <c r="AG867" s="186"/>
      <c r="AH867" s="186"/>
      <c r="AI867" s="191"/>
      <c r="AJ867" s="191"/>
      <c r="AK867" s="186"/>
      <c r="AL867" s="186"/>
      <c r="AM867" s="186" t="s">
        <v>1731</v>
      </c>
      <c r="AN867" s="344" t="s">
        <v>376</v>
      </c>
      <c r="AO867" s="186" t="s">
        <v>664</v>
      </c>
      <c r="AP867" s="193">
        <v>95.48</v>
      </c>
      <c r="AQ867" s="193">
        <f t="shared" ref="AQ850:AQ867" si="1360">IF(ISBLANK(AP867),,IF(U867="S",AA867-AP867,AP867-AA867))</f>
        <v>-3.0000000000001137E-2</v>
      </c>
      <c r="AR867" s="191">
        <f t="shared" ref="AR850:AR867" si="1361">AS867*R867</f>
        <v>-96.000000000003638</v>
      </c>
      <c r="AS867" s="194">
        <f t="shared" ref="AS850:AS867" si="1362">IF(ISBLANK(AP867),,(AQ867*W867))</f>
        <v>-48.000000000001819</v>
      </c>
      <c r="AT867" s="195" t="s">
        <v>211</v>
      </c>
      <c r="AU867" s="425" t="s">
        <v>3353</v>
      </c>
      <c r="AV867" s="425" t="s">
        <v>3354</v>
      </c>
      <c r="AW867" s="425" t="s">
        <v>3355</v>
      </c>
      <c r="AX867" s="425"/>
      <c r="AY867" s="425"/>
      <c r="AZ867" s="425"/>
      <c r="BA867" s="425"/>
      <c r="BB867" s="425"/>
      <c r="BC867" s="440"/>
      <c r="BD867" s="404">
        <f>SUM($AS$4:AS867)</f>
        <v>4267.3555263348817</v>
      </c>
      <c r="BE867" s="407">
        <f>SUM($AR$4:AR867)</f>
        <v>18101.772000000346</v>
      </c>
      <c r="BF867" s="331"/>
      <c r="BG867" s="331"/>
    </row>
    <row r="868" spans="1:59" ht="15.75" customHeight="1">
      <c r="A868" s="227" t="s">
        <v>3105</v>
      </c>
      <c r="B868" s="181">
        <v>45138</v>
      </c>
      <c r="C868" s="182" t="s">
        <v>3356</v>
      </c>
      <c r="D868" s="182" t="s">
        <v>114</v>
      </c>
      <c r="E868" s="233"/>
      <c r="F868" s="184"/>
      <c r="G868" s="185" t="s">
        <v>118</v>
      </c>
      <c r="H868" s="186"/>
      <c r="I868" s="186"/>
      <c r="J868" s="186"/>
      <c r="K868" s="187"/>
      <c r="L868" s="186">
        <v>1</v>
      </c>
      <c r="M868" s="186"/>
      <c r="N868" s="186"/>
      <c r="O868" s="187" t="s">
        <v>76</v>
      </c>
      <c r="P868" s="187" t="s">
        <v>77</v>
      </c>
      <c r="Q868" s="187" t="s">
        <v>78</v>
      </c>
      <c r="R868" s="187">
        <v>7</v>
      </c>
      <c r="S868" s="187">
        <v>0</v>
      </c>
      <c r="T868" s="187">
        <v>7</v>
      </c>
      <c r="U868" s="187" t="s">
        <v>22</v>
      </c>
      <c r="V868" s="188">
        <f t="shared" si="1358"/>
        <v>0.01</v>
      </c>
      <c r="W868" s="189">
        <f t="shared" si="1359"/>
        <v>1600</v>
      </c>
      <c r="X868" s="189" t="s">
        <v>80</v>
      </c>
      <c r="Y868" s="189"/>
      <c r="Z868" s="189"/>
      <c r="AA868" s="190">
        <v>-0.12</v>
      </c>
      <c r="AB868" s="186"/>
      <c r="AC868" s="344"/>
      <c r="AD868" s="186"/>
      <c r="AE868" s="186"/>
      <c r="AF868" s="186"/>
      <c r="AG868" s="186"/>
      <c r="AH868" s="186"/>
      <c r="AI868" s="191">
        <f>-0.03*W868</f>
        <v>-48</v>
      </c>
      <c r="AJ868" s="191">
        <f t="shared" ref="AJ845:AJ869" si="1363">AI868*(R868-S868)</f>
        <v>-336</v>
      </c>
      <c r="AK868" s="186"/>
      <c r="AL868" s="186"/>
      <c r="AM868" s="186" t="s">
        <v>786</v>
      </c>
      <c r="AN868" s="344" t="s">
        <v>97</v>
      </c>
      <c r="AO868" s="186" t="s">
        <v>3357</v>
      </c>
      <c r="AP868" s="193">
        <v>-0.12</v>
      </c>
      <c r="AQ868" s="193">
        <f t="shared" ref="AQ868:AQ869" si="1364">IF(ISBLANK(AP868),,IF(U868="S",AA868-AP868,AP868-AA868))</f>
        <v>0</v>
      </c>
      <c r="AR868" s="191">
        <f t="shared" ref="AR868:AR869" si="1365">AS868*R868</f>
        <v>0</v>
      </c>
      <c r="AS868" s="194">
        <f t="shared" ref="AS868:AS869" si="1366">IF(ISBLANK(AP868),,(AQ868*W868))</f>
        <v>0</v>
      </c>
      <c r="AT868" s="195" t="s">
        <v>97</v>
      </c>
      <c r="AU868" s="425" t="s">
        <v>3358</v>
      </c>
      <c r="AV868" s="425" t="s">
        <v>3359</v>
      </c>
      <c r="AW868" s="425" t="s">
        <v>3360</v>
      </c>
      <c r="AX868" s="425"/>
      <c r="AY868" s="425"/>
      <c r="AZ868" s="425"/>
      <c r="BA868" s="425"/>
      <c r="BB868" s="425"/>
      <c r="BC868" s="440"/>
      <c r="BD868" s="404">
        <f>SUM($AS$4:AS868)</f>
        <v>4267.3555263348817</v>
      </c>
      <c r="BE868" s="407">
        <f>SUM($AR$4:AR868)</f>
        <v>18101.772000000346</v>
      </c>
      <c r="BF868" s="331"/>
      <c r="BG868" s="331"/>
    </row>
    <row r="869" spans="1:59" ht="15.75" customHeight="1">
      <c r="A869" s="227" t="s">
        <v>3105</v>
      </c>
      <c r="B869" s="181">
        <v>45138</v>
      </c>
      <c r="C869" s="182" t="s">
        <v>3361</v>
      </c>
      <c r="D869" s="182" t="s">
        <v>114</v>
      </c>
      <c r="E869" s="233"/>
      <c r="F869" s="184"/>
      <c r="G869" s="185" t="s">
        <v>75</v>
      </c>
      <c r="H869" s="186"/>
      <c r="I869" s="186"/>
      <c r="J869" s="186"/>
      <c r="K869" s="187"/>
      <c r="L869" s="186">
        <v>1</v>
      </c>
      <c r="M869" s="186"/>
      <c r="N869" s="186"/>
      <c r="O869" s="187" t="s">
        <v>76</v>
      </c>
      <c r="P869" s="187" t="s">
        <v>77</v>
      </c>
      <c r="Q869" s="187" t="s">
        <v>78</v>
      </c>
      <c r="R869" s="187">
        <v>3</v>
      </c>
      <c r="S869" s="187">
        <v>0</v>
      </c>
      <c r="T869" s="187">
        <v>3</v>
      </c>
      <c r="U869" s="187" t="s">
        <v>78</v>
      </c>
      <c r="V869" s="188">
        <f t="shared" si="1358"/>
        <v>0.01</v>
      </c>
      <c r="W869" s="189">
        <f t="shared" si="1359"/>
        <v>1600</v>
      </c>
      <c r="X869" s="189" t="s">
        <v>80</v>
      </c>
      <c r="Y869" s="189"/>
      <c r="Z869" s="189"/>
      <c r="AA869" s="190">
        <v>0.14000000000000001</v>
      </c>
      <c r="AB869" s="186"/>
      <c r="AC869" s="344"/>
      <c r="AD869" s="186"/>
      <c r="AE869" s="186"/>
      <c r="AF869" s="186"/>
      <c r="AG869" s="186"/>
      <c r="AH869" s="186"/>
      <c r="AI869" s="191">
        <f t="shared" ref="AI845:AI869" si="1367">-0.04*W869</f>
        <v>-64</v>
      </c>
      <c r="AJ869" s="191">
        <f t="shared" si="1363"/>
        <v>-192</v>
      </c>
      <c r="AK869" s="186"/>
      <c r="AL869" s="186"/>
      <c r="AM869" s="186" t="s">
        <v>949</v>
      </c>
      <c r="AN869" s="344" t="s">
        <v>87</v>
      </c>
      <c r="AO869" s="186" t="s">
        <v>3362</v>
      </c>
      <c r="AP869" s="193">
        <v>0.13</v>
      </c>
      <c r="AQ869" s="193">
        <f t="shared" si="1364"/>
        <v>1.0000000000000009E-2</v>
      </c>
      <c r="AR869" s="191">
        <f t="shared" si="1365"/>
        <v>48.000000000000043</v>
      </c>
      <c r="AS869" s="194">
        <f t="shared" si="1366"/>
        <v>16.000000000000014</v>
      </c>
      <c r="AT869" s="195" t="s">
        <v>77</v>
      </c>
      <c r="AU869" s="425" t="s">
        <v>3363</v>
      </c>
      <c r="AV869" s="425"/>
      <c r="AW869" s="425"/>
      <c r="AX869" s="425"/>
      <c r="AY869" s="425"/>
      <c r="AZ869" s="425"/>
      <c r="BA869" s="425"/>
      <c r="BB869" s="425"/>
      <c r="BC869" s="440"/>
      <c r="BD869" s="404">
        <f>SUM($AS$4:AS869)</f>
        <v>4283.3555263348817</v>
      </c>
      <c r="BE869" s="407">
        <f>SUM($AR$4:AR869)</f>
        <v>18149.772000000346</v>
      </c>
      <c r="BF869" s="331"/>
      <c r="BG869" s="331"/>
    </row>
    <row r="870" spans="1:59" ht="15.75" customHeight="1">
      <c r="A870" s="227" t="s">
        <v>3105</v>
      </c>
      <c r="B870" s="181"/>
      <c r="C870" s="182"/>
      <c r="D870" s="182"/>
      <c r="E870" s="233"/>
      <c r="F870" s="184"/>
      <c r="G870" s="185"/>
      <c r="H870" s="186"/>
      <c r="I870" s="186"/>
      <c r="J870" s="186"/>
      <c r="K870" s="187"/>
      <c r="L870" s="186"/>
      <c r="M870" s="186"/>
      <c r="N870" s="186"/>
      <c r="O870" s="187"/>
      <c r="P870" s="187"/>
      <c r="Q870" s="187"/>
      <c r="R870" s="187"/>
      <c r="S870" s="187"/>
      <c r="T870" s="187"/>
      <c r="U870" s="187"/>
      <c r="V870" s="188" t="str">
        <f t="shared" ref="V870:V871" si="1368">IF(ISBLANK(O870),"",(IF(O870=UPPER("IB"),0.005,0.01)))</f>
        <v/>
      </c>
      <c r="W870" s="189" t="str">
        <f t="shared" ref="W870:W871" si="1369">IF(ISBLANK(O870),"",IF(O870="IB",8.63*200,IF(O870="IR",16*100,IF(O870="YT",20*100,IF(O870="YT-XT",24*200,IF(O870="TED",80*100))))))</f>
        <v/>
      </c>
      <c r="X870" s="189"/>
      <c r="Y870" s="189"/>
      <c r="Z870" s="189"/>
      <c r="AA870" s="190"/>
      <c r="AB870" s="186"/>
      <c r="AC870" s="344"/>
      <c r="AD870" s="186"/>
      <c r="AE870" s="186"/>
      <c r="AF870" s="186"/>
      <c r="AG870" s="186"/>
      <c r="AH870" s="186"/>
      <c r="AI870" s="191"/>
      <c r="AJ870" s="191"/>
      <c r="AK870" s="186"/>
      <c r="AL870" s="186"/>
      <c r="AM870" s="186"/>
      <c r="AN870" s="344"/>
      <c r="AO870" s="186"/>
      <c r="AP870" s="193"/>
      <c r="AQ870" s="193"/>
      <c r="AR870" s="191"/>
      <c r="AS870" s="194"/>
      <c r="AT870" s="195"/>
      <c r="AU870" s="425" t="s">
        <v>3364</v>
      </c>
      <c r="AV870" s="425" t="s">
        <v>3365</v>
      </c>
      <c r="AW870" s="425" t="s">
        <v>3366</v>
      </c>
      <c r="AX870" s="425" t="s">
        <v>3367</v>
      </c>
      <c r="AY870" s="425" t="s">
        <v>3368</v>
      </c>
      <c r="AZ870" s="425" t="s">
        <v>3369</v>
      </c>
      <c r="BA870" s="425"/>
      <c r="BB870" s="425"/>
      <c r="BC870" s="440"/>
      <c r="BD870" s="404">
        <f>SUM($AS$4:AS870)</f>
        <v>4283.3555263348817</v>
      </c>
      <c r="BE870" s="407">
        <f>SUM($AR$4:AR870)</f>
        <v>18149.772000000346</v>
      </c>
      <c r="BF870" s="331"/>
      <c r="BG870" s="331"/>
    </row>
    <row r="871" spans="1:59" ht="15.75" customHeight="1">
      <c r="A871" s="227" t="s">
        <v>3105</v>
      </c>
      <c r="B871" s="181">
        <v>45138</v>
      </c>
      <c r="C871" s="182" t="s">
        <v>3370</v>
      </c>
      <c r="D871" s="182" t="s">
        <v>114</v>
      </c>
      <c r="E871" s="233"/>
      <c r="F871" s="184"/>
      <c r="G871" s="291" t="s">
        <v>2526</v>
      </c>
      <c r="H871" s="186"/>
      <c r="I871" s="186"/>
      <c r="J871" s="186"/>
      <c r="K871" s="187"/>
      <c r="L871" s="186">
        <v>1</v>
      </c>
      <c r="M871" s="186"/>
      <c r="N871" s="186"/>
      <c r="O871" s="187" t="s">
        <v>2240</v>
      </c>
      <c r="P871" s="187" t="s">
        <v>2241</v>
      </c>
      <c r="Q871" s="187"/>
      <c r="R871" s="187">
        <v>1</v>
      </c>
      <c r="S871" s="187">
        <v>0</v>
      </c>
      <c r="T871" s="187">
        <v>1</v>
      </c>
      <c r="U871" s="187" t="s">
        <v>78</v>
      </c>
      <c r="V871" s="188">
        <f t="shared" si="1368"/>
        <v>0.01</v>
      </c>
      <c r="W871" s="189">
        <f t="shared" si="1369"/>
        <v>4800</v>
      </c>
      <c r="X871" s="189" t="s">
        <v>3371</v>
      </c>
      <c r="Y871" s="189"/>
      <c r="Z871" s="189"/>
      <c r="AA871" s="190">
        <v>0.19</v>
      </c>
      <c r="AB871" s="186"/>
      <c r="AC871" s="344"/>
      <c r="AD871" s="186"/>
      <c r="AE871" s="186" t="s">
        <v>3372</v>
      </c>
      <c r="AF871" s="186"/>
      <c r="AG871" s="186"/>
      <c r="AH871" s="186"/>
      <c r="AI871" s="191"/>
      <c r="AJ871" s="191"/>
      <c r="AK871" s="186"/>
      <c r="AL871" s="186"/>
      <c r="AM871" s="186" t="s">
        <v>1436</v>
      </c>
      <c r="AN871" s="344" t="s">
        <v>376</v>
      </c>
      <c r="AO871" s="186" t="s">
        <v>3373</v>
      </c>
      <c r="AP871" s="193">
        <v>0.19</v>
      </c>
      <c r="AQ871" s="193">
        <f t="shared" ref="AQ870:AQ871" si="1370">IF(ISBLANK(AP871),,IF(U871="S",AA871-AP871,AP871-AA871))</f>
        <v>0</v>
      </c>
      <c r="AR871" s="191">
        <f t="shared" ref="AR870:AR871" si="1371">AS871*R871</f>
        <v>0</v>
      </c>
      <c r="AS871" s="194">
        <f t="shared" ref="AS870:AS871" si="1372">IF(ISBLANK(AP871),,(AQ871*W871))</f>
        <v>0</v>
      </c>
      <c r="AT871" s="195" t="s">
        <v>97</v>
      </c>
      <c r="AU871" s="425" t="s">
        <v>3374</v>
      </c>
      <c r="AV871" s="425"/>
      <c r="AW871" s="425"/>
      <c r="AX871" s="425"/>
      <c r="AY871" s="425"/>
      <c r="AZ871" s="425"/>
      <c r="BA871" s="425"/>
      <c r="BB871" s="425"/>
      <c r="BC871" s="440"/>
      <c r="BD871" s="404">
        <f>SUM($AS$4:AS871)</f>
        <v>4283.3555263348817</v>
      </c>
      <c r="BE871" s="407">
        <f>SUM($AR$4:AR871)</f>
        <v>18149.772000000346</v>
      </c>
      <c r="BF871" s="331"/>
      <c r="BG871" s="331"/>
    </row>
    <row r="872" spans="1:59" ht="15.75" customHeight="1">
      <c r="A872" s="227" t="s">
        <v>3105</v>
      </c>
      <c r="B872" s="181"/>
      <c r="C872" s="182"/>
      <c r="D872" s="182"/>
      <c r="E872" s="233"/>
      <c r="F872" s="184"/>
      <c r="G872" s="185"/>
      <c r="H872" s="186"/>
      <c r="I872" s="186"/>
      <c r="J872" s="186"/>
      <c r="K872" s="187"/>
      <c r="L872" s="186"/>
      <c r="M872" s="186"/>
      <c r="N872" s="186"/>
      <c r="O872" s="187"/>
      <c r="P872" s="187"/>
      <c r="Q872" s="187"/>
      <c r="R872" s="187"/>
      <c r="S872" s="187"/>
      <c r="T872" s="187"/>
      <c r="U872" s="187"/>
      <c r="V872" s="188" t="str">
        <f t="shared" si="1314"/>
        <v/>
      </c>
      <c r="W872" s="189" t="str">
        <f t="shared" ref="W872:W940" si="1373">IF(ISBLANK(O872),"",IF(O872="IB",8.63*200,IF(O872="IR",16*100,IF(O872="YT",20*100,IF(O872="YT-XT",24*200,IF(O872="TED",80*100))))))</f>
        <v/>
      </c>
      <c r="X872" s="189"/>
      <c r="Y872" s="189"/>
      <c r="Z872" s="189"/>
      <c r="AA872" s="190"/>
      <c r="AB872" s="186"/>
      <c r="AC872" s="344"/>
      <c r="AD872" s="186"/>
      <c r="AE872" s="186"/>
      <c r="AF872" s="186"/>
      <c r="AG872" s="186"/>
      <c r="AH872" s="186"/>
      <c r="AI872" s="191"/>
      <c r="AJ872" s="191"/>
      <c r="AK872" s="186"/>
      <c r="AL872" s="186"/>
      <c r="AM872" s="186"/>
      <c r="AN872" s="344"/>
      <c r="AO872" s="186"/>
      <c r="AP872" s="193"/>
      <c r="AQ872" s="193"/>
      <c r="AR872" s="191"/>
      <c r="AS872" s="194"/>
      <c r="AT872" s="195"/>
      <c r="AU872" s="435" t="s">
        <v>3375</v>
      </c>
      <c r="AV872" s="435" t="s">
        <v>3376</v>
      </c>
      <c r="AW872" s="435" t="s">
        <v>3202</v>
      </c>
      <c r="AX872" s="435" t="s">
        <v>3377</v>
      </c>
      <c r="AY872" s="435" t="s">
        <v>3378</v>
      </c>
      <c r="AZ872" s="435" t="s">
        <v>3379</v>
      </c>
      <c r="BA872" s="435" t="s">
        <v>3380</v>
      </c>
      <c r="BB872" s="435" t="s">
        <v>3381</v>
      </c>
      <c r="BC872" s="440"/>
      <c r="BD872" s="404">
        <f>SUM($AS$4:AS872)</f>
        <v>4283.3555263348817</v>
      </c>
      <c r="BE872" s="407">
        <f>SUM($AR$4:AR872)</f>
        <v>18149.772000000346</v>
      </c>
      <c r="BF872" s="331"/>
      <c r="BG872" s="331"/>
    </row>
    <row r="873" spans="1:59" ht="15.75" customHeight="1">
      <c r="A873" s="281" t="s">
        <v>3382</v>
      </c>
      <c r="B873" s="281"/>
      <c r="C873" s="218"/>
      <c r="D873" s="218"/>
      <c r="E873" s="219"/>
      <c r="F873" s="220"/>
      <c r="G873" s="218"/>
      <c r="H873" s="218"/>
      <c r="I873" s="218"/>
      <c r="J873" s="218"/>
      <c r="K873" s="221"/>
      <c r="L873" s="218"/>
      <c r="M873" s="218"/>
      <c r="N873" s="218"/>
      <c r="O873" s="221"/>
      <c r="P873" s="221"/>
      <c r="Q873" s="221"/>
      <c r="R873" s="221"/>
      <c r="S873" s="221"/>
      <c r="T873" s="221"/>
      <c r="U873" s="221"/>
      <c r="V873" s="221"/>
      <c r="W873" s="222" t="str">
        <f t="shared" si="1373"/>
        <v/>
      </c>
      <c r="X873" s="222"/>
      <c r="Y873" s="222"/>
      <c r="Z873" s="222"/>
      <c r="AA873" s="223"/>
      <c r="AB873" s="218"/>
      <c r="AC873" s="346"/>
      <c r="AD873" s="218"/>
      <c r="AE873" s="218"/>
      <c r="AF873" s="218"/>
      <c r="AG873" s="218"/>
      <c r="AH873" s="218"/>
      <c r="AI873" s="218"/>
      <c r="AJ873" s="218"/>
      <c r="AK873" s="218"/>
      <c r="AL873" s="218"/>
      <c r="AM873" s="218"/>
      <c r="AN873" s="346"/>
      <c r="AO873" s="218"/>
      <c r="AP873" s="218"/>
      <c r="AQ873" s="218"/>
      <c r="AR873" s="218"/>
      <c r="AS873" s="218"/>
      <c r="AT873" s="226"/>
      <c r="AU873" s="435"/>
      <c r="AV873" s="432"/>
      <c r="AW873" s="432"/>
      <c r="AX873" s="432"/>
      <c r="AY873" s="432"/>
      <c r="AZ873" s="432"/>
      <c r="BA873" s="432"/>
      <c r="BB873" s="432"/>
      <c r="BC873" s="432"/>
      <c r="BD873" s="404">
        <f>SUM($AS$4:AS873)</f>
        <v>4283.3555263348817</v>
      </c>
      <c r="BE873" s="405">
        <f>SUM($AR$4:AR873)</f>
        <v>18149.772000000346</v>
      </c>
      <c r="BF873" s="330"/>
      <c r="BG873" s="330"/>
    </row>
    <row r="874" spans="1:59" ht="15.75" customHeight="1">
      <c r="A874" s="227" t="s">
        <v>3383</v>
      </c>
      <c r="B874" s="181">
        <v>45139</v>
      </c>
      <c r="C874" s="182" t="s">
        <v>3384</v>
      </c>
      <c r="D874" s="182" t="s">
        <v>128</v>
      </c>
      <c r="E874" s="233"/>
      <c r="F874" s="184"/>
      <c r="G874" s="499" t="s">
        <v>2789</v>
      </c>
      <c r="H874" s="186"/>
      <c r="I874" s="186"/>
      <c r="J874" s="186"/>
      <c r="K874" s="187"/>
      <c r="L874" s="186">
        <v>1</v>
      </c>
      <c r="M874" s="186">
        <v>1</v>
      </c>
      <c r="N874" s="186"/>
      <c r="O874" s="187" t="s">
        <v>76</v>
      </c>
      <c r="P874" s="187" t="s">
        <v>119</v>
      </c>
      <c r="Q874" s="187" t="s">
        <v>238</v>
      </c>
      <c r="R874" s="187">
        <v>14</v>
      </c>
      <c r="S874" s="187">
        <v>0</v>
      </c>
      <c r="T874" s="187">
        <v>11</v>
      </c>
      <c r="U874" s="187" t="s">
        <v>22</v>
      </c>
      <c r="V874" s="188">
        <f t="shared" ref="V874:V877" si="1374">IF(ISBLANK(O874),"",(IF(O874=UPPER("IB"),0.005,0.01)))</f>
        <v>0.01</v>
      </c>
      <c r="W874" s="189">
        <f t="shared" si="1373"/>
        <v>1600</v>
      </c>
      <c r="X874" s="189" t="s">
        <v>80</v>
      </c>
      <c r="Y874" s="189"/>
      <c r="Z874" s="189" t="s">
        <v>3385</v>
      </c>
      <c r="AA874" s="190">
        <v>-0.04</v>
      </c>
      <c r="AB874" s="186"/>
      <c r="AC874" s="344"/>
      <c r="AD874" s="186"/>
      <c r="AE874" s="186"/>
      <c r="AF874" s="186"/>
      <c r="AG874" s="425" t="s">
        <v>3386</v>
      </c>
      <c r="AH874" s="186" t="s">
        <v>511</v>
      </c>
      <c r="AI874" s="191">
        <f>-0.03*W874</f>
        <v>-48</v>
      </c>
      <c r="AJ874" s="191">
        <f t="shared" ref="AJ870:AJ874" si="1375">AI874*(R874-S874)</f>
        <v>-672</v>
      </c>
      <c r="AK874" s="186"/>
      <c r="AL874" s="186"/>
      <c r="AM874" s="186" t="s">
        <v>846</v>
      </c>
      <c r="AN874" s="344" t="s">
        <v>97</v>
      </c>
      <c r="AO874" s="186" t="s">
        <v>3387</v>
      </c>
      <c r="AP874" s="193">
        <f>((-0.03*4)+(-0.03*10))/14</f>
        <v>-0.03</v>
      </c>
      <c r="AQ874" s="193">
        <f t="shared" ref="AQ872:AQ874" si="1376">IF(ISBLANK(AP874),,IF(U874="S",AA874-AP874,AP874-AA874))</f>
        <v>1.0000000000000002E-2</v>
      </c>
      <c r="AR874" s="191">
        <f t="shared" ref="AR872:AR874" si="1377">AS874*R874</f>
        <v>224.00000000000006</v>
      </c>
      <c r="AS874" s="194">
        <f t="shared" ref="AS872:AS874" si="1378">IF(ISBLANK(AP874),,(AQ874*W874))</f>
        <v>16.000000000000004</v>
      </c>
      <c r="AT874" s="195" t="s">
        <v>77</v>
      </c>
      <c r="AU874" s="425" t="s">
        <v>3388</v>
      </c>
      <c r="AV874" s="425" t="s">
        <v>3389</v>
      </c>
      <c r="AW874" s="425" t="s">
        <v>3390</v>
      </c>
      <c r="AX874" s="425" t="s">
        <v>3391</v>
      </c>
      <c r="AY874" s="425"/>
      <c r="AZ874" s="425"/>
      <c r="BA874" s="425"/>
      <c r="BB874" s="425"/>
      <c r="BC874" s="440"/>
      <c r="BD874" s="404">
        <f>SUM($AS$4:AS874)</f>
        <v>4299.3555263348817</v>
      </c>
      <c r="BE874" s="407">
        <f>SUM($AR$4:AR874)</f>
        <v>18373.772000000346</v>
      </c>
      <c r="BF874" s="331"/>
      <c r="BG874" s="331"/>
    </row>
    <row r="875" spans="1:59" ht="15.75" customHeight="1">
      <c r="A875" s="227" t="s">
        <v>3383</v>
      </c>
      <c r="B875" s="181">
        <v>45139</v>
      </c>
      <c r="C875" s="182" t="s">
        <v>2842</v>
      </c>
      <c r="D875" s="182" t="s">
        <v>128</v>
      </c>
      <c r="E875" s="233" t="s">
        <v>3392</v>
      </c>
      <c r="F875" s="184"/>
      <c r="G875" s="185"/>
      <c r="H875" s="186"/>
      <c r="I875" s="186"/>
      <c r="J875" s="186"/>
      <c r="K875" s="187"/>
      <c r="L875" s="186"/>
      <c r="M875" s="186"/>
      <c r="N875" s="186"/>
      <c r="O875" s="187"/>
      <c r="P875" s="187"/>
      <c r="Q875" s="187"/>
      <c r="R875" s="187"/>
      <c r="S875" s="187"/>
      <c r="T875" s="187"/>
      <c r="U875" s="187"/>
      <c r="V875" s="188" t="str">
        <f t="shared" si="1374"/>
        <v/>
      </c>
      <c r="W875" s="189" t="str">
        <f t="shared" ref="W875:W880" si="1379">IF(ISBLANK(O875),"",IF(O875="IB",8.63*200,IF(O875="IR",16*100,IF(O875="YT",20*100,IF(O875="YT-XT",24*200,IF(O875="TED",80*100))))))</f>
        <v/>
      </c>
      <c r="X875" s="189"/>
      <c r="Y875" s="189"/>
      <c r="Z875" s="189"/>
      <c r="AA875" s="190"/>
      <c r="AB875" s="186"/>
      <c r="AC875" s="344"/>
      <c r="AD875" s="186"/>
      <c r="AE875" s="186"/>
      <c r="AF875" s="186"/>
      <c r="AG875" s="186"/>
      <c r="AH875" s="186"/>
      <c r="AI875" s="191"/>
      <c r="AJ875" s="191"/>
      <c r="AK875" s="186"/>
      <c r="AL875" s="186"/>
      <c r="AM875" s="186"/>
      <c r="AN875" s="344"/>
      <c r="AO875" s="186"/>
      <c r="AP875" s="193"/>
      <c r="AQ875" s="193"/>
      <c r="AR875" s="191"/>
      <c r="AS875" s="194"/>
      <c r="AT875" s="195"/>
      <c r="AU875" s="425" t="s">
        <v>3393</v>
      </c>
      <c r="AV875" s="425" t="s">
        <v>3394</v>
      </c>
      <c r="AW875" s="425" t="s">
        <v>3395</v>
      </c>
      <c r="AX875" s="425"/>
      <c r="AY875" s="425"/>
      <c r="AZ875" s="425"/>
      <c r="BA875" s="425"/>
      <c r="BB875" s="425"/>
      <c r="BC875" s="440"/>
      <c r="BD875" s="404">
        <f>SUM($AS$4:AS875)</f>
        <v>4299.3555263348817</v>
      </c>
      <c r="BE875" s="407">
        <f>SUM($AR$4:AR875)</f>
        <v>18373.772000000346</v>
      </c>
      <c r="BF875" s="331"/>
      <c r="BG875" s="331"/>
    </row>
    <row r="876" spans="1:59" ht="15.75" customHeight="1">
      <c r="A876" s="227" t="s">
        <v>3383</v>
      </c>
      <c r="B876" s="181">
        <v>45139</v>
      </c>
      <c r="C876" s="182" t="s">
        <v>3396</v>
      </c>
      <c r="D876" s="182" t="s">
        <v>128</v>
      </c>
      <c r="E876" s="233"/>
      <c r="F876" s="184"/>
      <c r="G876" s="185" t="s">
        <v>3397</v>
      </c>
      <c r="H876" s="186"/>
      <c r="I876" s="186"/>
      <c r="J876" s="186"/>
      <c r="K876" s="187"/>
      <c r="L876" s="186"/>
      <c r="M876" s="186"/>
      <c r="N876" s="186"/>
      <c r="O876" s="187"/>
      <c r="P876" s="187"/>
      <c r="Q876" s="187"/>
      <c r="R876" s="187"/>
      <c r="S876" s="187"/>
      <c r="T876" s="187"/>
      <c r="U876" s="187"/>
      <c r="V876" s="188"/>
      <c r="W876" s="189"/>
      <c r="X876" s="189"/>
      <c r="Y876" s="491"/>
      <c r="Z876" s="189"/>
      <c r="AA876" s="190"/>
      <c r="AB876" s="186"/>
      <c r="AC876" s="344"/>
      <c r="AD876" s="186"/>
      <c r="AE876" s="186"/>
      <c r="AF876" s="186"/>
      <c r="AG876" s="186"/>
      <c r="AH876" s="186"/>
      <c r="AI876" s="191"/>
      <c r="AJ876" s="191"/>
      <c r="AK876" s="186"/>
      <c r="AL876" s="186"/>
      <c r="AM876" s="186"/>
      <c r="AN876" s="344"/>
      <c r="AO876" s="186"/>
      <c r="AP876" s="193"/>
      <c r="AQ876" s="193"/>
      <c r="AR876" s="191"/>
      <c r="AS876" s="194"/>
      <c r="AT876" s="195"/>
      <c r="AU876" s="425" t="s">
        <v>3398</v>
      </c>
      <c r="AV876" s="425" t="s">
        <v>3399</v>
      </c>
      <c r="AW876" s="425"/>
      <c r="AX876" s="425"/>
      <c r="AY876" s="425"/>
      <c r="AZ876" s="425"/>
      <c r="BA876" s="425"/>
      <c r="BB876" s="425"/>
      <c r="BC876" s="440"/>
      <c r="BD876" s="404">
        <f>SUM($AS$4:AS876)</f>
        <v>4299.3555263348817</v>
      </c>
      <c r="BE876" s="407">
        <f>SUM($AR$4:AR876)</f>
        <v>18373.772000000346</v>
      </c>
      <c r="BF876" s="331"/>
      <c r="BG876" s="331"/>
    </row>
    <row r="877" spans="1:59" ht="15.75" customHeight="1">
      <c r="A877" s="227" t="s">
        <v>3383</v>
      </c>
      <c r="B877" s="181">
        <v>45139</v>
      </c>
      <c r="C877" s="182" t="s">
        <v>3400</v>
      </c>
      <c r="D877" s="182" t="s">
        <v>128</v>
      </c>
      <c r="E877" s="233"/>
      <c r="F877" s="184"/>
      <c r="G877" s="499" t="s">
        <v>118</v>
      </c>
      <c r="H877" s="186"/>
      <c r="I877" s="186"/>
      <c r="J877" s="186"/>
      <c r="K877" s="187"/>
      <c r="L877" s="186">
        <v>1</v>
      </c>
      <c r="M877" s="186"/>
      <c r="N877" s="186"/>
      <c r="O877" s="187" t="s">
        <v>76</v>
      </c>
      <c r="P877" s="187" t="s">
        <v>77</v>
      </c>
      <c r="Q877" s="187" t="s">
        <v>78</v>
      </c>
      <c r="R877" s="187">
        <v>5</v>
      </c>
      <c r="S877" s="187">
        <v>0</v>
      </c>
      <c r="T877" s="187">
        <v>5</v>
      </c>
      <c r="U877" s="187" t="s">
        <v>78</v>
      </c>
      <c r="V877" s="188">
        <f t="shared" si="1374"/>
        <v>0.01</v>
      </c>
      <c r="W877" s="189">
        <f t="shared" si="1379"/>
        <v>1600</v>
      </c>
      <c r="X877" s="189" t="s">
        <v>80</v>
      </c>
      <c r="Y877" s="189"/>
      <c r="Z877" s="189"/>
      <c r="AA877" s="190">
        <v>-0.11</v>
      </c>
      <c r="AB877" s="186"/>
      <c r="AC877" s="344"/>
      <c r="AD877" s="186"/>
      <c r="AE877" s="186"/>
      <c r="AF877" s="186"/>
      <c r="AG877" s="186"/>
      <c r="AH877" s="186"/>
      <c r="AI877" s="191"/>
      <c r="AJ877" s="191"/>
      <c r="AK877" s="186"/>
      <c r="AL877" s="186"/>
      <c r="AM877" s="186" t="s">
        <v>1878</v>
      </c>
      <c r="AN877" s="344" t="s">
        <v>87</v>
      </c>
      <c r="AO877" s="186" t="s">
        <v>3401</v>
      </c>
      <c r="AP877" s="193">
        <v>-0.12</v>
      </c>
      <c r="AQ877" s="193">
        <f t="shared" ref="AQ872:AQ877" si="1380">IF(ISBLANK(AP877),,IF(U877="S",AA877-AP877,AP877-AA877))</f>
        <v>9.999999999999995E-3</v>
      </c>
      <c r="AR877" s="191">
        <f t="shared" ref="AR872:AR877" si="1381">AS877*R877</f>
        <v>79.999999999999972</v>
      </c>
      <c r="AS877" s="194">
        <f t="shared" ref="AS872:AS877" si="1382">IF(ISBLANK(AP877),,(AQ877*W877))</f>
        <v>15.999999999999993</v>
      </c>
      <c r="AT877" s="195" t="s">
        <v>77</v>
      </c>
      <c r="AU877" s="425" t="s">
        <v>2163</v>
      </c>
      <c r="AV877" s="425"/>
      <c r="AW877" s="425"/>
      <c r="AX877" s="425"/>
      <c r="AY877" s="425"/>
      <c r="AZ877" s="425"/>
      <c r="BA877" s="425"/>
      <c r="BB877" s="425"/>
      <c r="BC877" s="440"/>
      <c r="BD877" s="404">
        <f>SUM($AS$4:AS877)</f>
        <v>4315.3555263348817</v>
      </c>
      <c r="BE877" s="407">
        <f>SUM($AR$4:AR877)</f>
        <v>18453.772000000346</v>
      </c>
      <c r="BF877" s="331"/>
      <c r="BG877" s="331"/>
    </row>
    <row r="878" spans="1:59" ht="15.75" customHeight="1">
      <c r="A878" s="227" t="s">
        <v>3383</v>
      </c>
      <c r="B878" s="181">
        <v>45139</v>
      </c>
      <c r="C878" s="182" t="s">
        <v>664</v>
      </c>
      <c r="D878" s="182" t="s">
        <v>128</v>
      </c>
      <c r="E878" s="233"/>
      <c r="F878" s="184"/>
      <c r="G878" s="499" t="s">
        <v>2051</v>
      </c>
      <c r="H878" s="186"/>
      <c r="I878" s="186"/>
      <c r="J878" s="186"/>
      <c r="K878" s="187"/>
      <c r="L878" s="186">
        <v>1</v>
      </c>
      <c r="M878" s="186"/>
      <c r="N878" s="186"/>
      <c r="O878" s="187" t="s">
        <v>76</v>
      </c>
      <c r="P878" s="187" t="s">
        <v>119</v>
      </c>
      <c r="Q878" s="187" t="s">
        <v>78</v>
      </c>
      <c r="R878" s="187">
        <v>8</v>
      </c>
      <c r="S878" s="187">
        <v>0</v>
      </c>
      <c r="T878" s="187">
        <v>8</v>
      </c>
      <c r="U878" s="187" t="s">
        <v>22</v>
      </c>
      <c r="V878" s="188">
        <f t="shared" ref="V878:V879" si="1383">IF(ISBLANK(O878),"",(IF(O878=UPPER("IB"),0.005,0.01)))</f>
        <v>0.01</v>
      </c>
      <c r="W878" s="189">
        <f t="shared" si="1379"/>
        <v>1600</v>
      </c>
      <c r="X878" s="189" t="s">
        <v>80</v>
      </c>
      <c r="Y878" s="189"/>
      <c r="Z878" s="189"/>
      <c r="AA878" s="190">
        <v>-0.11</v>
      </c>
      <c r="AB878" s="186"/>
      <c r="AC878" s="344"/>
      <c r="AD878" s="186"/>
      <c r="AE878" s="186"/>
      <c r="AF878" s="186"/>
      <c r="AG878" s="186"/>
      <c r="AH878" s="186"/>
      <c r="AI878" s="191"/>
      <c r="AJ878" s="191"/>
      <c r="AK878" s="186"/>
      <c r="AL878" s="186"/>
      <c r="AM878" s="186" t="s">
        <v>2131</v>
      </c>
      <c r="AN878" s="344" t="s">
        <v>87</v>
      </c>
      <c r="AO878" s="186" t="s">
        <v>2005</v>
      </c>
      <c r="AP878" s="193">
        <v>-0.11</v>
      </c>
      <c r="AQ878" s="193">
        <f t="shared" ref="AQ878" si="1384">IF(ISBLANK(AP878),,IF(U878="S",AA878-AP878,AP878-AA878))</f>
        <v>0</v>
      </c>
      <c r="AR878" s="191">
        <f t="shared" ref="AR878" si="1385">AS878*R878</f>
        <v>0</v>
      </c>
      <c r="AS878" s="194">
        <f t="shared" ref="AS878" si="1386">IF(ISBLANK(AP878),,(AQ878*W878))</f>
        <v>0</v>
      </c>
      <c r="AT878" s="195" t="s">
        <v>97</v>
      </c>
      <c r="AU878" s="425"/>
      <c r="AV878" s="425"/>
      <c r="AW878" s="425"/>
      <c r="AX878" s="425"/>
      <c r="AY878" s="425"/>
      <c r="AZ878" s="425"/>
      <c r="BA878" s="425"/>
      <c r="BB878" s="425"/>
      <c r="BC878" s="440"/>
      <c r="BD878" s="404">
        <f>SUM($AS$4:AS878)</f>
        <v>4315.3555263348817</v>
      </c>
      <c r="BE878" s="407">
        <f>SUM($AR$4:AR878)</f>
        <v>18453.772000000346</v>
      </c>
      <c r="BF878" s="331"/>
      <c r="BG878" s="331"/>
    </row>
    <row r="879" spans="1:59" ht="15.75" customHeight="1">
      <c r="A879" s="227" t="s">
        <v>3383</v>
      </c>
      <c r="B879" s="181">
        <v>45139</v>
      </c>
      <c r="C879" s="182" t="s">
        <v>854</v>
      </c>
      <c r="D879" s="182" t="s">
        <v>128</v>
      </c>
      <c r="E879" s="233"/>
      <c r="F879" s="184"/>
      <c r="G879" s="499" t="s">
        <v>75</v>
      </c>
      <c r="H879" s="186"/>
      <c r="I879" s="186"/>
      <c r="J879" s="186"/>
      <c r="K879" s="187"/>
      <c r="L879" s="186">
        <v>1</v>
      </c>
      <c r="M879" s="186"/>
      <c r="N879" s="186"/>
      <c r="O879" s="187" t="s">
        <v>76</v>
      </c>
      <c r="P879" s="187" t="s">
        <v>77</v>
      </c>
      <c r="Q879" s="187" t="s">
        <v>78</v>
      </c>
      <c r="R879" s="187">
        <v>5</v>
      </c>
      <c r="S879" s="187">
        <v>0</v>
      </c>
      <c r="T879" s="187">
        <v>5</v>
      </c>
      <c r="U879" s="187" t="s">
        <v>78</v>
      </c>
      <c r="V879" s="188">
        <f t="shared" si="1383"/>
        <v>0.01</v>
      </c>
      <c r="W879" s="189">
        <f t="shared" ref="W879" si="1387">IF(ISBLANK(O879),"",IF(O879="IB",8.63*200,IF(O879="IR",16*100,IF(O879="YT",20*100,IF(O879="YT-XT",24*200,IF(O879="TED",80*100))))))</f>
        <v>1600</v>
      </c>
      <c r="X879" s="189" t="s">
        <v>80</v>
      </c>
      <c r="Y879" s="189"/>
      <c r="Z879" s="189"/>
      <c r="AA879" s="190">
        <v>0.14000000000000001</v>
      </c>
      <c r="AB879" s="186"/>
      <c r="AC879" s="344"/>
      <c r="AD879" s="186"/>
      <c r="AE879" s="186"/>
      <c r="AF879" s="186"/>
      <c r="AG879" s="186"/>
      <c r="AH879" s="186"/>
      <c r="AI879" s="191"/>
      <c r="AJ879" s="191"/>
      <c r="AK879" s="186"/>
      <c r="AL879" s="186"/>
      <c r="AM879" s="186" t="s">
        <v>1535</v>
      </c>
      <c r="AN879" s="344" t="s">
        <v>87</v>
      </c>
      <c r="AO879" s="186" t="s">
        <v>3402</v>
      </c>
      <c r="AP879" s="193">
        <v>0.13</v>
      </c>
      <c r="AQ879" s="193">
        <f t="shared" ref="AQ879" si="1388">IF(ISBLANK(AP879),,IF(U879="S",AA879-AP879,AP879-AA879))</f>
        <v>1.0000000000000009E-2</v>
      </c>
      <c r="AR879" s="191">
        <f t="shared" ref="AR879" si="1389">AS879*R879</f>
        <v>80.000000000000071</v>
      </c>
      <c r="AS879" s="194">
        <f t="shared" ref="AS879" si="1390">IF(ISBLANK(AP879),,(AQ879*W879))</f>
        <v>16.000000000000014</v>
      </c>
      <c r="AT879" s="195" t="s">
        <v>77</v>
      </c>
      <c r="AU879" s="425"/>
      <c r="AV879" s="425"/>
      <c r="AW879" s="425"/>
      <c r="AX879" s="425"/>
      <c r="AY879" s="425"/>
      <c r="AZ879" s="425"/>
      <c r="BA879" s="425"/>
      <c r="BB879" s="425"/>
      <c r="BC879" s="440"/>
      <c r="BD879" s="404">
        <f>SUM($AS$4:AS879)</f>
        <v>4331.3555263348817</v>
      </c>
      <c r="BE879" s="407">
        <f>SUM($AR$4:AR879)</f>
        <v>18533.772000000346</v>
      </c>
      <c r="BF879" s="331"/>
      <c r="BG879" s="331"/>
    </row>
    <row r="880" spans="1:59" ht="15.75" customHeight="1">
      <c r="A880" s="227" t="s">
        <v>3383</v>
      </c>
      <c r="B880" s="181">
        <v>45139</v>
      </c>
      <c r="C880" s="182" t="s">
        <v>1169</v>
      </c>
      <c r="D880" s="182" t="s">
        <v>128</v>
      </c>
      <c r="E880" s="233" t="s">
        <v>3403</v>
      </c>
      <c r="F880" s="184"/>
      <c r="G880" s="185"/>
      <c r="H880" s="186"/>
      <c r="I880" s="186"/>
      <c r="J880" s="186">
        <v>1</v>
      </c>
      <c r="K880" s="187" t="s">
        <v>97</v>
      </c>
      <c r="L880" s="186"/>
      <c r="M880" s="186"/>
      <c r="N880" s="186"/>
      <c r="O880" s="187"/>
      <c r="P880" s="187"/>
      <c r="Q880" s="187"/>
      <c r="R880" s="187"/>
      <c r="S880" s="187"/>
      <c r="T880" s="187"/>
      <c r="U880" s="187"/>
      <c r="V880" s="187"/>
      <c r="W880" s="189" t="str">
        <f t="shared" si="1379"/>
        <v/>
      </c>
      <c r="X880" s="189"/>
      <c r="Y880" s="189"/>
      <c r="Z880" s="189"/>
      <c r="AA880" s="190"/>
      <c r="AB880" s="186"/>
      <c r="AC880" s="344"/>
      <c r="AD880" s="186"/>
      <c r="AE880" s="186"/>
      <c r="AF880" s="186"/>
      <c r="AG880" s="186"/>
      <c r="AH880" s="186"/>
      <c r="AI880" s="191"/>
      <c r="AJ880" s="191"/>
      <c r="AK880" s="186"/>
      <c r="AL880" s="186"/>
      <c r="AM880" s="186"/>
      <c r="AN880" s="344"/>
      <c r="AO880" s="186"/>
      <c r="AP880" s="193"/>
      <c r="AQ880" s="193"/>
      <c r="AR880" s="191"/>
      <c r="AS880" s="194"/>
      <c r="AT880" s="195"/>
      <c r="AU880" s="425"/>
      <c r="AV880" s="425"/>
      <c r="AW880" s="425"/>
      <c r="AX880" s="425"/>
      <c r="AY880" s="425"/>
      <c r="AZ880" s="425"/>
      <c r="BA880" s="425"/>
      <c r="BB880" s="425"/>
      <c r="BC880" s="440"/>
      <c r="BD880" s="404">
        <f>SUM($AS$4:AS880)</f>
        <v>4331.3555263348817</v>
      </c>
      <c r="BE880" s="407">
        <f>SUM($AR$4:AR880)</f>
        <v>18533.772000000346</v>
      </c>
      <c r="BF880" s="331"/>
      <c r="BG880" s="331"/>
    </row>
    <row r="881" spans="1:59" ht="15.75" customHeight="1">
      <c r="A881" s="227" t="s">
        <v>3383</v>
      </c>
      <c r="B881" s="181"/>
      <c r="C881" s="182"/>
      <c r="D881" s="182"/>
      <c r="E881" s="233" t="s">
        <v>3404</v>
      </c>
      <c r="F881" s="184"/>
      <c r="G881" s="185"/>
      <c r="H881" s="186"/>
      <c r="I881" s="186"/>
      <c r="J881" s="186">
        <v>1</v>
      </c>
      <c r="K881" s="187"/>
      <c r="L881" s="186"/>
      <c r="M881" s="186"/>
      <c r="N881" s="186"/>
      <c r="O881" s="187"/>
      <c r="P881" s="187"/>
      <c r="Q881" s="187"/>
      <c r="R881" s="187"/>
      <c r="S881" s="187"/>
      <c r="T881" s="187"/>
      <c r="U881" s="187"/>
      <c r="V881" s="187"/>
      <c r="W881" s="189" t="str">
        <f t="shared" si="1373"/>
        <v/>
      </c>
      <c r="X881" s="189"/>
      <c r="Y881" s="189"/>
      <c r="Z881" s="189"/>
      <c r="AA881" s="190"/>
      <c r="AB881" s="186"/>
      <c r="AC881" s="344"/>
      <c r="AD881" s="186"/>
      <c r="AE881" s="186"/>
      <c r="AF881" s="186"/>
      <c r="AG881" s="186"/>
      <c r="AH881" s="186"/>
      <c r="AI881" s="191"/>
      <c r="AJ881" s="191"/>
      <c r="AK881" s="186"/>
      <c r="AL881" s="186"/>
      <c r="AM881" s="186"/>
      <c r="AN881" s="344"/>
      <c r="AO881" s="186"/>
      <c r="AP881" s="193"/>
      <c r="AQ881" s="193"/>
      <c r="AR881" s="191"/>
      <c r="AS881" s="194"/>
      <c r="AT881" s="195"/>
      <c r="AU881" s="425"/>
      <c r="AV881" s="425"/>
      <c r="AW881" s="425"/>
      <c r="AX881" s="425"/>
      <c r="AY881" s="425"/>
      <c r="AZ881" s="425"/>
      <c r="BA881" s="425"/>
      <c r="BB881" s="425"/>
      <c r="BC881" s="440"/>
      <c r="BD881" s="404">
        <f>SUM($AS$4:AS881)</f>
        <v>4331.3555263348817</v>
      </c>
      <c r="BE881" s="407">
        <f>SUM($AR$4:AR881)</f>
        <v>18533.772000000346</v>
      </c>
      <c r="BF881" s="331"/>
      <c r="BG881" s="331"/>
    </row>
    <row r="882" spans="1:59" ht="15.75" customHeight="1">
      <c r="A882" s="227" t="s">
        <v>3383</v>
      </c>
      <c r="B882" s="181">
        <v>45140</v>
      </c>
      <c r="C882" s="182" t="s">
        <v>997</v>
      </c>
      <c r="D882" s="182" t="s">
        <v>128</v>
      </c>
      <c r="E882" s="233"/>
      <c r="F882" s="184"/>
      <c r="G882" s="185" t="s">
        <v>2924</v>
      </c>
      <c r="H882" s="186"/>
      <c r="I882" s="186"/>
      <c r="J882" s="186"/>
      <c r="K882" s="187"/>
      <c r="L882" s="186"/>
      <c r="M882" s="186"/>
      <c r="N882" s="186"/>
      <c r="O882" s="187"/>
      <c r="P882" s="187"/>
      <c r="Q882" s="187"/>
      <c r="R882" s="187"/>
      <c r="S882" s="187"/>
      <c r="T882" s="187"/>
      <c r="U882" s="187"/>
      <c r="V882" s="188"/>
      <c r="W882" s="189"/>
      <c r="X882" s="189"/>
      <c r="Y882" s="189"/>
      <c r="Z882" s="189"/>
      <c r="AA882" s="190"/>
      <c r="AB882" s="186"/>
      <c r="AC882" s="344"/>
      <c r="AD882" s="186"/>
      <c r="AE882" s="186"/>
      <c r="AF882" s="186"/>
      <c r="AG882" s="186"/>
      <c r="AH882" s="186"/>
      <c r="AI882" s="191"/>
      <c r="AJ882" s="191"/>
      <c r="AK882" s="186"/>
      <c r="AL882" s="186"/>
      <c r="AM882" s="186"/>
      <c r="AN882" s="344"/>
      <c r="AO882" s="186"/>
      <c r="AP882" s="193"/>
      <c r="AQ882" s="193"/>
      <c r="AR882" s="191"/>
      <c r="AS882" s="194"/>
      <c r="AT882" s="195"/>
      <c r="AU882" s="425" t="s">
        <v>3405</v>
      </c>
      <c r="AV882" s="425"/>
      <c r="AW882" s="425"/>
      <c r="AX882" s="425"/>
      <c r="AY882" s="425"/>
      <c r="AZ882" s="425"/>
      <c r="BA882" s="425"/>
      <c r="BB882" s="425"/>
      <c r="BC882" s="440"/>
      <c r="BD882" s="404">
        <f>SUM($AS$4:AS882)</f>
        <v>4331.3555263348817</v>
      </c>
      <c r="BE882" s="407">
        <f>SUM($AR$4:AR882)</f>
        <v>18533.772000000346</v>
      </c>
      <c r="BF882" s="331"/>
      <c r="BG882" s="331"/>
    </row>
    <row r="883" spans="1:59" ht="15.75" customHeight="1">
      <c r="A883" s="227" t="s">
        <v>3383</v>
      </c>
      <c r="B883" s="181">
        <v>45140</v>
      </c>
      <c r="C883" s="182" t="s">
        <v>3406</v>
      </c>
      <c r="D883" s="182" t="s">
        <v>128</v>
      </c>
      <c r="E883" s="233"/>
      <c r="F883" s="184"/>
      <c r="G883" s="291" t="s">
        <v>2526</v>
      </c>
      <c r="H883" s="186"/>
      <c r="I883" s="186"/>
      <c r="J883" s="186"/>
      <c r="K883" s="187"/>
      <c r="L883" s="186">
        <v>1</v>
      </c>
      <c r="M883" s="186"/>
      <c r="N883" s="186"/>
      <c r="O883" s="187" t="s">
        <v>2240</v>
      </c>
      <c r="P883" s="187" t="s">
        <v>2241</v>
      </c>
      <c r="Q883" s="187"/>
      <c r="R883" s="187">
        <v>1</v>
      </c>
      <c r="S883" s="187">
        <v>0</v>
      </c>
      <c r="T883" s="187">
        <v>1</v>
      </c>
      <c r="U883" s="187" t="s">
        <v>78</v>
      </c>
      <c r="V883" s="188">
        <f t="shared" ref="V883" si="1391">IF(ISBLANK(O883),"",(IF(O883=UPPER("IB"),0.005,0.01)))</f>
        <v>0.01</v>
      </c>
      <c r="W883" s="189">
        <f t="shared" ref="W883" si="1392">IF(ISBLANK(O883),"",IF(O883="IB",8.63*200,IF(O883="IR",16*100,IF(O883="YT",20*100,IF(O883="YT-XT",24*200,IF(O883="TED",80*100))))))</f>
        <v>4800</v>
      </c>
      <c r="X883" s="427" t="s">
        <v>3407</v>
      </c>
      <c r="Y883" s="189" t="s">
        <v>511</v>
      </c>
      <c r="Z883" s="189"/>
      <c r="AA883" s="190">
        <v>0.255</v>
      </c>
      <c r="AB883" s="186"/>
      <c r="AC883" s="344"/>
      <c r="AD883" s="186"/>
      <c r="AE883" s="186"/>
      <c r="AF883" s="186"/>
      <c r="AG883" s="186"/>
      <c r="AH883" s="186"/>
      <c r="AI883" s="191"/>
      <c r="AJ883" s="191"/>
      <c r="AK883" s="186"/>
      <c r="AL883" s="186"/>
      <c r="AM883" s="186"/>
      <c r="AN883" s="344" t="s">
        <v>87</v>
      </c>
      <c r="AO883" s="186" t="s">
        <v>3408</v>
      </c>
      <c r="AP883" s="193">
        <f>(0.245)</f>
        <v>0.245</v>
      </c>
      <c r="AQ883" s="193">
        <f t="shared" ref="AQ883" si="1393">IF(ISBLANK(AP883),,IF(U883="S",AA883-AP883,AP883-AA883))</f>
        <v>1.0000000000000009E-2</v>
      </c>
      <c r="AR883" s="191">
        <f t="shared" ref="AR883" si="1394">AS883*R883</f>
        <v>48.000000000000043</v>
      </c>
      <c r="AS883" s="194">
        <f t="shared" ref="AS883" si="1395">IF(ISBLANK(AP883),,(AQ883*W883))</f>
        <v>48.000000000000043</v>
      </c>
      <c r="AT883" s="195" t="s">
        <v>77</v>
      </c>
      <c r="AU883" s="425" t="s">
        <v>3409</v>
      </c>
      <c r="AV883" s="425" t="s">
        <v>3410</v>
      </c>
      <c r="AW883" s="425"/>
      <c r="AX883" s="425"/>
      <c r="AY883" s="425"/>
      <c r="AZ883" s="425"/>
      <c r="BA883" s="425"/>
      <c r="BB883" s="425"/>
      <c r="BC883" s="440"/>
      <c r="BD883" s="404">
        <f>SUM($AS$4:AS883)</f>
        <v>4379.3555263348817</v>
      </c>
      <c r="BE883" s="407">
        <f>SUM($AR$4:AR883)</f>
        <v>18581.772000000346</v>
      </c>
      <c r="BF883" s="331"/>
      <c r="BG883" s="331"/>
    </row>
    <row r="884" spans="1:59" ht="15.75" customHeight="1">
      <c r="A884" s="227" t="s">
        <v>3383</v>
      </c>
      <c r="B884" s="181">
        <v>45140</v>
      </c>
      <c r="C884" s="182" t="s">
        <v>3406</v>
      </c>
      <c r="D884" s="182" t="s">
        <v>128</v>
      </c>
      <c r="E884" s="233"/>
      <c r="F884" s="184"/>
      <c r="G884" s="185" t="s">
        <v>2526</v>
      </c>
      <c r="H884" s="186"/>
      <c r="I884" s="186"/>
      <c r="J884" s="186"/>
      <c r="K884" s="187"/>
      <c r="L884" s="186"/>
      <c r="M884" s="186"/>
      <c r="N884" s="186"/>
      <c r="O884" s="187"/>
      <c r="P884" s="187"/>
      <c r="Q884" s="187"/>
      <c r="R884" s="187"/>
      <c r="S884" s="187"/>
      <c r="T884" s="187"/>
      <c r="U884" s="187"/>
      <c r="V884" s="188"/>
      <c r="W884" s="189"/>
      <c r="X884" s="427"/>
      <c r="Y884" s="189"/>
      <c r="Z884" s="189"/>
      <c r="AA884" s="190"/>
      <c r="AB884" s="186"/>
      <c r="AC884" s="344"/>
      <c r="AD884" s="186"/>
      <c r="AE884" s="186"/>
      <c r="AF884" s="186"/>
      <c r="AG884" s="425" t="s">
        <v>3411</v>
      </c>
      <c r="AH884" s="186" t="s">
        <v>511</v>
      </c>
      <c r="AI884" s="191"/>
      <c r="AJ884" s="191"/>
      <c r="AK884" s="186"/>
      <c r="AL884" s="186"/>
      <c r="AM884" s="186"/>
      <c r="AN884" s="344"/>
      <c r="AO884" s="186"/>
      <c r="AP884" s="193"/>
      <c r="AQ884" s="193"/>
      <c r="AR884" s="191"/>
      <c r="AS884" s="194"/>
      <c r="AT884" s="195"/>
      <c r="AU884" s="425" t="s">
        <v>3409</v>
      </c>
      <c r="AV884" s="425" t="s">
        <v>3410</v>
      </c>
      <c r="AW884" s="425"/>
      <c r="AX884" s="425"/>
      <c r="AY884" s="425"/>
      <c r="AZ884" s="425"/>
      <c r="BA884" s="425"/>
      <c r="BB884" s="425"/>
      <c r="BC884" s="440"/>
      <c r="BD884" s="404">
        <f>SUM($AS$4:AS884)</f>
        <v>4379.3555263348817</v>
      </c>
      <c r="BE884" s="407">
        <f>SUM($AR$4:AR884)</f>
        <v>18581.772000000346</v>
      </c>
      <c r="BF884" s="331"/>
      <c r="BG884" s="331"/>
    </row>
    <row r="885" spans="1:59" ht="15.75" customHeight="1">
      <c r="A885" s="227" t="s">
        <v>3383</v>
      </c>
      <c r="B885" s="181">
        <v>45140</v>
      </c>
      <c r="C885" s="182" t="s">
        <v>3412</v>
      </c>
      <c r="D885" s="182" t="s">
        <v>128</v>
      </c>
      <c r="E885" s="233"/>
      <c r="F885" s="184"/>
      <c r="G885" s="291" t="s">
        <v>3413</v>
      </c>
      <c r="H885" s="186"/>
      <c r="I885" s="186"/>
      <c r="J885" s="186"/>
      <c r="K885" s="187"/>
      <c r="L885" s="186">
        <v>1</v>
      </c>
      <c r="M885" s="186"/>
      <c r="N885" s="186"/>
      <c r="O885" s="187" t="s">
        <v>76</v>
      </c>
      <c r="P885" s="187" t="s">
        <v>119</v>
      </c>
      <c r="Q885" s="187" t="s">
        <v>78</v>
      </c>
      <c r="R885" s="187">
        <v>14</v>
      </c>
      <c r="S885" s="187">
        <v>0</v>
      </c>
      <c r="T885" s="187">
        <v>14</v>
      </c>
      <c r="U885" s="187" t="s">
        <v>78</v>
      </c>
      <c r="V885" s="188">
        <f t="shared" ref="V885:V886" si="1396">IF(ISBLANK(O885),"",(IF(O885=UPPER("IB"),0.005,0.01)))</f>
        <v>0.01</v>
      </c>
      <c r="W885" s="189">
        <f t="shared" ref="W885:W886" si="1397">IF(ISBLANK(O885),"",IF(O885="IB",8.63*200,IF(O885="IR",16*100,IF(O885="YT",20*100,IF(O885="YT-XT",24*200,IF(O885="TED",80*100))))))</f>
        <v>1600</v>
      </c>
      <c r="X885" s="427" t="s">
        <v>3414</v>
      </c>
      <c r="Y885" s="189"/>
      <c r="Z885" s="189"/>
      <c r="AA885" s="190">
        <v>-0.18</v>
      </c>
      <c r="AB885" s="186"/>
      <c r="AC885" s="344"/>
      <c r="AD885" s="186"/>
      <c r="AE885" s="186"/>
      <c r="AF885" s="186"/>
      <c r="AG885" s="186"/>
      <c r="AH885" s="186"/>
      <c r="AI885" s="191"/>
      <c r="AJ885" s="191"/>
      <c r="AK885" s="186"/>
      <c r="AL885" s="186"/>
      <c r="AM885" s="186" t="s">
        <v>786</v>
      </c>
      <c r="AN885" s="344" t="s">
        <v>97</v>
      </c>
      <c r="AO885" s="186" t="s">
        <v>3415</v>
      </c>
      <c r="AP885" s="193">
        <v>-0.19</v>
      </c>
      <c r="AQ885" s="193">
        <f t="shared" ref="AQ880:AQ885" si="1398">IF(ISBLANK(AP885),,IF(U885="S",AA885-AP885,AP885-AA885))</f>
        <v>1.0000000000000009E-2</v>
      </c>
      <c r="AR885" s="191">
        <f t="shared" ref="AR880:AR885" si="1399">AS885*R885</f>
        <v>224.0000000000002</v>
      </c>
      <c r="AS885" s="194">
        <f t="shared" ref="AS880:AS885" si="1400">IF(ISBLANK(AP885),,(AQ885*W885))</f>
        <v>16.000000000000014</v>
      </c>
      <c r="AT885" s="195" t="s">
        <v>77</v>
      </c>
      <c r="AU885" s="425" t="s">
        <v>3405</v>
      </c>
      <c r="AV885" s="425" t="s">
        <v>3416</v>
      </c>
      <c r="AW885" s="425"/>
      <c r="AX885" s="425"/>
      <c r="AY885" s="425"/>
      <c r="AZ885" s="425"/>
      <c r="BA885" s="425"/>
      <c r="BB885" s="425"/>
      <c r="BC885" s="440"/>
      <c r="BD885" s="404">
        <f>SUM($AS$4:AS885)</f>
        <v>4395.3555263348817</v>
      </c>
      <c r="BE885" s="407">
        <f>SUM($AR$4:AR885)</f>
        <v>18805.772000000346</v>
      </c>
      <c r="BF885" s="331"/>
      <c r="BG885" s="331"/>
    </row>
    <row r="886" spans="1:59" ht="15.75" customHeight="1">
      <c r="A886" s="227" t="s">
        <v>3383</v>
      </c>
      <c r="B886" s="181">
        <v>45140</v>
      </c>
      <c r="C886" s="182" t="s">
        <v>1113</v>
      </c>
      <c r="D886" s="182" t="s">
        <v>133</v>
      </c>
      <c r="E886" s="233"/>
      <c r="F886" s="184"/>
      <c r="G886" s="185" t="s">
        <v>163</v>
      </c>
      <c r="H886" s="186"/>
      <c r="I886" s="186"/>
      <c r="J886" s="186"/>
      <c r="K886" s="187"/>
      <c r="L886" s="186"/>
      <c r="M886" s="186"/>
      <c r="N886" s="186"/>
      <c r="O886" s="187"/>
      <c r="P886" s="187"/>
      <c r="Q886" s="187"/>
      <c r="R886" s="187"/>
      <c r="S886" s="187"/>
      <c r="T886" s="187"/>
      <c r="U886" s="187"/>
      <c r="V886" s="188"/>
      <c r="W886" s="189"/>
      <c r="X886" s="189"/>
      <c r="Y886" s="189"/>
      <c r="Z886" s="189"/>
      <c r="AA886" s="190"/>
      <c r="AB886" s="186"/>
      <c r="AC886" s="344"/>
      <c r="AD886" s="186"/>
      <c r="AE886" s="186"/>
      <c r="AF886" s="186"/>
      <c r="AG886" s="186"/>
      <c r="AH886" s="186"/>
      <c r="AI886" s="191"/>
      <c r="AJ886" s="191"/>
      <c r="AK886" s="186"/>
      <c r="AL886" s="186"/>
      <c r="AM886" s="186"/>
      <c r="AN886" s="344"/>
      <c r="AO886" s="186"/>
      <c r="AP886" s="193"/>
      <c r="AQ886" s="193"/>
      <c r="AR886" s="191"/>
      <c r="AS886" s="194"/>
      <c r="AT886" s="195"/>
      <c r="AU886" s="425"/>
      <c r="AV886" s="425"/>
      <c r="AW886" s="425"/>
      <c r="AX886" s="425"/>
      <c r="AY886" s="425"/>
      <c r="AZ886" s="425"/>
      <c r="BA886" s="425"/>
      <c r="BB886" s="425"/>
      <c r="BC886" s="440"/>
      <c r="BD886" s="404">
        <f>SUM($AS$4:AS886)</f>
        <v>4395.3555263348817</v>
      </c>
      <c r="BE886" s="407">
        <f>SUM($AR$4:AR886)</f>
        <v>18805.772000000346</v>
      </c>
      <c r="BF886" s="331"/>
      <c r="BG886" s="331"/>
    </row>
    <row r="887" spans="1:59" ht="15.75" customHeight="1">
      <c r="A887" s="227" t="s">
        <v>3383</v>
      </c>
      <c r="B887" s="181">
        <v>45140</v>
      </c>
      <c r="C887" s="182" t="s">
        <v>2103</v>
      </c>
      <c r="D887" s="182" t="s">
        <v>133</v>
      </c>
      <c r="E887" s="233" t="s">
        <v>3417</v>
      </c>
      <c r="F887" s="184"/>
      <c r="G887" s="185"/>
      <c r="H887" s="186">
        <v>1</v>
      </c>
      <c r="I887" s="186"/>
      <c r="J887" s="186"/>
      <c r="K887" s="187" t="s">
        <v>87</v>
      </c>
      <c r="L887" s="186"/>
      <c r="M887" s="186"/>
      <c r="N887" s="186"/>
      <c r="O887" s="187"/>
      <c r="P887" s="187"/>
      <c r="Q887" s="187"/>
      <c r="R887" s="187"/>
      <c r="S887" s="187"/>
      <c r="T887" s="187"/>
      <c r="U887" s="187"/>
      <c r="V887" s="187"/>
      <c r="W887" s="189" t="str">
        <f t="shared" si="1373"/>
        <v/>
      </c>
      <c r="X887" s="189"/>
      <c r="Y887" s="189"/>
      <c r="Z887" s="189"/>
      <c r="AA887" s="190"/>
      <c r="AB887" s="186"/>
      <c r="AC887" s="344"/>
      <c r="AD887" s="186"/>
      <c r="AE887" s="186"/>
      <c r="AF887" s="186"/>
      <c r="AG887" s="186"/>
      <c r="AH887" s="186"/>
      <c r="AI887" s="191"/>
      <c r="AJ887" s="191"/>
      <c r="AK887" s="186"/>
      <c r="AL887" s="186"/>
      <c r="AM887" s="186"/>
      <c r="AN887" s="344"/>
      <c r="AO887" s="186"/>
      <c r="AP887" s="193"/>
      <c r="AQ887" s="193"/>
      <c r="AR887" s="191"/>
      <c r="AS887" s="194"/>
      <c r="AT887" s="195"/>
      <c r="AU887" s="427" t="s">
        <v>3418</v>
      </c>
      <c r="AV887" s="425" t="s">
        <v>3419</v>
      </c>
      <c r="AW887" s="425" t="s">
        <v>3420</v>
      </c>
      <c r="AX887" s="425" t="s">
        <v>3421</v>
      </c>
      <c r="AY887" s="425"/>
      <c r="AZ887" s="425"/>
      <c r="BA887" s="425"/>
      <c r="BB887" s="425"/>
      <c r="BC887" s="440"/>
      <c r="BD887" s="404">
        <f>SUM($AS$4:AS887)</f>
        <v>4395.3555263348817</v>
      </c>
      <c r="BE887" s="407">
        <f>SUM($AR$4:AR887)</f>
        <v>18805.772000000346</v>
      </c>
      <c r="BF887" s="331"/>
      <c r="BG887" s="331"/>
    </row>
    <row r="888" spans="1:59" ht="15.75" customHeight="1">
      <c r="A888" s="227" t="s">
        <v>3383</v>
      </c>
      <c r="B888" s="181">
        <v>45140</v>
      </c>
      <c r="C888" s="182" t="s">
        <v>3422</v>
      </c>
      <c r="D888" s="182" t="s">
        <v>133</v>
      </c>
      <c r="E888" s="233"/>
      <c r="F888" s="184"/>
      <c r="G888" s="291" t="s">
        <v>118</v>
      </c>
      <c r="H888" s="186"/>
      <c r="I888" s="186"/>
      <c r="J888" s="186"/>
      <c r="K888" s="187"/>
      <c r="L888" s="186">
        <v>1</v>
      </c>
      <c r="M888" s="186"/>
      <c r="N888" s="186"/>
      <c r="O888" s="187" t="s">
        <v>76</v>
      </c>
      <c r="P888" s="187" t="s">
        <v>77</v>
      </c>
      <c r="Q888" s="187" t="s">
        <v>78</v>
      </c>
      <c r="R888" s="187">
        <v>3</v>
      </c>
      <c r="S888" s="187">
        <v>0</v>
      </c>
      <c r="T888" s="187">
        <v>3</v>
      </c>
      <c r="U888" s="187" t="s">
        <v>22</v>
      </c>
      <c r="V888" s="188">
        <f t="shared" ref="V888:V890" si="1401">IF(ISBLANK(O888),"",(IF(O888=UPPER("IB"),0.005,0.01)))</f>
        <v>0.01</v>
      </c>
      <c r="W888" s="189">
        <f t="shared" si="1373"/>
        <v>1600</v>
      </c>
      <c r="X888" s="189" t="s">
        <v>80</v>
      </c>
      <c r="Y888" s="189"/>
      <c r="Z888" s="189"/>
      <c r="AA888" s="190">
        <v>-0.13</v>
      </c>
      <c r="AB888" s="186"/>
      <c r="AC888" s="344"/>
      <c r="AD888" s="186"/>
      <c r="AE888" s="186"/>
      <c r="AF888" s="186"/>
      <c r="AG888" s="186"/>
      <c r="AH888" s="186"/>
      <c r="AI888" s="191"/>
      <c r="AJ888" s="191"/>
      <c r="AK888" s="186"/>
      <c r="AL888" s="186"/>
      <c r="AM888" s="186"/>
      <c r="AN888" s="344"/>
      <c r="AO888" s="186" t="s">
        <v>3423</v>
      </c>
      <c r="AP888" s="193">
        <v>-0.13</v>
      </c>
      <c r="AQ888" s="193">
        <f t="shared" ref="AQ886:AQ891" si="1402">IF(ISBLANK(AP888),,IF(U888="S",AA888-AP888,AP888-AA888))</f>
        <v>0</v>
      </c>
      <c r="AR888" s="191">
        <f t="shared" ref="AR886:AR891" si="1403">AS888*R888</f>
        <v>0</v>
      </c>
      <c r="AS888" s="194">
        <f t="shared" ref="AS886:AS891" si="1404">IF(ISBLANK(AP888),,(AQ888*W888))</f>
        <v>0</v>
      </c>
      <c r="AT888" s="195" t="s">
        <v>97</v>
      </c>
      <c r="AU888" s="425" t="s">
        <v>3424</v>
      </c>
      <c r="AV888" s="425"/>
      <c r="AW888" s="425"/>
      <c r="AX888" s="425"/>
      <c r="AY888" s="425"/>
      <c r="AZ888" s="425"/>
      <c r="BA888" s="425"/>
      <c r="BB888" s="425"/>
      <c r="BC888" s="440"/>
      <c r="BD888" s="404">
        <f>SUM($AS$4:AS888)</f>
        <v>4395.3555263348817</v>
      </c>
      <c r="BE888" s="407">
        <f>SUM($AR$4:AR888)</f>
        <v>18805.772000000346</v>
      </c>
      <c r="BF888" s="331"/>
      <c r="BG888" s="331"/>
    </row>
    <row r="889" spans="1:59" ht="15.75" customHeight="1">
      <c r="A889" s="227" t="s">
        <v>3383</v>
      </c>
      <c r="B889" s="181">
        <v>45140</v>
      </c>
      <c r="C889" s="182" t="s">
        <v>3425</v>
      </c>
      <c r="D889" s="182" t="s">
        <v>133</v>
      </c>
      <c r="E889" s="233"/>
      <c r="F889" s="184"/>
      <c r="G889" s="185" t="s">
        <v>3397</v>
      </c>
      <c r="H889" s="186"/>
      <c r="I889" s="186"/>
      <c r="J889" s="186"/>
      <c r="K889" s="187"/>
      <c r="L889" s="186"/>
      <c r="M889" s="186"/>
      <c r="N889" s="186"/>
      <c r="O889" s="187"/>
      <c r="P889" s="187"/>
      <c r="Q889" s="187"/>
      <c r="R889" s="187"/>
      <c r="S889" s="187"/>
      <c r="T889" s="187"/>
      <c r="U889" s="187"/>
      <c r="V889" s="188"/>
      <c r="W889" s="189"/>
      <c r="X889" s="189"/>
      <c r="Y889" s="491"/>
      <c r="Z889" s="189"/>
      <c r="AA889" s="190"/>
      <c r="AB889" s="186"/>
      <c r="AC889" s="344"/>
      <c r="AD889" s="186"/>
      <c r="AE889" s="186"/>
      <c r="AF889" s="186"/>
      <c r="AG889" s="186"/>
      <c r="AH889" s="186"/>
      <c r="AI889" s="191"/>
      <c r="AJ889" s="191"/>
      <c r="AK889" s="186"/>
      <c r="AL889" s="186"/>
      <c r="AM889" s="186"/>
      <c r="AN889" s="344"/>
      <c r="AO889" s="186"/>
      <c r="AP889" s="193"/>
      <c r="AQ889" s="193">
        <f t="shared" si="1402"/>
        <v>0</v>
      </c>
      <c r="AR889" s="191">
        <f t="shared" si="1403"/>
        <v>0</v>
      </c>
      <c r="AS889" s="194">
        <f t="shared" si="1404"/>
        <v>0</v>
      </c>
      <c r="AT889" s="195"/>
      <c r="AU889" s="425" t="s">
        <v>3426</v>
      </c>
      <c r="AV889" s="425"/>
      <c r="AW889" s="425"/>
      <c r="AX889" s="425"/>
      <c r="AY889" s="425"/>
      <c r="AZ889" s="425"/>
      <c r="BA889" s="425"/>
      <c r="BB889" s="425"/>
      <c r="BC889" s="440"/>
      <c r="BD889" s="404">
        <f>SUM($AS$4:AS889)</f>
        <v>4395.3555263348817</v>
      </c>
      <c r="BE889" s="407">
        <f>SUM($AR$4:AR889)</f>
        <v>18805.772000000346</v>
      </c>
      <c r="BF889" s="331"/>
      <c r="BG889" s="331"/>
    </row>
    <row r="890" spans="1:59" ht="15.75" customHeight="1">
      <c r="A890" s="227" t="s">
        <v>3383</v>
      </c>
      <c r="B890" s="181">
        <v>45140</v>
      </c>
      <c r="C890" s="182" t="s">
        <v>3427</v>
      </c>
      <c r="D890" s="182" t="s">
        <v>133</v>
      </c>
      <c r="E890" s="233"/>
      <c r="F890" s="184"/>
      <c r="G890" s="291" t="s">
        <v>163</v>
      </c>
      <c r="H890" s="186"/>
      <c r="I890" s="186"/>
      <c r="J890" s="186"/>
      <c r="K890" s="187"/>
      <c r="L890" s="186">
        <v>1</v>
      </c>
      <c r="M890" s="186"/>
      <c r="N890" s="186"/>
      <c r="O890" s="187" t="s">
        <v>76</v>
      </c>
      <c r="P890" s="187" t="s">
        <v>77</v>
      </c>
      <c r="Q890" s="187" t="s">
        <v>78</v>
      </c>
      <c r="R890" s="187">
        <v>7</v>
      </c>
      <c r="S890" s="187">
        <v>0</v>
      </c>
      <c r="T890" s="187">
        <v>7</v>
      </c>
      <c r="U890" s="187" t="s">
        <v>78</v>
      </c>
      <c r="V890" s="188">
        <f t="shared" si="1401"/>
        <v>0.01</v>
      </c>
      <c r="W890" s="189">
        <f t="shared" si="1373"/>
        <v>1600</v>
      </c>
      <c r="X890" s="189" t="s">
        <v>3428</v>
      </c>
      <c r="Y890" s="189"/>
      <c r="Z890" s="189"/>
      <c r="AA890" s="190">
        <v>-0.05</v>
      </c>
      <c r="AB890" s="186"/>
      <c r="AC890" s="344"/>
      <c r="AD890" s="186"/>
      <c r="AE890" s="186"/>
      <c r="AF890" s="186"/>
      <c r="AG890" s="186"/>
      <c r="AH890" s="186"/>
      <c r="AI890" s="191"/>
      <c r="AJ890" s="191"/>
      <c r="AK890" s="186"/>
      <c r="AL890" s="186"/>
      <c r="AM890" s="186" t="s">
        <v>3429</v>
      </c>
      <c r="AN890" s="344" t="s">
        <v>376</v>
      </c>
      <c r="AO890" s="186" t="s">
        <v>3430</v>
      </c>
      <c r="AP890" s="193">
        <v>-0.05</v>
      </c>
      <c r="AQ890" s="193">
        <f t="shared" si="1402"/>
        <v>0</v>
      </c>
      <c r="AR890" s="191">
        <f t="shared" si="1403"/>
        <v>0</v>
      </c>
      <c r="AS890" s="194">
        <f t="shared" si="1404"/>
        <v>0</v>
      </c>
      <c r="AT890" s="195" t="s">
        <v>97</v>
      </c>
      <c r="AU890" s="425" t="s">
        <v>3431</v>
      </c>
      <c r="AV890" s="425"/>
      <c r="AW890" s="425"/>
      <c r="AX890" s="425"/>
      <c r="AY890" s="425"/>
      <c r="AZ890" s="425"/>
      <c r="BA890" s="425"/>
      <c r="BB890" s="425"/>
      <c r="BC890" s="440"/>
      <c r="BD890" s="404">
        <f>SUM($AS$4:AS890)</f>
        <v>4395.3555263348817</v>
      </c>
      <c r="BE890" s="407">
        <f>SUM($AR$4:AR890)</f>
        <v>18805.772000000346</v>
      </c>
      <c r="BF890" s="331"/>
      <c r="BG890" s="331"/>
    </row>
    <row r="891" spans="1:59" ht="15.75" customHeight="1">
      <c r="A891" s="227" t="s">
        <v>3383</v>
      </c>
      <c r="B891" s="181">
        <v>45140</v>
      </c>
      <c r="C891" s="182" t="s">
        <v>3422</v>
      </c>
      <c r="D891" s="182" t="s">
        <v>133</v>
      </c>
      <c r="E891" s="233"/>
      <c r="F891" s="184"/>
      <c r="G891" s="291" t="s">
        <v>3432</v>
      </c>
      <c r="H891" s="186"/>
      <c r="I891" s="186"/>
      <c r="J891" s="186"/>
      <c r="K891" s="187"/>
      <c r="L891" s="186">
        <v>1</v>
      </c>
      <c r="M891" s="186"/>
      <c r="N891" s="186"/>
      <c r="O891" s="187" t="s">
        <v>76</v>
      </c>
      <c r="P891" s="187" t="s">
        <v>77</v>
      </c>
      <c r="Q891" s="187" t="s">
        <v>78</v>
      </c>
      <c r="R891" s="187">
        <v>7</v>
      </c>
      <c r="S891" s="187">
        <v>0</v>
      </c>
      <c r="T891" s="187">
        <v>7</v>
      </c>
      <c r="U891" s="187" t="s">
        <v>22</v>
      </c>
      <c r="V891" s="188">
        <f t="shared" ref="V891:V893" si="1405">IF(ISBLANK(O891),"",(IF(O891=UPPER("IB"),0.005,0.01)))</f>
        <v>0.01</v>
      </c>
      <c r="W891" s="189">
        <f t="shared" ref="W891:W893" si="1406">IF(ISBLANK(O891),"",IF(O891="IB",8.63*200,IF(O891="IR",16*100,IF(O891="YT",20*100,IF(O891="YT-XT",24*200,IF(O891="TED",80*100))))))</f>
        <v>1600</v>
      </c>
      <c r="X891" s="189" t="s">
        <v>3433</v>
      </c>
      <c r="Y891" s="189"/>
      <c r="Z891" s="189"/>
      <c r="AA891" s="190">
        <v>-0.19</v>
      </c>
      <c r="AB891" s="186"/>
      <c r="AC891" s="344"/>
      <c r="AD891" s="186"/>
      <c r="AE891" s="186"/>
      <c r="AF891" s="186"/>
      <c r="AG891" s="186"/>
      <c r="AH891" s="186"/>
      <c r="AI891" s="191"/>
      <c r="AJ891" s="191"/>
      <c r="AK891" s="186"/>
      <c r="AL891" s="186"/>
      <c r="AM891" s="186" t="s">
        <v>1620</v>
      </c>
      <c r="AN891" s="344" t="s">
        <v>87</v>
      </c>
      <c r="AO891" s="186" t="s">
        <v>3427</v>
      </c>
      <c r="AP891" s="193">
        <v>-0.17</v>
      </c>
      <c r="AQ891" s="193">
        <f t="shared" si="1402"/>
        <v>1.999999999999999E-2</v>
      </c>
      <c r="AR891" s="191">
        <f t="shared" si="1403"/>
        <v>223.99999999999989</v>
      </c>
      <c r="AS891" s="194">
        <f t="shared" si="1404"/>
        <v>31.999999999999986</v>
      </c>
      <c r="AT891" s="195" t="s">
        <v>77</v>
      </c>
      <c r="AU891" s="425" t="s">
        <v>3416</v>
      </c>
      <c r="AV891" s="425"/>
      <c r="AW891" s="425"/>
      <c r="AX891" s="425"/>
      <c r="AY891" s="425"/>
      <c r="AZ891" s="425"/>
      <c r="BA891" s="425"/>
      <c r="BB891" s="425"/>
      <c r="BC891" s="440"/>
      <c r="BD891" s="404">
        <f>SUM($AS$4:AS891)</f>
        <v>4427.3555263348817</v>
      </c>
      <c r="BE891" s="407">
        <f>SUM($AR$4:AR891)</f>
        <v>19029.772000000346</v>
      </c>
      <c r="BF891" s="331"/>
      <c r="BG891" s="331"/>
    </row>
    <row r="892" spans="1:59" ht="15.75" customHeight="1">
      <c r="A892" s="227" t="s">
        <v>3383</v>
      </c>
      <c r="B892" s="181">
        <v>45140</v>
      </c>
      <c r="C892" s="182" t="s">
        <v>872</v>
      </c>
      <c r="D892" s="182" t="s">
        <v>133</v>
      </c>
      <c r="E892" s="233"/>
      <c r="F892" s="184"/>
      <c r="G892" s="185" t="s">
        <v>3397</v>
      </c>
      <c r="H892" s="186"/>
      <c r="I892" s="186"/>
      <c r="J892" s="186"/>
      <c r="K892" s="187"/>
      <c r="L892" s="186"/>
      <c r="M892" s="186"/>
      <c r="N892" s="186"/>
      <c r="O892" s="187"/>
      <c r="P892" s="187"/>
      <c r="Q892" s="187"/>
      <c r="R892" s="187"/>
      <c r="S892" s="187"/>
      <c r="T892" s="187"/>
      <c r="U892" s="187"/>
      <c r="V892" s="188"/>
      <c r="W892" s="189"/>
      <c r="X892" s="189"/>
      <c r="Y892" s="491"/>
      <c r="Z892" s="189"/>
      <c r="AA892" s="190"/>
      <c r="AB892" s="186"/>
      <c r="AC892" s="344"/>
      <c r="AD892" s="186"/>
      <c r="AE892" s="186"/>
      <c r="AF892" s="186"/>
      <c r="AG892" s="186"/>
      <c r="AH892" s="186"/>
      <c r="AI892" s="191"/>
      <c r="AJ892" s="191"/>
      <c r="AK892" s="186"/>
      <c r="AL892" s="186"/>
      <c r="AM892" s="186"/>
      <c r="AN892" s="344"/>
      <c r="AO892" s="186"/>
      <c r="AP892" s="193"/>
      <c r="AQ892" s="193"/>
      <c r="AR892" s="191"/>
      <c r="AS892" s="194"/>
      <c r="AT892" s="195"/>
      <c r="AU892" s="425" t="s">
        <v>3434</v>
      </c>
      <c r="AV892" s="425"/>
      <c r="AW892" s="425"/>
      <c r="AX892" s="425"/>
      <c r="AY892" s="425"/>
      <c r="AZ892" s="425"/>
      <c r="BA892" s="425"/>
      <c r="BB892" s="425"/>
      <c r="BC892" s="440"/>
      <c r="BD892" s="404">
        <f>SUM($AS$4:AS892)</f>
        <v>4427.3555263348817</v>
      </c>
      <c r="BE892" s="407">
        <f>SUM($AR$4:AR892)</f>
        <v>19029.772000000346</v>
      </c>
      <c r="BF892" s="331"/>
      <c r="BG892" s="331"/>
    </row>
    <row r="893" spans="1:59" ht="15.75" customHeight="1">
      <c r="A893" s="227" t="s">
        <v>3383</v>
      </c>
      <c r="B893" s="181">
        <v>45141</v>
      </c>
      <c r="C893" s="182" t="s">
        <v>3291</v>
      </c>
      <c r="D893" s="182" t="s">
        <v>74</v>
      </c>
      <c r="E893" s="233"/>
      <c r="F893" s="184"/>
      <c r="G893" s="291" t="s">
        <v>2526</v>
      </c>
      <c r="H893" s="186"/>
      <c r="I893" s="186"/>
      <c r="J893" s="186"/>
      <c r="K893" s="187"/>
      <c r="L893" s="186">
        <v>1</v>
      </c>
      <c r="M893" s="186"/>
      <c r="N893" s="186"/>
      <c r="O893" s="187" t="s">
        <v>2240</v>
      </c>
      <c r="P893" s="187" t="s">
        <v>2241</v>
      </c>
      <c r="Q893" s="187"/>
      <c r="R893" s="187">
        <v>2</v>
      </c>
      <c r="S893" s="187">
        <v>0</v>
      </c>
      <c r="T893" s="187">
        <v>2</v>
      </c>
      <c r="U893" s="187" t="s">
        <v>78</v>
      </c>
      <c r="V893" s="188">
        <f t="shared" si="1405"/>
        <v>0.01</v>
      </c>
      <c r="W893" s="189">
        <f t="shared" si="1406"/>
        <v>4800</v>
      </c>
      <c r="X893" s="427" t="s">
        <v>3435</v>
      </c>
      <c r="Y893" s="189" t="s">
        <v>511</v>
      </c>
      <c r="Z893" s="189"/>
      <c r="AA893" s="190">
        <f>(0.255+0.305)/2</f>
        <v>0.28000000000000003</v>
      </c>
      <c r="AB893" s="186"/>
      <c r="AC893" s="344"/>
      <c r="AD893" s="186"/>
      <c r="AE893" s="186"/>
      <c r="AF893" s="186"/>
      <c r="AG893" s="186"/>
      <c r="AH893" s="186"/>
      <c r="AI893" s="191"/>
      <c r="AJ893" s="191"/>
      <c r="AK893" s="186"/>
      <c r="AL893" s="186"/>
      <c r="AM893" s="186" t="s">
        <v>2131</v>
      </c>
      <c r="AN893" s="344" t="s">
        <v>87</v>
      </c>
      <c r="AO893" s="186" t="s">
        <v>3436</v>
      </c>
      <c r="AP893" s="193">
        <f>(0.32+0.32)/2</f>
        <v>0.32</v>
      </c>
      <c r="AQ893" s="193">
        <f t="shared" ref="AQ892:AQ893" si="1407">IF(ISBLANK(AP893),,IF(U893="S",AA893-AP893,AP893-AA893))</f>
        <v>-3.999999999999998E-2</v>
      </c>
      <c r="AR893" s="191">
        <f t="shared" ref="AR892:AR893" si="1408">AS893*R893</f>
        <v>-383.99999999999983</v>
      </c>
      <c r="AS893" s="194">
        <f t="shared" ref="AS892:AS893" si="1409">IF(ISBLANK(AP893),,(AQ893*W893))</f>
        <v>-191.99999999999991</v>
      </c>
      <c r="AT893" s="195" t="s">
        <v>211</v>
      </c>
      <c r="AU893" s="425" t="s">
        <v>3437</v>
      </c>
      <c r="AV893" s="425" t="s">
        <v>3438</v>
      </c>
      <c r="AW893" s="425" t="s">
        <v>3439</v>
      </c>
      <c r="AX893" s="425" t="s">
        <v>3440</v>
      </c>
      <c r="AY893" s="425"/>
      <c r="AZ893" s="425"/>
      <c r="BA893" s="425"/>
      <c r="BB893" s="425"/>
      <c r="BC893" s="440"/>
      <c r="BD893" s="404">
        <f>SUM($AS$4:AS893)</f>
        <v>4235.3555263348817</v>
      </c>
      <c r="BE893" s="407">
        <f>SUM($AR$4:AR893)</f>
        <v>18645.772000000346</v>
      </c>
      <c r="BF893" s="331"/>
      <c r="BG893" s="331"/>
    </row>
    <row r="894" spans="1:59" ht="15.75" customHeight="1">
      <c r="A894" s="227" t="s">
        <v>3383</v>
      </c>
      <c r="B894" s="181">
        <v>45141</v>
      </c>
      <c r="C894" s="182" t="s">
        <v>872</v>
      </c>
      <c r="D894" s="182" t="s">
        <v>74</v>
      </c>
      <c r="E894" s="233"/>
      <c r="F894" s="184"/>
      <c r="G894" s="291" t="s">
        <v>3397</v>
      </c>
      <c r="H894" s="186"/>
      <c r="I894" s="186"/>
      <c r="J894" s="186"/>
      <c r="K894" s="187"/>
      <c r="L894" s="186">
        <v>1</v>
      </c>
      <c r="M894" s="186">
        <v>1</v>
      </c>
      <c r="N894" s="186"/>
      <c r="O894" s="187" t="s">
        <v>1039</v>
      </c>
      <c r="P894" s="187"/>
      <c r="Q894" s="187" t="s">
        <v>666</v>
      </c>
      <c r="R894" s="187">
        <v>10</v>
      </c>
      <c r="S894" s="187">
        <v>3</v>
      </c>
      <c r="T894" s="187">
        <v>10</v>
      </c>
      <c r="U894" s="187" t="s">
        <v>78</v>
      </c>
      <c r="V894" s="188">
        <f t="shared" ref="V894:V899" si="1410">IF(ISBLANK(O894),"",(IF(O894=UPPER("IB"),0.005,0.01)))</f>
        <v>5.0000000000000001E-3</v>
      </c>
      <c r="W894" s="189">
        <f t="shared" ref="W894:W939" si="1411">IF(ISBLANK(O894),"",IF(O894="IB",8.63*200,IF(O894="IR",16*100,IF(O894="YT",20*100,IF(O894="YT-XT",24*200,IF(O894="TED",80*100))))))</f>
        <v>1726.0000000000002</v>
      </c>
      <c r="X894" s="189"/>
      <c r="Y894" s="491" t="s">
        <v>3441</v>
      </c>
      <c r="Z894" s="189"/>
      <c r="AA894" s="190">
        <f>(95.885*2+95.88+95.905*2+95.91*5)/10</f>
        <v>95.900999999999996</v>
      </c>
      <c r="AB894" s="186"/>
      <c r="AC894" s="344"/>
      <c r="AD894" s="186"/>
      <c r="AE894" s="186" t="s">
        <v>3442</v>
      </c>
      <c r="AF894" s="186"/>
      <c r="AG894" s="186"/>
      <c r="AH894" s="186"/>
      <c r="AI894" s="191"/>
      <c r="AJ894" s="191"/>
      <c r="AK894" s="186"/>
      <c r="AL894" s="186"/>
      <c r="AM894" s="186" t="s">
        <v>3443</v>
      </c>
      <c r="AN894" s="344" t="s">
        <v>77</v>
      </c>
      <c r="AO894" s="186" t="s">
        <v>664</v>
      </c>
      <c r="AP894" s="193">
        <f>(95.935*7+95.925*3)/10</f>
        <v>95.932000000000002</v>
      </c>
      <c r="AQ894" s="193">
        <f t="shared" ref="AQ894" si="1412">IF(ISBLANK(AP894),,IF(U894="S",AA894-AP894,AP894-AA894))</f>
        <v>-3.1000000000005912E-2</v>
      </c>
      <c r="AR894" s="191">
        <f t="shared" ref="AR894" si="1413">AS894*R894</f>
        <v>-535.06000000010215</v>
      </c>
      <c r="AS894" s="194">
        <f t="shared" ref="AS894" si="1414">IF(ISBLANK(AP894),,(AQ894*W894))</f>
        <v>-53.506000000010211</v>
      </c>
      <c r="AT894" s="195" t="s">
        <v>211</v>
      </c>
      <c r="AU894" s="425" t="s">
        <v>3444</v>
      </c>
      <c r="AV894" s="425"/>
      <c r="AW894" s="425"/>
      <c r="AX894" s="425"/>
      <c r="AY894" s="425"/>
      <c r="AZ894" s="425"/>
      <c r="BA894" s="425"/>
      <c r="BB894" s="425"/>
      <c r="BC894" s="440"/>
      <c r="BD894" s="404">
        <f>SUM($AS$4:AS894)</f>
        <v>4181.8495263348714</v>
      </c>
      <c r="BE894" s="407">
        <f>SUM($AR$4:AR894)</f>
        <v>18110.712000000243</v>
      </c>
      <c r="BF894" s="331"/>
      <c r="BG894" s="331"/>
    </row>
    <row r="895" spans="1:59" ht="15.75" customHeight="1">
      <c r="A895" s="227" t="s">
        <v>3383</v>
      </c>
      <c r="B895" s="181">
        <v>45141</v>
      </c>
      <c r="C895" s="182" t="s">
        <v>298</v>
      </c>
      <c r="D895" s="182" t="s">
        <v>74</v>
      </c>
      <c r="E895" s="233"/>
      <c r="F895" s="184"/>
      <c r="G895" s="291" t="s">
        <v>3445</v>
      </c>
      <c r="H895" s="186"/>
      <c r="I895" s="186"/>
      <c r="J895" s="186"/>
      <c r="K895" s="187"/>
      <c r="L895" s="186">
        <v>1</v>
      </c>
      <c r="M895" s="186"/>
      <c r="N895" s="186"/>
      <c r="O895" s="187" t="s">
        <v>76</v>
      </c>
      <c r="P895" s="187" t="s">
        <v>77</v>
      </c>
      <c r="Q895" s="187" t="s">
        <v>78</v>
      </c>
      <c r="R895" s="187">
        <v>5</v>
      </c>
      <c r="S895" s="187">
        <v>0</v>
      </c>
      <c r="T895" s="187">
        <v>5</v>
      </c>
      <c r="U895" s="187" t="s">
        <v>22</v>
      </c>
      <c r="V895" s="188">
        <f t="shared" si="1410"/>
        <v>0.01</v>
      </c>
      <c r="W895" s="189">
        <f t="shared" si="1411"/>
        <v>1600</v>
      </c>
      <c r="X895" s="189" t="s">
        <v>80</v>
      </c>
      <c r="Y895" s="189"/>
      <c r="Z895" s="189"/>
      <c r="AA895" s="190">
        <v>0.09</v>
      </c>
      <c r="AB895" s="186"/>
      <c r="AC895" s="344"/>
      <c r="AD895" s="186"/>
      <c r="AE895" s="186"/>
      <c r="AF895" s="186"/>
      <c r="AG895" s="186"/>
      <c r="AH895" s="186"/>
      <c r="AI895" s="191"/>
      <c r="AJ895" s="191"/>
      <c r="AK895" s="186"/>
      <c r="AL895" s="186"/>
      <c r="AM895" s="186" t="s">
        <v>1436</v>
      </c>
      <c r="AN895" s="344" t="s">
        <v>376</v>
      </c>
      <c r="AO895" s="186"/>
      <c r="AP895" s="193">
        <v>0.1</v>
      </c>
      <c r="AQ895" s="193">
        <f t="shared" ref="AQ895" si="1415">IF(ISBLANK(AP895),,IF(U895="S",AA895-AP895,AP895-AA895))</f>
        <v>1.0000000000000009E-2</v>
      </c>
      <c r="AR895" s="191">
        <f t="shared" ref="AR895" si="1416">AS895*R895</f>
        <v>80.000000000000071</v>
      </c>
      <c r="AS895" s="194">
        <f t="shared" ref="AS895" si="1417">IF(ISBLANK(AP895),,(AQ895*W895))</f>
        <v>16.000000000000014</v>
      </c>
      <c r="AT895" s="195" t="s">
        <v>77</v>
      </c>
      <c r="AU895" s="425" t="s">
        <v>3416</v>
      </c>
      <c r="AV895" s="425"/>
      <c r="AW895" s="425"/>
      <c r="AX895" s="425"/>
      <c r="AY895" s="425"/>
      <c r="AZ895" s="425"/>
      <c r="BA895" s="425"/>
      <c r="BB895" s="425"/>
      <c r="BC895" s="440"/>
      <c r="BD895" s="404">
        <f>SUM($AS$4:AS895)</f>
        <v>4197.8495263348714</v>
      </c>
      <c r="BE895" s="407">
        <f>SUM($AR$4:AR895)</f>
        <v>18190.712000000243</v>
      </c>
      <c r="BF895" s="331"/>
      <c r="BG895" s="331"/>
    </row>
    <row r="896" spans="1:59" ht="15.75" customHeight="1">
      <c r="A896" s="227" t="s">
        <v>3383</v>
      </c>
      <c r="B896" s="181">
        <v>45141</v>
      </c>
      <c r="C896" s="182" t="s">
        <v>3446</v>
      </c>
      <c r="D896" s="182" t="s">
        <v>74</v>
      </c>
      <c r="E896" s="233"/>
      <c r="F896" s="184"/>
      <c r="G896" s="291" t="s">
        <v>1997</v>
      </c>
      <c r="H896" s="186"/>
      <c r="I896" s="186"/>
      <c r="J896" s="186"/>
      <c r="K896" s="187"/>
      <c r="L896" s="186">
        <v>1</v>
      </c>
      <c r="M896" s="186"/>
      <c r="N896" s="186"/>
      <c r="O896" s="187" t="s">
        <v>76</v>
      </c>
      <c r="P896" s="187" t="s">
        <v>119</v>
      </c>
      <c r="Q896" s="187" t="s">
        <v>78</v>
      </c>
      <c r="R896" s="187">
        <v>14</v>
      </c>
      <c r="S896" s="187">
        <v>11</v>
      </c>
      <c r="T896" s="187">
        <v>14</v>
      </c>
      <c r="U896" s="187" t="s">
        <v>22</v>
      </c>
      <c r="V896" s="188">
        <f t="shared" si="1410"/>
        <v>0.01</v>
      </c>
      <c r="W896" s="189">
        <f t="shared" si="1411"/>
        <v>1600</v>
      </c>
      <c r="X896" s="189" t="s">
        <v>80</v>
      </c>
      <c r="Y896" s="189"/>
      <c r="Z896" s="189" t="s">
        <v>3447</v>
      </c>
      <c r="AA896" s="190">
        <v>-0.15</v>
      </c>
      <c r="AB896" s="186"/>
      <c r="AC896" s="344"/>
      <c r="AD896" s="186"/>
      <c r="AE896" s="186"/>
      <c r="AF896" s="186"/>
      <c r="AG896" s="186"/>
      <c r="AH896" s="186"/>
      <c r="AI896" s="191"/>
      <c r="AJ896" s="191"/>
      <c r="AK896" s="186"/>
      <c r="AL896" s="186"/>
      <c r="AM896" s="186"/>
      <c r="AN896" s="344" t="s">
        <v>87</v>
      </c>
      <c r="AO896" s="186" t="s">
        <v>2234</v>
      </c>
      <c r="AP896" s="193">
        <v>-0.14000000000000001</v>
      </c>
      <c r="AQ896" s="193">
        <f t="shared" ref="AQ896:AQ899" si="1418">IF(ISBLANK(AP896),,IF(U896="S",AA896-AP896,AP896-AA896))</f>
        <v>9.9999999999999811E-3</v>
      </c>
      <c r="AR896" s="191">
        <f t="shared" ref="AR896:AR899" si="1419">AS896*R896</f>
        <v>223.99999999999957</v>
      </c>
      <c r="AS896" s="194">
        <f t="shared" ref="AS896:AS899" si="1420">IF(ISBLANK(AP896),,(AQ896*W896))</f>
        <v>15.99999999999997</v>
      </c>
      <c r="AT896" s="195" t="s">
        <v>77</v>
      </c>
      <c r="AU896" s="425"/>
      <c r="AV896" s="425"/>
      <c r="AW896" s="425"/>
      <c r="AX896" s="425"/>
      <c r="AY896" s="425"/>
      <c r="AZ896" s="425"/>
      <c r="BA896" s="425"/>
      <c r="BB896" s="425"/>
      <c r="BC896" s="440"/>
      <c r="BD896" s="404">
        <f>SUM($AS$4:AS896)</f>
        <v>4213.8495263348714</v>
      </c>
      <c r="BE896" s="407">
        <f>SUM($AR$4:AR896)</f>
        <v>18414.712000000243</v>
      </c>
      <c r="BF896" s="331"/>
      <c r="BG896" s="331"/>
    </row>
    <row r="897" spans="1:59" ht="15.75" customHeight="1">
      <c r="A897" s="227" t="s">
        <v>3383</v>
      </c>
      <c r="B897" s="181">
        <v>45141</v>
      </c>
      <c r="C897" s="182" t="s">
        <v>2001</v>
      </c>
      <c r="D897" s="182" t="s">
        <v>74</v>
      </c>
      <c r="E897" s="233" t="s">
        <v>3448</v>
      </c>
      <c r="F897" s="184"/>
      <c r="G897" s="185"/>
      <c r="H897" s="186">
        <v>1</v>
      </c>
      <c r="I897" s="186"/>
      <c r="J897" s="186"/>
      <c r="K897" s="187" t="s">
        <v>87</v>
      </c>
      <c r="L897" s="186"/>
      <c r="M897" s="186"/>
      <c r="N897" s="186"/>
      <c r="O897" s="187"/>
      <c r="P897" s="187"/>
      <c r="Q897" s="187"/>
      <c r="R897" s="187"/>
      <c r="S897" s="187"/>
      <c r="T897" s="187"/>
      <c r="U897" s="187"/>
      <c r="V897" s="188" t="str">
        <f t="shared" si="1410"/>
        <v/>
      </c>
      <c r="W897" s="189" t="str">
        <f t="shared" si="1411"/>
        <v/>
      </c>
      <c r="X897" s="189"/>
      <c r="Y897" s="189"/>
      <c r="Z897" s="189"/>
      <c r="AA897" s="190"/>
      <c r="AB897" s="186"/>
      <c r="AC897" s="344"/>
      <c r="AD897" s="186"/>
      <c r="AE897" s="186"/>
      <c r="AF897" s="186"/>
      <c r="AG897" s="186"/>
      <c r="AH897" s="186"/>
      <c r="AI897" s="191"/>
      <c r="AJ897" s="191"/>
      <c r="AK897" s="186"/>
      <c r="AL897" s="186"/>
      <c r="AM897" s="186"/>
      <c r="AN897" s="344"/>
      <c r="AO897" s="186"/>
      <c r="AP897" s="193"/>
      <c r="AQ897" s="193">
        <f t="shared" si="1418"/>
        <v>0</v>
      </c>
      <c r="AR897" s="191">
        <f t="shared" si="1419"/>
        <v>0</v>
      </c>
      <c r="AS897" s="194">
        <f t="shared" si="1420"/>
        <v>0</v>
      </c>
      <c r="AT897" s="195"/>
      <c r="AU897" s="425"/>
      <c r="AV897" s="425"/>
      <c r="AW897" s="425"/>
      <c r="AX897" s="425"/>
      <c r="AY897" s="425"/>
      <c r="AZ897" s="425"/>
      <c r="BA897" s="425"/>
      <c r="BB897" s="425"/>
      <c r="BC897" s="440"/>
      <c r="BD897" s="404">
        <f>SUM($AS$4:AS897)</f>
        <v>4213.8495263348714</v>
      </c>
      <c r="BE897" s="407">
        <f>SUM($AR$4:AR897)</f>
        <v>18414.712000000243</v>
      </c>
      <c r="BF897" s="331"/>
      <c r="BG897" s="331"/>
    </row>
    <row r="898" spans="1:59" ht="15.75" customHeight="1">
      <c r="A898" s="227" t="s">
        <v>3383</v>
      </c>
      <c r="B898" s="181">
        <v>45141</v>
      </c>
      <c r="C898" s="182" t="s">
        <v>923</v>
      </c>
      <c r="D898" s="182" t="s">
        <v>74</v>
      </c>
      <c r="E898" s="233"/>
      <c r="F898" s="184"/>
      <c r="G898" s="185" t="s">
        <v>3449</v>
      </c>
      <c r="H898" s="186"/>
      <c r="I898" s="186"/>
      <c r="J898" s="186"/>
      <c r="K898" s="187"/>
      <c r="L898" s="186">
        <v>1</v>
      </c>
      <c r="M898" s="186">
        <v>1</v>
      </c>
      <c r="N898" s="186"/>
      <c r="O898" s="187" t="s">
        <v>76</v>
      </c>
      <c r="P898" s="187" t="s">
        <v>77</v>
      </c>
      <c r="Q898" s="187" t="s">
        <v>238</v>
      </c>
      <c r="R898" s="187">
        <v>3</v>
      </c>
      <c r="S898" s="187">
        <v>0</v>
      </c>
      <c r="T898" s="187">
        <v>3</v>
      </c>
      <c r="U898" s="187" t="s">
        <v>78</v>
      </c>
      <c r="V898" s="188">
        <f t="shared" si="1410"/>
        <v>0.01</v>
      </c>
      <c r="W898" s="189">
        <f t="shared" si="1411"/>
        <v>1600</v>
      </c>
      <c r="X898" s="189"/>
      <c r="Y898" s="189" t="s">
        <v>3450</v>
      </c>
      <c r="Z898" s="189" t="s">
        <v>3451</v>
      </c>
      <c r="AA898" s="190">
        <v>7.0000000000000007E-2</v>
      </c>
      <c r="AB898" s="186"/>
      <c r="AC898" s="344"/>
      <c r="AD898" s="186"/>
      <c r="AE898" s="186"/>
      <c r="AF898" s="186"/>
      <c r="AG898" s="186"/>
      <c r="AH898" s="186"/>
      <c r="AI898" s="191"/>
      <c r="AJ898" s="191"/>
      <c r="AK898" s="186"/>
      <c r="AL898" s="186"/>
      <c r="AM898" s="186"/>
      <c r="AN898" s="344"/>
      <c r="AO898" s="186"/>
      <c r="AP898" s="193"/>
      <c r="AQ898" s="193">
        <f t="shared" si="1418"/>
        <v>0</v>
      </c>
      <c r="AR898" s="191">
        <f t="shared" si="1419"/>
        <v>0</v>
      </c>
      <c r="AS898" s="194">
        <f t="shared" si="1420"/>
        <v>0</v>
      </c>
      <c r="AT898" s="195"/>
      <c r="AU898" s="425" t="s">
        <v>3452</v>
      </c>
      <c r="AV898" s="425"/>
      <c r="AW898" s="425"/>
      <c r="AX898" s="425"/>
      <c r="AY898" s="425"/>
      <c r="AZ898" s="425"/>
      <c r="BA898" s="425"/>
      <c r="BB898" s="425"/>
      <c r="BC898" s="440"/>
      <c r="BD898" s="404">
        <f>SUM($AS$4:AS898)</f>
        <v>4213.8495263348714</v>
      </c>
      <c r="BE898" s="407">
        <f>SUM($AR$4:AR898)</f>
        <v>18414.712000000243</v>
      </c>
      <c r="BF898" s="331"/>
      <c r="BG898" s="331"/>
    </row>
    <row r="899" spans="1:59" ht="15.75" customHeight="1">
      <c r="A899" s="227" t="s">
        <v>3383</v>
      </c>
      <c r="B899" s="181">
        <v>45141</v>
      </c>
      <c r="C899" s="182" t="s">
        <v>923</v>
      </c>
      <c r="D899" s="182" t="s">
        <v>74</v>
      </c>
      <c r="E899" s="233"/>
      <c r="F899" s="184"/>
      <c r="G899" s="291" t="s">
        <v>3453</v>
      </c>
      <c r="H899" s="186"/>
      <c r="I899" s="186"/>
      <c r="J899" s="186"/>
      <c r="K899" s="187"/>
      <c r="L899" s="186">
        <v>1</v>
      </c>
      <c r="M899" s="186">
        <v>1</v>
      </c>
      <c r="N899" s="186"/>
      <c r="O899" s="187" t="s">
        <v>76</v>
      </c>
      <c r="P899" s="187" t="s">
        <v>119</v>
      </c>
      <c r="Q899" s="187" t="s">
        <v>238</v>
      </c>
      <c r="R899" s="187">
        <v>18</v>
      </c>
      <c r="S899" s="187">
        <v>0</v>
      </c>
      <c r="T899" s="187">
        <v>11</v>
      </c>
      <c r="U899" s="187" t="s">
        <v>22</v>
      </c>
      <c r="V899" s="188">
        <f t="shared" si="1410"/>
        <v>0.01</v>
      </c>
      <c r="W899" s="189">
        <f t="shared" si="1411"/>
        <v>1600</v>
      </c>
      <c r="X899" s="189" t="s">
        <v>3454</v>
      </c>
      <c r="Y899" s="189" t="s">
        <v>3455</v>
      </c>
      <c r="Z899" s="189" t="s">
        <v>3456</v>
      </c>
      <c r="AA899" s="190">
        <v>-7.0000000000000007E-2</v>
      </c>
      <c r="AB899" s="186"/>
      <c r="AC899" s="344"/>
      <c r="AD899" s="186"/>
      <c r="AE899" s="186"/>
      <c r="AF899" s="186"/>
      <c r="AG899" s="186"/>
      <c r="AH899" s="186"/>
      <c r="AI899" s="191"/>
      <c r="AJ899" s="191"/>
      <c r="AK899" s="186"/>
      <c r="AL899" s="186"/>
      <c r="AM899" s="186"/>
      <c r="AN899" s="344" t="s">
        <v>87</v>
      </c>
      <c r="AO899" s="186" t="s">
        <v>2234</v>
      </c>
      <c r="AP899" s="193">
        <v>-0.06</v>
      </c>
      <c r="AQ899" s="193">
        <f t="shared" si="1418"/>
        <v>1.0000000000000009E-2</v>
      </c>
      <c r="AR899" s="191">
        <f t="shared" si="1419"/>
        <v>288.00000000000023</v>
      </c>
      <c r="AS899" s="194">
        <f t="shared" si="1420"/>
        <v>16.000000000000014</v>
      </c>
      <c r="AT899" s="195" t="s">
        <v>77</v>
      </c>
      <c r="AU899" s="425" t="s">
        <v>3457</v>
      </c>
      <c r="AV899" s="425"/>
      <c r="AW899" s="425"/>
      <c r="AX899" s="425"/>
      <c r="AY899" s="425"/>
      <c r="AZ899" s="425"/>
      <c r="BA899" s="425"/>
      <c r="BB899" s="425"/>
      <c r="BC899" s="440"/>
      <c r="BD899" s="404">
        <f>SUM($AS$4:AS899)</f>
        <v>4229.8495263348714</v>
      </c>
      <c r="BE899" s="407">
        <f>SUM($AR$4:AR899)</f>
        <v>18702.712000000243</v>
      </c>
      <c r="BF899" s="331"/>
      <c r="BG899" s="331"/>
    </row>
    <row r="900" spans="1:59" ht="15.75" customHeight="1">
      <c r="A900" s="227" t="s">
        <v>3383</v>
      </c>
      <c r="B900" s="181">
        <v>45141</v>
      </c>
      <c r="C900" s="182" t="s">
        <v>3458</v>
      </c>
      <c r="D900" s="182" t="s">
        <v>74</v>
      </c>
      <c r="E900" s="233" t="s">
        <v>3459</v>
      </c>
      <c r="F900" s="184"/>
      <c r="G900" s="185"/>
      <c r="H900" s="186"/>
      <c r="I900" s="186">
        <v>1</v>
      </c>
      <c r="J900" s="186"/>
      <c r="K900" s="187"/>
      <c r="L900" s="186"/>
      <c r="M900" s="186"/>
      <c r="N900" s="186"/>
      <c r="O900" s="187"/>
      <c r="P900" s="187"/>
      <c r="Q900" s="187"/>
      <c r="R900" s="187"/>
      <c r="S900" s="187"/>
      <c r="T900" s="187"/>
      <c r="U900" s="187"/>
      <c r="V900" s="187"/>
      <c r="W900" s="189" t="str">
        <f t="shared" si="1411"/>
        <v/>
      </c>
      <c r="X900" s="189"/>
      <c r="Y900" s="189"/>
      <c r="Z900" s="189"/>
      <c r="AA900" s="190"/>
      <c r="AB900" s="186"/>
      <c r="AC900" s="344"/>
      <c r="AD900" s="186"/>
      <c r="AE900" s="186"/>
      <c r="AF900" s="186"/>
      <c r="AG900" s="186"/>
      <c r="AH900" s="186"/>
      <c r="AI900" s="191"/>
      <c r="AJ900" s="191"/>
      <c r="AK900" s="186"/>
      <c r="AL900" s="186"/>
      <c r="AM900" s="186"/>
      <c r="AN900" s="344"/>
      <c r="AO900" s="186"/>
      <c r="AP900" s="193"/>
      <c r="AQ900" s="193"/>
      <c r="AR900" s="191"/>
      <c r="AS900" s="194"/>
      <c r="AT900" s="195"/>
      <c r="AU900" s="425"/>
      <c r="AV900" s="425"/>
      <c r="AW900" s="425"/>
      <c r="AX900" s="425"/>
      <c r="AY900" s="425"/>
      <c r="AZ900" s="425"/>
      <c r="BA900" s="425"/>
      <c r="BB900" s="425"/>
      <c r="BC900" s="440"/>
      <c r="BD900" s="404">
        <f>SUM($AS$4:AS900)</f>
        <v>4229.8495263348714</v>
      </c>
      <c r="BE900" s="407">
        <f>SUM($AR$4:AR900)</f>
        <v>18702.712000000243</v>
      </c>
      <c r="BF900" s="331"/>
      <c r="BG900" s="331"/>
    </row>
    <row r="901" spans="1:59" ht="15.75" customHeight="1">
      <c r="A901" s="227" t="s">
        <v>3383</v>
      </c>
      <c r="B901" s="181">
        <v>45141</v>
      </c>
      <c r="C901" s="182" t="s">
        <v>1709</v>
      </c>
      <c r="D901" s="182" t="s">
        <v>74</v>
      </c>
      <c r="E901" s="233" t="s">
        <v>3460</v>
      </c>
      <c r="F901" s="184"/>
      <c r="G901" s="185"/>
      <c r="H901" s="186"/>
      <c r="I901" s="186">
        <v>1</v>
      </c>
      <c r="J901" s="186"/>
      <c r="K901" s="187"/>
      <c r="L901" s="186"/>
      <c r="M901" s="186"/>
      <c r="N901" s="186"/>
      <c r="O901" s="187"/>
      <c r="P901" s="187"/>
      <c r="Q901" s="187"/>
      <c r="R901" s="187"/>
      <c r="S901" s="187"/>
      <c r="T901" s="187"/>
      <c r="U901" s="187"/>
      <c r="V901" s="187"/>
      <c r="W901" s="189" t="str">
        <f t="shared" si="1411"/>
        <v/>
      </c>
      <c r="X901" s="189"/>
      <c r="Y901" s="189"/>
      <c r="Z901" s="189"/>
      <c r="AA901" s="190"/>
      <c r="AB901" s="186"/>
      <c r="AC901" s="344"/>
      <c r="AD901" s="186"/>
      <c r="AE901" s="186"/>
      <c r="AF901" s="186"/>
      <c r="AG901" s="186"/>
      <c r="AH901" s="186"/>
      <c r="AI901" s="191"/>
      <c r="AJ901" s="191"/>
      <c r="AK901" s="186"/>
      <c r="AL901" s="186"/>
      <c r="AM901" s="186"/>
      <c r="AN901" s="344"/>
      <c r="AO901" s="186"/>
      <c r="AP901" s="193"/>
      <c r="AQ901" s="193"/>
      <c r="AR901" s="191"/>
      <c r="AS901" s="194"/>
      <c r="AT901" s="195"/>
      <c r="AU901" s="425"/>
      <c r="AV901" s="425"/>
      <c r="AW901" s="425"/>
      <c r="AX901" s="425"/>
      <c r="AY901" s="425"/>
      <c r="AZ901" s="425"/>
      <c r="BA901" s="425"/>
      <c r="BB901" s="425"/>
      <c r="BC901" s="440"/>
      <c r="BD901" s="404">
        <f>SUM($AS$4:AS901)</f>
        <v>4229.8495263348714</v>
      </c>
      <c r="BE901" s="407">
        <f>SUM($AR$4:AR901)</f>
        <v>18702.712000000243</v>
      </c>
      <c r="BF901" s="331"/>
      <c r="BG901" s="331"/>
    </row>
    <row r="902" spans="1:59" ht="15.75" customHeight="1">
      <c r="A902" s="227" t="s">
        <v>3383</v>
      </c>
      <c r="B902" s="181">
        <v>45142</v>
      </c>
      <c r="C902" s="182" t="s">
        <v>2642</v>
      </c>
      <c r="D902" s="182" t="s">
        <v>93</v>
      </c>
      <c r="E902" s="233"/>
      <c r="F902" s="184"/>
      <c r="G902" s="291" t="s">
        <v>2126</v>
      </c>
      <c r="H902" s="186"/>
      <c r="I902" s="186"/>
      <c r="J902" s="186"/>
      <c r="K902" s="187"/>
      <c r="L902" s="186">
        <v>1</v>
      </c>
      <c r="M902" s="186"/>
      <c r="N902" s="186"/>
      <c r="O902" s="187" t="s">
        <v>76</v>
      </c>
      <c r="P902" s="187" t="s">
        <v>77</v>
      </c>
      <c r="Q902" s="187" t="s">
        <v>78</v>
      </c>
      <c r="R902" s="187">
        <v>7</v>
      </c>
      <c r="S902" s="187">
        <v>0</v>
      </c>
      <c r="T902" s="187">
        <v>7</v>
      </c>
      <c r="U902" s="187" t="s">
        <v>78</v>
      </c>
      <c r="V902" s="188">
        <f t="shared" ref="V902" si="1421">IF(ISBLANK(O902),"",(IF(O902=UPPER("IB"),0.005,0.01)))</f>
        <v>0.01</v>
      </c>
      <c r="W902" s="189">
        <f t="shared" si="1411"/>
        <v>1600</v>
      </c>
      <c r="X902" s="189" t="s">
        <v>80</v>
      </c>
      <c r="Y902" s="189"/>
      <c r="Z902" s="189"/>
      <c r="AA902" s="190">
        <v>0.03</v>
      </c>
      <c r="AB902" s="186"/>
      <c r="AC902" s="344"/>
      <c r="AD902" s="186"/>
      <c r="AE902" s="186"/>
      <c r="AF902" s="186"/>
      <c r="AG902" s="186"/>
      <c r="AH902" s="186"/>
      <c r="AI902" s="191"/>
      <c r="AJ902" s="191"/>
      <c r="AK902" s="186"/>
      <c r="AL902" s="186"/>
      <c r="AM902" s="186" t="s">
        <v>3429</v>
      </c>
      <c r="AN902" s="344" t="s">
        <v>376</v>
      </c>
      <c r="AO902" s="186" t="s">
        <v>3461</v>
      </c>
      <c r="AP902" s="193">
        <v>0.03</v>
      </c>
      <c r="AQ902" s="193">
        <f t="shared" ref="AQ900:AQ902" si="1422">IF(ISBLANK(AP902),,IF(U902="S",AA902-AP902,AP902-AA902))</f>
        <v>0</v>
      </c>
      <c r="AR902" s="191">
        <f t="shared" ref="AR900:AR902" si="1423">AS902*R902</f>
        <v>0</v>
      </c>
      <c r="AS902" s="194">
        <f t="shared" ref="AS900:AS902" si="1424">IF(ISBLANK(AP902),,(AQ902*W902))</f>
        <v>0</v>
      </c>
      <c r="AT902" s="195" t="s">
        <v>97</v>
      </c>
      <c r="AU902" s="425" t="s">
        <v>3462</v>
      </c>
      <c r="AV902" s="425"/>
      <c r="AW902" s="425"/>
      <c r="AX902" s="425"/>
      <c r="AY902" s="425"/>
      <c r="AZ902" s="425"/>
      <c r="BA902" s="425"/>
      <c r="BB902" s="425"/>
      <c r="BC902" s="440"/>
      <c r="BD902" s="404">
        <f>SUM($AS$4:AS902)</f>
        <v>4229.8495263348714</v>
      </c>
      <c r="BE902" s="407">
        <f>SUM($AR$4:AR902)</f>
        <v>18702.712000000243</v>
      </c>
      <c r="BF902" s="331"/>
      <c r="BG902" s="331"/>
    </row>
    <row r="903" spans="1:59" ht="15.75" customHeight="1">
      <c r="A903" s="227" t="s">
        <v>3383</v>
      </c>
      <c r="B903" s="181">
        <v>45147</v>
      </c>
      <c r="C903" s="182" t="s">
        <v>3463</v>
      </c>
      <c r="D903" s="182" t="s">
        <v>133</v>
      </c>
      <c r="E903" s="233"/>
      <c r="F903" s="184"/>
      <c r="G903" s="185" t="s">
        <v>75</v>
      </c>
      <c r="H903" s="186"/>
      <c r="I903" s="186"/>
      <c r="J903" s="186"/>
      <c r="K903" s="187"/>
      <c r="L903" s="186">
        <v>1</v>
      </c>
      <c r="M903" s="186"/>
      <c r="N903" s="186"/>
      <c r="O903" s="187" t="s">
        <v>76</v>
      </c>
      <c r="P903" s="187" t="s">
        <v>77</v>
      </c>
      <c r="Q903" s="187" t="s">
        <v>78</v>
      </c>
      <c r="R903" s="187">
        <v>7</v>
      </c>
      <c r="S903" s="187">
        <v>0</v>
      </c>
      <c r="T903" s="187">
        <v>7</v>
      </c>
      <c r="U903" s="187" t="s">
        <v>78</v>
      </c>
      <c r="V903" s="188">
        <f t="shared" ref="V903:V904" si="1425">IF(ISBLANK(O903),"",(IF(O903=UPPER("IB"),0.005,0.01)))</f>
        <v>0.01</v>
      </c>
      <c r="W903" s="189">
        <f t="shared" ref="W903:W904" si="1426">IF(ISBLANK(O903),"",IF(O903="IB",8.63*200,IF(O903="IR",16*100,IF(O903="YT",20*100,IF(O903="YT-XT",24*200,IF(O903="TED",80*100))))))</f>
        <v>1600</v>
      </c>
      <c r="X903" s="189" t="s">
        <v>80</v>
      </c>
      <c r="Y903" s="189"/>
      <c r="Z903" s="189"/>
      <c r="AA903" s="190">
        <v>0.12</v>
      </c>
      <c r="AB903" s="186"/>
      <c r="AC903" s="344"/>
      <c r="AD903" s="186"/>
      <c r="AE903" s="186"/>
      <c r="AF903" s="186"/>
      <c r="AG903" s="186"/>
      <c r="AH903" s="186"/>
      <c r="AI903" s="191"/>
      <c r="AJ903" s="191"/>
      <c r="AK903" s="186"/>
      <c r="AL903" s="186"/>
      <c r="AM903" s="186" t="s">
        <v>1436</v>
      </c>
      <c r="AN903" s="344" t="s">
        <v>376</v>
      </c>
      <c r="AO903" s="186" t="s">
        <v>3464</v>
      </c>
      <c r="AP903" s="193">
        <v>0.12</v>
      </c>
      <c r="AQ903" s="193">
        <f t="shared" ref="AQ903" si="1427">IF(ISBLANK(AP903),,IF(U903="S",AA903-AP903,AP903-AA903))</f>
        <v>0</v>
      </c>
      <c r="AR903" s="191">
        <f t="shared" ref="AR903" si="1428">AS903*R903</f>
        <v>0</v>
      </c>
      <c r="AS903" s="194">
        <f t="shared" ref="AS903" si="1429">IF(ISBLANK(AP903),,(AQ903*W903))</f>
        <v>0</v>
      </c>
      <c r="AT903" s="195" t="s">
        <v>97</v>
      </c>
      <c r="AU903" s="425" t="s">
        <v>3465</v>
      </c>
      <c r="AV903" s="315"/>
      <c r="AW903" s="425"/>
      <c r="AX903" s="425"/>
      <c r="AY903" s="425"/>
      <c r="AZ903" s="425"/>
      <c r="BA903" s="425"/>
      <c r="BB903" s="425"/>
      <c r="BC903" s="440"/>
      <c r="BD903" s="404">
        <f>SUM($AS$4:AS903)</f>
        <v>4229.8495263348714</v>
      </c>
      <c r="BE903" s="407">
        <f>SUM($AR$4:AR903)</f>
        <v>18702.712000000243</v>
      </c>
      <c r="BF903" s="331"/>
      <c r="BG903" s="331"/>
    </row>
    <row r="904" spans="1:59" ht="15.75" customHeight="1">
      <c r="A904" s="227" t="s">
        <v>3383</v>
      </c>
      <c r="B904" s="181">
        <v>45147</v>
      </c>
      <c r="C904" s="182" t="s">
        <v>3466</v>
      </c>
      <c r="D904" s="182" t="s">
        <v>133</v>
      </c>
      <c r="E904" s="233"/>
      <c r="F904" s="184"/>
      <c r="G904" s="502" t="s">
        <v>3467</v>
      </c>
      <c r="H904" s="186"/>
      <c r="I904" s="186"/>
      <c r="J904" s="186"/>
      <c r="K904" s="187"/>
      <c r="L904" s="186">
        <v>1</v>
      </c>
      <c r="M904" s="186"/>
      <c r="N904" s="186"/>
      <c r="O904" s="187" t="s">
        <v>76</v>
      </c>
      <c r="P904" s="187" t="s">
        <v>119</v>
      </c>
      <c r="Q904" s="187" t="s">
        <v>238</v>
      </c>
      <c r="R904" s="187">
        <v>10</v>
      </c>
      <c r="S904" s="187">
        <v>0</v>
      </c>
      <c r="T904" s="187">
        <v>10</v>
      </c>
      <c r="U904" s="187" t="s">
        <v>78</v>
      </c>
      <c r="V904" s="188">
        <f t="shared" si="1425"/>
        <v>0.01</v>
      </c>
      <c r="W904" s="189">
        <f t="shared" si="1426"/>
        <v>1600</v>
      </c>
      <c r="X904" s="189" t="s">
        <v>80</v>
      </c>
      <c r="Y904" s="189"/>
      <c r="Z904" s="189" t="s">
        <v>3468</v>
      </c>
      <c r="AA904" s="190">
        <v>-0.02</v>
      </c>
      <c r="AB904" s="186"/>
      <c r="AC904" s="344"/>
      <c r="AD904" s="186"/>
      <c r="AE904" s="186"/>
      <c r="AF904" s="186"/>
      <c r="AG904" s="186"/>
      <c r="AH904" s="186"/>
      <c r="AI904" s="191">
        <f>-0.03*W904</f>
        <v>-48</v>
      </c>
      <c r="AJ904" s="191">
        <f t="shared" ref="AJ895:AJ916" si="1430">AI904*(R904-S904)</f>
        <v>-480</v>
      </c>
      <c r="AK904" s="186"/>
      <c r="AL904" s="186"/>
      <c r="AM904" s="186" t="s">
        <v>2454</v>
      </c>
      <c r="AN904" s="344" t="s">
        <v>97</v>
      </c>
      <c r="AO904" s="186" t="s">
        <v>3469</v>
      </c>
      <c r="AP904" s="193">
        <v>-0.02</v>
      </c>
      <c r="AQ904" s="193">
        <f t="shared" ref="AQ904:AQ913" si="1431">IF(ISBLANK(AP904),,IF(U904="S",AA904-AP904,AP904-AA904))</f>
        <v>0</v>
      </c>
      <c r="AR904" s="191">
        <f t="shared" ref="AR904:AR913" si="1432">AS904*R904</f>
        <v>0</v>
      </c>
      <c r="AS904" s="194">
        <f t="shared" ref="AS904:AS913" si="1433">IF(ISBLANK(AP904),,(AQ904*W904))</f>
        <v>0</v>
      </c>
      <c r="AT904" s="195" t="s">
        <v>97</v>
      </c>
      <c r="AU904" s="425" t="s">
        <v>3470</v>
      </c>
      <c r="AV904" s="425" t="s">
        <v>3471</v>
      </c>
      <c r="AW904" s="425" t="s">
        <v>3472</v>
      </c>
      <c r="AX904" s="425" t="s">
        <v>3473</v>
      </c>
      <c r="AY904" s="425"/>
      <c r="AZ904" s="425"/>
      <c r="BA904" s="425"/>
      <c r="BB904" s="425"/>
      <c r="BC904" s="440"/>
      <c r="BD904" s="404">
        <f>SUM($AS$4:AS904)</f>
        <v>4229.8495263348714</v>
      </c>
      <c r="BE904" s="407">
        <f>SUM($AR$4:AR904)</f>
        <v>18702.712000000243</v>
      </c>
      <c r="BF904" s="331"/>
      <c r="BG904" s="331"/>
    </row>
    <row r="905" spans="1:59" ht="15.75" customHeight="1">
      <c r="A905" s="227" t="s">
        <v>3383</v>
      </c>
      <c r="B905" s="181"/>
      <c r="C905" s="182"/>
      <c r="D905" s="182"/>
      <c r="E905" s="233"/>
      <c r="F905" s="184"/>
      <c r="G905" s="185"/>
      <c r="H905" s="186"/>
      <c r="I905" s="186"/>
      <c r="J905" s="186"/>
      <c r="K905" s="187"/>
      <c r="L905" s="186"/>
      <c r="M905" s="186"/>
      <c r="N905" s="186"/>
      <c r="O905" s="187"/>
      <c r="P905" s="187"/>
      <c r="Q905" s="187"/>
      <c r="R905" s="187"/>
      <c r="S905" s="187"/>
      <c r="T905" s="187"/>
      <c r="U905" s="187"/>
      <c r="V905" s="187"/>
      <c r="W905" s="189" t="str">
        <f t="shared" si="1411"/>
        <v/>
      </c>
      <c r="X905" s="189"/>
      <c r="Y905" s="189"/>
      <c r="Z905" s="189"/>
      <c r="AA905" s="190"/>
      <c r="AB905" s="186"/>
      <c r="AC905" s="344"/>
      <c r="AD905" s="186"/>
      <c r="AE905" s="186"/>
      <c r="AF905" s="186"/>
      <c r="AG905" s="186"/>
      <c r="AH905" s="186"/>
      <c r="AI905" s="191"/>
      <c r="AJ905" s="191"/>
      <c r="AK905" s="186"/>
      <c r="AL905" s="186"/>
      <c r="AM905" s="186"/>
      <c r="AN905" s="344"/>
      <c r="AO905" s="186"/>
      <c r="AP905" s="193"/>
      <c r="AQ905" s="193"/>
      <c r="AR905" s="191"/>
      <c r="AS905" s="194"/>
      <c r="AT905" s="195"/>
      <c r="AU905" s="425" t="s">
        <v>3474</v>
      </c>
      <c r="AV905" s="425" t="s">
        <v>3475</v>
      </c>
      <c r="AW905" s="425" t="s">
        <v>3476</v>
      </c>
      <c r="AX905" s="425"/>
      <c r="AY905" s="425"/>
      <c r="AZ905" s="425"/>
      <c r="BA905" s="425"/>
      <c r="BB905" s="425"/>
      <c r="BC905" s="440"/>
      <c r="BD905" s="404">
        <f>SUM($AS$4:AS905)</f>
        <v>4229.8495263348714</v>
      </c>
      <c r="BE905" s="407">
        <f>SUM($AR$4:AR905)</f>
        <v>18702.712000000243</v>
      </c>
      <c r="BF905" s="331"/>
      <c r="BG905" s="331"/>
    </row>
    <row r="906" spans="1:59" ht="15.75" customHeight="1">
      <c r="A906" s="227" t="s">
        <v>3383</v>
      </c>
      <c r="B906" s="181">
        <v>45148</v>
      </c>
      <c r="C906" s="182" t="s">
        <v>3477</v>
      </c>
      <c r="D906" s="182" t="s">
        <v>74</v>
      </c>
      <c r="E906" s="233"/>
      <c r="F906" s="184"/>
      <c r="G906" s="291" t="s">
        <v>2126</v>
      </c>
      <c r="H906" s="186"/>
      <c r="I906" s="186"/>
      <c r="J906" s="186"/>
      <c r="K906" s="187"/>
      <c r="L906" s="186">
        <v>1</v>
      </c>
      <c r="M906" s="186"/>
      <c r="N906" s="186"/>
      <c r="O906" s="187" t="s">
        <v>76</v>
      </c>
      <c r="P906" s="187" t="s">
        <v>77</v>
      </c>
      <c r="Q906" s="187" t="s">
        <v>78</v>
      </c>
      <c r="R906" s="187">
        <v>5</v>
      </c>
      <c r="S906" s="187">
        <v>0</v>
      </c>
      <c r="T906" s="187">
        <v>5</v>
      </c>
      <c r="U906" s="187" t="s">
        <v>22</v>
      </c>
      <c r="V906" s="188">
        <f t="shared" ref="V906" si="1434">IF(ISBLANK(O906),"",(IF(O906=UPPER("IB"),0.005,0.01)))</f>
        <v>0.01</v>
      </c>
      <c r="W906" s="189">
        <f t="shared" si="1411"/>
        <v>1600</v>
      </c>
      <c r="X906" s="189" t="s">
        <v>80</v>
      </c>
      <c r="Y906" s="189"/>
      <c r="Z906" s="189" t="s">
        <v>3478</v>
      </c>
      <c r="AA906" s="190">
        <v>0.02</v>
      </c>
      <c r="AB906" s="186"/>
      <c r="AC906" s="344"/>
      <c r="AD906" s="186"/>
      <c r="AE906" s="186"/>
      <c r="AF906" s="186"/>
      <c r="AG906" s="186"/>
      <c r="AH906" s="186"/>
      <c r="AI906" s="191"/>
      <c r="AJ906" s="191"/>
      <c r="AK906" s="186"/>
      <c r="AL906" s="186"/>
      <c r="AM906" s="186" t="s">
        <v>1566</v>
      </c>
      <c r="AN906" s="344" t="s">
        <v>87</v>
      </c>
      <c r="AO906" s="186" t="s">
        <v>3479</v>
      </c>
      <c r="AP906" s="193">
        <v>0.03</v>
      </c>
      <c r="AQ906" s="193">
        <f t="shared" si="1431"/>
        <v>9.9999999999999985E-3</v>
      </c>
      <c r="AR906" s="191">
        <f t="shared" si="1432"/>
        <v>79.999999999999986</v>
      </c>
      <c r="AS906" s="194">
        <f t="shared" si="1433"/>
        <v>15.999999999999998</v>
      </c>
      <c r="AT906" s="195" t="s">
        <v>77</v>
      </c>
      <c r="AU906" s="425" t="s">
        <v>3480</v>
      </c>
      <c r="AV906" s="425"/>
      <c r="AW906" s="425"/>
      <c r="AX906" s="425"/>
      <c r="AY906" s="425"/>
      <c r="AZ906" s="425"/>
      <c r="BA906" s="425"/>
      <c r="BB906" s="425"/>
      <c r="BC906" s="440"/>
      <c r="BD906" s="404"/>
      <c r="BE906" s="405">
        <f>SUM($AR$4:AR906)</f>
        <v>18782.712000000243</v>
      </c>
      <c r="BF906" s="330"/>
      <c r="BG906" s="330"/>
    </row>
    <row r="907" spans="1:59" ht="15.75" customHeight="1">
      <c r="A907" s="227" t="s">
        <v>3383</v>
      </c>
      <c r="B907" s="181">
        <v>45148</v>
      </c>
      <c r="C907" s="182" t="s">
        <v>1695</v>
      </c>
      <c r="D907" s="182" t="s">
        <v>74</v>
      </c>
      <c r="E907" s="233" t="s">
        <v>3481</v>
      </c>
      <c r="F907" s="184"/>
      <c r="G907" s="185"/>
      <c r="H907" s="186"/>
      <c r="I907" s="186"/>
      <c r="J907" s="186"/>
      <c r="K907" s="187"/>
      <c r="L907" s="186"/>
      <c r="M907" s="186"/>
      <c r="N907" s="186"/>
      <c r="O907" s="187"/>
      <c r="P907" s="187"/>
      <c r="Q907" s="187"/>
      <c r="R907" s="187"/>
      <c r="S907" s="187"/>
      <c r="T907" s="187"/>
      <c r="U907" s="187"/>
      <c r="V907" s="187"/>
      <c r="W907" s="189" t="str">
        <f t="shared" si="1411"/>
        <v/>
      </c>
      <c r="X907" s="189"/>
      <c r="Y907" s="189"/>
      <c r="Z907" s="189"/>
      <c r="AA907" s="190"/>
      <c r="AB907" s="186"/>
      <c r="AC907" s="344"/>
      <c r="AD907" s="186"/>
      <c r="AE907" s="186"/>
      <c r="AF907" s="186"/>
      <c r="AG907" s="186"/>
      <c r="AH907" s="186"/>
      <c r="AI907" s="191"/>
      <c r="AJ907" s="191"/>
      <c r="AK907" s="186"/>
      <c r="AL907" s="186"/>
      <c r="AM907" s="186"/>
      <c r="AN907" s="344"/>
      <c r="AO907" s="186"/>
      <c r="AP907" s="193"/>
      <c r="AQ907" s="193"/>
      <c r="AR907" s="191"/>
      <c r="AS907" s="194"/>
      <c r="AT907" s="195"/>
      <c r="AU907" s="425" t="s">
        <v>3482</v>
      </c>
      <c r="AV907" s="425" t="s">
        <v>3483</v>
      </c>
      <c r="AW907" s="425"/>
      <c r="AX907" s="425"/>
      <c r="AY907" s="425"/>
      <c r="AZ907" s="425"/>
      <c r="BA907" s="425"/>
      <c r="BB907" s="425"/>
      <c r="BC907" s="440"/>
      <c r="BD907" s="404">
        <f>SUM($AS$4:AS907)</f>
        <v>4245.8495263348714</v>
      </c>
      <c r="BE907" s="407">
        <f>SUM($AR$4:AR907)</f>
        <v>18782.712000000243</v>
      </c>
      <c r="BF907" s="331"/>
      <c r="BG907" s="331"/>
    </row>
    <row r="908" spans="1:59" ht="15.75" customHeight="1">
      <c r="A908" s="227" t="s">
        <v>3383</v>
      </c>
      <c r="B908" s="181"/>
      <c r="C908" s="182"/>
      <c r="D908" s="182"/>
      <c r="E908" s="233" t="s">
        <v>3484</v>
      </c>
      <c r="F908" s="184"/>
      <c r="G908" s="185"/>
      <c r="H908" s="186"/>
      <c r="I908" s="186"/>
      <c r="J908" s="186"/>
      <c r="K908" s="187"/>
      <c r="L908" s="186"/>
      <c r="M908" s="186"/>
      <c r="N908" s="186"/>
      <c r="O908" s="187"/>
      <c r="P908" s="187"/>
      <c r="Q908" s="187"/>
      <c r="R908" s="187"/>
      <c r="S908" s="187"/>
      <c r="T908" s="187"/>
      <c r="U908" s="187"/>
      <c r="V908" s="187"/>
      <c r="W908" s="189" t="str">
        <f t="shared" si="1411"/>
        <v/>
      </c>
      <c r="X908" s="189"/>
      <c r="Y908" s="189"/>
      <c r="Z908" s="189"/>
      <c r="AA908" s="190"/>
      <c r="AB908" s="186"/>
      <c r="AC908" s="344"/>
      <c r="AD908" s="186"/>
      <c r="AE908" s="186"/>
      <c r="AF908" s="186"/>
      <c r="AG908" s="186"/>
      <c r="AH908" s="186"/>
      <c r="AI908" s="191"/>
      <c r="AJ908" s="191"/>
      <c r="AK908" s="186"/>
      <c r="AL908" s="186"/>
      <c r="AM908" s="186"/>
      <c r="AN908" s="344"/>
      <c r="AO908" s="186"/>
      <c r="AP908" s="193"/>
      <c r="AQ908" s="193"/>
      <c r="AR908" s="191"/>
      <c r="AS908" s="194"/>
      <c r="AT908" s="195"/>
      <c r="AU908" s="425"/>
      <c r="AV908" s="425"/>
      <c r="AW908" s="425"/>
      <c r="AX908" s="425"/>
      <c r="AY908" s="425"/>
      <c r="AZ908" s="425"/>
      <c r="BA908" s="425"/>
      <c r="BB908" s="425"/>
      <c r="BC908" s="440"/>
      <c r="BD908" s="404">
        <f>SUM($AS$4:AS908)</f>
        <v>4245.8495263348714</v>
      </c>
      <c r="BE908" s="407">
        <f>SUM($AR$4:AR908)</f>
        <v>18782.712000000243</v>
      </c>
      <c r="BF908" s="331"/>
      <c r="BG908" s="331"/>
    </row>
    <row r="909" spans="1:59" ht="15.75" customHeight="1">
      <c r="A909" s="227" t="s">
        <v>3383</v>
      </c>
      <c r="B909" s="181"/>
      <c r="C909" s="182"/>
      <c r="D909" s="182"/>
      <c r="E909" s="233" t="s">
        <v>3485</v>
      </c>
      <c r="F909" s="184"/>
      <c r="G909" s="185"/>
      <c r="H909" s="186"/>
      <c r="I909" s="186"/>
      <c r="J909" s="186">
        <v>1</v>
      </c>
      <c r="K909" s="187" t="s">
        <v>97</v>
      </c>
      <c r="L909" s="186"/>
      <c r="M909" s="186"/>
      <c r="N909" s="186"/>
      <c r="O909" s="187"/>
      <c r="P909" s="187"/>
      <c r="Q909" s="187"/>
      <c r="R909" s="187"/>
      <c r="S909" s="187"/>
      <c r="T909" s="187"/>
      <c r="U909" s="187"/>
      <c r="V909" s="187"/>
      <c r="W909" s="189" t="str">
        <f t="shared" si="1411"/>
        <v/>
      </c>
      <c r="X909" s="189"/>
      <c r="Y909" s="189"/>
      <c r="Z909" s="189"/>
      <c r="AA909" s="190"/>
      <c r="AB909" s="186"/>
      <c r="AC909" s="344"/>
      <c r="AD909" s="186"/>
      <c r="AE909" s="186"/>
      <c r="AF909" s="186"/>
      <c r="AG909" s="186"/>
      <c r="AH909" s="186"/>
      <c r="AI909" s="191"/>
      <c r="AJ909" s="191"/>
      <c r="AK909" s="186"/>
      <c r="AL909" s="186"/>
      <c r="AM909" s="186"/>
      <c r="AN909" s="344"/>
      <c r="AO909" s="186"/>
      <c r="AP909" s="193"/>
      <c r="AQ909" s="193"/>
      <c r="AR909" s="191"/>
      <c r="AS909" s="194"/>
      <c r="AT909" s="195"/>
      <c r="AU909" s="425"/>
      <c r="AV909" s="425"/>
      <c r="AW909" s="425"/>
      <c r="AX909" s="425"/>
      <c r="AY909" s="425"/>
      <c r="AZ909" s="425"/>
      <c r="BA909" s="425"/>
      <c r="BB909" s="425"/>
      <c r="BC909" s="440"/>
      <c r="BD909" s="404">
        <f>SUM($AS$4:AS909)</f>
        <v>4245.8495263348714</v>
      </c>
      <c r="BE909" s="407">
        <f>SUM($AR$4:AR909)</f>
        <v>18782.712000000243</v>
      </c>
      <c r="BF909" s="331"/>
      <c r="BG909" s="331"/>
    </row>
    <row r="910" spans="1:59" ht="15.75" customHeight="1">
      <c r="A910" s="227" t="s">
        <v>3383</v>
      </c>
      <c r="B910" s="181"/>
      <c r="C910" s="182"/>
      <c r="D910" s="182"/>
      <c r="E910" s="233" t="s">
        <v>3486</v>
      </c>
      <c r="F910" s="184"/>
      <c r="G910" s="185"/>
      <c r="H910" s="186"/>
      <c r="I910" s="186"/>
      <c r="J910" s="186">
        <v>1</v>
      </c>
      <c r="K910" s="187" t="s">
        <v>97</v>
      </c>
      <c r="L910" s="186"/>
      <c r="M910" s="186"/>
      <c r="N910" s="186"/>
      <c r="O910" s="187"/>
      <c r="P910" s="187"/>
      <c r="Q910" s="187"/>
      <c r="R910" s="187"/>
      <c r="S910" s="187"/>
      <c r="T910" s="187"/>
      <c r="U910" s="187"/>
      <c r="V910" s="187"/>
      <c r="W910" s="189" t="str">
        <f t="shared" si="1411"/>
        <v/>
      </c>
      <c r="X910" s="189"/>
      <c r="Y910" s="189"/>
      <c r="Z910" s="189"/>
      <c r="AA910" s="190"/>
      <c r="AB910" s="186"/>
      <c r="AC910" s="344"/>
      <c r="AD910" s="186"/>
      <c r="AE910" s="186"/>
      <c r="AF910" s="186"/>
      <c r="AG910" s="186"/>
      <c r="AH910" s="186"/>
      <c r="AI910" s="191"/>
      <c r="AJ910" s="191"/>
      <c r="AK910" s="186"/>
      <c r="AL910" s="186"/>
      <c r="AM910" s="186"/>
      <c r="AN910" s="344"/>
      <c r="AO910" s="186"/>
      <c r="AP910" s="193"/>
      <c r="AQ910" s="193"/>
      <c r="AR910" s="191"/>
      <c r="AS910" s="194"/>
      <c r="AT910" s="195"/>
      <c r="AU910" s="425"/>
      <c r="AV910" s="425"/>
      <c r="AW910" s="425"/>
      <c r="AX910" s="425"/>
      <c r="AY910" s="425"/>
      <c r="AZ910" s="425"/>
      <c r="BA910" s="425"/>
      <c r="BB910" s="425"/>
      <c r="BC910" s="440"/>
      <c r="BD910" s="404">
        <f>SUM($AS$4:AS910)</f>
        <v>4245.8495263348714</v>
      </c>
      <c r="BE910" s="407">
        <f>SUM($AR$4:AR910)</f>
        <v>18782.712000000243</v>
      </c>
      <c r="BF910" s="331"/>
      <c r="BG910" s="331"/>
    </row>
    <row r="911" spans="1:59" ht="15.75" customHeight="1">
      <c r="A911" s="227" t="s">
        <v>3383</v>
      </c>
      <c r="B911" s="181"/>
      <c r="C911" s="182"/>
      <c r="D911" s="182"/>
      <c r="E911" s="233" t="s">
        <v>3487</v>
      </c>
      <c r="F911" s="184"/>
      <c r="G911" s="185"/>
      <c r="H911" s="186">
        <v>1</v>
      </c>
      <c r="I911" s="186"/>
      <c r="J911" s="186"/>
      <c r="K911" s="187" t="s">
        <v>97</v>
      </c>
      <c r="L911" s="186"/>
      <c r="M911" s="186"/>
      <c r="N911" s="186"/>
      <c r="O911" s="187"/>
      <c r="P911" s="187"/>
      <c r="Q911" s="187"/>
      <c r="R911" s="187"/>
      <c r="S911" s="187"/>
      <c r="T911" s="187"/>
      <c r="U911" s="187"/>
      <c r="V911" s="187"/>
      <c r="W911" s="189" t="str">
        <f t="shared" si="1411"/>
        <v/>
      </c>
      <c r="X911" s="189"/>
      <c r="Y911" s="189"/>
      <c r="Z911" s="189"/>
      <c r="AA911" s="190"/>
      <c r="AB911" s="186"/>
      <c r="AC911" s="344"/>
      <c r="AD911" s="186"/>
      <c r="AE911" s="186"/>
      <c r="AF911" s="186"/>
      <c r="AG911" s="186"/>
      <c r="AH911" s="186"/>
      <c r="AI911" s="191"/>
      <c r="AJ911" s="191"/>
      <c r="AK911" s="186"/>
      <c r="AL911" s="186"/>
      <c r="AM911" s="186"/>
      <c r="AN911" s="344"/>
      <c r="AO911" s="186"/>
      <c r="AP911" s="193"/>
      <c r="AQ911" s="193"/>
      <c r="AR911" s="191"/>
      <c r="AS911" s="194"/>
      <c r="AT911" s="195"/>
      <c r="AU911" s="425"/>
      <c r="AV911" s="425"/>
      <c r="AW911" s="425"/>
      <c r="AX911" s="425"/>
      <c r="AY911" s="425"/>
      <c r="AZ911" s="425"/>
      <c r="BA911" s="425"/>
      <c r="BB911" s="425"/>
      <c r="BC911" s="440"/>
      <c r="BD911" s="404">
        <f>SUM($AS$4:AS911)</f>
        <v>4245.8495263348714</v>
      </c>
      <c r="BE911" s="407">
        <f>SUM($AR$4:AR911)</f>
        <v>18782.712000000243</v>
      </c>
      <c r="BF911" s="331"/>
      <c r="BG911" s="331"/>
    </row>
    <row r="912" spans="1:59" ht="15.75" customHeight="1">
      <c r="A912" s="227" t="s">
        <v>3383</v>
      </c>
      <c r="B912" s="181">
        <v>45148</v>
      </c>
      <c r="C912" s="182" t="s">
        <v>3488</v>
      </c>
      <c r="D912" s="182" t="s">
        <v>74</v>
      </c>
      <c r="E912" s="233"/>
      <c r="F912" s="184"/>
      <c r="G912" s="185" t="s">
        <v>2549</v>
      </c>
      <c r="H912" s="186"/>
      <c r="I912" s="186"/>
      <c r="J912" s="186"/>
      <c r="K912" s="187"/>
      <c r="L912" s="186"/>
      <c r="M912" s="186"/>
      <c r="N912" s="186"/>
      <c r="O912" s="187"/>
      <c r="P912" s="187"/>
      <c r="Q912" s="187"/>
      <c r="R912" s="187"/>
      <c r="S912" s="187"/>
      <c r="T912" s="187"/>
      <c r="U912" s="187"/>
      <c r="V912" s="188"/>
      <c r="W912" s="189"/>
      <c r="X912" s="189"/>
      <c r="Y912" s="189"/>
      <c r="Z912" s="189"/>
      <c r="AA912" s="190"/>
      <c r="AB912" s="186"/>
      <c r="AC912" s="344"/>
      <c r="AD912" s="186"/>
      <c r="AE912" s="186"/>
      <c r="AF912" s="186"/>
      <c r="AG912" s="186"/>
      <c r="AH912" s="186"/>
      <c r="AI912" s="191"/>
      <c r="AJ912" s="191"/>
      <c r="AK912" s="186"/>
      <c r="AL912" s="186"/>
      <c r="AM912" s="186"/>
      <c r="AN912" s="344"/>
      <c r="AO912" s="186"/>
      <c r="AP912" s="193"/>
      <c r="AQ912" s="193"/>
      <c r="AR912" s="191"/>
      <c r="AS912" s="194"/>
      <c r="AT912" s="195"/>
      <c r="AU912" s="425"/>
      <c r="AV912" s="425"/>
      <c r="AW912" s="425"/>
      <c r="AX912" s="425"/>
      <c r="AY912" s="425"/>
      <c r="AZ912" s="425"/>
      <c r="BA912" s="425"/>
      <c r="BB912" s="425"/>
      <c r="BC912" s="440"/>
      <c r="BD912" s="404">
        <f>SUM($AS$4:AS912)</f>
        <v>4245.8495263348714</v>
      </c>
      <c r="BE912" s="407">
        <f>SUM($AR$4:AR912)</f>
        <v>18782.712000000243</v>
      </c>
      <c r="BF912" s="331"/>
      <c r="BG912" s="331"/>
    </row>
    <row r="913" spans="1:59" ht="15.75" customHeight="1">
      <c r="A913" s="227" t="s">
        <v>3383</v>
      </c>
      <c r="B913" s="181">
        <v>45148</v>
      </c>
      <c r="C913" s="182" t="s">
        <v>3489</v>
      </c>
      <c r="D913" s="182" t="s">
        <v>74</v>
      </c>
      <c r="E913" s="233"/>
      <c r="F913" s="184"/>
      <c r="G913" s="291" t="s">
        <v>3490</v>
      </c>
      <c r="H913" s="186"/>
      <c r="I913" s="186"/>
      <c r="J913" s="186"/>
      <c r="K913" s="187"/>
      <c r="L913" s="186">
        <v>1</v>
      </c>
      <c r="M913" s="186"/>
      <c r="N913" s="186"/>
      <c r="O913" s="187" t="s">
        <v>76</v>
      </c>
      <c r="P913" s="187" t="s">
        <v>77</v>
      </c>
      <c r="Q913" s="187" t="s">
        <v>78</v>
      </c>
      <c r="R913" s="187">
        <v>7</v>
      </c>
      <c r="S913" s="187">
        <v>0</v>
      </c>
      <c r="T913" s="187">
        <v>7</v>
      </c>
      <c r="U913" s="187" t="s">
        <v>22</v>
      </c>
      <c r="V913" s="188">
        <f t="shared" ref="V913" si="1435">IF(ISBLANK(O913),"",(IF(O913=UPPER("IB"),0.005,0.01)))</f>
        <v>0.01</v>
      </c>
      <c r="W913" s="189">
        <f t="shared" ref="W913" si="1436">IF(ISBLANK(O913),"",IF(O913="IB",8.63*200,IF(O913="IR",16*100,IF(O913="YT",20*100,IF(O913="YT-XT",24*200,IF(O913="TED",80*100))))))</f>
        <v>1600</v>
      </c>
      <c r="X913" s="189" t="s">
        <v>80</v>
      </c>
      <c r="Y913" s="189"/>
      <c r="Z913" s="189"/>
      <c r="AA913" s="190">
        <v>-0.15</v>
      </c>
      <c r="AB913" s="186"/>
      <c r="AC913" s="344"/>
      <c r="AD913" s="186"/>
      <c r="AE913" s="186"/>
      <c r="AF913" s="186"/>
      <c r="AG913" s="186"/>
      <c r="AH913" s="186"/>
      <c r="AI913" s="191">
        <f t="shared" ref="AI895:AI916" si="1437">-0.035*W913</f>
        <v>-56.000000000000007</v>
      </c>
      <c r="AJ913" s="191">
        <f t="shared" si="1430"/>
        <v>-392.00000000000006</v>
      </c>
      <c r="AK913" s="186"/>
      <c r="AL913" s="186"/>
      <c r="AM913" s="186" t="s">
        <v>3491</v>
      </c>
      <c r="AN913" s="344" t="s">
        <v>87</v>
      </c>
      <c r="AO913" s="186" t="s">
        <v>2557</v>
      </c>
      <c r="AP913" s="193">
        <v>-0.14000000000000001</v>
      </c>
      <c r="AQ913" s="193">
        <f t="shared" si="1431"/>
        <v>9.9999999999999811E-3</v>
      </c>
      <c r="AR913" s="191">
        <f t="shared" si="1432"/>
        <v>111.99999999999979</v>
      </c>
      <c r="AS913" s="194">
        <f t="shared" si="1433"/>
        <v>15.99999999999997</v>
      </c>
      <c r="AT913" s="195" t="s">
        <v>77</v>
      </c>
      <c r="AU913" s="425"/>
      <c r="AV913" s="425"/>
      <c r="AW913" s="425"/>
      <c r="AX913" s="425"/>
      <c r="AY913" s="425"/>
      <c r="AZ913" s="425"/>
      <c r="BA913" s="425"/>
      <c r="BB913" s="425"/>
      <c r="BC913" s="440"/>
      <c r="BD913" s="404">
        <f>SUM($AS$4:AS913)</f>
        <v>4261.8495263348714</v>
      </c>
      <c r="BE913" s="407">
        <f>SUM($AR$4:AR913)</f>
        <v>18894.712000000243</v>
      </c>
      <c r="BF913" s="331"/>
      <c r="BG913" s="331"/>
    </row>
    <row r="914" spans="1:59" ht="15.75" customHeight="1">
      <c r="A914" s="227" t="s">
        <v>3383</v>
      </c>
      <c r="B914" s="181">
        <v>45149</v>
      </c>
      <c r="C914" s="182" t="s">
        <v>3492</v>
      </c>
      <c r="D914" s="182" t="s">
        <v>93</v>
      </c>
      <c r="E914" s="233"/>
      <c r="F914" s="184"/>
      <c r="G914" s="291" t="s">
        <v>75</v>
      </c>
      <c r="H914" s="186"/>
      <c r="I914" s="186"/>
      <c r="J914" s="186"/>
      <c r="K914" s="187"/>
      <c r="L914" s="186">
        <v>1</v>
      </c>
      <c r="M914" s="186"/>
      <c r="N914" s="186"/>
      <c r="O914" s="187" t="s">
        <v>76</v>
      </c>
      <c r="P914" s="187" t="s">
        <v>77</v>
      </c>
      <c r="Q914" s="187" t="s">
        <v>78</v>
      </c>
      <c r="R914" s="187">
        <v>10</v>
      </c>
      <c r="S914" s="187">
        <v>6</v>
      </c>
      <c r="T914" s="187">
        <v>7</v>
      </c>
      <c r="U914" s="187" t="s">
        <v>78</v>
      </c>
      <c r="V914" s="188">
        <f t="shared" ref="V914:V915" si="1438">IF(ISBLANK(O914),"",(IF(O914=UPPER("IB"),0.005,0.01)))</f>
        <v>0.01</v>
      </c>
      <c r="W914" s="189">
        <f t="shared" ref="W914:W915" si="1439">IF(ISBLANK(O914),"",IF(O914="IB",8.63*200,IF(O914="IR",16*100,IF(O914="YT",20*100,IF(O914="YT-XT",24*200,IF(O914="TED",80*100))))))</f>
        <v>1600</v>
      </c>
      <c r="X914" s="189" t="s">
        <v>3493</v>
      </c>
      <c r="Y914" s="189"/>
      <c r="Z914" s="189"/>
      <c r="AA914" s="190">
        <f>(7*0.14+3*0.13)/10</f>
        <v>0.13700000000000001</v>
      </c>
      <c r="AB914" s="186"/>
      <c r="AC914" s="344"/>
      <c r="AD914" s="186"/>
      <c r="AE914" s="186"/>
      <c r="AF914" s="186"/>
      <c r="AG914" s="186"/>
      <c r="AH914" s="186"/>
      <c r="AI914" s="191">
        <f>-0.03*W914</f>
        <v>-48</v>
      </c>
      <c r="AJ914" s="191">
        <f t="shared" si="1430"/>
        <v>-192</v>
      </c>
      <c r="AK914" s="186"/>
      <c r="AL914" s="186"/>
      <c r="AM914" s="186" t="s">
        <v>786</v>
      </c>
      <c r="AN914" s="344" t="s">
        <v>97</v>
      </c>
      <c r="AO914" s="186" t="s">
        <v>3494</v>
      </c>
      <c r="AP914" s="193">
        <f>((0.13*6+0.14*4))/10</f>
        <v>0.13400000000000001</v>
      </c>
      <c r="AQ914" s="193">
        <f t="shared" ref="AQ914:AQ915" si="1440">IF(ISBLANK(AP914),,IF(U914="S",AA914-AP914,AP914-AA914))</f>
        <v>3.0000000000000027E-3</v>
      </c>
      <c r="AR914" s="191">
        <f t="shared" ref="AR914:AR915" si="1441">AS914*R914</f>
        <v>48.000000000000043</v>
      </c>
      <c r="AS914" s="194">
        <f t="shared" ref="AS914:AS915" si="1442">IF(ISBLANK(AP914),,(AQ914*W914))</f>
        <v>4.8000000000000043</v>
      </c>
      <c r="AT914" s="195" t="s">
        <v>77</v>
      </c>
      <c r="AU914" s="427" t="s">
        <v>3495</v>
      </c>
      <c r="AV914" s="425"/>
      <c r="AW914" s="425"/>
      <c r="AX914" s="425"/>
      <c r="AY914" s="425"/>
      <c r="AZ914" s="425"/>
      <c r="BA914" s="425"/>
      <c r="BB914" s="425"/>
      <c r="BC914" s="440"/>
      <c r="BD914" s="404">
        <f>SUM($AS$4:AS914)</f>
        <v>4266.6495263348716</v>
      </c>
      <c r="BE914" s="407">
        <f>SUM($AR$4:AR914)</f>
        <v>18942.712000000243</v>
      </c>
      <c r="BF914" s="331"/>
      <c r="BG914" s="331"/>
    </row>
    <row r="915" spans="1:59" ht="15.75" customHeight="1">
      <c r="A915" s="227" t="s">
        <v>3383</v>
      </c>
      <c r="B915" s="181">
        <v>45149</v>
      </c>
      <c r="C915" s="182" t="s">
        <v>2669</v>
      </c>
      <c r="D915" s="182" t="s">
        <v>93</v>
      </c>
      <c r="E915" s="233"/>
      <c r="F915" s="184"/>
      <c r="G915" s="503" t="s">
        <v>3107</v>
      </c>
      <c r="H915" s="186"/>
      <c r="I915" s="186"/>
      <c r="J915" s="186"/>
      <c r="K915" s="187"/>
      <c r="L915" s="186">
        <v>1</v>
      </c>
      <c r="M915" s="186"/>
      <c r="N915" s="186"/>
      <c r="O915" s="187" t="s">
        <v>76</v>
      </c>
      <c r="P915" s="187" t="s">
        <v>77</v>
      </c>
      <c r="Q915" s="187" t="s">
        <v>238</v>
      </c>
      <c r="R915" s="187">
        <v>7</v>
      </c>
      <c r="S915" s="187">
        <v>2</v>
      </c>
      <c r="T915" s="187">
        <v>7</v>
      </c>
      <c r="U915" s="187" t="s">
        <v>22</v>
      </c>
      <c r="V915" s="188">
        <f t="shared" si="1438"/>
        <v>0.01</v>
      </c>
      <c r="W915" s="189">
        <f t="shared" si="1439"/>
        <v>1600</v>
      </c>
      <c r="X915" s="189" t="s">
        <v>3496</v>
      </c>
      <c r="Y915" s="189"/>
      <c r="Z915" s="189" t="s">
        <v>3497</v>
      </c>
      <c r="AA915" s="190">
        <v>-0.03</v>
      </c>
      <c r="AB915" s="186"/>
      <c r="AC915" s="344"/>
      <c r="AD915" s="186"/>
      <c r="AE915" s="186"/>
      <c r="AF915" s="186"/>
      <c r="AG915" s="186"/>
      <c r="AH915" s="186"/>
      <c r="AI915" s="191">
        <f>-0.025*W915</f>
        <v>-40</v>
      </c>
      <c r="AJ915" s="191">
        <f t="shared" si="1430"/>
        <v>-200</v>
      </c>
      <c r="AK915" s="186"/>
      <c r="AL915" s="186"/>
      <c r="AM915" s="186" t="s">
        <v>981</v>
      </c>
      <c r="AN915" s="344" t="s">
        <v>97</v>
      </c>
      <c r="AO915" s="186" t="s">
        <v>3498</v>
      </c>
      <c r="AP915" s="193">
        <f>((-0.01*2)+(-0.05*5))/7</f>
        <v>-3.8571428571428576E-2</v>
      </c>
      <c r="AQ915" s="193">
        <f t="shared" si="1440"/>
        <v>-8.5714285714285771E-3</v>
      </c>
      <c r="AR915" s="191">
        <f t="shared" si="1441"/>
        <v>-96.000000000000057</v>
      </c>
      <c r="AS915" s="194">
        <f t="shared" si="1442"/>
        <v>-13.714285714285722</v>
      </c>
      <c r="AT915" s="195" t="s">
        <v>211</v>
      </c>
      <c r="AU915" s="425" t="s">
        <v>3499</v>
      </c>
      <c r="AV915" s="427" t="s">
        <v>3500</v>
      </c>
      <c r="AW915" s="425" t="s">
        <v>3501</v>
      </c>
      <c r="AX915" s="425" t="s">
        <v>3502</v>
      </c>
      <c r="AY915" s="425" t="s">
        <v>3503</v>
      </c>
      <c r="AZ915" s="425"/>
      <c r="BA915" s="425"/>
      <c r="BB915" s="425"/>
      <c r="BC915" s="440"/>
      <c r="BD915" s="404">
        <f>SUM($AS$4:AS915)</f>
        <v>4252.9352406205862</v>
      </c>
      <c r="BE915" s="407">
        <f>SUM($AR$4:AR915)</f>
        <v>18846.712000000243</v>
      </c>
      <c r="BF915" s="331"/>
      <c r="BG915" s="331"/>
    </row>
    <row r="916" spans="1:59" ht="15.75" customHeight="1">
      <c r="A916" s="227" t="s">
        <v>3383</v>
      </c>
      <c r="B916" s="181">
        <v>45149</v>
      </c>
      <c r="C916" s="182" t="s">
        <v>2669</v>
      </c>
      <c r="D916" s="182" t="s">
        <v>93</v>
      </c>
      <c r="E916" s="233"/>
      <c r="F916" s="184"/>
      <c r="G916" s="502" t="s">
        <v>3504</v>
      </c>
      <c r="H916" s="186"/>
      <c r="I916" s="186"/>
      <c r="J916" s="186"/>
      <c r="K916" s="187"/>
      <c r="L916" s="186">
        <v>1</v>
      </c>
      <c r="M916" s="186"/>
      <c r="N916" s="186"/>
      <c r="O916" s="187" t="s">
        <v>76</v>
      </c>
      <c r="P916" s="187" t="s">
        <v>77</v>
      </c>
      <c r="Q916" s="187" t="s">
        <v>238</v>
      </c>
      <c r="R916" s="187">
        <v>3</v>
      </c>
      <c r="S916" s="187">
        <v>0</v>
      </c>
      <c r="T916" s="187">
        <v>3</v>
      </c>
      <c r="U916" s="187" t="s">
        <v>22</v>
      </c>
      <c r="V916" s="188">
        <f t="shared" ref="V916:V918" si="1443">IF(ISBLANK(O916),"",(IF(O916=UPPER("IB"),0.005,0.01)))</f>
        <v>0.01</v>
      </c>
      <c r="W916" s="189">
        <f t="shared" ref="W916:W918" si="1444">IF(ISBLANK(O916),"",IF(O916="IB",8.63*200,IF(O916="IR",16*100,IF(O916="YT",20*100,IF(O916="YT-XT",24*200,IF(O916="TED",80*100))))))</f>
        <v>1600</v>
      </c>
      <c r="X916" s="189" t="s">
        <v>3505</v>
      </c>
      <c r="Y916" s="189"/>
      <c r="Z916" s="189" t="s">
        <v>3506</v>
      </c>
      <c r="AA916" s="190">
        <v>0.05</v>
      </c>
      <c r="AB916" s="186"/>
      <c r="AC916" s="344"/>
      <c r="AD916" s="186"/>
      <c r="AE916" s="186">
        <v>7</v>
      </c>
      <c r="AF916" s="186"/>
      <c r="AG916" s="186" t="s">
        <v>3507</v>
      </c>
      <c r="AH916" s="186"/>
      <c r="AI916" s="191">
        <f>-0.05*W916</f>
        <v>-80</v>
      </c>
      <c r="AJ916" s="191">
        <f t="shared" si="1430"/>
        <v>-240</v>
      </c>
      <c r="AK916" s="186"/>
      <c r="AL916" s="186"/>
      <c r="AM916" s="186" t="s">
        <v>786</v>
      </c>
      <c r="AN916" s="344" t="s">
        <v>97</v>
      </c>
      <c r="AO916" s="186" t="s">
        <v>3508</v>
      </c>
      <c r="AP916" s="193">
        <v>0.06</v>
      </c>
      <c r="AQ916" s="193">
        <f t="shared" ref="AQ916:AQ920" si="1445">IF(ISBLANK(AP916),,IF(U916="S",AA916-AP916,AP916-AA916))</f>
        <v>9.999999999999995E-3</v>
      </c>
      <c r="AR916" s="191">
        <f t="shared" ref="AR916:AR920" si="1446">AS916*R916</f>
        <v>47.999999999999979</v>
      </c>
      <c r="AS916" s="194">
        <f t="shared" ref="AS916:AS920" si="1447">IF(ISBLANK(AP916),,(AQ916*W916))</f>
        <v>15.999999999999993</v>
      </c>
      <c r="AT916" s="195" t="s">
        <v>77</v>
      </c>
      <c r="AU916" s="425" t="s">
        <v>3473</v>
      </c>
      <c r="AV916" s="425" t="s">
        <v>3509</v>
      </c>
      <c r="AW916" s="425"/>
      <c r="AX916" s="425"/>
      <c r="AY916" s="425"/>
      <c r="AZ916" s="425"/>
      <c r="BA916" s="425"/>
      <c r="BB916" s="425"/>
      <c r="BC916" s="440"/>
      <c r="BD916" s="404">
        <f>SUM($AS$4:AS916)</f>
        <v>4268.9352406205862</v>
      </c>
      <c r="BE916" s="407">
        <f>SUM($AR$4:AR916)</f>
        <v>18894.712000000243</v>
      </c>
      <c r="BF916" s="331"/>
      <c r="BG916" s="331"/>
    </row>
    <row r="917" spans="1:59" ht="15.75" customHeight="1">
      <c r="A917" s="227" t="s">
        <v>3383</v>
      </c>
      <c r="B917" s="181">
        <v>45149</v>
      </c>
      <c r="C917" s="182" t="s">
        <v>3510</v>
      </c>
      <c r="D917" s="182" t="s">
        <v>93</v>
      </c>
      <c r="E917" s="233"/>
      <c r="F917" s="184"/>
      <c r="G917" s="185" t="s">
        <v>118</v>
      </c>
      <c r="H917" s="186"/>
      <c r="I917" s="186"/>
      <c r="J917" s="186"/>
      <c r="K917" s="187"/>
      <c r="L917" s="186"/>
      <c r="M917" s="186"/>
      <c r="N917" s="186"/>
      <c r="O917" s="187"/>
      <c r="P917" s="187"/>
      <c r="Q917" s="187"/>
      <c r="R917" s="187"/>
      <c r="S917" s="187"/>
      <c r="T917" s="187"/>
      <c r="U917" s="187"/>
      <c r="V917" s="188"/>
      <c r="W917" s="189"/>
      <c r="X917" s="189"/>
      <c r="Y917" s="189"/>
      <c r="Z917" s="189"/>
      <c r="AA917" s="190"/>
      <c r="AB917" s="186"/>
      <c r="AC917" s="344"/>
      <c r="AD917" s="186"/>
      <c r="AE917" s="186"/>
      <c r="AF917" s="186"/>
      <c r="AG917" s="186"/>
      <c r="AH917" s="186"/>
      <c r="AI917" s="191">
        <f t="shared" ref="AI917:AI924" si="1448">-0.05*W917</f>
        <v>0</v>
      </c>
      <c r="AJ917" s="191">
        <f t="shared" ref="AJ917:AJ924" si="1449">AI917*(R917-S917)</f>
        <v>0</v>
      </c>
      <c r="AK917" s="186"/>
      <c r="AL917" s="186"/>
      <c r="AM917" s="186"/>
      <c r="AN917" s="344"/>
      <c r="AO917" s="186"/>
      <c r="AP917" s="193"/>
      <c r="AQ917" s="193"/>
      <c r="AR917" s="191"/>
      <c r="AS917" s="194"/>
      <c r="AT917" s="195"/>
      <c r="AU917" s="425" t="s">
        <v>3511</v>
      </c>
      <c r="AV917" s="425" t="s">
        <v>1245</v>
      </c>
      <c r="AW917" s="425" t="s">
        <v>3512</v>
      </c>
      <c r="AX917" s="425"/>
      <c r="AY917" s="425"/>
      <c r="AZ917" s="425"/>
      <c r="BA917" s="425"/>
      <c r="BB917" s="425"/>
      <c r="BC917" s="440"/>
      <c r="BD917" s="404">
        <f>SUM($AS$4:AS917)</f>
        <v>4268.9352406205862</v>
      </c>
      <c r="BE917" s="407">
        <f>SUM($AR$4:AR917)</f>
        <v>18894.712000000243</v>
      </c>
      <c r="BF917" s="331"/>
      <c r="BG917" s="331"/>
    </row>
    <row r="918" spans="1:59" ht="15.75" customHeight="1">
      <c r="A918" s="227" t="s">
        <v>3383</v>
      </c>
      <c r="B918" s="181">
        <v>45149</v>
      </c>
      <c r="C918" s="182" t="s">
        <v>3513</v>
      </c>
      <c r="D918" s="182" t="s">
        <v>93</v>
      </c>
      <c r="E918" s="233"/>
      <c r="F918" s="184"/>
      <c r="G918" s="185" t="s">
        <v>2126</v>
      </c>
      <c r="H918" s="186"/>
      <c r="I918" s="186"/>
      <c r="J918" s="186"/>
      <c r="K918" s="187"/>
      <c r="L918" s="186"/>
      <c r="M918" s="186"/>
      <c r="N918" s="186"/>
      <c r="O918" s="187"/>
      <c r="P918" s="187"/>
      <c r="Q918" s="187"/>
      <c r="R918" s="187"/>
      <c r="S918" s="187"/>
      <c r="T918" s="187"/>
      <c r="U918" s="187"/>
      <c r="V918" s="188"/>
      <c r="W918" s="189"/>
      <c r="X918" s="189"/>
      <c r="Y918" s="189"/>
      <c r="Z918" s="189"/>
      <c r="AA918" s="190"/>
      <c r="AB918" s="186"/>
      <c r="AC918" s="344"/>
      <c r="AD918" s="186"/>
      <c r="AE918" s="186"/>
      <c r="AF918" s="186"/>
      <c r="AG918" s="186"/>
      <c r="AH918" s="186"/>
      <c r="AI918" s="191">
        <f t="shared" si="1448"/>
        <v>0</v>
      </c>
      <c r="AJ918" s="191">
        <f t="shared" si="1449"/>
        <v>0</v>
      </c>
      <c r="AK918" s="186"/>
      <c r="AL918" s="186"/>
      <c r="AM918" s="186"/>
      <c r="AN918" s="344"/>
      <c r="AO918" s="186"/>
      <c r="AP918" s="193"/>
      <c r="AQ918" s="193"/>
      <c r="AR918" s="191"/>
      <c r="AS918" s="194"/>
      <c r="AT918" s="195"/>
      <c r="AU918" s="425"/>
      <c r="AV918" s="425"/>
      <c r="AW918" s="425"/>
      <c r="AX918" s="425"/>
      <c r="AY918" s="425"/>
      <c r="AZ918" s="425"/>
      <c r="BA918" s="425"/>
      <c r="BB918" s="425"/>
      <c r="BC918" s="440"/>
      <c r="BD918" s="404">
        <f>SUM($AS$4:AS918)</f>
        <v>4268.9352406205862</v>
      </c>
      <c r="BE918" s="407">
        <f>SUM($AR$4:AR918)</f>
        <v>18894.712000000243</v>
      </c>
      <c r="BF918" s="331"/>
      <c r="BG918" s="331"/>
    </row>
    <row r="919" spans="1:59" ht="15.75" customHeight="1">
      <c r="A919" s="227" t="s">
        <v>3383</v>
      </c>
      <c r="B919" s="181">
        <v>45149</v>
      </c>
      <c r="C919" s="182" t="s">
        <v>1695</v>
      </c>
      <c r="D919" s="182" t="s">
        <v>93</v>
      </c>
      <c r="E919" s="233" t="s">
        <v>3514</v>
      </c>
      <c r="F919" s="184"/>
      <c r="G919" s="185"/>
      <c r="H919" s="186">
        <v>1</v>
      </c>
      <c r="I919" s="186"/>
      <c r="J919" s="186"/>
      <c r="K919" s="187" t="s">
        <v>87</v>
      </c>
      <c r="L919" s="186"/>
      <c r="M919" s="186"/>
      <c r="N919" s="186"/>
      <c r="O919" s="187"/>
      <c r="P919" s="187"/>
      <c r="Q919" s="187"/>
      <c r="R919" s="187"/>
      <c r="S919" s="187"/>
      <c r="T919" s="187"/>
      <c r="U919" s="187"/>
      <c r="V919" s="187"/>
      <c r="W919" s="189" t="str">
        <f t="shared" si="1411"/>
        <v/>
      </c>
      <c r="X919" s="189"/>
      <c r="Y919" s="189"/>
      <c r="Z919" s="189"/>
      <c r="AA919" s="190"/>
      <c r="AB919" s="186"/>
      <c r="AC919" s="344"/>
      <c r="AD919" s="186"/>
      <c r="AE919" s="186"/>
      <c r="AF919" s="186"/>
      <c r="AG919" s="186"/>
      <c r="AH919" s="186"/>
      <c r="AI919" s="191"/>
      <c r="AJ919" s="191"/>
      <c r="AK919" s="186"/>
      <c r="AL919" s="186"/>
      <c r="AM919" s="186"/>
      <c r="AN919" s="344"/>
      <c r="AO919" s="186"/>
      <c r="AP919" s="193"/>
      <c r="AQ919" s="193"/>
      <c r="AR919" s="191"/>
      <c r="AS919" s="194"/>
      <c r="AT919" s="195"/>
      <c r="AU919" s="425"/>
      <c r="AV919" s="425"/>
      <c r="AW919" s="425"/>
      <c r="AX919" s="425"/>
      <c r="AY919" s="425"/>
      <c r="AZ919" s="425"/>
      <c r="BA919" s="425"/>
      <c r="BB919" s="425"/>
      <c r="BC919" s="440"/>
      <c r="BD919" s="404">
        <f>SUM($AS$4:AS919)</f>
        <v>4268.9352406205862</v>
      </c>
      <c r="BE919" s="407">
        <f>SUM($AR$4:AR919)</f>
        <v>18894.712000000243</v>
      </c>
      <c r="BF919" s="331"/>
      <c r="BG919" s="331"/>
    </row>
    <row r="920" spans="1:59" ht="15.75" customHeight="1">
      <c r="A920" s="227" t="s">
        <v>3383</v>
      </c>
      <c r="B920" s="181">
        <v>45149</v>
      </c>
      <c r="C920" s="182" t="s">
        <v>3515</v>
      </c>
      <c r="D920" s="182" t="s">
        <v>93</v>
      </c>
      <c r="E920" s="233"/>
      <c r="F920" s="184"/>
      <c r="G920" s="291" t="s">
        <v>75</v>
      </c>
      <c r="H920" s="186"/>
      <c r="I920" s="186"/>
      <c r="J920" s="186"/>
      <c r="K920" s="187"/>
      <c r="L920" s="186">
        <v>1</v>
      </c>
      <c r="M920" s="186"/>
      <c r="N920" s="186"/>
      <c r="O920" s="187" t="s">
        <v>76</v>
      </c>
      <c r="P920" s="187" t="s">
        <v>77</v>
      </c>
      <c r="Q920" s="187" t="s">
        <v>78</v>
      </c>
      <c r="R920" s="187">
        <v>3</v>
      </c>
      <c r="S920" s="187">
        <v>0</v>
      </c>
      <c r="T920" s="187">
        <v>3</v>
      </c>
      <c r="U920" s="187" t="s">
        <v>78</v>
      </c>
      <c r="V920" s="188">
        <f t="shared" ref="V920" si="1450">IF(ISBLANK(O920),"",(IF(O920=UPPER("IB"),0.005,0.01)))</f>
        <v>0.01</v>
      </c>
      <c r="W920" s="189">
        <f t="shared" si="1411"/>
        <v>1600</v>
      </c>
      <c r="X920" s="189" t="s">
        <v>80</v>
      </c>
      <c r="Y920" s="189"/>
      <c r="Z920" s="189"/>
      <c r="AA920" s="190">
        <v>0.14000000000000001</v>
      </c>
      <c r="AB920" s="186"/>
      <c r="AC920" s="344"/>
      <c r="AD920" s="186"/>
      <c r="AE920" s="186"/>
      <c r="AF920" s="186"/>
      <c r="AG920" s="186"/>
      <c r="AH920" s="186"/>
      <c r="AI920" s="191">
        <f t="shared" si="1448"/>
        <v>-80</v>
      </c>
      <c r="AJ920" s="191">
        <f t="shared" si="1449"/>
        <v>-240</v>
      </c>
      <c r="AK920" s="186"/>
      <c r="AL920" s="186"/>
      <c r="AM920" s="186" t="s">
        <v>949</v>
      </c>
      <c r="AN920" s="344" t="s">
        <v>87</v>
      </c>
      <c r="AO920" s="186" t="s">
        <v>3516</v>
      </c>
      <c r="AP920" s="193">
        <v>0.14000000000000001</v>
      </c>
      <c r="AQ920" s="193">
        <f t="shared" si="1445"/>
        <v>0</v>
      </c>
      <c r="AR920" s="191">
        <f t="shared" si="1446"/>
        <v>0</v>
      </c>
      <c r="AS920" s="194">
        <f t="shared" si="1447"/>
        <v>0</v>
      </c>
      <c r="AT920" s="195" t="s">
        <v>97</v>
      </c>
      <c r="AU920" s="425"/>
      <c r="AV920" s="425"/>
      <c r="AW920" s="425"/>
      <c r="AX920" s="425"/>
      <c r="AY920" s="425"/>
      <c r="AZ920" s="425"/>
      <c r="BA920" s="425"/>
      <c r="BB920" s="425"/>
      <c r="BC920" s="440"/>
      <c r="BD920" s="404">
        <f>SUM($AS$4:AS920)</f>
        <v>4268.9352406205862</v>
      </c>
      <c r="BE920" s="407">
        <f>SUM($AR$4:AR920)</f>
        <v>18894.712000000243</v>
      </c>
      <c r="BF920" s="331"/>
      <c r="BG920" s="331"/>
    </row>
    <row r="921" spans="1:59" ht="15.75" customHeight="1">
      <c r="A921" s="227" t="s">
        <v>3383</v>
      </c>
      <c r="B921" s="181">
        <v>45149</v>
      </c>
      <c r="C921" s="182" t="s">
        <v>2005</v>
      </c>
      <c r="D921" s="182" t="s">
        <v>93</v>
      </c>
      <c r="E921" s="233"/>
      <c r="F921" s="184"/>
      <c r="G921" s="185" t="s">
        <v>1997</v>
      </c>
      <c r="H921" s="186"/>
      <c r="I921" s="186"/>
      <c r="J921" s="186"/>
      <c r="K921" s="187"/>
      <c r="L921" s="186"/>
      <c r="M921" s="186"/>
      <c r="N921" s="186"/>
      <c r="O921" s="187"/>
      <c r="P921" s="187"/>
      <c r="Q921" s="187"/>
      <c r="R921" s="187"/>
      <c r="S921" s="187"/>
      <c r="T921" s="187"/>
      <c r="U921" s="187"/>
      <c r="V921" s="188"/>
      <c r="W921" s="189"/>
      <c r="X921" s="189"/>
      <c r="Y921" s="189"/>
      <c r="Z921" s="189"/>
      <c r="AA921" s="190"/>
      <c r="AB921" s="186"/>
      <c r="AC921" s="344"/>
      <c r="AD921" s="186"/>
      <c r="AE921" s="186"/>
      <c r="AF921" s="186"/>
      <c r="AG921" s="186"/>
      <c r="AH921" s="186"/>
      <c r="AI921" s="191"/>
      <c r="AJ921" s="191"/>
      <c r="AK921" s="186"/>
      <c r="AL921" s="186"/>
      <c r="AM921" s="186"/>
      <c r="AN921" s="344"/>
      <c r="AO921" s="186"/>
      <c r="AP921" s="193"/>
      <c r="AQ921" s="193"/>
      <c r="AR921" s="191"/>
      <c r="AS921" s="194"/>
      <c r="AT921" s="195"/>
      <c r="AU921" s="425" t="s">
        <v>3517</v>
      </c>
      <c r="AV921" s="425"/>
      <c r="AW921" s="425"/>
      <c r="AX921" s="425"/>
      <c r="AY921" s="425"/>
      <c r="AZ921" s="425"/>
      <c r="BA921" s="425"/>
      <c r="BB921" s="425"/>
      <c r="BC921" s="440"/>
      <c r="BD921" s="404">
        <f>SUM($AS$4:AS921)</f>
        <v>4268.9352406205862</v>
      </c>
      <c r="BE921" s="407">
        <f>SUM($AR$4:AR921)</f>
        <v>18894.712000000243</v>
      </c>
      <c r="BF921" s="331"/>
      <c r="BG921" s="331"/>
    </row>
    <row r="922" spans="1:59" ht="15.75" customHeight="1">
      <c r="A922" s="227" t="s">
        <v>3383</v>
      </c>
      <c r="B922" s="181">
        <v>45149</v>
      </c>
      <c r="C922" s="182" t="s">
        <v>2005</v>
      </c>
      <c r="D922" s="182" t="s">
        <v>93</v>
      </c>
      <c r="E922" s="233"/>
      <c r="F922" s="184"/>
      <c r="G922" s="291" t="s">
        <v>2051</v>
      </c>
      <c r="H922" s="186"/>
      <c r="I922" s="186"/>
      <c r="J922" s="186"/>
      <c r="K922" s="187"/>
      <c r="L922" s="186">
        <v>1</v>
      </c>
      <c r="M922" s="186"/>
      <c r="N922" s="186"/>
      <c r="O922" s="187" t="s">
        <v>76</v>
      </c>
      <c r="P922" s="187" t="s">
        <v>119</v>
      </c>
      <c r="Q922" s="187" t="s">
        <v>78</v>
      </c>
      <c r="R922" s="187">
        <v>18</v>
      </c>
      <c r="S922" s="187">
        <v>0</v>
      </c>
      <c r="T922" s="187">
        <v>18</v>
      </c>
      <c r="U922" s="187" t="s">
        <v>78</v>
      </c>
      <c r="V922" s="188">
        <f t="shared" ref="V922:V923" si="1451">IF(ISBLANK(O922),"",(IF(O922=UPPER("IB"),0.005,0.01)))</f>
        <v>0.01</v>
      </c>
      <c r="W922" s="189">
        <f t="shared" ref="W922:W923" si="1452">IF(ISBLANK(O922),"",IF(O922="IB",8.63*200,IF(O922="IR",16*100,IF(O922="YT",20*100,IF(O922="YT-XT",24*200,IF(O922="TED",80*100))))))</f>
        <v>1600</v>
      </c>
      <c r="X922" s="189" t="s">
        <v>80</v>
      </c>
      <c r="Y922" s="189"/>
      <c r="Z922" s="189"/>
      <c r="AA922" s="190">
        <v>-0.11</v>
      </c>
      <c r="AB922" s="186"/>
      <c r="AC922" s="344"/>
      <c r="AD922" s="186"/>
      <c r="AE922" s="186"/>
      <c r="AF922" s="186"/>
      <c r="AG922" s="186"/>
      <c r="AH922" s="186"/>
      <c r="AI922" s="191">
        <f>-0.02*W922</f>
        <v>-32</v>
      </c>
      <c r="AJ922" s="191">
        <f t="shared" si="1449"/>
        <v>-576</v>
      </c>
      <c r="AK922" s="186"/>
      <c r="AL922" s="186"/>
      <c r="AM922" s="186" t="s">
        <v>752</v>
      </c>
      <c r="AN922" s="344" t="s">
        <v>97</v>
      </c>
      <c r="AO922" s="186" t="s">
        <v>3518</v>
      </c>
      <c r="AP922" s="193">
        <v>-0.11</v>
      </c>
      <c r="AQ922" s="193">
        <f t="shared" ref="AQ921:AQ925" si="1453">IF(ISBLANK(AP922),,IF(U922="S",AA922-AP922,AP922-AA922))</f>
        <v>0</v>
      </c>
      <c r="AR922" s="191">
        <f t="shared" ref="AR921:AR925" si="1454">AS922*R922</f>
        <v>0</v>
      </c>
      <c r="AS922" s="194">
        <f t="shared" ref="AS921:AS925" si="1455">IF(ISBLANK(AP922),,(AQ922*W922))</f>
        <v>0</v>
      </c>
      <c r="AT922" s="195" t="s">
        <v>97</v>
      </c>
      <c r="AU922" s="427" t="s">
        <v>3519</v>
      </c>
      <c r="AV922" s="425"/>
      <c r="AW922" s="425"/>
      <c r="AX922" s="425"/>
      <c r="AY922" s="425"/>
      <c r="AZ922" s="425"/>
      <c r="BA922" s="425"/>
      <c r="BB922" s="425"/>
      <c r="BC922" s="440"/>
      <c r="BD922" s="404">
        <f>SUM($AS$4:AS922)</f>
        <v>4268.9352406205862</v>
      </c>
      <c r="BE922" s="407">
        <f>SUM($AR$4:AR922)</f>
        <v>18894.712000000243</v>
      </c>
      <c r="BF922" s="331"/>
      <c r="BG922" s="331"/>
    </row>
    <row r="923" spans="1:59" ht="15.75" customHeight="1">
      <c r="A923" s="227" t="s">
        <v>3383</v>
      </c>
      <c r="B923" s="181">
        <v>45149</v>
      </c>
      <c r="C923" s="182" t="s">
        <v>2704</v>
      </c>
      <c r="D923" s="182" t="s">
        <v>93</v>
      </c>
      <c r="E923" s="233"/>
      <c r="F923" s="184"/>
      <c r="G923" s="291" t="s">
        <v>118</v>
      </c>
      <c r="H923" s="186"/>
      <c r="I923" s="186"/>
      <c r="J923" s="186"/>
      <c r="K923" s="187"/>
      <c r="L923" s="186">
        <v>1</v>
      </c>
      <c r="M923" s="186"/>
      <c r="N923" s="186"/>
      <c r="O923" s="187" t="s">
        <v>76</v>
      </c>
      <c r="P923" s="187" t="s">
        <v>77</v>
      </c>
      <c r="Q923" s="187" t="s">
        <v>78</v>
      </c>
      <c r="R923" s="187">
        <v>20</v>
      </c>
      <c r="S923" s="187">
        <v>10</v>
      </c>
      <c r="T923" s="187">
        <v>12</v>
      </c>
      <c r="U923" s="187" t="s">
        <v>78</v>
      </c>
      <c r="V923" s="188">
        <f t="shared" si="1451"/>
        <v>0.01</v>
      </c>
      <c r="W923" s="189">
        <f t="shared" si="1452"/>
        <v>1600</v>
      </c>
      <c r="X923" s="189" t="s">
        <v>80</v>
      </c>
      <c r="Y923" s="189"/>
      <c r="Z923" s="189"/>
      <c r="AA923" s="190">
        <f>((-0.09*12)+(-0.1*8))/20</f>
        <v>-9.4E-2</v>
      </c>
      <c r="AB923" s="186"/>
      <c r="AC923" s="344"/>
      <c r="AD923" s="186"/>
      <c r="AE923" s="186"/>
      <c r="AF923" s="186"/>
      <c r="AG923" s="186"/>
      <c r="AH923" s="186"/>
      <c r="AI923" s="191">
        <f>-0.03*W923</f>
        <v>-48</v>
      </c>
      <c r="AJ923" s="191">
        <f t="shared" si="1449"/>
        <v>-480</v>
      </c>
      <c r="AK923" s="186"/>
      <c r="AL923" s="186"/>
      <c r="AM923" s="186" t="s">
        <v>981</v>
      </c>
      <c r="AN923" s="344" t="s">
        <v>97</v>
      </c>
      <c r="AO923" s="186" t="s">
        <v>3520</v>
      </c>
      <c r="AP923" s="193">
        <f>((-0.08*4)+(-0.07*6)+(-0.07*5)+(-0.07*5))/20</f>
        <v>-7.2000000000000008E-2</v>
      </c>
      <c r="AQ923" s="193">
        <f t="shared" si="1453"/>
        <v>-2.1999999999999992E-2</v>
      </c>
      <c r="AR923" s="191">
        <f t="shared" si="1454"/>
        <v>-703.99999999999977</v>
      </c>
      <c r="AS923" s="194">
        <f t="shared" si="1455"/>
        <v>-35.199999999999989</v>
      </c>
      <c r="AT923" s="195" t="s">
        <v>211</v>
      </c>
      <c r="AU923" s="427" t="s">
        <v>3521</v>
      </c>
      <c r="AV923" s="425" t="s">
        <v>3522</v>
      </c>
      <c r="AW923" s="425" t="s">
        <v>3523</v>
      </c>
      <c r="AX923" s="425" t="s">
        <v>3524</v>
      </c>
      <c r="AY923" s="425"/>
      <c r="AZ923" s="425"/>
      <c r="BA923" s="425"/>
      <c r="BB923" s="425"/>
      <c r="BC923" s="440"/>
      <c r="BD923" s="404">
        <f>SUM($AS$4:AS923)</f>
        <v>4233.7352406205864</v>
      </c>
      <c r="BE923" s="407">
        <f>SUM($AR$4:AR923)</f>
        <v>18190.712000000243</v>
      </c>
      <c r="BF923" s="331"/>
      <c r="BG923" s="331"/>
    </row>
    <row r="924" spans="1:59" ht="15.75" customHeight="1">
      <c r="A924" s="227" t="s">
        <v>3383</v>
      </c>
      <c r="B924" s="181">
        <v>45149</v>
      </c>
      <c r="C924" s="182" t="s">
        <v>3525</v>
      </c>
      <c r="D924" s="182" t="s">
        <v>93</v>
      </c>
      <c r="E924" s="233"/>
      <c r="F924" s="184"/>
      <c r="G924" s="291" t="s">
        <v>2924</v>
      </c>
      <c r="H924" s="186"/>
      <c r="I924" s="186"/>
      <c r="J924" s="186"/>
      <c r="K924" s="187"/>
      <c r="L924" s="186">
        <v>1</v>
      </c>
      <c r="M924" s="186"/>
      <c r="N924" s="186"/>
      <c r="O924" s="187" t="s">
        <v>76</v>
      </c>
      <c r="P924" s="187" t="s">
        <v>119</v>
      </c>
      <c r="Q924" s="187" t="s">
        <v>78</v>
      </c>
      <c r="R924" s="187">
        <v>10</v>
      </c>
      <c r="S924" s="187">
        <v>0</v>
      </c>
      <c r="T924" s="187">
        <v>10</v>
      </c>
      <c r="U924" s="187" t="s">
        <v>78</v>
      </c>
      <c r="V924" s="188">
        <f t="shared" ref="V924" si="1456">IF(ISBLANK(O924),"",(IF(O924=UPPER("IB"),0.005,0.01)))</f>
        <v>0.01</v>
      </c>
      <c r="W924" s="189">
        <f t="shared" ref="W924" si="1457">IF(ISBLANK(O924),"",IF(O924="IB",8.63*200,IF(O924="IR",16*100,IF(O924="YT",20*100,IF(O924="YT-XT",24*200,IF(O924="TED",80*100))))))</f>
        <v>1600</v>
      </c>
      <c r="X924" s="189" t="s">
        <v>80</v>
      </c>
      <c r="Y924" s="189"/>
      <c r="Z924" s="189"/>
      <c r="AA924" s="190">
        <v>-0.09</v>
      </c>
      <c r="AB924" s="186"/>
      <c r="AC924" s="344"/>
      <c r="AD924" s="186"/>
      <c r="AE924" s="186"/>
      <c r="AF924" s="186"/>
      <c r="AG924" s="186"/>
      <c r="AH924" s="186"/>
      <c r="AI924" s="191">
        <f>-0.03*W924</f>
        <v>-48</v>
      </c>
      <c r="AJ924" s="191">
        <f t="shared" si="1449"/>
        <v>-480</v>
      </c>
      <c r="AK924" s="186"/>
      <c r="AL924" s="186"/>
      <c r="AM924" s="186" t="s">
        <v>1066</v>
      </c>
      <c r="AN924" s="344" t="s">
        <v>87</v>
      </c>
      <c r="AO924" s="186" t="s">
        <v>3526</v>
      </c>
      <c r="AP924" s="193">
        <v>-0.09</v>
      </c>
      <c r="AQ924" s="193">
        <f t="shared" si="1453"/>
        <v>0</v>
      </c>
      <c r="AR924" s="191">
        <f t="shared" si="1454"/>
        <v>0</v>
      </c>
      <c r="AS924" s="194">
        <f t="shared" si="1455"/>
        <v>0</v>
      </c>
      <c r="AT924" s="195" t="s">
        <v>97</v>
      </c>
      <c r="AU924" s="425" t="s">
        <v>1245</v>
      </c>
      <c r="AV924" s="425"/>
      <c r="AW924" s="425"/>
      <c r="AX924" s="425"/>
      <c r="AY924" s="425"/>
      <c r="AZ924" s="425"/>
      <c r="BA924" s="425"/>
      <c r="BB924" s="425"/>
      <c r="BC924" s="440"/>
      <c r="BD924" s="404">
        <f>SUM($AS$4:AS924)</f>
        <v>4233.7352406205864</v>
      </c>
      <c r="BE924" s="407">
        <f>SUM($AR$4:AR924)</f>
        <v>18190.712000000243</v>
      </c>
      <c r="BF924" s="331"/>
      <c r="BG924" s="331"/>
    </row>
    <row r="925" spans="1:59" ht="15.75" customHeight="1">
      <c r="A925" s="227" t="s">
        <v>3383</v>
      </c>
      <c r="B925" s="181">
        <v>45150</v>
      </c>
      <c r="C925" s="182" t="s">
        <v>3527</v>
      </c>
      <c r="D925" s="182" t="s">
        <v>1657</v>
      </c>
      <c r="E925" s="233"/>
      <c r="F925" s="184"/>
      <c r="G925" s="291" t="s">
        <v>2973</v>
      </c>
      <c r="H925" s="186"/>
      <c r="I925" s="186"/>
      <c r="J925" s="186"/>
      <c r="K925" s="187"/>
      <c r="L925" s="186">
        <v>1</v>
      </c>
      <c r="M925" s="186"/>
      <c r="N925" s="186"/>
      <c r="O925" s="187" t="s">
        <v>76</v>
      </c>
      <c r="P925" s="187" t="s">
        <v>119</v>
      </c>
      <c r="Q925" s="187" t="s">
        <v>78</v>
      </c>
      <c r="R925" s="187">
        <v>18</v>
      </c>
      <c r="S925" s="187">
        <v>0</v>
      </c>
      <c r="T925" s="187">
        <v>18</v>
      </c>
      <c r="U925" s="187" t="s">
        <v>78</v>
      </c>
      <c r="V925" s="188">
        <f t="shared" ref="V925:V931" si="1458">IF(ISBLANK(O925),"",(IF(O925=UPPER("IB"),0.005,0.01)))</f>
        <v>0.01</v>
      </c>
      <c r="W925" s="189">
        <f t="shared" ref="W925" si="1459">IF(ISBLANK(O925),"",IF(O925="IB",8.63*200,IF(O925="IR",16*100,IF(O925="YT",20*100,IF(O925="YT-XT",24*200,IF(O925="TED",80*100))))))</f>
        <v>1600</v>
      </c>
      <c r="X925" s="189" t="s">
        <v>3528</v>
      </c>
      <c r="Y925" s="189"/>
      <c r="Z925" s="189"/>
      <c r="AA925" s="190">
        <v>-0.23</v>
      </c>
      <c r="AB925" s="186"/>
      <c r="AC925" s="344"/>
      <c r="AD925" s="186"/>
      <c r="AE925" s="186"/>
      <c r="AF925" s="186"/>
      <c r="AG925" s="186"/>
      <c r="AH925" s="186"/>
      <c r="AI925" s="191">
        <f>-0.03*W925</f>
        <v>-48</v>
      </c>
      <c r="AJ925" s="191">
        <f t="shared" ref="AJ925" si="1460">AI925*(R925-S925)</f>
        <v>-864</v>
      </c>
      <c r="AK925" s="186"/>
      <c r="AL925" s="186"/>
      <c r="AM925" s="186" t="s">
        <v>2195</v>
      </c>
      <c r="AN925" s="344" t="s">
        <v>87</v>
      </c>
      <c r="AO925" s="186" t="s">
        <v>3518</v>
      </c>
      <c r="AP925" s="193">
        <v>-0.23</v>
      </c>
      <c r="AQ925" s="193">
        <f t="shared" si="1453"/>
        <v>0</v>
      </c>
      <c r="AR925" s="191">
        <f t="shared" si="1454"/>
        <v>0</v>
      </c>
      <c r="AS925" s="194">
        <f t="shared" si="1455"/>
        <v>0</v>
      </c>
      <c r="AT925" s="195" t="s">
        <v>97</v>
      </c>
      <c r="AU925" s="425" t="s">
        <v>3529</v>
      </c>
      <c r="AV925" s="425" t="s">
        <v>3530</v>
      </c>
      <c r="AW925" s="425" t="s">
        <v>3531</v>
      </c>
      <c r="AX925" s="425"/>
      <c r="AY925" s="425"/>
      <c r="AZ925" s="425"/>
      <c r="BA925" s="425"/>
      <c r="BB925" s="425"/>
      <c r="BC925" s="440"/>
      <c r="BD925" s="404">
        <f>SUM($AS$4:AS925)</f>
        <v>4233.7352406205864</v>
      </c>
      <c r="BE925" s="407">
        <f>SUM($AR$4:AR925)</f>
        <v>18190.712000000243</v>
      </c>
      <c r="BF925" s="331"/>
      <c r="BG925" s="331"/>
    </row>
    <row r="926" spans="1:59" ht="15.75" customHeight="1">
      <c r="A926" s="227" t="s">
        <v>3383</v>
      </c>
      <c r="B926" s="204"/>
      <c r="C926" s="182"/>
      <c r="D926" s="182"/>
      <c r="E926" s="233"/>
      <c r="F926" s="184"/>
      <c r="G926" s="185"/>
      <c r="H926" s="186"/>
      <c r="I926" s="186"/>
      <c r="J926" s="186"/>
      <c r="K926" s="187"/>
      <c r="L926" s="186"/>
      <c r="M926" s="186"/>
      <c r="N926" s="186"/>
      <c r="O926" s="187"/>
      <c r="P926" s="187"/>
      <c r="Q926" s="187"/>
      <c r="R926" s="187"/>
      <c r="S926" s="187"/>
      <c r="T926" s="187"/>
      <c r="U926" s="187"/>
      <c r="V926" s="282"/>
      <c r="W926" s="187"/>
      <c r="X926" s="189"/>
      <c r="Y926" s="189"/>
      <c r="Z926" s="189"/>
      <c r="AA926" s="190"/>
      <c r="AB926" s="186"/>
      <c r="AC926" s="344"/>
      <c r="AD926" s="186"/>
      <c r="AE926" s="186"/>
      <c r="AF926" s="186"/>
      <c r="AG926" s="186"/>
      <c r="AH926" s="186"/>
      <c r="AI926" s="191"/>
      <c r="AJ926" s="191"/>
      <c r="AK926" s="186"/>
      <c r="AL926" s="186"/>
      <c r="AM926" s="186"/>
      <c r="AN926" s="344"/>
      <c r="AO926" s="186"/>
      <c r="AP926" s="193"/>
      <c r="AQ926" s="193"/>
      <c r="AR926" s="191"/>
      <c r="AS926" s="194"/>
      <c r="AT926" s="195"/>
      <c r="AU926" s="425" t="s">
        <v>3532</v>
      </c>
      <c r="AV926" s="425" t="s">
        <v>3533</v>
      </c>
      <c r="AW926" s="425" t="s">
        <v>3534</v>
      </c>
      <c r="AX926" s="425" t="s">
        <v>3535</v>
      </c>
      <c r="AY926" s="425" t="s">
        <v>3536</v>
      </c>
      <c r="AZ926" s="425"/>
      <c r="BA926" s="425"/>
      <c r="BB926" s="425"/>
      <c r="BC926" s="440"/>
      <c r="BD926" s="404"/>
      <c r="BE926" s="405">
        <f>SUM($AR$4:AR926)</f>
        <v>18190.712000000243</v>
      </c>
      <c r="BF926" s="330"/>
      <c r="BG926" s="330"/>
    </row>
    <row r="927" spans="1:59" ht="15.75" customHeight="1">
      <c r="A927" s="227" t="s">
        <v>3383</v>
      </c>
      <c r="B927" s="181">
        <v>45152</v>
      </c>
      <c r="C927" s="182" t="s">
        <v>2983</v>
      </c>
      <c r="D927" s="182" t="s">
        <v>114</v>
      </c>
      <c r="E927" s="233"/>
      <c r="F927" s="184"/>
      <c r="G927" s="291" t="s">
        <v>3537</v>
      </c>
      <c r="H927" s="186"/>
      <c r="I927" s="186"/>
      <c r="J927" s="186"/>
      <c r="K927" s="187"/>
      <c r="L927" s="186">
        <v>2</v>
      </c>
      <c r="M927" s="186">
        <v>2</v>
      </c>
      <c r="N927" s="186"/>
      <c r="O927" s="187" t="s">
        <v>76</v>
      </c>
      <c r="P927" s="187" t="s">
        <v>119</v>
      </c>
      <c r="Q927" s="187" t="s">
        <v>238</v>
      </c>
      <c r="R927" s="187">
        <v>32</v>
      </c>
      <c r="S927" s="187">
        <v>29</v>
      </c>
      <c r="T927" s="187">
        <v>24</v>
      </c>
      <c r="U927" s="187" t="s">
        <v>78</v>
      </c>
      <c r="V927" s="188">
        <f t="shared" si="1458"/>
        <v>0.01</v>
      </c>
      <c r="W927" s="189">
        <f t="shared" si="1411"/>
        <v>1600</v>
      </c>
      <c r="X927" s="189" t="s">
        <v>3538</v>
      </c>
      <c r="Y927" s="189"/>
      <c r="Z927" s="189" t="s">
        <v>3539</v>
      </c>
      <c r="AA927" s="190">
        <f>((-0.02*14)+(-0.01*18))/32</f>
        <v>-1.4375000000000001E-2</v>
      </c>
      <c r="AB927" s="186"/>
      <c r="AC927" s="344"/>
      <c r="AD927" s="186"/>
      <c r="AE927" s="186" t="s">
        <v>3540</v>
      </c>
      <c r="AF927" s="186"/>
      <c r="AG927" s="186"/>
      <c r="AH927" s="186"/>
      <c r="AI927" s="191">
        <f>-0.03*W927</f>
        <v>-48</v>
      </c>
      <c r="AJ927" s="191">
        <f t="shared" ref="AJ927:AJ928" si="1461">AI927*(R927-S927)</f>
        <v>-144</v>
      </c>
      <c r="AK927" s="186"/>
      <c r="AL927" s="186"/>
      <c r="AM927" s="186" t="s">
        <v>884</v>
      </c>
      <c r="AN927" s="344" t="s">
        <v>77</v>
      </c>
      <c r="AO927" s="186" t="s">
        <v>3541</v>
      </c>
      <c r="AP927" s="193">
        <f>((-0.02*5)+(-0.02*10)+(-0.02*14)+(-0.02*3))/32</f>
        <v>-2.0000000000000004E-2</v>
      </c>
      <c r="AQ927" s="193">
        <f t="shared" ref="AQ926:AQ931" si="1462">IF(ISBLANK(AP927),,IF(U927="S",AA927-AP927,AP927-AA927))</f>
        <v>5.6250000000000033E-3</v>
      </c>
      <c r="AR927" s="191">
        <f t="shared" ref="AR926:AR931" si="1463">AS927*R927</f>
        <v>288.00000000000017</v>
      </c>
      <c r="AS927" s="194">
        <f t="shared" ref="AS926:AS931" si="1464">IF(ISBLANK(AP927),,(AQ927*W927))</f>
        <v>9.0000000000000053</v>
      </c>
      <c r="AT927" s="195" t="s">
        <v>77</v>
      </c>
      <c r="AU927" s="425" t="s">
        <v>3542</v>
      </c>
      <c r="AV927" s="425" t="s">
        <v>3543</v>
      </c>
      <c r="AW927" s="425" t="s">
        <v>3544</v>
      </c>
      <c r="AX927" s="425" t="s">
        <v>3545</v>
      </c>
      <c r="AY927" s="425" t="s">
        <v>3546</v>
      </c>
      <c r="AZ927" s="425" t="s">
        <v>3547</v>
      </c>
      <c r="BA927" s="425" t="s">
        <v>3548</v>
      </c>
      <c r="BB927" s="425"/>
      <c r="BC927" s="440"/>
      <c r="BD927" s="404">
        <f>SUM($AS$4:AS927)</f>
        <v>4242.7352406205864</v>
      </c>
      <c r="BE927" s="407">
        <f>SUM($AR$4:AR927)</f>
        <v>18478.712000000243</v>
      </c>
      <c r="BF927" s="331"/>
      <c r="BG927" s="331"/>
    </row>
    <row r="928" spans="1:59" ht="15.75" customHeight="1">
      <c r="A928" s="227" t="s">
        <v>3383</v>
      </c>
      <c r="B928" s="181">
        <v>45152</v>
      </c>
      <c r="C928" s="182" t="s">
        <v>569</v>
      </c>
      <c r="D928" s="182" t="s">
        <v>114</v>
      </c>
      <c r="E928" s="233"/>
      <c r="F928" s="184"/>
      <c r="G928" s="185" t="s">
        <v>2126</v>
      </c>
      <c r="H928" s="186"/>
      <c r="I928" s="186"/>
      <c r="J928" s="186"/>
      <c r="K928" s="187"/>
      <c r="L928" s="186"/>
      <c r="M928" s="186"/>
      <c r="N928" s="186"/>
      <c r="O928" s="187"/>
      <c r="P928" s="187"/>
      <c r="Q928" s="187"/>
      <c r="R928" s="187"/>
      <c r="S928" s="187"/>
      <c r="T928" s="187"/>
      <c r="U928" s="187"/>
      <c r="V928" s="188"/>
      <c r="W928" s="189"/>
      <c r="X928" s="189"/>
      <c r="Y928" s="189"/>
      <c r="Z928" s="189"/>
      <c r="AA928" s="190"/>
      <c r="AB928" s="186"/>
      <c r="AC928" s="344"/>
      <c r="AD928" s="186"/>
      <c r="AE928" s="186"/>
      <c r="AF928" s="186"/>
      <c r="AG928" s="186"/>
      <c r="AH928" s="186"/>
      <c r="AI928" s="191">
        <f t="shared" ref="AI927:AI928" si="1465">-0.03*W928</f>
        <v>0</v>
      </c>
      <c r="AJ928" s="191">
        <f t="shared" si="1461"/>
        <v>0</v>
      </c>
      <c r="AK928" s="186"/>
      <c r="AL928" s="186"/>
      <c r="AM928" s="186"/>
      <c r="AN928" s="344"/>
      <c r="AO928" s="186"/>
      <c r="AP928" s="193"/>
      <c r="AQ928" s="193"/>
      <c r="AR928" s="191"/>
      <c r="AS928" s="194"/>
      <c r="AT928" s="195"/>
      <c r="AU928" s="425" t="s">
        <v>3549</v>
      </c>
      <c r="AV928" s="425"/>
      <c r="AW928" s="425"/>
      <c r="AX928" s="425"/>
      <c r="AY928" s="425"/>
      <c r="AZ928" s="425"/>
      <c r="BA928" s="425"/>
      <c r="BB928" s="425"/>
      <c r="BC928" s="440"/>
      <c r="BD928" s="404">
        <f>SUM($AS$4:AS928)</f>
        <v>4242.7352406205864</v>
      </c>
      <c r="BE928" s="407">
        <f>SUM($AR$4:AR928)</f>
        <v>18478.712000000243</v>
      </c>
      <c r="BF928" s="331"/>
      <c r="BG928" s="331"/>
    </row>
    <row r="929" spans="1:59" ht="15.75" customHeight="1">
      <c r="A929" s="227" t="s">
        <v>3383</v>
      </c>
      <c r="B929" s="181">
        <v>45153</v>
      </c>
      <c r="C929" s="182" t="s">
        <v>557</v>
      </c>
      <c r="D929" s="182" t="s">
        <v>128</v>
      </c>
      <c r="E929" s="233" t="s">
        <v>3550</v>
      </c>
      <c r="F929" s="184"/>
      <c r="G929" s="185"/>
      <c r="H929" s="186">
        <v>1</v>
      </c>
      <c r="I929" s="186"/>
      <c r="J929" s="186"/>
      <c r="K929" s="187" t="s">
        <v>87</v>
      </c>
      <c r="L929" s="186"/>
      <c r="M929" s="186"/>
      <c r="N929" s="186"/>
      <c r="O929" s="187"/>
      <c r="P929" s="187"/>
      <c r="Q929" s="187"/>
      <c r="R929" s="187"/>
      <c r="S929" s="187"/>
      <c r="T929" s="187"/>
      <c r="U929" s="187"/>
      <c r="V929" s="188" t="str">
        <f t="shared" si="1458"/>
        <v/>
      </c>
      <c r="W929" s="189" t="str">
        <f t="shared" ref="W929:W937" si="1466">IF(ISBLANK(O929),"",IF(O929="IB",8.63*200,IF(O929="IR",16*100,IF(O929="YT",20*100,IF(O929="YT-XT",24*200,IF(O929="TED",80*100))))))</f>
        <v/>
      </c>
      <c r="X929" s="189"/>
      <c r="Y929" s="189"/>
      <c r="Z929" s="189"/>
      <c r="AA929" s="190"/>
      <c r="AB929" s="186"/>
      <c r="AC929" s="344"/>
      <c r="AD929" s="186"/>
      <c r="AE929" s="186"/>
      <c r="AF929" s="186"/>
      <c r="AG929" s="186"/>
      <c r="AH929" s="186"/>
      <c r="AI929" s="191"/>
      <c r="AJ929" s="191"/>
      <c r="AK929" s="186"/>
      <c r="AL929" s="186"/>
      <c r="AM929" s="186"/>
      <c r="AN929" s="344"/>
      <c r="AO929" s="186"/>
      <c r="AP929" s="193"/>
      <c r="AQ929" s="193"/>
      <c r="AR929" s="191"/>
      <c r="AS929" s="194"/>
      <c r="AT929" s="195"/>
      <c r="AU929" s="425"/>
      <c r="AV929" s="425"/>
      <c r="AW929" s="425"/>
      <c r="AX929" s="425"/>
      <c r="AY929" s="425"/>
      <c r="AZ929" s="425"/>
      <c r="BA929" s="425"/>
      <c r="BB929" s="425"/>
      <c r="BC929" s="440"/>
      <c r="BD929" s="404">
        <f>SUM($AS$4:AS929)</f>
        <v>4242.7352406205864</v>
      </c>
      <c r="BE929" s="407">
        <f>SUM($AR$4:AR929)</f>
        <v>18478.712000000243</v>
      </c>
      <c r="BF929" s="331"/>
      <c r="BG929" s="331"/>
    </row>
    <row r="930" spans="1:59" ht="15.75" customHeight="1">
      <c r="A930" s="227" t="s">
        <v>3383</v>
      </c>
      <c r="B930" s="181"/>
      <c r="C930" s="182"/>
      <c r="D930" s="182"/>
      <c r="E930" s="233" t="s">
        <v>3551</v>
      </c>
      <c r="F930" s="184" t="s">
        <v>3552</v>
      </c>
      <c r="G930" s="185"/>
      <c r="H930" s="186">
        <v>1</v>
      </c>
      <c r="I930" s="186"/>
      <c r="J930" s="186"/>
      <c r="K930" s="187" t="s">
        <v>87</v>
      </c>
      <c r="L930" s="186"/>
      <c r="M930" s="186"/>
      <c r="N930" s="186"/>
      <c r="O930" s="187"/>
      <c r="P930" s="187"/>
      <c r="Q930" s="187"/>
      <c r="R930" s="187"/>
      <c r="S930" s="187"/>
      <c r="T930" s="187"/>
      <c r="U930" s="187"/>
      <c r="V930" s="188" t="str">
        <f t="shared" si="1458"/>
        <v/>
      </c>
      <c r="W930" s="189" t="str">
        <f t="shared" si="1466"/>
        <v/>
      </c>
      <c r="X930" s="189"/>
      <c r="Y930" s="189"/>
      <c r="Z930" s="189"/>
      <c r="AA930" s="190"/>
      <c r="AB930" s="186"/>
      <c r="AC930" s="344"/>
      <c r="AD930" s="186"/>
      <c r="AE930" s="186"/>
      <c r="AF930" s="186"/>
      <c r="AG930" s="186"/>
      <c r="AH930" s="186"/>
      <c r="AI930" s="191"/>
      <c r="AJ930" s="191"/>
      <c r="AK930" s="186"/>
      <c r="AL930" s="186"/>
      <c r="AM930" s="186"/>
      <c r="AN930" s="344"/>
      <c r="AO930" s="186"/>
      <c r="AP930" s="193"/>
      <c r="AQ930" s="193"/>
      <c r="AR930" s="191"/>
      <c r="AS930" s="194"/>
      <c r="AT930" s="195"/>
      <c r="AU930" s="425"/>
      <c r="AV930" s="425"/>
      <c r="AW930" s="425"/>
      <c r="AX930" s="425"/>
      <c r="AY930" s="425"/>
      <c r="AZ930" s="425"/>
      <c r="BA930" s="425"/>
      <c r="BB930" s="425"/>
      <c r="BC930" s="440"/>
      <c r="BD930" s="404">
        <f>SUM($AS$4:AS930)</f>
        <v>4242.7352406205864</v>
      </c>
      <c r="BE930" s="407">
        <f>SUM($AR$4:AR930)</f>
        <v>18478.712000000243</v>
      </c>
      <c r="BF930" s="331"/>
      <c r="BG930" s="331"/>
    </row>
    <row r="931" spans="1:59" ht="15.75" customHeight="1">
      <c r="A931" s="227" t="s">
        <v>3383</v>
      </c>
      <c r="B931" s="181">
        <v>45153</v>
      </c>
      <c r="C931" s="182" t="s">
        <v>3553</v>
      </c>
      <c r="D931" s="182" t="s">
        <v>128</v>
      </c>
      <c r="E931" s="233"/>
      <c r="F931" s="184"/>
      <c r="G931" s="291" t="s">
        <v>2126</v>
      </c>
      <c r="H931" s="186"/>
      <c r="I931" s="186"/>
      <c r="J931" s="186"/>
      <c r="K931" s="187"/>
      <c r="L931" s="186">
        <v>1</v>
      </c>
      <c r="M931" s="186"/>
      <c r="N931" s="186"/>
      <c r="O931" s="187" t="s">
        <v>76</v>
      </c>
      <c r="P931" s="187" t="s">
        <v>77</v>
      </c>
      <c r="Q931" s="187" t="s">
        <v>78</v>
      </c>
      <c r="R931" s="187">
        <v>11</v>
      </c>
      <c r="S931" s="187">
        <v>0</v>
      </c>
      <c r="T931" s="187">
        <v>11</v>
      </c>
      <c r="U931" s="187" t="s">
        <v>78</v>
      </c>
      <c r="V931" s="188">
        <f t="shared" si="1458"/>
        <v>0.01</v>
      </c>
      <c r="W931" s="189">
        <f t="shared" si="1466"/>
        <v>1600</v>
      </c>
      <c r="X931" s="189" t="s">
        <v>80</v>
      </c>
      <c r="Y931" s="189"/>
      <c r="Z931" s="189"/>
      <c r="AA931" s="190">
        <f>(0.07*7+0.05*4)/11</f>
        <v>6.2727272727272729E-2</v>
      </c>
      <c r="AB931" s="186"/>
      <c r="AC931" s="344"/>
      <c r="AD931" s="186"/>
      <c r="AE931" s="186"/>
      <c r="AF931" s="186"/>
      <c r="AG931" s="186"/>
      <c r="AH931" s="186"/>
      <c r="AI931" s="191">
        <f>-0.02*W931</f>
        <v>-32</v>
      </c>
      <c r="AJ931" s="191">
        <f t="shared" ref="AJ931" si="1467">AI931*(R931-S931)</f>
        <v>-352</v>
      </c>
      <c r="AK931" s="186"/>
      <c r="AL931" s="186"/>
      <c r="AM931" s="186" t="s">
        <v>949</v>
      </c>
      <c r="AN931" s="344" t="s">
        <v>87</v>
      </c>
      <c r="AO931" s="186" t="s">
        <v>3554</v>
      </c>
      <c r="AP931" s="193">
        <v>0.06</v>
      </c>
      <c r="AQ931" s="193">
        <f t="shared" si="1462"/>
        <v>2.727272727272731E-3</v>
      </c>
      <c r="AR931" s="191">
        <f t="shared" si="1463"/>
        <v>48.000000000000064</v>
      </c>
      <c r="AS931" s="194">
        <f t="shared" si="1464"/>
        <v>4.3636363636363695</v>
      </c>
      <c r="AT931" s="195" t="s">
        <v>77</v>
      </c>
      <c r="AU931" s="425"/>
      <c r="AV931" s="425"/>
      <c r="AW931" s="425"/>
      <c r="AX931" s="425"/>
      <c r="AY931" s="425"/>
      <c r="AZ931" s="425"/>
      <c r="BA931" s="425"/>
      <c r="BB931" s="425"/>
      <c r="BC931" s="440"/>
      <c r="BD931" s="404">
        <f>SUM($AS$4:AS931)</f>
        <v>4247.0988769842224</v>
      </c>
      <c r="BE931" s="407">
        <f>SUM($AR$4:AR931)</f>
        <v>18526.712000000243</v>
      </c>
      <c r="BF931" s="331"/>
      <c r="BG931" s="331"/>
    </row>
    <row r="932" spans="1:59" ht="15.75" customHeight="1">
      <c r="A932" s="227" t="s">
        <v>3383</v>
      </c>
      <c r="B932" s="181">
        <v>45153</v>
      </c>
      <c r="C932" s="182" t="s">
        <v>1730</v>
      </c>
      <c r="D932" s="182" t="s">
        <v>128</v>
      </c>
      <c r="E932" s="233"/>
      <c r="F932" s="184"/>
      <c r="G932" s="185" t="s">
        <v>2051</v>
      </c>
      <c r="H932" s="186"/>
      <c r="I932" s="186"/>
      <c r="J932" s="186"/>
      <c r="K932" s="187"/>
      <c r="L932" s="186">
        <v>1</v>
      </c>
      <c r="M932" s="186">
        <v>1</v>
      </c>
      <c r="N932" s="186"/>
      <c r="O932" s="187" t="s">
        <v>76</v>
      </c>
      <c r="P932" s="187" t="s">
        <v>119</v>
      </c>
      <c r="Q932" s="187" t="s">
        <v>78</v>
      </c>
      <c r="R932" s="187">
        <v>10</v>
      </c>
      <c r="S932" s="187">
        <v>0</v>
      </c>
      <c r="T932" s="187">
        <v>10</v>
      </c>
      <c r="U932" s="187" t="s">
        <v>78</v>
      </c>
      <c r="V932" s="188">
        <f t="shared" ref="V932" si="1468">IF(ISBLANK(O932),"",(IF(O932=UPPER("IB"),0.005,0.01)))</f>
        <v>0.01</v>
      </c>
      <c r="W932" s="189">
        <f t="shared" ref="W932" si="1469">IF(ISBLANK(O932),"",IF(O932="IB",8.63*200,IF(O932="IR",16*100,IF(O932="YT",20*100,IF(O932="YT-XT",24*200,IF(O932="TED",80*100))))))</f>
        <v>1600</v>
      </c>
      <c r="X932" s="189"/>
      <c r="Y932" s="189"/>
      <c r="Z932" s="189"/>
      <c r="AA932" s="190"/>
      <c r="AB932" s="186"/>
      <c r="AC932" s="344"/>
      <c r="AD932" s="186"/>
      <c r="AE932" s="186"/>
      <c r="AF932" s="186"/>
      <c r="AG932" s="186"/>
      <c r="AH932" s="186"/>
      <c r="AI932" s="191"/>
      <c r="AJ932" s="191"/>
      <c r="AK932" s="186"/>
      <c r="AL932" s="186"/>
      <c r="AM932" s="186"/>
      <c r="AN932" s="344"/>
      <c r="AO932" s="186"/>
      <c r="AP932" s="193"/>
      <c r="AQ932" s="193"/>
      <c r="AR932" s="191"/>
      <c r="AS932" s="194"/>
      <c r="AT932" s="195"/>
      <c r="AU932" s="425"/>
      <c r="AV932" s="425"/>
      <c r="AW932" s="425"/>
      <c r="AX932" s="425"/>
      <c r="AY932" s="425"/>
      <c r="AZ932" s="425"/>
      <c r="BA932" s="425"/>
      <c r="BB932" s="425"/>
      <c r="BC932" s="440"/>
      <c r="BD932" s="404">
        <f>SUM($AS$4:AS932)</f>
        <v>4247.0988769842224</v>
      </c>
      <c r="BE932" s="407">
        <f>SUM($AR$4:AR932)</f>
        <v>18526.712000000243</v>
      </c>
      <c r="BF932" s="331"/>
      <c r="BG932" s="331"/>
    </row>
    <row r="933" spans="1:59" ht="15.75" customHeight="1">
      <c r="A933" s="227" t="s">
        <v>3383</v>
      </c>
      <c r="B933" s="181">
        <v>45153</v>
      </c>
      <c r="C933" s="182" t="s">
        <v>2001</v>
      </c>
      <c r="D933" s="182" t="s">
        <v>128</v>
      </c>
      <c r="E933" s="233" t="s">
        <v>3555</v>
      </c>
      <c r="F933" s="184"/>
      <c r="G933" s="185"/>
      <c r="H933" s="186"/>
      <c r="I933" s="186"/>
      <c r="J933" s="186"/>
      <c r="K933" s="187"/>
      <c r="L933" s="186"/>
      <c r="M933" s="186"/>
      <c r="N933" s="186"/>
      <c r="O933" s="187"/>
      <c r="P933" s="187"/>
      <c r="Q933" s="187"/>
      <c r="R933" s="187"/>
      <c r="S933" s="187"/>
      <c r="T933" s="187"/>
      <c r="U933" s="187"/>
      <c r="V933" s="187"/>
      <c r="W933" s="189" t="str">
        <f t="shared" ref="W932:W936" si="1470">IF(ISBLANK(O933),"",IF(O933="IB",8.63*200,IF(O933="IR",16*100,IF(O933="YT",20*100,IF(O933="YT-XT",24*200,IF(O933="TED",80*100))))))</f>
        <v/>
      </c>
      <c r="X933" s="189"/>
      <c r="Y933" s="189"/>
      <c r="Z933" s="189"/>
      <c r="AA933" s="190"/>
      <c r="AB933" s="186"/>
      <c r="AC933" s="344"/>
      <c r="AD933" s="186"/>
      <c r="AE933" s="186"/>
      <c r="AF933" s="186"/>
      <c r="AG933" s="186"/>
      <c r="AH933" s="186"/>
      <c r="AI933" s="191"/>
      <c r="AJ933" s="191"/>
      <c r="AK933" s="186"/>
      <c r="AL933" s="186"/>
      <c r="AM933" s="186"/>
      <c r="AN933" s="344"/>
      <c r="AO933" s="186"/>
      <c r="AP933" s="193"/>
      <c r="AQ933" s="193"/>
      <c r="AR933" s="191"/>
      <c r="AS933" s="194"/>
      <c r="AT933" s="195"/>
      <c r="AU933" s="425" t="s">
        <v>3556</v>
      </c>
      <c r="AV933" s="425" t="s">
        <v>3557</v>
      </c>
      <c r="AW933" s="425" t="s">
        <v>3558</v>
      </c>
      <c r="AX933" s="425" t="s">
        <v>3559</v>
      </c>
      <c r="AY933" s="425" t="s">
        <v>3560</v>
      </c>
      <c r="AZ933" s="425" t="s">
        <v>3561</v>
      </c>
      <c r="BA933" s="425" t="s">
        <v>3562</v>
      </c>
      <c r="BB933" s="425" t="s">
        <v>3563</v>
      </c>
      <c r="BC933" s="440" t="s">
        <v>3564</v>
      </c>
      <c r="BD933" s="404">
        <f>SUM($AS$4:AS933)</f>
        <v>4247.0988769842224</v>
      </c>
      <c r="BE933" s="407">
        <f>SUM($AR$4:AR933)</f>
        <v>18526.712000000243</v>
      </c>
      <c r="BF933" s="331"/>
      <c r="BG933" s="331"/>
    </row>
    <row r="934" spans="1:59" ht="15.75" customHeight="1">
      <c r="A934" s="227" t="s">
        <v>3383</v>
      </c>
      <c r="B934" s="181"/>
      <c r="C934" s="182"/>
      <c r="D934" s="182"/>
      <c r="E934" s="233" t="s">
        <v>3565</v>
      </c>
      <c r="F934" s="184"/>
      <c r="G934" s="185"/>
      <c r="H934" s="186"/>
      <c r="I934" s="186"/>
      <c r="J934" s="186">
        <v>1</v>
      </c>
      <c r="K934" s="187" t="s">
        <v>97</v>
      </c>
      <c r="L934" s="186"/>
      <c r="M934" s="186"/>
      <c r="N934" s="186"/>
      <c r="O934" s="187"/>
      <c r="P934" s="187"/>
      <c r="Q934" s="187"/>
      <c r="R934" s="187"/>
      <c r="S934" s="187"/>
      <c r="T934" s="187"/>
      <c r="U934" s="187"/>
      <c r="V934" s="187"/>
      <c r="W934" s="189" t="str">
        <f t="shared" si="1470"/>
        <v/>
      </c>
      <c r="X934" s="189"/>
      <c r="Y934" s="189"/>
      <c r="Z934" s="189"/>
      <c r="AA934" s="190"/>
      <c r="AB934" s="186"/>
      <c r="AC934" s="344"/>
      <c r="AD934" s="186"/>
      <c r="AE934" s="186"/>
      <c r="AF934" s="186"/>
      <c r="AG934" s="186"/>
      <c r="AH934" s="186"/>
      <c r="AI934" s="191"/>
      <c r="AJ934" s="191"/>
      <c r="AK934" s="186"/>
      <c r="AL934" s="186"/>
      <c r="AM934" s="186"/>
      <c r="AN934" s="344"/>
      <c r="AO934" s="186"/>
      <c r="AP934" s="193"/>
      <c r="AQ934" s="193"/>
      <c r="AR934" s="191"/>
      <c r="AS934" s="194"/>
      <c r="AT934" s="195"/>
      <c r="AU934" s="425"/>
      <c r="AV934" s="425"/>
      <c r="AW934" s="425"/>
      <c r="AX934" s="425"/>
      <c r="AY934" s="425"/>
      <c r="AZ934" s="425"/>
      <c r="BA934" s="425"/>
      <c r="BB934" s="425"/>
      <c r="BC934" s="440"/>
      <c r="BD934" s="404">
        <f>SUM($AS$4:AS934)</f>
        <v>4247.0988769842224</v>
      </c>
      <c r="BE934" s="407">
        <f>SUM($AR$4:AR934)</f>
        <v>18526.712000000243</v>
      </c>
      <c r="BF934" s="331"/>
      <c r="BG934" s="331"/>
    </row>
    <row r="935" spans="1:59" ht="15.75" customHeight="1">
      <c r="A935" s="227" t="s">
        <v>3383</v>
      </c>
      <c r="B935" s="181">
        <v>45153</v>
      </c>
      <c r="C935" s="182" t="s">
        <v>3566</v>
      </c>
      <c r="D935" s="182" t="s">
        <v>128</v>
      </c>
      <c r="E935" s="233" t="s">
        <v>3567</v>
      </c>
      <c r="F935" s="184"/>
      <c r="G935" s="185"/>
      <c r="H935" s="186"/>
      <c r="I935" s="186"/>
      <c r="J935" s="186"/>
      <c r="K935" s="187"/>
      <c r="L935" s="186"/>
      <c r="M935" s="186"/>
      <c r="N935" s="186"/>
      <c r="O935" s="187"/>
      <c r="P935" s="187"/>
      <c r="Q935" s="187"/>
      <c r="R935" s="187"/>
      <c r="S935" s="187"/>
      <c r="T935" s="187"/>
      <c r="U935" s="187"/>
      <c r="V935" s="187"/>
      <c r="W935" s="189" t="str">
        <f t="shared" si="1470"/>
        <v/>
      </c>
      <c r="X935" s="189"/>
      <c r="Y935" s="189"/>
      <c r="Z935" s="189"/>
      <c r="AA935" s="190"/>
      <c r="AB935" s="186"/>
      <c r="AC935" s="344"/>
      <c r="AD935" s="186"/>
      <c r="AE935" s="186"/>
      <c r="AF935" s="186"/>
      <c r="AG935" s="186"/>
      <c r="AH935" s="186"/>
      <c r="AI935" s="191"/>
      <c r="AJ935" s="191"/>
      <c r="AK935" s="186"/>
      <c r="AL935" s="186"/>
      <c r="AM935" s="186"/>
      <c r="AN935" s="344"/>
      <c r="AO935" s="186"/>
      <c r="AP935" s="193"/>
      <c r="AQ935" s="193"/>
      <c r="AR935" s="191"/>
      <c r="AS935" s="194"/>
      <c r="AT935" s="195"/>
      <c r="AU935" s="425" t="s">
        <v>3568</v>
      </c>
      <c r="AV935" s="425" t="s">
        <v>3569</v>
      </c>
      <c r="AW935" s="425" t="s">
        <v>3570</v>
      </c>
      <c r="AX935" s="425"/>
      <c r="AY935" s="425"/>
      <c r="AZ935" s="425"/>
      <c r="BA935" s="425"/>
      <c r="BB935" s="425"/>
      <c r="BC935" s="440"/>
      <c r="BD935" s="404">
        <f>SUM($AS$4:AS935)</f>
        <v>4247.0988769842224</v>
      </c>
      <c r="BE935" s="407">
        <f>SUM($AR$4:AR935)</f>
        <v>18526.712000000243</v>
      </c>
      <c r="BF935" s="331"/>
      <c r="BG935" s="331"/>
    </row>
    <row r="936" spans="1:59" ht="15.75" customHeight="1">
      <c r="A936" s="227" t="s">
        <v>3383</v>
      </c>
      <c r="B936" s="181">
        <v>45153</v>
      </c>
      <c r="C936" s="182" t="s">
        <v>1695</v>
      </c>
      <c r="D936" s="182" t="s">
        <v>128</v>
      </c>
      <c r="E936" s="233" t="s">
        <v>3571</v>
      </c>
      <c r="F936" s="184"/>
      <c r="G936" s="185"/>
      <c r="H936" s="186">
        <v>1</v>
      </c>
      <c r="I936" s="186"/>
      <c r="J936" s="186"/>
      <c r="K936" s="187" t="s">
        <v>87</v>
      </c>
      <c r="L936" s="186"/>
      <c r="M936" s="186"/>
      <c r="N936" s="186"/>
      <c r="O936" s="187"/>
      <c r="P936" s="187"/>
      <c r="Q936" s="187"/>
      <c r="R936" s="187"/>
      <c r="S936" s="187"/>
      <c r="T936" s="187"/>
      <c r="U936" s="187"/>
      <c r="V936" s="187"/>
      <c r="W936" s="189" t="str">
        <f t="shared" si="1470"/>
        <v/>
      </c>
      <c r="X936" s="189"/>
      <c r="Y936" s="189"/>
      <c r="Z936" s="189"/>
      <c r="AA936" s="190"/>
      <c r="AB936" s="186"/>
      <c r="AC936" s="344"/>
      <c r="AD936" s="186"/>
      <c r="AE936" s="186"/>
      <c r="AF936" s="186"/>
      <c r="AG936" s="186"/>
      <c r="AH936" s="186"/>
      <c r="AI936" s="191"/>
      <c r="AJ936" s="191"/>
      <c r="AK936" s="186"/>
      <c r="AL936" s="186"/>
      <c r="AM936" s="186"/>
      <c r="AN936" s="344"/>
      <c r="AO936" s="186"/>
      <c r="AP936" s="193"/>
      <c r="AQ936" s="193"/>
      <c r="AR936" s="191"/>
      <c r="AS936" s="194"/>
      <c r="AT936" s="195"/>
      <c r="AU936" s="425"/>
      <c r="AV936" s="425"/>
      <c r="AW936" s="425"/>
      <c r="AX936" s="425"/>
      <c r="AY936" s="425"/>
      <c r="AZ936" s="425"/>
      <c r="BA936" s="425"/>
      <c r="BB936" s="425"/>
      <c r="BC936" s="440"/>
      <c r="BD936" s="404">
        <f>SUM($AS$4:AS936)</f>
        <v>4247.0988769842224</v>
      </c>
      <c r="BE936" s="407">
        <f>SUM($AR$4:AR936)</f>
        <v>18526.712000000243</v>
      </c>
      <c r="BF936" s="331"/>
      <c r="BG936" s="331"/>
    </row>
    <row r="937" spans="1:59" ht="15.75" customHeight="1">
      <c r="A937" s="227" t="s">
        <v>3383</v>
      </c>
      <c r="B937" s="181"/>
      <c r="C937" s="182"/>
      <c r="D937" s="182"/>
      <c r="E937" s="233" t="s">
        <v>3572</v>
      </c>
      <c r="F937" s="184"/>
      <c r="G937" s="185"/>
      <c r="H937" s="186">
        <v>1</v>
      </c>
      <c r="I937" s="186"/>
      <c r="J937" s="186"/>
      <c r="K937" s="187" t="s">
        <v>87</v>
      </c>
      <c r="L937" s="186"/>
      <c r="M937" s="186"/>
      <c r="N937" s="186"/>
      <c r="O937" s="187"/>
      <c r="P937" s="187"/>
      <c r="Q937" s="187"/>
      <c r="R937" s="187"/>
      <c r="S937" s="187"/>
      <c r="T937" s="187"/>
      <c r="U937" s="187"/>
      <c r="V937" s="187"/>
      <c r="W937" s="189" t="str">
        <f t="shared" si="1466"/>
        <v/>
      </c>
      <c r="X937" s="189"/>
      <c r="Y937" s="189"/>
      <c r="Z937" s="189"/>
      <c r="AA937" s="190"/>
      <c r="AB937" s="186"/>
      <c r="AC937" s="344"/>
      <c r="AD937" s="186"/>
      <c r="AE937" s="186"/>
      <c r="AF937" s="186"/>
      <c r="AG937" s="186"/>
      <c r="AH937" s="186"/>
      <c r="AI937" s="191"/>
      <c r="AJ937" s="191"/>
      <c r="AK937" s="186"/>
      <c r="AL937" s="186"/>
      <c r="AM937" s="186"/>
      <c r="AN937" s="344"/>
      <c r="AO937" s="186"/>
      <c r="AP937" s="193"/>
      <c r="AQ937" s="193"/>
      <c r="AR937" s="191"/>
      <c r="AS937" s="194"/>
      <c r="AT937" s="195"/>
      <c r="AU937" s="425"/>
      <c r="AV937" s="425"/>
      <c r="AW937" s="425"/>
      <c r="AX937" s="425"/>
      <c r="AY937" s="425"/>
      <c r="AZ937" s="425"/>
      <c r="BA937" s="425"/>
      <c r="BB937" s="425"/>
      <c r="BC937" s="440"/>
      <c r="BD937" s="404">
        <f>SUM($AS$4:AS937)</f>
        <v>4247.0988769842224</v>
      </c>
      <c r="BE937" s="407">
        <f>SUM($AR$4:AR937)</f>
        <v>18526.712000000243</v>
      </c>
      <c r="BF937" s="331"/>
      <c r="BG937" s="331"/>
    </row>
    <row r="938" spans="1:59" ht="15.75" customHeight="1">
      <c r="A938" s="227" t="s">
        <v>3383</v>
      </c>
      <c r="B938" s="181"/>
      <c r="C938" s="182"/>
      <c r="D938" s="182"/>
      <c r="E938" s="233" t="s">
        <v>3573</v>
      </c>
      <c r="F938" s="184"/>
      <c r="G938" s="185"/>
      <c r="H938" s="186">
        <v>1</v>
      </c>
      <c r="I938" s="186"/>
      <c r="J938" s="186"/>
      <c r="K938" s="187" t="s">
        <v>87</v>
      </c>
      <c r="L938" s="186"/>
      <c r="M938" s="186"/>
      <c r="N938" s="186"/>
      <c r="O938" s="187"/>
      <c r="P938" s="187"/>
      <c r="Q938" s="187"/>
      <c r="R938" s="187"/>
      <c r="S938" s="187"/>
      <c r="T938" s="187"/>
      <c r="U938" s="187"/>
      <c r="V938" s="187"/>
      <c r="W938" s="189" t="str">
        <f t="shared" si="1411"/>
        <v/>
      </c>
      <c r="X938" s="189"/>
      <c r="Y938" s="189"/>
      <c r="Z938" s="189"/>
      <c r="AA938" s="190"/>
      <c r="AB938" s="186"/>
      <c r="AC938" s="344"/>
      <c r="AD938" s="186"/>
      <c r="AE938" s="186"/>
      <c r="AF938" s="186"/>
      <c r="AG938" s="186"/>
      <c r="AH938" s="186"/>
      <c r="AI938" s="191"/>
      <c r="AJ938" s="191"/>
      <c r="AK938" s="186"/>
      <c r="AL938" s="186"/>
      <c r="AM938" s="186"/>
      <c r="AN938" s="344"/>
      <c r="AO938" s="186"/>
      <c r="AP938" s="193"/>
      <c r="AQ938" s="193"/>
      <c r="AR938" s="191"/>
      <c r="AS938" s="194"/>
      <c r="AT938" s="195"/>
      <c r="AU938" s="425"/>
      <c r="AV938" s="425"/>
      <c r="AW938" s="425"/>
      <c r="AX938" s="425"/>
      <c r="AY938" s="425"/>
      <c r="AZ938" s="425"/>
      <c r="BA938" s="425"/>
      <c r="BB938" s="425"/>
      <c r="BC938" s="440"/>
      <c r="BD938" s="404">
        <f>SUM($AS$4:AS938)</f>
        <v>4247.0988769842224</v>
      </c>
      <c r="BE938" s="407">
        <f>SUM($AR$4:AR938)</f>
        <v>18526.712000000243</v>
      </c>
      <c r="BF938" s="331"/>
      <c r="BG938" s="331"/>
    </row>
    <row r="939" spans="1:59" ht="15.75" customHeight="1">
      <c r="A939" s="227" t="s">
        <v>3383</v>
      </c>
      <c r="B939" s="181"/>
      <c r="C939" s="182"/>
      <c r="D939" s="182"/>
      <c r="E939" s="233" t="s">
        <v>3574</v>
      </c>
      <c r="F939" s="184"/>
      <c r="G939" s="185"/>
      <c r="H939" s="186">
        <v>1</v>
      </c>
      <c r="I939" s="186"/>
      <c r="J939" s="186"/>
      <c r="K939" s="187" t="s">
        <v>87</v>
      </c>
      <c r="L939" s="186"/>
      <c r="M939" s="186"/>
      <c r="N939" s="186"/>
      <c r="O939" s="187"/>
      <c r="P939" s="187"/>
      <c r="Q939" s="187"/>
      <c r="R939" s="187"/>
      <c r="S939" s="187"/>
      <c r="T939" s="187"/>
      <c r="U939" s="187"/>
      <c r="V939" s="187"/>
      <c r="W939" s="189" t="str">
        <f t="shared" si="1411"/>
        <v/>
      </c>
      <c r="X939" s="189"/>
      <c r="Y939" s="189"/>
      <c r="Z939" s="189"/>
      <c r="AA939" s="190"/>
      <c r="AB939" s="186"/>
      <c r="AC939" s="344"/>
      <c r="AD939" s="186"/>
      <c r="AE939" s="186"/>
      <c r="AF939" s="186"/>
      <c r="AG939" s="186"/>
      <c r="AH939" s="186"/>
      <c r="AI939" s="191"/>
      <c r="AJ939" s="191"/>
      <c r="AK939" s="186"/>
      <c r="AL939" s="186"/>
      <c r="AM939" s="186"/>
      <c r="AN939" s="344"/>
      <c r="AO939" s="186"/>
      <c r="AP939" s="193"/>
      <c r="AQ939" s="193"/>
      <c r="AR939" s="191"/>
      <c r="AS939" s="194"/>
      <c r="AT939" s="195"/>
      <c r="AU939" s="425"/>
      <c r="AV939" s="425"/>
      <c r="AW939" s="425"/>
      <c r="AX939" s="425"/>
      <c r="AY939" s="425"/>
      <c r="AZ939" s="425"/>
      <c r="BA939" s="425"/>
      <c r="BB939" s="425"/>
      <c r="BC939" s="440"/>
      <c r="BD939" s="404">
        <f>SUM($AS$4:AS939)</f>
        <v>4247.0988769842224</v>
      </c>
      <c r="BE939" s="407">
        <f>SUM($AR$4:AR939)</f>
        <v>18526.712000000243</v>
      </c>
      <c r="BF939" s="331"/>
      <c r="BG939" s="331"/>
    </row>
    <row r="940" spans="1:59" ht="15.75" customHeight="1">
      <c r="A940" s="227" t="s">
        <v>3383</v>
      </c>
      <c r="B940" s="181"/>
      <c r="C940" s="182"/>
      <c r="D940" s="182"/>
      <c r="E940" s="233" t="s">
        <v>3575</v>
      </c>
      <c r="F940" s="184"/>
      <c r="G940" s="185"/>
      <c r="H940" s="186">
        <v>1</v>
      </c>
      <c r="I940" s="186"/>
      <c r="J940" s="186"/>
      <c r="K940" s="187" t="s">
        <v>87</v>
      </c>
      <c r="L940" s="186"/>
      <c r="M940" s="186"/>
      <c r="N940" s="186"/>
      <c r="O940" s="187"/>
      <c r="P940" s="187"/>
      <c r="Q940" s="187"/>
      <c r="R940" s="187"/>
      <c r="S940" s="187"/>
      <c r="T940" s="187"/>
      <c r="U940" s="187"/>
      <c r="V940" s="187"/>
      <c r="W940" s="189" t="str">
        <f t="shared" si="1373"/>
        <v/>
      </c>
      <c r="X940" s="189"/>
      <c r="Y940" s="189"/>
      <c r="Z940" s="189"/>
      <c r="AA940" s="190"/>
      <c r="AB940" s="186"/>
      <c r="AC940" s="344"/>
      <c r="AD940" s="186"/>
      <c r="AE940" s="186"/>
      <c r="AF940" s="186"/>
      <c r="AG940" s="186"/>
      <c r="AH940" s="186"/>
      <c r="AI940" s="191"/>
      <c r="AJ940" s="191"/>
      <c r="AK940" s="186"/>
      <c r="AL940" s="186"/>
      <c r="AM940" s="186"/>
      <c r="AN940" s="344"/>
      <c r="AO940" s="186"/>
      <c r="AP940" s="193"/>
      <c r="AQ940" s="193"/>
      <c r="AR940" s="191"/>
      <c r="AS940" s="194"/>
      <c r="AT940" s="195"/>
      <c r="AU940" s="425"/>
      <c r="AV940" s="425"/>
      <c r="AW940" s="425"/>
      <c r="AX940" s="425"/>
      <c r="AY940" s="425"/>
      <c r="AZ940" s="425"/>
      <c r="BA940" s="425"/>
      <c r="BB940" s="425"/>
      <c r="BC940" s="440"/>
      <c r="BD940" s="404">
        <f>SUM($AS$4:AS940)</f>
        <v>4247.0988769842224</v>
      </c>
      <c r="BE940" s="407">
        <f>SUM($AR$4:AR940)</f>
        <v>18526.712000000243</v>
      </c>
      <c r="BF940" s="331"/>
      <c r="BG940" s="331"/>
    </row>
    <row r="941" spans="1:59" ht="15.75" customHeight="1">
      <c r="A941" s="227" t="s">
        <v>3383</v>
      </c>
      <c r="B941" s="181">
        <v>45153</v>
      </c>
      <c r="C941" s="182" t="s">
        <v>1709</v>
      </c>
      <c r="D941" s="182" t="s">
        <v>128</v>
      </c>
      <c r="E941" s="233"/>
      <c r="F941" s="184"/>
      <c r="G941" s="291" t="s">
        <v>2045</v>
      </c>
      <c r="H941" s="186"/>
      <c r="I941" s="186"/>
      <c r="J941" s="186"/>
      <c r="K941" s="187"/>
      <c r="L941" s="186">
        <v>2</v>
      </c>
      <c r="M941" s="186"/>
      <c r="N941" s="186"/>
      <c r="O941" s="187" t="s">
        <v>76</v>
      </c>
      <c r="P941" s="187" t="s">
        <v>77</v>
      </c>
      <c r="Q941" s="187" t="s">
        <v>78</v>
      </c>
      <c r="R941" s="187">
        <v>10</v>
      </c>
      <c r="S941" s="187">
        <v>0</v>
      </c>
      <c r="T941" s="187">
        <v>6</v>
      </c>
      <c r="U941" s="187" t="s">
        <v>22</v>
      </c>
      <c r="V941" s="188">
        <f t="shared" ref="V941" si="1471">IF(ISBLANK(O941),"",(IF(O941=UPPER("IB"),0.005,0.01)))</f>
        <v>0.01</v>
      </c>
      <c r="W941" s="189">
        <f t="shared" ref="W941" si="1472">IF(ISBLANK(O941),"",IF(O941="IB",8.63*200,IF(O941="IR",16*100,IF(O941="YT",20*100,IF(O941="YT-XT",24*200,IF(O941="TED",80*100))))))</f>
        <v>1600</v>
      </c>
      <c r="X941" s="189"/>
      <c r="Y941" s="189"/>
      <c r="Z941" s="189" t="s">
        <v>3576</v>
      </c>
      <c r="AA941" s="190">
        <v>-7.0000000000000007E-2</v>
      </c>
      <c r="AB941" s="186"/>
      <c r="AC941" s="344"/>
      <c r="AD941" s="186"/>
      <c r="AE941" s="186"/>
      <c r="AF941" s="186"/>
      <c r="AG941" s="186"/>
      <c r="AH941" s="186"/>
      <c r="AI941" s="191">
        <f t="shared" ref="AI932:AI942" si="1473">-0.02*W941</f>
        <v>-32</v>
      </c>
      <c r="AJ941" s="191">
        <f t="shared" ref="AJ932:AJ942" si="1474">AI941*(R941-S941)</f>
        <v>-320</v>
      </c>
      <c r="AK941" s="186"/>
      <c r="AL941" s="186"/>
      <c r="AM941" s="186" t="s">
        <v>752</v>
      </c>
      <c r="AN941" s="344" t="s">
        <v>97</v>
      </c>
      <c r="AO941" s="186" t="s">
        <v>3577</v>
      </c>
      <c r="AP941" s="193">
        <v>-7.0000000000000007E-2</v>
      </c>
      <c r="AQ941" s="193">
        <f t="shared" ref="AQ932:AQ943" si="1475">IF(ISBLANK(AP941),,IF(U941="S",AA941-AP941,AP941-AA941))</f>
        <v>0</v>
      </c>
      <c r="AR941" s="191">
        <f t="shared" ref="AR932:AR943" si="1476">AS941*R941</f>
        <v>0</v>
      </c>
      <c r="AS941" s="194">
        <f t="shared" ref="AS932:AS943" si="1477">IF(ISBLANK(AP941),,(AQ941*W941))</f>
        <v>0</v>
      </c>
      <c r="AT941" s="195" t="s">
        <v>97</v>
      </c>
      <c r="AU941" s="425"/>
      <c r="AV941" s="425"/>
      <c r="AW941" s="425"/>
      <c r="AX941" s="425"/>
      <c r="AY941" s="425"/>
      <c r="AZ941" s="425"/>
      <c r="BA941" s="425"/>
      <c r="BB941" s="425"/>
      <c r="BC941" s="440"/>
      <c r="BD941" s="404">
        <f>SUM($AS$4:AS941)</f>
        <v>4247.0988769842224</v>
      </c>
      <c r="BE941" s="407">
        <f>SUM($AR$4:AR941)</f>
        <v>18526.712000000243</v>
      </c>
      <c r="BF941" s="331"/>
      <c r="BG941" s="331"/>
    </row>
    <row r="942" spans="1:59" ht="15.75" customHeight="1">
      <c r="A942" s="227" t="s">
        <v>3383</v>
      </c>
      <c r="B942" s="181">
        <v>45153</v>
      </c>
      <c r="C942" s="182" t="s">
        <v>1201</v>
      </c>
      <c r="D942" s="182" t="s">
        <v>128</v>
      </c>
      <c r="E942" s="233"/>
      <c r="F942" s="184"/>
      <c r="G942" s="291" t="s">
        <v>2126</v>
      </c>
      <c r="H942" s="186"/>
      <c r="I942" s="186"/>
      <c r="J942" s="186"/>
      <c r="K942" s="187"/>
      <c r="L942" s="186">
        <v>1</v>
      </c>
      <c r="M942" s="186"/>
      <c r="N942" s="186"/>
      <c r="O942" s="187" t="s">
        <v>76</v>
      </c>
      <c r="P942" s="187" t="s">
        <v>77</v>
      </c>
      <c r="Q942" s="187" t="s">
        <v>78</v>
      </c>
      <c r="R942" s="187">
        <v>5</v>
      </c>
      <c r="S942" s="187">
        <v>0</v>
      </c>
      <c r="T942" s="187">
        <v>3</v>
      </c>
      <c r="U942" s="187" t="s">
        <v>22</v>
      </c>
      <c r="V942" s="188">
        <f t="shared" ref="V942" si="1478">IF(ISBLANK(O942),"",(IF(O942=UPPER("IB"),0.005,0.01)))</f>
        <v>0.01</v>
      </c>
      <c r="W942" s="189">
        <f t="shared" ref="W942" si="1479">IF(ISBLANK(O942),"",IF(O942="IB",8.63*200,IF(O942="IR",16*100,IF(O942="YT",20*100,IF(O942="YT-XT",24*200,IF(O942="TED",80*100))))))</f>
        <v>1600</v>
      </c>
      <c r="X942" s="189" t="s">
        <v>80</v>
      </c>
      <c r="Y942" s="189"/>
      <c r="Z942" s="189"/>
      <c r="AA942" s="190">
        <v>0.05</v>
      </c>
      <c r="AB942" s="186"/>
      <c r="AC942" s="344"/>
      <c r="AD942" s="186"/>
      <c r="AE942" s="186"/>
      <c r="AF942" s="186"/>
      <c r="AG942" s="186"/>
      <c r="AH942" s="186"/>
      <c r="AI942" s="191">
        <f t="shared" si="1473"/>
        <v>-32</v>
      </c>
      <c r="AJ942" s="191">
        <f t="shared" si="1474"/>
        <v>-160</v>
      </c>
      <c r="AK942" s="186"/>
      <c r="AL942" s="186"/>
      <c r="AM942" s="186" t="s">
        <v>1985</v>
      </c>
      <c r="AN942" s="344" t="s">
        <v>87</v>
      </c>
      <c r="AO942" s="186" t="s">
        <v>3578</v>
      </c>
      <c r="AP942" s="193">
        <v>0.06</v>
      </c>
      <c r="AQ942" s="193">
        <f t="shared" si="1475"/>
        <v>9.999999999999995E-3</v>
      </c>
      <c r="AR942" s="191">
        <f t="shared" si="1476"/>
        <v>79.999999999999972</v>
      </c>
      <c r="AS942" s="194">
        <f t="shared" si="1477"/>
        <v>15.999999999999993</v>
      </c>
      <c r="AT942" s="195" t="s">
        <v>77</v>
      </c>
      <c r="AU942" s="425"/>
      <c r="AV942" s="425"/>
      <c r="AW942" s="425"/>
      <c r="AX942" s="425"/>
      <c r="AY942" s="425"/>
      <c r="AZ942" s="425"/>
      <c r="BA942" s="425"/>
      <c r="BB942" s="425"/>
      <c r="BC942" s="440"/>
      <c r="BD942" s="404">
        <f>SUM($AS$4:AS942)</f>
        <v>4263.0988769842224</v>
      </c>
      <c r="BE942" s="407">
        <f>SUM($AR$4:AR942)</f>
        <v>18606.712000000243</v>
      </c>
      <c r="BF942" s="331"/>
      <c r="BG942" s="331"/>
    </row>
    <row r="943" spans="1:59" ht="15.75" customHeight="1">
      <c r="A943" s="227" t="s">
        <v>3383</v>
      </c>
      <c r="B943" s="181">
        <v>45153</v>
      </c>
      <c r="C943" s="182" t="s">
        <v>3579</v>
      </c>
      <c r="D943" s="182" t="s">
        <v>128</v>
      </c>
      <c r="E943" s="233"/>
      <c r="F943" s="184"/>
      <c r="G943" s="291" t="s">
        <v>75</v>
      </c>
      <c r="H943" s="186"/>
      <c r="I943" s="186"/>
      <c r="J943" s="186"/>
      <c r="K943" s="187"/>
      <c r="L943" s="186">
        <v>1</v>
      </c>
      <c r="M943" s="186"/>
      <c r="N943" s="186"/>
      <c r="O943" s="187" t="s">
        <v>76</v>
      </c>
      <c r="P943" s="187" t="s">
        <v>77</v>
      </c>
      <c r="Q943" s="187" t="s">
        <v>78</v>
      </c>
      <c r="R943" s="187">
        <v>3</v>
      </c>
      <c r="S943" s="187">
        <v>0</v>
      </c>
      <c r="T943" s="187">
        <v>3</v>
      </c>
      <c r="U943" s="187" t="s">
        <v>22</v>
      </c>
      <c r="V943" s="188">
        <f t="shared" ref="V943" si="1480">IF(ISBLANK(O943),"",(IF(O943=UPPER("IB"),0.005,0.01)))</f>
        <v>0.01</v>
      </c>
      <c r="W943" s="189">
        <f t="shared" ref="W943" si="1481">IF(ISBLANK(O943),"",IF(O943="IB",8.63*200,IF(O943="IR",16*100,IF(O943="YT",20*100,IF(O943="YT-XT",24*200,IF(O943="TED",80*100))))))</f>
        <v>1600</v>
      </c>
      <c r="X943" s="189" t="s">
        <v>3580</v>
      </c>
      <c r="Y943" s="189"/>
      <c r="Z943" s="189"/>
      <c r="AA943" s="190">
        <v>0.14000000000000001</v>
      </c>
      <c r="AB943" s="186"/>
      <c r="AC943" s="344"/>
      <c r="AD943" s="186"/>
      <c r="AE943" s="186"/>
      <c r="AF943" s="186"/>
      <c r="AG943" s="186"/>
      <c r="AH943" s="186"/>
      <c r="AI943" s="191"/>
      <c r="AJ943" s="191"/>
      <c r="AK943" s="186"/>
      <c r="AL943" s="186"/>
      <c r="AM943" s="186" t="s">
        <v>1763</v>
      </c>
      <c r="AN943" s="344" t="s">
        <v>87</v>
      </c>
      <c r="AO943" s="186" t="s">
        <v>3581</v>
      </c>
      <c r="AP943" s="193">
        <v>0.15</v>
      </c>
      <c r="AQ943" s="193">
        <f t="shared" si="1475"/>
        <v>9.9999999999999811E-3</v>
      </c>
      <c r="AR943" s="191">
        <f t="shared" si="1476"/>
        <v>47.999999999999908</v>
      </c>
      <c r="AS943" s="194">
        <f t="shared" si="1477"/>
        <v>15.99999999999997</v>
      </c>
      <c r="AT943" s="195" t="s">
        <v>77</v>
      </c>
      <c r="AU943" s="425" t="s">
        <v>3582</v>
      </c>
      <c r="AV943" s="425" t="s">
        <v>3583</v>
      </c>
      <c r="AW943" s="425"/>
      <c r="AX943" s="425"/>
      <c r="AY943" s="425"/>
      <c r="AZ943" s="425"/>
      <c r="BA943" s="425"/>
      <c r="BB943" s="425"/>
      <c r="BC943" s="440"/>
      <c r="BD943" s="404">
        <f>SUM($AS$4:AS943)</f>
        <v>4279.0988769842224</v>
      </c>
      <c r="BE943" s="407">
        <f>SUM($AR$4:AR943)</f>
        <v>18654.712000000243</v>
      </c>
      <c r="BF943" s="331"/>
      <c r="BG943" s="331"/>
    </row>
    <row r="944" spans="1:59" ht="15.75" customHeight="1">
      <c r="A944" s="227" t="s">
        <v>3383</v>
      </c>
      <c r="B944" s="181">
        <v>45154</v>
      </c>
      <c r="C944" s="182" t="s">
        <v>2983</v>
      </c>
      <c r="D944" s="182" t="s">
        <v>133</v>
      </c>
      <c r="E944" s="233" t="s">
        <v>3584</v>
      </c>
      <c r="F944" s="184"/>
      <c r="G944" s="185"/>
      <c r="H944" s="186"/>
      <c r="I944" s="186"/>
      <c r="J944" s="186"/>
      <c r="K944" s="187"/>
      <c r="L944" s="186"/>
      <c r="M944" s="186"/>
      <c r="N944" s="186"/>
      <c r="O944" s="187"/>
      <c r="P944" s="187"/>
      <c r="Q944" s="187"/>
      <c r="R944" s="187"/>
      <c r="S944" s="187"/>
      <c r="T944" s="187"/>
      <c r="U944" s="187"/>
      <c r="V944" s="187"/>
      <c r="W944" s="189" t="str">
        <f t="shared" ref="W941:W949" si="1482">IF(ISBLANK(O944),"",IF(O944="IB",8.63*200,IF(O944="IR",16*100,IF(O944="YT",20*100,IF(O944="YT-XT",24*200,IF(O944="TED",80*100))))))</f>
        <v/>
      </c>
      <c r="X944" s="189"/>
      <c r="Y944" s="189"/>
      <c r="Z944" s="189"/>
      <c r="AA944" s="190"/>
      <c r="AB944" s="186"/>
      <c r="AC944" s="344"/>
      <c r="AD944" s="186"/>
      <c r="AE944" s="186"/>
      <c r="AF944" s="186"/>
      <c r="AG944" s="186"/>
      <c r="AH944" s="186"/>
      <c r="AI944" s="191"/>
      <c r="AJ944" s="191"/>
      <c r="AK944" s="186"/>
      <c r="AL944" s="186"/>
      <c r="AM944" s="186"/>
      <c r="AN944" s="344"/>
      <c r="AO944" s="186"/>
      <c r="AP944" s="193"/>
      <c r="AQ944" s="193"/>
      <c r="AR944" s="191"/>
      <c r="AS944" s="194"/>
      <c r="AT944" s="195"/>
      <c r="AU944" s="425"/>
      <c r="AV944" s="425"/>
      <c r="AW944" s="425"/>
      <c r="AX944" s="425"/>
      <c r="AY944" s="425"/>
      <c r="AZ944" s="425"/>
      <c r="BA944" s="425"/>
      <c r="BB944" s="425"/>
      <c r="BC944" s="440"/>
      <c r="BD944" s="404">
        <f>SUM($AS$4:AS944)</f>
        <v>4279.0988769842224</v>
      </c>
      <c r="BE944" s="407">
        <f>SUM($AR$4:AR944)</f>
        <v>18654.712000000243</v>
      </c>
      <c r="BF944" s="331"/>
      <c r="BG944" s="331"/>
    </row>
    <row r="945" spans="1:59" ht="15.75" customHeight="1">
      <c r="A945" s="227" t="s">
        <v>3383</v>
      </c>
      <c r="B945" s="181">
        <v>45154</v>
      </c>
      <c r="C945" s="182" t="s">
        <v>360</v>
      </c>
      <c r="D945" s="182" t="s">
        <v>133</v>
      </c>
      <c r="E945" s="233"/>
      <c r="F945" s="184"/>
      <c r="G945" s="291" t="s">
        <v>3585</v>
      </c>
      <c r="H945" s="186"/>
      <c r="I945" s="186"/>
      <c r="J945" s="186"/>
      <c r="K945" s="187"/>
      <c r="L945" s="186">
        <v>2</v>
      </c>
      <c r="M945" s="186"/>
      <c r="N945" s="186"/>
      <c r="O945" s="187" t="s">
        <v>76</v>
      </c>
      <c r="P945" s="187" t="s">
        <v>77</v>
      </c>
      <c r="Q945" s="187" t="s">
        <v>78</v>
      </c>
      <c r="R945" s="187">
        <v>10</v>
      </c>
      <c r="S945" s="187">
        <v>0</v>
      </c>
      <c r="T945" s="187">
        <v>10</v>
      </c>
      <c r="U945" s="187" t="s">
        <v>22</v>
      </c>
      <c r="V945" s="188">
        <f t="shared" ref="V945" si="1483">IF(ISBLANK(O945),"",(IF(O945=UPPER("IB"),0.005,0.01)))</f>
        <v>0.01</v>
      </c>
      <c r="W945" s="189">
        <f t="shared" si="1482"/>
        <v>1600</v>
      </c>
      <c r="X945" s="189"/>
      <c r="Y945" s="189"/>
      <c r="Z945" s="189" t="s">
        <v>3576</v>
      </c>
      <c r="AA945" s="190">
        <v>-0.08</v>
      </c>
      <c r="AB945" s="186"/>
      <c r="AC945" s="344"/>
      <c r="AD945" s="186"/>
      <c r="AE945" s="186"/>
      <c r="AF945" s="186"/>
      <c r="AG945" s="186"/>
      <c r="AH945" s="186"/>
      <c r="AI945" s="191">
        <f>-0.02*W945</f>
        <v>-32</v>
      </c>
      <c r="AJ945" s="191">
        <f t="shared" ref="AJ943:AJ947" si="1484">AI945*(R945-S945)</f>
        <v>-320</v>
      </c>
      <c r="AK945" s="186"/>
      <c r="AL945" s="186"/>
      <c r="AM945" s="186" t="s">
        <v>786</v>
      </c>
      <c r="AN945" s="344" t="s">
        <v>97</v>
      </c>
      <c r="AO945" s="186" t="s">
        <v>3586</v>
      </c>
      <c r="AP945" s="193">
        <v>-0.06</v>
      </c>
      <c r="AQ945" s="193">
        <f t="shared" ref="AQ944:AQ945" si="1485">IF(ISBLANK(AP945),,IF(U945="S",AA945-AP945,AP945-AA945))</f>
        <v>2.0000000000000004E-2</v>
      </c>
      <c r="AR945" s="191">
        <f t="shared" ref="AR944:AR945" si="1486">AS945*R945</f>
        <v>320.00000000000006</v>
      </c>
      <c r="AS945" s="194">
        <f t="shared" ref="AS944:AS945" si="1487">IF(ISBLANK(AP945),,(AQ945*W945))</f>
        <v>32.000000000000007</v>
      </c>
      <c r="AT945" s="195" t="s">
        <v>77</v>
      </c>
      <c r="AU945" s="425"/>
      <c r="AV945" s="425"/>
      <c r="AW945" s="425"/>
      <c r="AX945" s="425"/>
      <c r="AY945" s="425"/>
      <c r="AZ945" s="425"/>
      <c r="BA945" s="425"/>
      <c r="BB945" s="425"/>
      <c r="BC945" s="440"/>
      <c r="BD945" s="404">
        <f>SUM($AS$4:AS945)</f>
        <v>4311.0988769842224</v>
      </c>
      <c r="BE945" s="407">
        <f>SUM($AR$4:AR945)</f>
        <v>18974.712000000243</v>
      </c>
      <c r="BF945" s="331"/>
      <c r="BG945" s="331"/>
    </row>
    <row r="946" spans="1:59" ht="15.75" customHeight="1">
      <c r="A946" s="227" t="s">
        <v>3383</v>
      </c>
      <c r="B946" s="181">
        <v>45154</v>
      </c>
      <c r="C946" s="182" t="s">
        <v>2642</v>
      </c>
      <c r="D946" s="182" t="s">
        <v>133</v>
      </c>
      <c r="E946" s="233" t="s">
        <v>3587</v>
      </c>
      <c r="F946" s="184"/>
      <c r="G946" s="185"/>
      <c r="H946" s="186"/>
      <c r="I946" s="186"/>
      <c r="J946" s="186"/>
      <c r="K946" s="187"/>
      <c r="L946" s="186"/>
      <c r="M946" s="186"/>
      <c r="N946" s="186"/>
      <c r="O946" s="187"/>
      <c r="P946" s="187"/>
      <c r="Q946" s="187"/>
      <c r="R946" s="187"/>
      <c r="S946" s="187"/>
      <c r="T946" s="187"/>
      <c r="U946" s="187"/>
      <c r="V946" s="187"/>
      <c r="W946" s="189" t="str">
        <f t="shared" si="1482"/>
        <v/>
      </c>
      <c r="X946" s="189"/>
      <c r="Y946" s="189"/>
      <c r="Z946" s="189"/>
      <c r="AA946" s="190"/>
      <c r="AB946" s="186"/>
      <c r="AC946" s="344"/>
      <c r="AD946" s="186"/>
      <c r="AE946" s="186"/>
      <c r="AF946" s="186"/>
      <c r="AG946" s="186"/>
      <c r="AH946" s="186"/>
      <c r="AI946" s="191"/>
      <c r="AJ946" s="191"/>
      <c r="AK946" s="186"/>
      <c r="AL946" s="186"/>
      <c r="AM946" s="186"/>
      <c r="AN946" s="344"/>
      <c r="AO946" s="186"/>
      <c r="AP946" s="193"/>
      <c r="AQ946" s="193"/>
      <c r="AR946" s="191"/>
      <c r="AS946" s="194"/>
      <c r="AT946" s="195"/>
      <c r="AU946" s="425"/>
      <c r="AV946" s="425"/>
      <c r="AW946" s="425"/>
      <c r="AX946" s="425"/>
      <c r="AY946" s="425"/>
      <c r="AZ946" s="425"/>
      <c r="BA946" s="425"/>
      <c r="BB946" s="425"/>
      <c r="BC946" s="440"/>
      <c r="BD946" s="404">
        <f>SUM($AS$4:AS946)</f>
        <v>4311.0988769842224</v>
      </c>
      <c r="BE946" s="407">
        <f>SUM($AR$4:AR946)</f>
        <v>18974.712000000243</v>
      </c>
      <c r="BF946" s="331"/>
      <c r="BG946" s="331"/>
    </row>
    <row r="947" spans="1:59" ht="15.75" customHeight="1">
      <c r="A947" s="227" t="s">
        <v>3383</v>
      </c>
      <c r="B947" s="181">
        <v>45154</v>
      </c>
      <c r="C947" s="182" t="s">
        <v>3588</v>
      </c>
      <c r="D947" s="182" t="s">
        <v>133</v>
      </c>
      <c r="E947" s="233"/>
      <c r="F947" s="184"/>
      <c r="G947" s="185" t="s">
        <v>3504</v>
      </c>
      <c r="H947" s="186"/>
      <c r="I947" s="186"/>
      <c r="J947" s="186"/>
      <c r="K947" s="187"/>
      <c r="L947" s="186"/>
      <c r="M947" s="186"/>
      <c r="N947" s="186"/>
      <c r="O947" s="187"/>
      <c r="P947" s="187"/>
      <c r="Q947" s="187"/>
      <c r="R947" s="187"/>
      <c r="S947" s="187"/>
      <c r="T947" s="187"/>
      <c r="U947" s="187"/>
      <c r="V947" s="188"/>
      <c r="W947" s="189"/>
      <c r="X947" s="189"/>
      <c r="Y947" s="189"/>
      <c r="Z947" s="189"/>
      <c r="AA947" s="190"/>
      <c r="AB947" s="186"/>
      <c r="AC947" s="344"/>
      <c r="AD947" s="186"/>
      <c r="AE947" s="186"/>
      <c r="AF947" s="186"/>
      <c r="AG947" s="425"/>
      <c r="AH947" s="186"/>
      <c r="AI947" s="191"/>
      <c r="AJ947" s="191"/>
      <c r="AK947" s="186"/>
      <c r="AL947" s="186"/>
      <c r="AM947" s="186"/>
      <c r="AN947" s="344"/>
      <c r="AO947" s="186"/>
      <c r="AP947" s="193"/>
      <c r="AQ947" s="193"/>
      <c r="AR947" s="191"/>
      <c r="AS947" s="194"/>
      <c r="AT947" s="195"/>
      <c r="AU947" s="425" t="s">
        <v>3589</v>
      </c>
      <c r="AV947" s="425" t="s">
        <v>3590</v>
      </c>
      <c r="AW947" s="425"/>
      <c r="AX947" s="425"/>
      <c r="AY947" s="425"/>
      <c r="AZ947" s="425"/>
      <c r="BA947" s="425"/>
      <c r="BB947" s="425"/>
      <c r="BC947" s="440"/>
      <c r="BD947" s="404">
        <f>SUM($AS$4:AS947)</f>
        <v>4311.0988769842224</v>
      </c>
      <c r="BE947" s="407">
        <f>SUM($AR$4:AR947)</f>
        <v>18974.712000000243</v>
      </c>
      <c r="BF947" s="331"/>
      <c r="BG947" s="331"/>
    </row>
    <row r="948" spans="1:59" ht="15.75" customHeight="1">
      <c r="A948" s="227" t="s">
        <v>3383</v>
      </c>
      <c r="B948" s="181">
        <v>45155</v>
      </c>
      <c r="C948" s="182" t="s">
        <v>1973</v>
      </c>
      <c r="D948" s="182" t="s">
        <v>74</v>
      </c>
      <c r="E948" s="233"/>
      <c r="F948" s="184"/>
      <c r="G948" s="502" t="s">
        <v>3591</v>
      </c>
      <c r="H948" s="186"/>
      <c r="I948" s="186"/>
      <c r="J948" s="186"/>
      <c r="K948" s="187"/>
      <c r="L948" s="186">
        <v>2</v>
      </c>
      <c r="M948" s="186"/>
      <c r="N948" s="186"/>
      <c r="O948" s="187" t="s">
        <v>76</v>
      </c>
      <c r="P948" s="187" t="s">
        <v>119</v>
      </c>
      <c r="Q948" s="187" t="s">
        <v>78</v>
      </c>
      <c r="R948" s="187">
        <v>10</v>
      </c>
      <c r="S948" s="187">
        <v>7</v>
      </c>
      <c r="T948" s="187">
        <v>10</v>
      </c>
      <c r="U948" s="187" t="s">
        <v>78</v>
      </c>
      <c r="V948" s="188">
        <f t="shared" ref="V947:V948" si="1488">IF(ISBLANK(O948),"",(IF(O948=UPPER("IB"),0.005,0.01)))</f>
        <v>0.01</v>
      </c>
      <c r="W948" s="189">
        <f t="shared" ref="W947:W948" si="1489">IF(ISBLANK(O948),"",IF(O948="IB",8.63*200,IF(O948="IR",16*100,IF(O948="YT",20*100,IF(O948="YT-XT",24*200,IF(O948="TED",80*100))))))</f>
        <v>1600</v>
      </c>
      <c r="X948" s="189"/>
      <c r="Y948" s="189"/>
      <c r="Z948" s="189" t="s">
        <v>3592</v>
      </c>
      <c r="AA948" s="190">
        <v>0.01</v>
      </c>
      <c r="AB948" s="186"/>
      <c r="AC948" s="344"/>
      <c r="AD948" s="186"/>
      <c r="AE948" s="186" t="s">
        <v>3593</v>
      </c>
      <c r="AF948" s="186"/>
      <c r="AG948" s="186"/>
      <c r="AH948" s="186"/>
      <c r="AI948" s="191"/>
      <c r="AJ948" s="191"/>
      <c r="AK948" s="186"/>
      <c r="AL948" s="186"/>
      <c r="AM948" s="186" t="s">
        <v>907</v>
      </c>
      <c r="AN948" s="344" t="s">
        <v>77</v>
      </c>
      <c r="AO948" s="186" t="s">
        <v>3594</v>
      </c>
      <c r="AP948" s="193">
        <f>((-0.01*7)+(-0.01*3))/10</f>
        <v>-0.01</v>
      </c>
      <c r="AQ948" s="193">
        <f t="shared" ref="AQ946:AQ952" si="1490">IF(ISBLANK(AP948),,IF(U948="S",AA948-AP948,AP948-AA948))</f>
        <v>0.02</v>
      </c>
      <c r="AR948" s="191">
        <f t="shared" ref="AR946:AR952" si="1491">AS948*R948</f>
        <v>320</v>
      </c>
      <c r="AS948" s="194">
        <f t="shared" ref="AS946:AS952" si="1492">IF(ISBLANK(AP948),,(AQ948*W948))</f>
        <v>32</v>
      </c>
      <c r="AT948" s="195" t="s">
        <v>77</v>
      </c>
      <c r="AU948" s="425" t="s">
        <v>3595</v>
      </c>
      <c r="AV948" s="425"/>
      <c r="AW948" s="425"/>
      <c r="AX948" s="425"/>
      <c r="AY948" s="425"/>
      <c r="AZ948" s="425"/>
      <c r="BA948" s="425"/>
      <c r="BB948" s="425"/>
      <c r="BC948" s="440"/>
      <c r="BD948" s="404">
        <f>SUM($AS$4:AS948)</f>
        <v>4343.0988769842224</v>
      </c>
      <c r="BE948" s="407">
        <f>SUM($AR$4:AR948)</f>
        <v>19294.712000000243</v>
      </c>
      <c r="BF948" s="331"/>
      <c r="BG948" s="331"/>
    </row>
    <row r="949" spans="1:59" ht="15.75" customHeight="1">
      <c r="A949" s="227" t="s">
        <v>3383</v>
      </c>
      <c r="B949" s="181">
        <v>45155</v>
      </c>
      <c r="C949" s="182" t="s">
        <v>2062</v>
      </c>
      <c r="D949" s="182" t="s">
        <v>74</v>
      </c>
      <c r="E949" s="233" t="s">
        <v>3596</v>
      </c>
      <c r="F949" s="184"/>
      <c r="G949" s="185"/>
      <c r="H949" s="186"/>
      <c r="I949" s="186"/>
      <c r="J949" s="186">
        <v>1</v>
      </c>
      <c r="K949" s="187" t="s">
        <v>97</v>
      </c>
      <c r="L949" s="186"/>
      <c r="M949" s="186"/>
      <c r="N949" s="186"/>
      <c r="O949" s="187"/>
      <c r="P949" s="187"/>
      <c r="Q949" s="187"/>
      <c r="R949" s="187"/>
      <c r="S949" s="187"/>
      <c r="T949" s="187"/>
      <c r="U949" s="187"/>
      <c r="V949" s="187"/>
      <c r="W949" s="189" t="str">
        <f t="shared" si="1482"/>
        <v/>
      </c>
      <c r="X949" s="189"/>
      <c r="Y949" s="189"/>
      <c r="Z949" s="189"/>
      <c r="AA949" s="190"/>
      <c r="AB949" s="186"/>
      <c r="AC949" s="344"/>
      <c r="AD949" s="186"/>
      <c r="AE949" s="186"/>
      <c r="AF949" s="186"/>
      <c r="AG949" s="186"/>
      <c r="AH949" s="186"/>
      <c r="AI949" s="191"/>
      <c r="AJ949" s="191"/>
      <c r="AK949" s="186"/>
      <c r="AL949" s="186"/>
      <c r="AM949" s="186"/>
      <c r="AN949" s="344"/>
      <c r="AO949" s="186"/>
      <c r="AP949" s="193"/>
      <c r="AQ949" s="193"/>
      <c r="AR949" s="191"/>
      <c r="AS949" s="194"/>
      <c r="AT949" s="195"/>
      <c r="AU949" s="425"/>
      <c r="AV949" s="425"/>
      <c r="AW949" s="425"/>
      <c r="AX949" s="425"/>
      <c r="AY949" s="425"/>
      <c r="AZ949" s="425"/>
      <c r="BA949" s="425"/>
      <c r="BB949" s="425"/>
      <c r="BC949" s="440"/>
      <c r="BD949" s="404">
        <f>SUM($AS$4:AS949)</f>
        <v>4343.0988769842224</v>
      </c>
      <c r="BE949" s="407">
        <f>SUM($AR$4:AR949)</f>
        <v>19294.712000000243</v>
      </c>
      <c r="BF949" s="331"/>
      <c r="BG949" s="331"/>
    </row>
    <row r="950" spans="1:59" ht="15.75" customHeight="1">
      <c r="A950" s="227" t="s">
        <v>3383</v>
      </c>
      <c r="B950" s="181"/>
      <c r="C950" s="182"/>
      <c r="D950" s="182"/>
      <c r="E950" s="233" t="s">
        <v>3597</v>
      </c>
      <c r="F950" s="184"/>
      <c r="G950" s="185"/>
      <c r="H950" s="186">
        <v>1</v>
      </c>
      <c r="I950" s="186"/>
      <c r="J950" s="186"/>
      <c r="K950" s="187" t="s">
        <v>97</v>
      </c>
      <c r="L950" s="186"/>
      <c r="M950" s="186"/>
      <c r="N950" s="186"/>
      <c r="O950" s="187"/>
      <c r="P950" s="187"/>
      <c r="Q950" s="187"/>
      <c r="R950" s="187"/>
      <c r="S950" s="187"/>
      <c r="T950" s="187"/>
      <c r="U950" s="187"/>
      <c r="V950" s="187"/>
      <c r="W950" s="189" t="str">
        <f t="shared" ref="W950:W976" si="1493">IF(ISBLANK(O950),"",IF(O950="IB",8.63*200,IF(O950="IR",16*100,IF(O950="YT",20*100,IF(O950="YT-XT",24*200,IF(O950="TED",80*100))))))</f>
        <v/>
      </c>
      <c r="X950" s="189"/>
      <c r="Y950" s="189"/>
      <c r="Z950" s="189"/>
      <c r="AA950" s="190"/>
      <c r="AB950" s="186"/>
      <c r="AC950" s="344"/>
      <c r="AD950" s="186"/>
      <c r="AE950" s="186"/>
      <c r="AF950" s="186"/>
      <c r="AG950" s="186"/>
      <c r="AH950" s="186"/>
      <c r="AI950" s="191"/>
      <c r="AJ950" s="191"/>
      <c r="AK950" s="186"/>
      <c r="AL950" s="186"/>
      <c r="AM950" s="186"/>
      <c r="AN950" s="344"/>
      <c r="AO950" s="186"/>
      <c r="AP950" s="193"/>
      <c r="AQ950" s="193"/>
      <c r="AR950" s="191"/>
      <c r="AS950" s="194"/>
      <c r="AT950" s="195"/>
      <c r="AU950" s="425"/>
      <c r="AV950" s="425"/>
      <c r="AW950" s="425"/>
      <c r="AX950" s="425"/>
      <c r="AY950" s="425"/>
      <c r="AZ950" s="425"/>
      <c r="BA950" s="425"/>
      <c r="BB950" s="425"/>
      <c r="BC950" s="440"/>
      <c r="BD950" s="404">
        <f>SUM($AS$4:AS950)</f>
        <v>4343.0988769842224</v>
      </c>
      <c r="BE950" s="407">
        <f>SUM($AR$4:AR950)</f>
        <v>19294.712000000243</v>
      </c>
      <c r="BF950" s="331"/>
      <c r="BG950" s="331"/>
    </row>
    <row r="951" spans="1:59" ht="15.75" customHeight="1">
      <c r="A951" s="227" t="s">
        <v>3383</v>
      </c>
      <c r="B951" s="181">
        <v>45155</v>
      </c>
      <c r="C951" s="182" t="s">
        <v>3598</v>
      </c>
      <c r="D951" s="182" t="s">
        <v>74</v>
      </c>
      <c r="E951" s="233"/>
      <c r="F951" s="184"/>
      <c r="G951" s="185" t="s">
        <v>2924</v>
      </c>
      <c r="H951" s="186"/>
      <c r="I951" s="186"/>
      <c r="J951" s="186"/>
      <c r="K951" s="187"/>
      <c r="L951" s="186"/>
      <c r="M951" s="186"/>
      <c r="N951" s="186"/>
      <c r="O951" s="187"/>
      <c r="P951" s="187"/>
      <c r="Q951" s="187"/>
      <c r="R951" s="187"/>
      <c r="S951" s="187"/>
      <c r="T951" s="187"/>
      <c r="U951" s="187"/>
      <c r="V951" s="188"/>
      <c r="W951" s="189"/>
      <c r="X951" s="189"/>
      <c r="Y951" s="189"/>
      <c r="Z951" s="189"/>
      <c r="AA951" s="190"/>
      <c r="AB951" s="186"/>
      <c r="AC951" s="344"/>
      <c r="AD951" s="186"/>
      <c r="AE951" s="186"/>
      <c r="AF951" s="186"/>
      <c r="AG951" s="186"/>
      <c r="AH951" s="186"/>
      <c r="AI951" s="191"/>
      <c r="AJ951" s="191"/>
      <c r="AK951" s="186"/>
      <c r="AL951" s="186"/>
      <c r="AM951" s="186"/>
      <c r="AN951" s="344"/>
      <c r="AO951" s="186"/>
      <c r="AP951" s="193"/>
      <c r="AQ951" s="193"/>
      <c r="AR951" s="191"/>
      <c r="AS951" s="194"/>
      <c r="AT951" s="195"/>
      <c r="AU951" s="425"/>
      <c r="AV951" s="425"/>
      <c r="AW951" s="425"/>
      <c r="AX951" s="425"/>
      <c r="AY951" s="425"/>
      <c r="AZ951" s="425"/>
      <c r="BA951" s="425"/>
      <c r="BB951" s="425"/>
      <c r="BC951" s="440"/>
      <c r="BD951" s="404">
        <f>SUM($AS$4:AS951)</f>
        <v>4343.0988769842224</v>
      </c>
      <c r="BE951" s="407">
        <f>SUM($AR$4:AR951)</f>
        <v>19294.712000000243</v>
      </c>
      <c r="BF951" s="331"/>
      <c r="BG951" s="331"/>
    </row>
    <row r="952" spans="1:59" ht="15.75" customHeight="1">
      <c r="A952" s="227" t="s">
        <v>3383</v>
      </c>
      <c r="B952" s="181">
        <v>45155</v>
      </c>
      <c r="C952" s="182" t="s">
        <v>2736</v>
      </c>
      <c r="D952" s="182" t="s">
        <v>74</v>
      </c>
      <c r="E952" s="233"/>
      <c r="F952" s="184"/>
      <c r="G952" s="291" t="s">
        <v>3599</v>
      </c>
      <c r="H952" s="186"/>
      <c r="I952" s="186"/>
      <c r="J952" s="186"/>
      <c r="K952" s="187"/>
      <c r="L952" s="186">
        <v>1</v>
      </c>
      <c r="M952" s="186"/>
      <c r="N952" s="186"/>
      <c r="O952" s="187" t="s">
        <v>3600</v>
      </c>
      <c r="P952" s="187" t="s">
        <v>2241</v>
      </c>
      <c r="Q952" s="187" t="s">
        <v>666</v>
      </c>
      <c r="R952" s="187">
        <v>1</v>
      </c>
      <c r="S952" s="187">
        <v>0</v>
      </c>
      <c r="T952" s="187">
        <v>1</v>
      </c>
      <c r="U952" s="187" t="s">
        <v>22</v>
      </c>
      <c r="V952" s="188">
        <f t="shared" ref="V951:V952" si="1494">IF(ISBLANK(O952),"",(IF(O952=UPPER("IB"),0.005,0.01)))</f>
        <v>0.01</v>
      </c>
      <c r="W952" s="189">
        <f>IF(ISBLANK(O952),"",IF(O952="IB",8.63*200,IF(O952="IR",16*100,IF(O952="YT",20*100,IF(O952="YT-XT",24*200,IF(O952="TED",80*100,IF(O952="XT",36*200)))))))</f>
        <v>7200</v>
      </c>
      <c r="X952" s="427" t="s">
        <v>3601</v>
      </c>
      <c r="Y952" s="189"/>
      <c r="Z952" s="189"/>
      <c r="AA952" s="190">
        <v>95.7</v>
      </c>
      <c r="AB952" s="186"/>
      <c r="AC952" s="344"/>
      <c r="AD952" s="186"/>
      <c r="AE952" s="186"/>
      <c r="AF952" s="186"/>
      <c r="AG952" s="186"/>
      <c r="AH952" s="186"/>
      <c r="AI952" s="191"/>
      <c r="AJ952" s="191"/>
      <c r="AK952" s="186"/>
      <c r="AL952" s="186"/>
      <c r="AM952" s="186" t="s">
        <v>2350</v>
      </c>
      <c r="AN952" s="344" t="s">
        <v>376</v>
      </c>
      <c r="AO952" s="186" t="s">
        <v>3602</v>
      </c>
      <c r="AP952" s="193">
        <v>95.694999999999993</v>
      </c>
      <c r="AQ952" s="193">
        <f t="shared" si="1490"/>
        <v>-5.0000000000096634E-3</v>
      </c>
      <c r="AR952" s="191">
        <f t="shared" si="1491"/>
        <v>-36.000000000069576</v>
      </c>
      <c r="AS952" s="194">
        <f t="shared" si="1492"/>
        <v>-36.000000000069576</v>
      </c>
      <c r="AT952" s="195" t="s">
        <v>211</v>
      </c>
      <c r="AU952" s="425" t="s">
        <v>3603</v>
      </c>
      <c r="AV952" s="425" t="s">
        <v>3604</v>
      </c>
      <c r="AW952" s="425" t="s">
        <v>3605</v>
      </c>
      <c r="AX952" s="425" t="s">
        <v>3606</v>
      </c>
      <c r="AY952" s="425"/>
      <c r="AZ952" s="425"/>
      <c r="BA952" s="425"/>
      <c r="BB952" s="425"/>
      <c r="BC952" s="440"/>
      <c r="BD952" s="404">
        <f>SUM($AS$4:AS952)</f>
        <v>4307.0988769841533</v>
      </c>
      <c r="BE952" s="407">
        <f>SUM($AR$4:AR952)</f>
        <v>19258.712000000174</v>
      </c>
      <c r="BF952" s="331"/>
      <c r="BG952" s="331"/>
    </row>
    <row r="953" spans="1:59" ht="15.75" customHeight="1">
      <c r="A953" s="227" t="s">
        <v>3383</v>
      </c>
      <c r="B953" s="181">
        <v>45155</v>
      </c>
      <c r="C953" s="182" t="s">
        <v>2418</v>
      </c>
      <c r="D953" s="182" t="s">
        <v>74</v>
      </c>
      <c r="E953" s="233"/>
      <c r="F953" s="184"/>
      <c r="G953" s="185" t="s">
        <v>2051</v>
      </c>
      <c r="H953" s="186"/>
      <c r="I953" s="186"/>
      <c r="J953" s="186"/>
      <c r="K953" s="187"/>
      <c r="L953" s="186"/>
      <c r="M953" s="186"/>
      <c r="N953" s="186"/>
      <c r="O953" s="187"/>
      <c r="P953" s="187"/>
      <c r="Q953" s="187"/>
      <c r="R953" s="187"/>
      <c r="S953" s="187"/>
      <c r="T953" s="187"/>
      <c r="U953" s="187"/>
      <c r="V953" s="188"/>
      <c r="W953" s="189"/>
      <c r="X953" s="189"/>
      <c r="Y953" s="189"/>
      <c r="Z953" s="189"/>
      <c r="AA953" s="190"/>
      <c r="AB953" s="186"/>
      <c r="AC953" s="344"/>
      <c r="AD953" s="186"/>
      <c r="AE953" s="186"/>
      <c r="AF953" s="186"/>
      <c r="AG953" s="186"/>
      <c r="AH953" s="186"/>
      <c r="AI953" s="191"/>
      <c r="AJ953" s="191"/>
      <c r="AK953" s="186"/>
      <c r="AL953" s="186"/>
      <c r="AM953" s="186"/>
      <c r="AN953" s="344"/>
      <c r="AO953" s="186"/>
      <c r="AP953" s="193"/>
      <c r="AQ953" s="193"/>
      <c r="AR953" s="191"/>
      <c r="AS953" s="194"/>
      <c r="AT953" s="195"/>
      <c r="AU953" s="425"/>
      <c r="AV953" s="425"/>
      <c r="AW953" s="425"/>
      <c r="AX953" s="425"/>
      <c r="AY953" s="425"/>
      <c r="AZ953" s="425"/>
      <c r="BA953" s="425"/>
      <c r="BB953" s="425"/>
      <c r="BC953" s="440"/>
      <c r="BD953" s="404">
        <f>SUM($AS$4:AS953)</f>
        <v>4307.0988769841533</v>
      </c>
      <c r="BE953" s="407">
        <f>SUM($AR$4:AR953)</f>
        <v>19258.712000000174</v>
      </c>
      <c r="BF953" s="331"/>
      <c r="BG953" s="331"/>
    </row>
    <row r="954" spans="1:59" ht="15.75" customHeight="1">
      <c r="A954" s="227" t="s">
        <v>3383</v>
      </c>
      <c r="B954" s="181">
        <v>45155</v>
      </c>
      <c r="C954" s="182" t="s">
        <v>2418</v>
      </c>
      <c r="D954" s="182" t="s">
        <v>74</v>
      </c>
      <c r="E954" s="233"/>
      <c r="F954" s="184"/>
      <c r="G954" s="291" t="s">
        <v>3607</v>
      </c>
      <c r="H954" s="186"/>
      <c r="I954" s="186"/>
      <c r="J954" s="186"/>
      <c r="K954" s="187"/>
      <c r="L954" s="186">
        <v>2</v>
      </c>
      <c r="M954" s="186"/>
      <c r="N954" s="186"/>
      <c r="O954" s="187" t="s">
        <v>76</v>
      </c>
      <c r="P954" s="187" t="s">
        <v>119</v>
      </c>
      <c r="Q954" s="187" t="s">
        <v>78</v>
      </c>
      <c r="R954" s="187">
        <v>24</v>
      </c>
      <c r="S954" s="187">
        <v>0</v>
      </c>
      <c r="T954" s="187">
        <v>15</v>
      </c>
      <c r="U954" s="187" t="s">
        <v>78</v>
      </c>
      <c r="V954" s="188">
        <f t="shared" ref="V954" si="1495">IF(ISBLANK(O954),"",(IF(O954=UPPER("IB"),0.005,0.01)))</f>
        <v>0.01</v>
      </c>
      <c r="W954" s="189">
        <f t="shared" ref="W954" si="1496">IF(ISBLANK(O954),"",IF(O954="IB",8.63*200,IF(O954="IR",16*100,IF(O954="YT",20*100,IF(O954="YT-XT",24*200,IF(O954="TED",80*100))))))</f>
        <v>1600</v>
      </c>
      <c r="X954" s="189" t="s">
        <v>3608</v>
      </c>
      <c r="Y954" s="189"/>
      <c r="Z954" s="189"/>
      <c r="AA954" s="190">
        <v>-0.15</v>
      </c>
      <c r="AB954" s="186"/>
      <c r="AC954" s="344"/>
      <c r="AD954" s="186"/>
      <c r="AE954" s="186"/>
      <c r="AF954" s="186"/>
      <c r="AG954" s="186"/>
      <c r="AH954" s="186"/>
      <c r="AI954" s="191">
        <f t="shared" ref="AI948:AK956" si="1497">-0.02*W954</f>
        <v>-32</v>
      </c>
      <c r="AJ954" s="191">
        <f t="shared" ref="AJ948:AJ956" si="1498">AI954*(R954-S954)</f>
        <v>-768</v>
      </c>
      <c r="AK954" s="186"/>
      <c r="AL954" s="186"/>
      <c r="AM954" s="186" t="s">
        <v>924</v>
      </c>
      <c r="AN954" s="344" t="s">
        <v>87</v>
      </c>
      <c r="AO954" s="186" t="s">
        <v>3252</v>
      </c>
      <c r="AP954" s="193">
        <f>((-0.16*4)+(-0.17*20))/24</f>
        <v>-0.16833333333333333</v>
      </c>
      <c r="AQ954" s="193">
        <f t="shared" ref="AQ953:AQ954" si="1499">IF(ISBLANK(AP954),,IF(U954="S",AA954-AP954,AP954-AA954))</f>
        <v>1.833333333333334E-2</v>
      </c>
      <c r="AR954" s="191">
        <f t="shared" ref="AR953:AR954" si="1500">AS954*R954</f>
        <v>704.00000000000023</v>
      </c>
      <c r="AS954" s="194">
        <f t="shared" ref="AS953:AS954" si="1501">IF(ISBLANK(AP954),,(AQ954*W954))</f>
        <v>29.333333333333343</v>
      </c>
      <c r="AT954" s="195" t="s">
        <v>77</v>
      </c>
      <c r="AU954" s="425" t="s">
        <v>3609</v>
      </c>
      <c r="AV954" s="425"/>
      <c r="AW954" s="425"/>
      <c r="AX954" s="425"/>
      <c r="AY954" s="425"/>
      <c r="AZ954" s="425"/>
      <c r="BA954" s="425"/>
      <c r="BB954" s="425"/>
      <c r="BC954" s="440"/>
      <c r="BD954" s="404">
        <f>SUM($AS$4:AS954)</f>
        <v>4336.4322103174864</v>
      </c>
      <c r="BE954" s="407">
        <f>SUM($AR$4:AR954)</f>
        <v>19962.712000000174</v>
      </c>
      <c r="BF954" s="331"/>
      <c r="BG954" s="331"/>
    </row>
    <row r="955" spans="1:59" ht="15.75" customHeight="1">
      <c r="A955" s="227" t="s">
        <v>3383</v>
      </c>
      <c r="B955" s="181"/>
      <c r="C955" s="182"/>
      <c r="D955" s="182"/>
      <c r="E955" s="233"/>
      <c r="F955" s="184"/>
      <c r="G955" s="185"/>
      <c r="H955" s="186"/>
      <c r="I955" s="186"/>
      <c r="J955" s="186"/>
      <c r="K955" s="187"/>
      <c r="L955" s="186"/>
      <c r="M955" s="186"/>
      <c r="N955" s="186"/>
      <c r="O955" s="187"/>
      <c r="P955" s="187"/>
      <c r="Q955" s="187"/>
      <c r="R955" s="187"/>
      <c r="S955" s="187"/>
      <c r="T955" s="187"/>
      <c r="U955" s="187"/>
      <c r="V955" s="187"/>
      <c r="W955" s="189" t="str">
        <f t="shared" si="1493"/>
        <v/>
      </c>
      <c r="X955" s="189"/>
      <c r="Y955" s="189"/>
      <c r="Z955" s="189"/>
      <c r="AA955" s="190"/>
      <c r="AB955" s="186"/>
      <c r="AC955" s="344"/>
      <c r="AD955" s="186"/>
      <c r="AE955" s="186"/>
      <c r="AF955" s="186"/>
      <c r="AG955" s="186"/>
      <c r="AH955" s="186"/>
      <c r="AI955" s="191"/>
      <c r="AJ955" s="191"/>
      <c r="AK955" s="186"/>
      <c r="AL955" s="186"/>
      <c r="AM955" s="186"/>
      <c r="AN955" s="344"/>
      <c r="AO955" s="186"/>
      <c r="AP955" s="193"/>
      <c r="AQ955" s="193">
        <f t="shared" ref="AQ955:AQ956" si="1502">IF(ISBLANK(AP955),,IF(U955="S",AA955-AP955,AP955-AA955))</f>
        <v>0</v>
      </c>
      <c r="AR955" s="191">
        <f t="shared" ref="AR955:AR956" si="1503">AS955*R955</f>
        <v>0</v>
      </c>
      <c r="AS955" s="194">
        <f t="shared" ref="AS955:AS956" si="1504">IF(ISBLANK(AP955),,(AQ955*W955))</f>
        <v>0</v>
      </c>
      <c r="AT955" s="195"/>
      <c r="AU955" s="425" t="s">
        <v>3610</v>
      </c>
      <c r="AV955" s="425" t="s">
        <v>3611</v>
      </c>
      <c r="AW955" s="425" t="s">
        <v>3612</v>
      </c>
      <c r="AX955" s="425" t="s">
        <v>3613</v>
      </c>
      <c r="AY955" s="425" t="s">
        <v>3614</v>
      </c>
      <c r="AZ955" s="425" t="s">
        <v>3615</v>
      </c>
      <c r="BA955" s="425" t="s">
        <v>3616</v>
      </c>
      <c r="BB955" s="425" t="s">
        <v>3617</v>
      </c>
      <c r="BC955" s="440"/>
      <c r="BD955" s="404">
        <f>SUM($AS$4:AS955)</f>
        <v>4336.4322103174864</v>
      </c>
      <c r="BE955" s="407">
        <f>SUM($AR$4:AR955)</f>
        <v>19962.712000000174</v>
      </c>
      <c r="BF955" s="331"/>
      <c r="BG955" s="331"/>
    </row>
    <row r="956" spans="1:59" ht="15.75" customHeight="1">
      <c r="A956" s="227" t="s">
        <v>3383</v>
      </c>
      <c r="B956" s="181">
        <v>45156</v>
      </c>
      <c r="C956" s="182" t="s">
        <v>3618</v>
      </c>
      <c r="D956" s="182" t="s">
        <v>93</v>
      </c>
      <c r="E956" s="233"/>
      <c r="F956" s="184"/>
      <c r="G956" s="291" t="s">
        <v>2126</v>
      </c>
      <c r="H956" s="186"/>
      <c r="I956" s="186"/>
      <c r="J956" s="186"/>
      <c r="K956" s="187"/>
      <c r="L956" s="186">
        <v>1</v>
      </c>
      <c r="M956" s="186"/>
      <c r="N956" s="186"/>
      <c r="O956" s="187" t="s">
        <v>76</v>
      </c>
      <c r="P956" s="187" t="s">
        <v>77</v>
      </c>
      <c r="Q956" s="187" t="s">
        <v>78</v>
      </c>
      <c r="R956" s="187">
        <v>5</v>
      </c>
      <c r="S956" s="187">
        <v>0</v>
      </c>
      <c r="T956" s="187">
        <v>5</v>
      </c>
      <c r="U956" s="187" t="s">
        <v>22</v>
      </c>
      <c r="V956" s="188">
        <f t="shared" ref="V956:V958" si="1505">IF(ISBLANK(O956),"",(IF(O956=UPPER("IB"),0.005,0.01)))</f>
        <v>0.01</v>
      </c>
      <c r="W956" s="189">
        <f t="shared" si="1493"/>
        <v>1600</v>
      </c>
      <c r="X956" s="189" t="s">
        <v>80</v>
      </c>
      <c r="Y956" s="189"/>
      <c r="Z956" s="189" t="s">
        <v>3619</v>
      </c>
      <c r="AA956" s="190">
        <v>0.05</v>
      </c>
      <c r="AB956" s="186"/>
      <c r="AC956" s="344"/>
      <c r="AD956" s="186"/>
      <c r="AE956" s="186"/>
      <c r="AF956" s="186"/>
      <c r="AG956" s="186"/>
      <c r="AH956" s="186"/>
      <c r="AI956" s="191">
        <f t="shared" si="1497"/>
        <v>-32</v>
      </c>
      <c r="AJ956" s="191">
        <f t="shared" si="1498"/>
        <v>-160</v>
      </c>
      <c r="AK956" s="191"/>
      <c r="AL956" s="186"/>
      <c r="AM956" s="186" t="s">
        <v>1242</v>
      </c>
      <c r="AN956" s="344" t="s">
        <v>97</v>
      </c>
      <c r="AO956" s="186" t="s">
        <v>3620</v>
      </c>
      <c r="AP956" s="193">
        <v>0.06</v>
      </c>
      <c r="AQ956" s="193">
        <f t="shared" si="1502"/>
        <v>9.999999999999995E-3</v>
      </c>
      <c r="AR956" s="191">
        <f t="shared" si="1503"/>
        <v>79.999999999999972</v>
      </c>
      <c r="AS956" s="194">
        <f t="shared" si="1504"/>
        <v>15.999999999999993</v>
      </c>
      <c r="AT956" s="195" t="s">
        <v>77</v>
      </c>
      <c r="AU956" s="425" t="s">
        <v>3621</v>
      </c>
      <c r="AV956" s="425"/>
      <c r="AW956" s="425"/>
      <c r="AX956" s="425"/>
      <c r="AY956" s="425"/>
      <c r="AZ956" s="425"/>
      <c r="BA956" s="425"/>
      <c r="BB956" s="425"/>
      <c r="BC956" s="440"/>
      <c r="BD956" s="404">
        <f>SUM($AS$4:AS956)</f>
        <v>4352.4322103174864</v>
      </c>
      <c r="BE956" s="407">
        <f>SUM($AR$4:AR956)</f>
        <v>20042.712000000174</v>
      </c>
      <c r="BF956" s="331"/>
      <c r="BG956" s="331"/>
    </row>
    <row r="957" spans="1:59" ht="15.75" customHeight="1">
      <c r="A957" s="227" t="s">
        <v>3383</v>
      </c>
      <c r="B957" s="181">
        <v>45156</v>
      </c>
      <c r="C957" s="182" t="s">
        <v>3622</v>
      </c>
      <c r="D957" s="182" t="s">
        <v>93</v>
      </c>
      <c r="E957" s="233"/>
      <c r="F957" s="184"/>
      <c r="G957" s="291" t="s">
        <v>3504</v>
      </c>
      <c r="H957" s="186"/>
      <c r="I957" s="186"/>
      <c r="J957" s="186"/>
      <c r="K957" s="187"/>
      <c r="L957" s="186">
        <v>1</v>
      </c>
      <c r="M957" s="186">
        <v>1</v>
      </c>
      <c r="N957" s="186"/>
      <c r="O957" s="187" t="s">
        <v>76</v>
      </c>
      <c r="P957" s="187" t="s">
        <v>77</v>
      </c>
      <c r="Q957" s="187" t="s">
        <v>238</v>
      </c>
      <c r="R957" s="187">
        <v>17</v>
      </c>
      <c r="S957" s="187">
        <v>15</v>
      </c>
      <c r="T957" s="187">
        <v>10</v>
      </c>
      <c r="U957" s="187" t="s">
        <v>22</v>
      </c>
      <c r="V957" s="188">
        <f t="shared" si="1505"/>
        <v>0.01</v>
      </c>
      <c r="W957" s="189">
        <f t="shared" si="1493"/>
        <v>1600</v>
      </c>
      <c r="X957" s="189"/>
      <c r="Y957" s="189"/>
      <c r="Z957" s="189" t="s">
        <v>3623</v>
      </c>
      <c r="AA957" s="190">
        <f>(0.06*7+0.05*10)/17</f>
        <v>5.4117647058823527E-2</v>
      </c>
      <c r="AB957" s="186"/>
      <c r="AC957" s="344"/>
      <c r="AD957" s="186"/>
      <c r="AE957" s="186" t="s">
        <v>3624</v>
      </c>
      <c r="AF957" s="186"/>
      <c r="AG957" s="186"/>
      <c r="AH957" s="186"/>
      <c r="AI957" s="191">
        <f t="shared" ref="AI957" si="1506">-0.02*W957</f>
        <v>-32</v>
      </c>
      <c r="AJ957" s="191">
        <f t="shared" ref="AJ957" si="1507">AI957*(R957-S957)</f>
        <v>-64</v>
      </c>
      <c r="AK957" s="186"/>
      <c r="AL957" s="186"/>
      <c r="AM957" s="186" t="s">
        <v>884</v>
      </c>
      <c r="AN957" s="344" t="s">
        <v>77</v>
      </c>
      <c r="AO957" s="186" t="s">
        <v>3625</v>
      </c>
      <c r="AP957" s="193">
        <f>((0.07*10)+(0.06*5)+(0.05*2))/17</f>
        <v>6.4705882352941183E-2</v>
      </c>
      <c r="AQ957" s="193">
        <f t="shared" ref="AQ957:AQ961" si="1508">IF(ISBLANK(AP957),,IF(U957="S",AA957-AP957,AP957-AA957))</f>
        <v>1.0588235294117655E-2</v>
      </c>
      <c r="AR957" s="191">
        <f t="shared" ref="AR957:AR961" si="1509">AS957*R957</f>
        <v>288.00000000000023</v>
      </c>
      <c r="AS957" s="194">
        <f t="shared" ref="AS957:AS961" si="1510">IF(ISBLANK(AP957),,(AQ957*W957))</f>
        <v>16.94117647058825</v>
      </c>
      <c r="AT957" s="195" t="s">
        <v>77</v>
      </c>
      <c r="AU957" s="425" t="s">
        <v>3626</v>
      </c>
      <c r="AV957" s="425" t="s">
        <v>3627</v>
      </c>
      <c r="AW957" s="425" t="s">
        <v>3628</v>
      </c>
      <c r="AX957" s="425"/>
      <c r="AY957" s="425"/>
      <c r="AZ957" s="425"/>
      <c r="BA957" s="425"/>
      <c r="BB957" s="425"/>
      <c r="BC957" s="440"/>
      <c r="BD957" s="404">
        <f>SUM($AS$4:AS957)</f>
        <v>4369.3733867880746</v>
      </c>
      <c r="BE957" s="407">
        <f>SUM($AR$4:AR957)</f>
        <v>20330.712000000174</v>
      </c>
      <c r="BF957" s="331"/>
      <c r="BG957" s="331"/>
    </row>
    <row r="958" spans="1:59" ht="15.75" customHeight="1">
      <c r="A958" s="227" t="s">
        <v>3383</v>
      </c>
      <c r="B958" s="181">
        <v>45156</v>
      </c>
      <c r="C958" s="182" t="s">
        <v>3629</v>
      </c>
      <c r="D958" s="182" t="s">
        <v>93</v>
      </c>
      <c r="E958" s="233"/>
      <c r="F958" s="184"/>
      <c r="G958" s="185" t="s">
        <v>1997</v>
      </c>
      <c r="H958" s="186"/>
      <c r="I958" s="186"/>
      <c r="J958" s="186"/>
      <c r="K958" s="187"/>
      <c r="L958" s="186"/>
      <c r="M958" s="186"/>
      <c r="N958" s="186"/>
      <c r="O958" s="187"/>
      <c r="P958" s="187"/>
      <c r="Q958" s="187"/>
      <c r="R958" s="187"/>
      <c r="S958" s="187"/>
      <c r="T958" s="187"/>
      <c r="U958" s="187"/>
      <c r="V958" s="188"/>
      <c r="W958" s="189"/>
      <c r="X958" s="189"/>
      <c r="Y958" s="189"/>
      <c r="Z958" s="189"/>
      <c r="AA958" s="190"/>
      <c r="AB958" s="186"/>
      <c r="AC958" s="344"/>
      <c r="AD958" s="186"/>
      <c r="AE958" s="186"/>
      <c r="AF958" s="186"/>
      <c r="AG958" s="186"/>
      <c r="AH958" s="186"/>
      <c r="AI958" s="191"/>
      <c r="AJ958" s="191"/>
      <c r="AK958" s="186"/>
      <c r="AL958" s="186"/>
      <c r="AM958" s="186"/>
      <c r="AN958" s="344"/>
      <c r="AO958" s="186"/>
      <c r="AP958" s="193"/>
      <c r="AQ958" s="193"/>
      <c r="AR958" s="191"/>
      <c r="AS958" s="194"/>
      <c r="AT958" s="195"/>
      <c r="AU958" s="425" t="s">
        <v>3630</v>
      </c>
      <c r="AV958" s="425"/>
      <c r="AW958" s="425"/>
      <c r="AX958" s="425"/>
      <c r="AY958" s="425"/>
      <c r="AZ958" s="425"/>
      <c r="BA958" s="425"/>
      <c r="BB958" s="425"/>
      <c r="BC958" s="440"/>
      <c r="BD958" s="404">
        <f>SUM($AS$4:AS958)</f>
        <v>4369.3733867880746</v>
      </c>
      <c r="BE958" s="407">
        <f>SUM($AR$4:AR958)</f>
        <v>20330.712000000174</v>
      </c>
      <c r="BF958" s="331"/>
      <c r="BG958" s="331"/>
    </row>
    <row r="959" spans="1:59" ht="15.75" customHeight="1">
      <c r="A959" s="227" t="s">
        <v>3383</v>
      </c>
      <c r="B959" s="181">
        <v>45156</v>
      </c>
      <c r="C959" s="182" t="s">
        <v>3631</v>
      </c>
      <c r="D959" s="182" t="s">
        <v>93</v>
      </c>
      <c r="E959" s="233"/>
      <c r="F959" s="184"/>
      <c r="G959" s="185" t="s">
        <v>118</v>
      </c>
      <c r="H959" s="186"/>
      <c r="I959" s="186"/>
      <c r="J959" s="186"/>
      <c r="K959" s="187"/>
      <c r="L959" s="186"/>
      <c r="M959" s="186"/>
      <c r="N959" s="186"/>
      <c r="O959" s="187"/>
      <c r="P959" s="187"/>
      <c r="Q959" s="187"/>
      <c r="R959" s="187"/>
      <c r="S959" s="187"/>
      <c r="T959" s="187"/>
      <c r="U959" s="187"/>
      <c r="V959" s="188"/>
      <c r="W959" s="189"/>
      <c r="X959" s="189"/>
      <c r="Y959" s="189"/>
      <c r="Z959" s="189"/>
      <c r="AA959" s="190"/>
      <c r="AB959" s="186"/>
      <c r="AC959" s="344"/>
      <c r="AD959" s="186"/>
      <c r="AE959" s="186"/>
      <c r="AF959" s="186"/>
      <c r="AG959" s="186"/>
      <c r="AH959" s="186"/>
      <c r="AI959" s="191"/>
      <c r="AJ959" s="191"/>
      <c r="AK959" s="186"/>
      <c r="AL959" s="186"/>
      <c r="AM959" s="186"/>
      <c r="AN959" s="344"/>
      <c r="AO959" s="186"/>
      <c r="AP959" s="193"/>
      <c r="AQ959" s="193"/>
      <c r="AR959" s="191"/>
      <c r="AS959" s="194"/>
      <c r="AT959" s="195"/>
      <c r="AU959" s="425" t="s">
        <v>3632</v>
      </c>
      <c r="AV959" s="425"/>
      <c r="AW959" s="425"/>
      <c r="AX959" s="425"/>
      <c r="AY959" s="425"/>
      <c r="AZ959" s="425"/>
      <c r="BA959" s="425"/>
      <c r="BB959" s="425"/>
      <c r="BC959" s="440"/>
      <c r="BD959" s="404">
        <f>SUM($AS$4:AS959)</f>
        <v>4369.3733867880746</v>
      </c>
      <c r="BE959" s="407">
        <f>SUM($AR$4:AR959)</f>
        <v>20330.712000000174</v>
      </c>
      <c r="BF959" s="331"/>
      <c r="BG959" s="331"/>
    </row>
    <row r="960" spans="1:59" ht="15.75" customHeight="1">
      <c r="A960" s="227" t="s">
        <v>3383</v>
      </c>
      <c r="B960" s="181">
        <v>45156</v>
      </c>
      <c r="C960" s="182" t="s">
        <v>364</v>
      </c>
      <c r="D960" s="182" t="s">
        <v>93</v>
      </c>
      <c r="E960" s="233"/>
      <c r="F960" s="184"/>
      <c r="G960" s="502" t="s">
        <v>3633</v>
      </c>
      <c r="H960" s="186"/>
      <c r="I960" s="186"/>
      <c r="J960" s="186"/>
      <c r="K960" s="187"/>
      <c r="L960" s="186">
        <v>2</v>
      </c>
      <c r="M960" s="186"/>
      <c r="N960" s="186"/>
      <c r="O960" s="187" t="s">
        <v>76</v>
      </c>
      <c r="P960" s="187" t="s">
        <v>77</v>
      </c>
      <c r="Q960" s="187" t="s">
        <v>238</v>
      </c>
      <c r="R960" s="187">
        <v>3</v>
      </c>
      <c r="S960" s="187">
        <v>3</v>
      </c>
      <c r="T960" s="187">
        <v>5</v>
      </c>
      <c r="U960" s="187" t="s">
        <v>22</v>
      </c>
      <c r="V960" s="188">
        <f t="shared" ref="V959:V961" si="1511">IF(ISBLANK(O960),"",(IF(O960=UPPER("IB"),0.005,0.01)))</f>
        <v>0.01</v>
      </c>
      <c r="W960" s="189">
        <f t="shared" si="1493"/>
        <v>1600</v>
      </c>
      <c r="X960" s="189" t="s">
        <v>3634</v>
      </c>
      <c r="Y960" s="189"/>
      <c r="Z960" s="189" t="s">
        <v>3635</v>
      </c>
      <c r="AA960" s="190">
        <v>-0.02</v>
      </c>
      <c r="AB960" s="186"/>
      <c r="AC960" s="344"/>
      <c r="AD960" s="186"/>
      <c r="AE960" s="186" t="s">
        <v>399</v>
      </c>
      <c r="AF960" s="186"/>
      <c r="AG960" s="186"/>
      <c r="AH960" s="186"/>
      <c r="AI960" s="191"/>
      <c r="AJ960" s="191"/>
      <c r="AK960" s="186"/>
      <c r="AL960" s="186"/>
      <c r="AM960" s="186" t="s">
        <v>571</v>
      </c>
      <c r="AN960" s="344" t="s">
        <v>97</v>
      </c>
      <c r="AO960" s="186" t="s">
        <v>3636</v>
      </c>
      <c r="AP960" s="193">
        <f>((-0.01*1)+(0*2)+(-0.02*7))/10</f>
        <v>-1.5000000000000003E-2</v>
      </c>
      <c r="AQ960" s="193">
        <f t="shared" si="1508"/>
        <v>4.9999999999999975E-3</v>
      </c>
      <c r="AR960" s="191">
        <f t="shared" si="1509"/>
        <v>23.999999999999989</v>
      </c>
      <c r="AS960" s="194">
        <f t="shared" si="1510"/>
        <v>7.9999999999999964</v>
      </c>
      <c r="AT960" s="195" t="s">
        <v>77</v>
      </c>
      <c r="AU960" s="425" t="s">
        <v>3637</v>
      </c>
      <c r="AV960" s="425" t="s">
        <v>3638</v>
      </c>
      <c r="AW960" s="425" t="s">
        <v>3590</v>
      </c>
      <c r="AX960" s="425" t="s">
        <v>3639</v>
      </c>
      <c r="AY960" s="425" t="s">
        <v>3640</v>
      </c>
      <c r="AZ960" s="425"/>
      <c r="BA960" s="425"/>
      <c r="BB960" s="425"/>
      <c r="BC960" s="440"/>
      <c r="BD960" s="404">
        <f>SUM($AS$4:AS960)</f>
        <v>4377.3733867880746</v>
      </c>
      <c r="BE960" s="407">
        <f>SUM($AR$4:AR960)</f>
        <v>20354.712000000174</v>
      </c>
      <c r="BF960" s="331"/>
      <c r="BG960" s="331"/>
    </row>
    <row r="961" spans="1:59" ht="15.75" customHeight="1">
      <c r="A961" s="227" t="s">
        <v>3383</v>
      </c>
      <c r="B961" s="181">
        <v>45159</v>
      </c>
      <c r="C961" s="182" t="s">
        <v>3641</v>
      </c>
      <c r="D961" s="182" t="s">
        <v>114</v>
      </c>
      <c r="E961" s="233"/>
      <c r="F961" s="184"/>
      <c r="G961" s="291" t="s">
        <v>163</v>
      </c>
      <c r="H961" s="186"/>
      <c r="I961" s="186"/>
      <c r="J961" s="186"/>
      <c r="K961" s="187"/>
      <c r="L961" s="186">
        <v>1</v>
      </c>
      <c r="M961" s="186"/>
      <c r="N961" s="186"/>
      <c r="O961" s="187" t="s">
        <v>76</v>
      </c>
      <c r="P961" s="187" t="s">
        <v>77</v>
      </c>
      <c r="Q961" s="187" t="s">
        <v>78</v>
      </c>
      <c r="R961" s="187">
        <v>5</v>
      </c>
      <c r="S961" s="187">
        <v>0</v>
      </c>
      <c r="T961" s="187">
        <v>5</v>
      </c>
      <c r="U961" s="187" t="s">
        <v>78</v>
      </c>
      <c r="V961" s="188">
        <f t="shared" si="1511"/>
        <v>0.01</v>
      </c>
      <c r="W961" s="189">
        <f t="shared" ref="W961" si="1512">IF(ISBLANK(O961),"",IF(O961="IB",8.63*200,IF(O961="IR",16*100,IF(O961="YT",20*100,IF(O961="YT-XT",24*200,IF(O961="TED",80*100))))))</f>
        <v>1600</v>
      </c>
      <c r="X961" s="189" t="s">
        <v>80</v>
      </c>
      <c r="Y961" s="189"/>
      <c r="Z961" s="189"/>
      <c r="AA961" s="190">
        <v>0</v>
      </c>
      <c r="AB961" s="186"/>
      <c r="AC961" s="344"/>
      <c r="AD961" s="186"/>
      <c r="AE961" s="186"/>
      <c r="AF961" s="186"/>
      <c r="AG961" s="186"/>
      <c r="AH961" s="186"/>
      <c r="AI961" s="191">
        <f>-0.025*W961</f>
        <v>-40</v>
      </c>
      <c r="AJ961" s="191">
        <f t="shared" ref="AJ961" si="1513">AI961*(R961-S961)</f>
        <v>-200</v>
      </c>
      <c r="AK961" s="186"/>
      <c r="AL961" s="186"/>
      <c r="AM961" s="186" t="s">
        <v>2691</v>
      </c>
      <c r="AN961" s="344" t="s">
        <v>87</v>
      </c>
      <c r="AO961" s="186" t="s">
        <v>3642</v>
      </c>
      <c r="AP961" s="193">
        <v>0</v>
      </c>
      <c r="AQ961" s="193">
        <f t="shared" si="1508"/>
        <v>0</v>
      </c>
      <c r="AR961" s="191">
        <f t="shared" si="1509"/>
        <v>0</v>
      </c>
      <c r="AS961" s="194">
        <f t="shared" si="1510"/>
        <v>0</v>
      </c>
      <c r="AT961" s="195" t="s">
        <v>97</v>
      </c>
      <c r="AU961" s="425"/>
      <c r="AV961" s="425" t="s">
        <v>511</v>
      </c>
      <c r="AW961" s="425"/>
      <c r="AX961" s="425"/>
      <c r="AY961" s="425"/>
      <c r="AZ961" s="425"/>
      <c r="BA961" s="425"/>
      <c r="BB961" s="425"/>
      <c r="BC961" s="440"/>
      <c r="BD961" s="404">
        <f>SUM($AS$4:AS961)</f>
        <v>4377.3733867880746</v>
      </c>
      <c r="BE961" s="407">
        <f>SUM($AR$4:AR961)</f>
        <v>20354.712000000174</v>
      </c>
      <c r="BF961" s="331"/>
      <c r="BG961" s="331"/>
    </row>
    <row r="962" spans="1:59" ht="15.75" customHeight="1">
      <c r="A962" s="227" t="s">
        <v>3383</v>
      </c>
      <c r="B962" s="181">
        <v>45160</v>
      </c>
      <c r="C962" s="182" t="s">
        <v>3643</v>
      </c>
      <c r="D962" s="182" t="s">
        <v>128</v>
      </c>
      <c r="E962" s="233"/>
      <c r="F962" s="184"/>
      <c r="G962" s="185" t="s">
        <v>163</v>
      </c>
      <c r="H962" s="186"/>
      <c r="I962" s="186"/>
      <c r="J962" s="186"/>
      <c r="K962" s="187"/>
      <c r="L962" s="186"/>
      <c r="M962" s="186"/>
      <c r="N962" s="186"/>
      <c r="O962" s="187"/>
      <c r="P962" s="187"/>
      <c r="Q962" s="187"/>
      <c r="R962" s="187"/>
      <c r="S962" s="187"/>
      <c r="T962" s="187"/>
      <c r="U962" s="187"/>
      <c r="V962" s="188"/>
      <c r="W962" s="189"/>
      <c r="X962" s="189"/>
      <c r="Y962" s="189"/>
      <c r="Z962" s="189"/>
      <c r="AA962" s="190"/>
      <c r="AB962" s="186"/>
      <c r="AC962" s="344"/>
      <c r="AD962" s="186"/>
      <c r="AE962" s="186"/>
      <c r="AF962" s="186"/>
      <c r="AG962" s="186"/>
      <c r="AH962" s="186"/>
      <c r="AI962" s="191"/>
      <c r="AJ962" s="191"/>
      <c r="AK962" s="186"/>
      <c r="AL962" s="186"/>
      <c r="AM962" s="186"/>
      <c r="AN962" s="344"/>
      <c r="AO962" s="186"/>
      <c r="AP962" s="193"/>
      <c r="AQ962" s="193"/>
      <c r="AR962" s="191"/>
      <c r="AS962" s="194"/>
      <c r="AT962" s="195"/>
      <c r="AU962" s="425" t="s">
        <v>3644</v>
      </c>
      <c r="AV962" s="425" t="s">
        <v>3645</v>
      </c>
      <c r="AW962" s="425" t="s">
        <v>3646</v>
      </c>
      <c r="AX962" s="425"/>
      <c r="AY962" s="425"/>
      <c r="AZ962" s="425"/>
      <c r="BA962" s="425"/>
      <c r="BB962" s="425"/>
      <c r="BC962" s="440"/>
      <c r="BD962" s="404">
        <f>SUM($AS$4:AS962)</f>
        <v>4377.3733867880746</v>
      </c>
      <c r="BE962" s="407">
        <f>SUM($AR$4:AR962)</f>
        <v>20354.712000000174</v>
      </c>
      <c r="BF962" s="331"/>
      <c r="BG962" s="331"/>
    </row>
    <row r="963" spans="1:59" ht="15.75" customHeight="1">
      <c r="A963" s="227" t="s">
        <v>3383</v>
      </c>
      <c r="B963" s="181">
        <v>45160</v>
      </c>
      <c r="C963" s="182" t="s">
        <v>1297</v>
      </c>
      <c r="D963" s="182" t="s">
        <v>128</v>
      </c>
      <c r="E963" s="233"/>
      <c r="F963" s="184"/>
      <c r="G963" s="291" t="s">
        <v>118</v>
      </c>
      <c r="H963" s="186"/>
      <c r="I963" s="186"/>
      <c r="J963" s="186"/>
      <c r="K963" s="187"/>
      <c r="L963" s="186">
        <v>1</v>
      </c>
      <c r="M963" s="186"/>
      <c r="N963" s="186"/>
      <c r="O963" s="187" t="s">
        <v>76</v>
      </c>
      <c r="P963" s="187" t="s">
        <v>77</v>
      </c>
      <c r="Q963" s="187" t="s">
        <v>78</v>
      </c>
      <c r="R963" s="187">
        <v>10</v>
      </c>
      <c r="S963" s="187">
        <v>0</v>
      </c>
      <c r="T963" s="187">
        <v>10</v>
      </c>
      <c r="U963" s="187" t="s">
        <v>22</v>
      </c>
      <c r="V963" s="188">
        <f t="shared" ref="V963:V964" si="1514">IF(ISBLANK(O963),"",(IF(O963=UPPER("IB"),0.005,0.01)))</f>
        <v>0.01</v>
      </c>
      <c r="W963" s="189">
        <f t="shared" ref="W963:W964" si="1515">IF(ISBLANK(O963),"",IF(O963="IB",8.63*200,IF(O963="IR",16*100,IF(O963="YT",20*100,IF(O963="YT-XT",24*200,IF(O963="TED",80*100))))))</f>
        <v>1600</v>
      </c>
      <c r="X963" s="189" t="s">
        <v>80</v>
      </c>
      <c r="Y963" s="189"/>
      <c r="Z963" s="189"/>
      <c r="AA963" s="190">
        <v>-7.0000000000000007E-2</v>
      </c>
      <c r="AB963" s="186"/>
      <c r="AC963" s="344"/>
      <c r="AD963" s="186"/>
      <c r="AE963" s="186"/>
      <c r="AF963" s="186"/>
      <c r="AG963" s="186"/>
      <c r="AH963" s="186"/>
      <c r="AI963" s="191"/>
      <c r="AJ963" s="191"/>
      <c r="AK963" s="186"/>
      <c r="AL963" s="186"/>
      <c r="AM963" s="186" t="s">
        <v>949</v>
      </c>
      <c r="AN963" s="344" t="s">
        <v>87</v>
      </c>
      <c r="AO963" s="186" t="s">
        <v>3647</v>
      </c>
      <c r="AP963" s="193">
        <v>-7.0000000000000007E-2</v>
      </c>
      <c r="AQ963" s="193">
        <f t="shared" ref="AQ962:AQ963" si="1516">IF(ISBLANK(AP963),,IF(U963="S",AA963-AP963,AP963-AA963))</f>
        <v>0</v>
      </c>
      <c r="AR963" s="191">
        <f t="shared" ref="AR962:AR963" si="1517">AS963*R963</f>
        <v>0</v>
      </c>
      <c r="AS963" s="194">
        <f t="shared" ref="AS962:AS963" si="1518">IF(ISBLANK(AP963),,(AQ963*W963))</f>
        <v>0</v>
      </c>
      <c r="AT963" s="195" t="s">
        <v>97</v>
      </c>
      <c r="AU963" s="425"/>
      <c r="AV963" s="425"/>
      <c r="AW963" s="425"/>
      <c r="AX963" s="425"/>
      <c r="AY963" s="425"/>
      <c r="AZ963" s="425"/>
      <c r="BA963" s="425"/>
      <c r="BB963" s="425"/>
      <c r="BC963" s="440"/>
      <c r="BD963" s="404">
        <f>SUM($AS$4:AS963)</f>
        <v>4377.3733867880746</v>
      </c>
      <c r="BE963" s="407">
        <f>SUM($AR$4:AR963)</f>
        <v>20354.712000000174</v>
      </c>
      <c r="BF963" s="331"/>
      <c r="BG963" s="331"/>
    </row>
    <row r="964" spans="1:59" ht="15.75" customHeight="1">
      <c r="A964" s="227" t="s">
        <v>3383</v>
      </c>
      <c r="B964" s="181">
        <v>45161</v>
      </c>
      <c r="C964" s="182" t="s">
        <v>646</v>
      </c>
      <c r="D964" s="182" t="s">
        <v>133</v>
      </c>
      <c r="E964" s="233"/>
      <c r="F964" s="184"/>
      <c r="G964" s="185" t="s">
        <v>1997</v>
      </c>
      <c r="H964" s="186"/>
      <c r="I964" s="186"/>
      <c r="J964" s="186"/>
      <c r="K964" s="187"/>
      <c r="L964" s="186"/>
      <c r="M964" s="186"/>
      <c r="N964" s="186"/>
      <c r="O964" s="187"/>
      <c r="P964" s="187"/>
      <c r="Q964" s="187"/>
      <c r="R964" s="187"/>
      <c r="S964" s="187"/>
      <c r="T964" s="187"/>
      <c r="U964" s="187"/>
      <c r="V964" s="188"/>
      <c r="W964" s="189"/>
      <c r="X964" s="189"/>
      <c r="Y964" s="189"/>
      <c r="Z964" s="189"/>
      <c r="AA964" s="190"/>
      <c r="AB964" s="186"/>
      <c r="AC964" s="344"/>
      <c r="AD964" s="186"/>
      <c r="AE964" s="186"/>
      <c r="AF964" s="186"/>
      <c r="AG964" s="186"/>
      <c r="AH964" s="186"/>
      <c r="AI964" s="191"/>
      <c r="AJ964" s="191"/>
      <c r="AK964" s="186"/>
      <c r="AL964" s="186"/>
      <c r="AM964" s="186"/>
      <c r="AN964" s="344"/>
      <c r="AO964" s="186"/>
      <c r="AP964" s="193"/>
      <c r="AQ964" s="193"/>
      <c r="AR964" s="191"/>
      <c r="AS964" s="194"/>
      <c r="AT964" s="195"/>
      <c r="AU964" s="425"/>
      <c r="AV964" s="425"/>
      <c r="AW964" s="425"/>
      <c r="AX964" s="425"/>
      <c r="AY964" s="425"/>
      <c r="AZ964" s="425"/>
      <c r="BA964" s="425"/>
      <c r="BB964" s="425"/>
      <c r="BC964" s="440"/>
      <c r="BD964" s="404">
        <f>SUM($AS$4:AS964)</f>
        <v>4377.3733867880746</v>
      </c>
      <c r="BE964" s="407">
        <f>SUM($AR$4:AR964)</f>
        <v>20354.712000000174</v>
      </c>
      <c r="BF964" s="331"/>
      <c r="BG964" s="331"/>
    </row>
    <row r="965" spans="1:59" ht="15.75" customHeight="1">
      <c r="A965" s="227" t="s">
        <v>3383</v>
      </c>
      <c r="B965" s="181">
        <v>45161</v>
      </c>
      <c r="C965" s="182" t="s">
        <v>3648</v>
      </c>
      <c r="D965" s="182" t="s">
        <v>133</v>
      </c>
      <c r="E965" s="233"/>
      <c r="F965" s="184"/>
      <c r="G965" s="291" t="s">
        <v>75</v>
      </c>
      <c r="H965" s="186"/>
      <c r="I965" s="186"/>
      <c r="J965" s="186"/>
      <c r="K965" s="187"/>
      <c r="L965" s="186">
        <v>1</v>
      </c>
      <c r="M965" s="186"/>
      <c r="N965" s="186"/>
      <c r="O965" s="187" t="s">
        <v>76</v>
      </c>
      <c r="P965" s="187" t="s">
        <v>77</v>
      </c>
      <c r="Q965" s="187" t="s">
        <v>78</v>
      </c>
      <c r="R965" s="187">
        <v>2</v>
      </c>
      <c r="S965" s="187">
        <v>0</v>
      </c>
      <c r="T965" s="187">
        <v>2</v>
      </c>
      <c r="U965" s="187" t="s">
        <v>22</v>
      </c>
      <c r="V965" s="188">
        <f t="shared" ref="V965:V967" si="1519">IF(ISBLANK(O965),"",(IF(O965=UPPER("IB"),0.005,0.01)))</f>
        <v>0.01</v>
      </c>
      <c r="W965" s="189">
        <f t="shared" ref="W965:W975" si="1520">IF(ISBLANK(O965),"",IF(O965="IB",8.63*200,IF(O965="IR",16*100,IF(O965="YT",20*100,IF(O965="YT-XT",24*200,IF(O965="TED",80*100))))))</f>
        <v>1600</v>
      </c>
      <c r="X965" s="189" t="s">
        <v>80</v>
      </c>
      <c r="Y965" s="189"/>
      <c r="Z965" s="189"/>
      <c r="AA965" s="190">
        <v>0.13</v>
      </c>
      <c r="AB965" s="186"/>
      <c r="AC965" s="344"/>
      <c r="AD965" s="186"/>
      <c r="AE965" s="186"/>
      <c r="AF965" s="186"/>
      <c r="AG965" s="186"/>
      <c r="AH965" s="186"/>
      <c r="AI965" s="191"/>
      <c r="AJ965" s="191"/>
      <c r="AK965" s="186"/>
      <c r="AL965" s="186"/>
      <c r="AM965" s="186" t="s">
        <v>1535</v>
      </c>
      <c r="AN965" s="344" t="s">
        <v>87</v>
      </c>
      <c r="AO965" s="186" t="s">
        <v>3649</v>
      </c>
      <c r="AP965" s="193">
        <v>0.12</v>
      </c>
      <c r="AQ965" s="193">
        <f t="shared" ref="AQ964:AQ965" si="1521">IF(ISBLANK(AP965),,IF(U965="S",AA965-AP965,AP965-AA965))</f>
        <v>-1.0000000000000009E-2</v>
      </c>
      <c r="AR965" s="191">
        <f t="shared" ref="AR964:AR965" si="1522">AS965*R965</f>
        <v>-32.000000000000028</v>
      </c>
      <c r="AS965" s="194">
        <f t="shared" ref="AS964:AS965" si="1523">IF(ISBLANK(AP965),,(AQ965*W965))</f>
        <v>-16.000000000000014</v>
      </c>
      <c r="AT965" s="195" t="s">
        <v>211</v>
      </c>
      <c r="AU965" s="425"/>
      <c r="AV965" s="425"/>
      <c r="AW965" s="425"/>
      <c r="AX965" s="425"/>
      <c r="AY965" s="425"/>
      <c r="AZ965" s="425"/>
      <c r="BA965" s="425"/>
      <c r="BB965" s="425"/>
      <c r="BC965" s="440"/>
      <c r="BD965" s="404">
        <f>SUM($AS$4:AS965)</f>
        <v>4361.3733867880746</v>
      </c>
      <c r="BE965" s="407">
        <f>SUM($AR$4:AR965)</f>
        <v>20322.712000000174</v>
      </c>
      <c r="BF965" s="331"/>
      <c r="BG965" s="331"/>
    </row>
    <row r="966" spans="1:59" ht="15.75" customHeight="1">
      <c r="A966" s="227" t="s">
        <v>3383</v>
      </c>
      <c r="B966" s="181">
        <v>45161</v>
      </c>
      <c r="C966" s="182" t="s">
        <v>3225</v>
      </c>
      <c r="D966" s="182" t="s">
        <v>133</v>
      </c>
      <c r="E966" s="233"/>
      <c r="F966" s="184"/>
      <c r="G966" s="185" t="s">
        <v>1997</v>
      </c>
      <c r="H966" s="186"/>
      <c r="I966" s="186"/>
      <c r="J966" s="186"/>
      <c r="K966" s="187"/>
      <c r="L966" s="186">
        <v>1</v>
      </c>
      <c r="M966" s="186"/>
      <c r="N966" s="186"/>
      <c r="O966" s="187" t="s">
        <v>76</v>
      </c>
      <c r="P966" s="187" t="s">
        <v>119</v>
      </c>
      <c r="Q966" s="187" t="s">
        <v>78</v>
      </c>
      <c r="R966" s="187">
        <v>24</v>
      </c>
      <c r="S966" s="187">
        <v>0</v>
      </c>
      <c r="T966" s="187">
        <v>15</v>
      </c>
      <c r="U966" s="187" t="s">
        <v>78</v>
      </c>
      <c r="V966" s="188">
        <f t="shared" si="1519"/>
        <v>0.01</v>
      </c>
      <c r="W966" s="189">
        <f t="shared" si="1520"/>
        <v>1600</v>
      </c>
      <c r="X966" s="189" t="s">
        <v>80</v>
      </c>
      <c r="Y966" s="189"/>
      <c r="Z966" s="189"/>
      <c r="AA966" s="190">
        <v>-0.12</v>
      </c>
      <c r="AB966" s="186"/>
      <c r="AC966" s="344"/>
      <c r="AD966" s="186"/>
      <c r="AE966" s="186"/>
      <c r="AF966" s="186"/>
      <c r="AG966" s="186"/>
      <c r="AH966" s="186"/>
      <c r="AI966" s="191"/>
      <c r="AJ966" s="191"/>
      <c r="AK966" s="186"/>
      <c r="AL966" s="186"/>
      <c r="AM966" s="186" t="s">
        <v>3650</v>
      </c>
      <c r="AN966" s="344" t="s">
        <v>376</v>
      </c>
      <c r="AO966" s="186" t="s">
        <v>3651</v>
      </c>
      <c r="AP966" s="193">
        <v>-0.12</v>
      </c>
      <c r="AQ966" s="193">
        <f t="shared" ref="AQ966" si="1524">IF(ISBLANK(AP966),,IF(U966="S",AA966-AP966,AP966-AA966))</f>
        <v>0</v>
      </c>
      <c r="AR966" s="191">
        <f t="shared" ref="AR966" si="1525">AS966*R966</f>
        <v>0</v>
      </c>
      <c r="AS966" s="194">
        <f t="shared" ref="AS966" si="1526">IF(ISBLANK(AP966),,(AQ966*W966))</f>
        <v>0</v>
      </c>
      <c r="AT966" s="195" t="s">
        <v>97</v>
      </c>
      <c r="AU966" s="425" t="s">
        <v>3652</v>
      </c>
      <c r="AV966" s="425" t="s">
        <v>3653</v>
      </c>
      <c r="AW966" s="425"/>
      <c r="AX966" s="425"/>
      <c r="AY966" s="425"/>
      <c r="AZ966" s="425"/>
      <c r="BA966" s="425"/>
      <c r="BB966" s="425"/>
      <c r="BC966" s="440"/>
      <c r="BD966" s="404">
        <f>SUM($AS$4:AS966)</f>
        <v>4361.3733867880746</v>
      </c>
      <c r="BE966" s="407">
        <f>SUM($AR$4:AR966)</f>
        <v>20322.712000000174</v>
      </c>
      <c r="BF966" s="331"/>
      <c r="BG966" s="331"/>
    </row>
    <row r="967" spans="1:59" ht="15.75" customHeight="1">
      <c r="A967" s="227" t="s">
        <v>3383</v>
      </c>
      <c r="B967" s="181">
        <v>45161</v>
      </c>
      <c r="C967" s="182" t="s">
        <v>854</v>
      </c>
      <c r="D967" s="182" t="s">
        <v>133</v>
      </c>
      <c r="E967" s="233"/>
      <c r="F967" s="184"/>
      <c r="G967" s="291" t="s">
        <v>2126</v>
      </c>
      <c r="H967" s="186"/>
      <c r="I967" s="186"/>
      <c r="J967" s="186"/>
      <c r="K967" s="187"/>
      <c r="L967" s="186">
        <v>1</v>
      </c>
      <c r="M967" s="186"/>
      <c r="N967" s="186"/>
      <c r="O967" s="187" t="s">
        <v>76</v>
      </c>
      <c r="P967" s="187" t="s">
        <v>77</v>
      </c>
      <c r="Q967" s="187" t="s">
        <v>78</v>
      </c>
      <c r="R967" s="187">
        <v>7</v>
      </c>
      <c r="S967" s="187">
        <v>0</v>
      </c>
      <c r="T967" s="187">
        <v>7</v>
      </c>
      <c r="U967" s="187" t="s">
        <v>22</v>
      </c>
      <c r="V967" s="188">
        <f t="shared" si="1519"/>
        <v>0.01</v>
      </c>
      <c r="W967" s="189">
        <f t="shared" si="1520"/>
        <v>1600</v>
      </c>
      <c r="X967" s="189" t="s">
        <v>80</v>
      </c>
      <c r="Y967" s="189"/>
      <c r="Z967" s="189"/>
      <c r="AA967" s="190">
        <v>0.05</v>
      </c>
      <c r="AB967" s="186"/>
      <c r="AC967" s="344"/>
      <c r="AD967" s="186"/>
      <c r="AE967" s="186"/>
      <c r="AF967" s="186"/>
      <c r="AG967" s="186"/>
      <c r="AH967" s="186"/>
      <c r="AI967" s="191"/>
      <c r="AJ967" s="191"/>
      <c r="AK967" s="186"/>
      <c r="AL967" s="186"/>
      <c r="AM967" s="186" t="s">
        <v>2508</v>
      </c>
      <c r="AN967" s="344" t="s">
        <v>87</v>
      </c>
      <c r="AO967" s="186" t="s">
        <v>3654</v>
      </c>
      <c r="AP967" s="193">
        <f>(0.05*2+0.05*5)/7</f>
        <v>4.9999999999999996E-2</v>
      </c>
      <c r="AQ967" s="193">
        <f t="shared" ref="AQ967" si="1527">IF(ISBLANK(AP967),,IF(U967="S",AA967-AP967,AP967-AA967))</f>
        <v>-6.9388939039072284E-18</v>
      </c>
      <c r="AR967" s="191">
        <f t="shared" ref="AR967" si="1528">AS967*R967</f>
        <v>-7.7715611723760958E-14</v>
      </c>
      <c r="AS967" s="194">
        <f t="shared" ref="AS967" si="1529">IF(ISBLANK(AP967),,(AQ967*W967))</f>
        <v>-1.1102230246251565E-14</v>
      </c>
      <c r="AT967" s="195" t="s">
        <v>97</v>
      </c>
      <c r="AU967" s="425" t="s">
        <v>3655</v>
      </c>
      <c r="AV967" s="425"/>
      <c r="AW967" s="425"/>
      <c r="AX967" s="425"/>
      <c r="AY967" s="425"/>
      <c r="AZ967" s="425"/>
      <c r="BA967" s="425"/>
      <c r="BB967" s="425"/>
      <c r="BC967" s="440"/>
      <c r="BD967" s="404"/>
      <c r="BE967" s="405">
        <f>SUM($AR$4:AR967)</f>
        <v>20322.712000000174</v>
      </c>
      <c r="BF967" s="330"/>
      <c r="BG967" s="330"/>
    </row>
    <row r="968" spans="1:59" ht="15.75" customHeight="1">
      <c r="A968" s="227" t="s">
        <v>3383</v>
      </c>
      <c r="B968" s="181">
        <v>45161</v>
      </c>
      <c r="C968" s="182" t="s">
        <v>424</v>
      </c>
      <c r="D968" s="182" t="s">
        <v>133</v>
      </c>
      <c r="E968" s="233" t="s">
        <v>3656</v>
      </c>
      <c r="F968" s="184"/>
      <c r="G968" s="185"/>
      <c r="H968" s="186"/>
      <c r="I968" s="186"/>
      <c r="J968" s="186">
        <v>1</v>
      </c>
      <c r="K968" s="187" t="s">
        <v>97</v>
      </c>
      <c r="L968" s="186"/>
      <c r="M968" s="186"/>
      <c r="N968" s="186"/>
      <c r="O968" s="187"/>
      <c r="P968" s="187"/>
      <c r="Q968" s="187"/>
      <c r="R968" s="187"/>
      <c r="S968" s="187"/>
      <c r="T968" s="187"/>
      <c r="U968" s="187"/>
      <c r="V968" s="187"/>
      <c r="W968" s="189" t="str">
        <f t="shared" ref="W968:W972" si="1530">IF(ISBLANK(O968),"",IF(O968="IB",8.63*200,IF(O968="IR",16*100,IF(O968="YT",20*100,IF(O968="YT-XT",24*200,IF(O968="TED",80*100))))))</f>
        <v/>
      </c>
      <c r="X968" s="189"/>
      <c r="Y968" s="189"/>
      <c r="Z968" s="189"/>
      <c r="AA968" s="190"/>
      <c r="AB968" s="186"/>
      <c r="AC968" s="344"/>
      <c r="AD968" s="186"/>
      <c r="AE968" s="186"/>
      <c r="AF968" s="186"/>
      <c r="AG968" s="186"/>
      <c r="AH968" s="186"/>
      <c r="AI968" s="191"/>
      <c r="AJ968" s="191"/>
      <c r="AK968" s="186"/>
      <c r="AL968" s="186"/>
      <c r="AM968" s="186"/>
      <c r="AN968" s="344"/>
      <c r="AO968" s="186"/>
      <c r="AP968" s="193"/>
      <c r="AQ968" s="193"/>
      <c r="AR968" s="191"/>
      <c r="AS968" s="194"/>
      <c r="AT968" s="195"/>
      <c r="AU968" s="425" t="s">
        <v>3657</v>
      </c>
      <c r="AV968" s="425"/>
      <c r="AW968" s="425"/>
      <c r="AX968" s="425"/>
      <c r="AY968" s="425"/>
      <c r="AZ968" s="425"/>
      <c r="BA968" s="425"/>
      <c r="BB968" s="425"/>
      <c r="BC968" s="440"/>
      <c r="BD968" s="404">
        <f>SUM($AS$4:AS968)</f>
        <v>4361.3733867880746</v>
      </c>
      <c r="BE968" s="407">
        <f>SUM($AR$4:AR968)</f>
        <v>20322.712000000174</v>
      </c>
      <c r="BF968" s="331"/>
      <c r="BG968" s="331"/>
    </row>
    <row r="969" spans="1:59" ht="15.75" customHeight="1">
      <c r="A969" s="227" t="s">
        <v>3383</v>
      </c>
      <c r="B969" s="181">
        <v>45161</v>
      </c>
      <c r="C969" s="182" t="s">
        <v>3658</v>
      </c>
      <c r="D969" s="182" t="s">
        <v>133</v>
      </c>
      <c r="E969" s="233"/>
      <c r="F969" s="184"/>
      <c r="G969" s="291" t="s">
        <v>118</v>
      </c>
      <c r="H969" s="186"/>
      <c r="I969" s="186"/>
      <c r="J969" s="186"/>
      <c r="K969" s="187"/>
      <c r="L969" s="186">
        <v>1</v>
      </c>
      <c r="M969" s="186"/>
      <c r="N969" s="186"/>
      <c r="O969" s="187" t="s">
        <v>76</v>
      </c>
      <c r="P969" s="187" t="s">
        <v>77</v>
      </c>
      <c r="Q969" s="187" t="s">
        <v>78</v>
      </c>
      <c r="R969" s="187">
        <v>9</v>
      </c>
      <c r="S969" s="187">
        <v>0</v>
      </c>
      <c r="T969" s="187">
        <v>9</v>
      </c>
      <c r="U969" s="187" t="s">
        <v>22</v>
      </c>
      <c r="V969" s="188">
        <f t="shared" ref="V969" si="1531">IF(ISBLANK(O969),"",(IF(O969=UPPER("IB"),0.005,0.01)))</f>
        <v>0.01</v>
      </c>
      <c r="W969" s="189">
        <f t="shared" si="1530"/>
        <v>1600</v>
      </c>
      <c r="X969" s="189" t="s">
        <v>80</v>
      </c>
      <c r="Y969" s="189"/>
      <c r="Z969" s="189"/>
      <c r="AA969" s="190">
        <v>-0.09</v>
      </c>
      <c r="AB969" s="186"/>
      <c r="AC969" s="344"/>
      <c r="AD969" s="186"/>
      <c r="AE969" s="186"/>
      <c r="AF969" s="186"/>
      <c r="AG969" s="186"/>
      <c r="AH969" s="186"/>
      <c r="AI969" s="191">
        <f t="shared" ref="AI964:AI970" si="1532">-0.025*W969</f>
        <v>-40</v>
      </c>
      <c r="AJ969" s="191">
        <f t="shared" ref="AJ964:AJ970" si="1533">AI969*(R969-S969)</f>
        <v>-360</v>
      </c>
      <c r="AK969" s="186"/>
      <c r="AL969" s="186"/>
      <c r="AM969" s="186" t="s">
        <v>752</v>
      </c>
      <c r="AN969" s="344" t="s">
        <v>97</v>
      </c>
      <c r="AO969" s="186" t="s">
        <v>3659</v>
      </c>
      <c r="AP969" s="193">
        <v>-0.08</v>
      </c>
      <c r="AQ969" s="193">
        <f t="shared" ref="AQ968:AQ969" si="1534">IF(ISBLANK(AP969),,IF(U969="S",AA969-AP969,AP969-AA969))</f>
        <v>9.999999999999995E-3</v>
      </c>
      <c r="AR969" s="191">
        <f t="shared" ref="AR968:AR969" si="1535">AS969*R969</f>
        <v>143.99999999999994</v>
      </c>
      <c r="AS969" s="194">
        <f t="shared" ref="AS968:AS969" si="1536">IF(ISBLANK(AP969),,(AQ969*W969))</f>
        <v>15.999999999999993</v>
      </c>
      <c r="AT969" s="195" t="s">
        <v>77</v>
      </c>
      <c r="AU969" s="425"/>
      <c r="AV969" s="425"/>
      <c r="AW969" s="425"/>
      <c r="AX969" s="425"/>
      <c r="AY969" s="425"/>
      <c r="AZ969" s="425"/>
      <c r="BA969" s="425"/>
      <c r="BB969" s="425"/>
      <c r="BC969" s="440"/>
      <c r="BD969" s="404">
        <f>SUM($AS$4:AS969)</f>
        <v>4377.3733867880746</v>
      </c>
      <c r="BE969" s="407">
        <f>SUM($AR$4:AR969)</f>
        <v>20466.712000000174</v>
      </c>
      <c r="BF969" s="331"/>
      <c r="BG969" s="331"/>
    </row>
    <row r="970" spans="1:59" ht="15.75" customHeight="1">
      <c r="A970" s="227" t="s">
        <v>3383</v>
      </c>
      <c r="B970" s="181">
        <v>45161</v>
      </c>
      <c r="C970" s="182" t="s">
        <v>2617</v>
      </c>
      <c r="D970" s="182" t="s">
        <v>133</v>
      </c>
      <c r="E970" s="233"/>
      <c r="F970" s="184"/>
      <c r="G970" s="185" t="s">
        <v>2126</v>
      </c>
      <c r="H970" s="186"/>
      <c r="I970" s="186"/>
      <c r="J970" s="186"/>
      <c r="K970" s="187"/>
      <c r="L970" s="186"/>
      <c r="M970" s="186"/>
      <c r="N970" s="186"/>
      <c r="O970" s="187"/>
      <c r="P970" s="187"/>
      <c r="Q970" s="187"/>
      <c r="R970" s="187"/>
      <c r="S970" s="187"/>
      <c r="T970" s="187"/>
      <c r="U970" s="187"/>
      <c r="V970" s="188"/>
      <c r="W970" s="189"/>
      <c r="X970" s="189"/>
      <c r="Y970" s="189"/>
      <c r="Z970" s="189"/>
      <c r="AA970" s="190"/>
      <c r="AB970" s="186"/>
      <c r="AC970" s="344"/>
      <c r="AD970" s="186"/>
      <c r="AE970" s="186"/>
      <c r="AF970" s="186"/>
      <c r="AG970" s="186"/>
      <c r="AH970" s="186"/>
      <c r="AI970" s="191"/>
      <c r="AJ970" s="191"/>
      <c r="AK970" s="186"/>
      <c r="AL970" s="186"/>
      <c r="AM970" s="186"/>
      <c r="AN970" s="344"/>
      <c r="AO970" s="186"/>
      <c r="AP970" s="193"/>
      <c r="AQ970" s="193"/>
      <c r="AR970" s="191"/>
      <c r="AS970" s="194"/>
      <c r="AT970" s="195"/>
      <c r="AU970" s="425"/>
      <c r="AV970" s="425"/>
      <c r="AW970" s="425"/>
      <c r="AX970" s="425"/>
      <c r="AY970" s="425"/>
      <c r="AZ970" s="425"/>
      <c r="BA970" s="425"/>
      <c r="BB970" s="425"/>
      <c r="BC970" s="440"/>
      <c r="BD970" s="404">
        <f>SUM($AS$4:AS970)</f>
        <v>4377.3733867880746</v>
      </c>
      <c r="BE970" s="407">
        <f>SUM($AR$4:AR970)</f>
        <v>20466.712000000174</v>
      </c>
      <c r="BF970" s="331"/>
      <c r="BG970" s="331"/>
    </row>
    <row r="971" spans="1:59" ht="15.75" customHeight="1">
      <c r="A971" s="227" t="s">
        <v>3383</v>
      </c>
      <c r="B971" s="181">
        <v>45162</v>
      </c>
      <c r="C971" s="182" t="s">
        <v>1695</v>
      </c>
      <c r="D971" s="182" t="s">
        <v>74</v>
      </c>
      <c r="E971" s="233" t="s">
        <v>3660</v>
      </c>
      <c r="F971" s="184"/>
      <c r="G971" s="185"/>
      <c r="H971" s="186"/>
      <c r="I971" s="186"/>
      <c r="J971" s="186">
        <v>1</v>
      </c>
      <c r="K971" s="187" t="s">
        <v>87</v>
      </c>
      <c r="L971" s="186"/>
      <c r="M971" s="186"/>
      <c r="N971" s="186"/>
      <c r="O971" s="187"/>
      <c r="P971" s="187"/>
      <c r="Q971" s="187"/>
      <c r="R971" s="187"/>
      <c r="S971" s="187"/>
      <c r="T971" s="187"/>
      <c r="U971" s="187"/>
      <c r="V971" s="187"/>
      <c r="W971" s="189" t="str">
        <f t="shared" si="1530"/>
        <v/>
      </c>
      <c r="X971" s="189"/>
      <c r="Y971" s="189"/>
      <c r="Z971" s="189"/>
      <c r="AA971" s="190"/>
      <c r="AB971" s="186"/>
      <c r="AC971" s="344"/>
      <c r="AD971" s="186"/>
      <c r="AE971" s="186"/>
      <c r="AF971" s="186"/>
      <c r="AG971" s="186"/>
      <c r="AH971" s="186"/>
      <c r="AI971" s="191"/>
      <c r="AJ971" s="191"/>
      <c r="AK971" s="186"/>
      <c r="AL971" s="186"/>
      <c r="AM971" s="186"/>
      <c r="AN971" s="344"/>
      <c r="AO971" s="186"/>
      <c r="AP971" s="193"/>
      <c r="AQ971" s="193"/>
      <c r="AR971" s="191"/>
      <c r="AS971" s="194"/>
      <c r="AT971" s="195"/>
      <c r="AU971" s="425" t="s">
        <v>3661</v>
      </c>
      <c r="AV971" s="425" t="s">
        <v>3662</v>
      </c>
      <c r="AW971" s="425" t="s">
        <v>3663</v>
      </c>
      <c r="AX971" s="425" t="s">
        <v>3664</v>
      </c>
      <c r="AY971" s="425" t="s">
        <v>3665</v>
      </c>
      <c r="AZ971" s="425"/>
      <c r="BA971" s="425"/>
      <c r="BB971" s="425"/>
      <c r="BC971" s="440"/>
      <c r="BD971" s="404">
        <f>SUM($AS$4:AS971)</f>
        <v>4377.3733867880746</v>
      </c>
      <c r="BE971" s="407">
        <f>SUM($AR$4:AR971)</f>
        <v>20466.712000000174</v>
      </c>
      <c r="BF971" s="331"/>
      <c r="BG971" s="331"/>
    </row>
    <row r="972" spans="1:59" ht="15.75" customHeight="1">
      <c r="A972" s="227" t="s">
        <v>3383</v>
      </c>
      <c r="B972" s="181">
        <v>45163</v>
      </c>
      <c r="C972" s="182" t="s">
        <v>3318</v>
      </c>
      <c r="D972" s="182" t="s">
        <v>93</v>
      </c>
      <c r="E972" s="233"/>
      <c r="F972" s="184"/>
      <c r="G972" s="291" t="s">
        <v>163</v>
      </c>
      <c r="H972" s="186"/>
      <c r="I972" s="186"/>
      <c r="J972" s="186"/>
      <c r="K972" s="187"/>
      <c r="L972" s="186">
        <v>1</v>
      </c>
      <c r="M972" s="186"/>
      <c r="N972" s="186"/>
      <c r="O972" s="187" t="s">
        <v>76</v>
      </c>
      <c r="P972" s="187" t="s">
        <v>77</v>
      </c>
      <c r="Q972" s="187" t="s">
        <v>78</v>
      </c>
      <c r="R972" s="187">
        <v>7</v>
      </c>
      <c r="S972" s="187">
        <v>0</v>
      </c>
      <c r="T972" s="187">
        <v>7</v>
      </c>
      <c r="U972" s="187" t="s">
        <v>78</v>
      </c>
      <c r="V972" s="188">
        <f t="shared" ref="V972" si="1537">IF(ISBLANK(O972),"",(IF(O972=UPPER("IB"),0.005,0.01)))</f>
        <v>0.01</v>
      </c>
      <c r="W972" s="189">
        <f t="shared" si="1530"/>
        <v>1600</v>
      </c>
      <c r="X972" s="189" t="s">
        <v>3666</v>
      </c>
      <c r="Y972" s="189"/>
      <c r="Z972" s="189"/>
      <c r="AA972" s="190">
        <v>0</v>
      </c>
      <c r="AB972" s="186"/>
      <c r="AC972" s="344"/>
      <c r="AD972" s="186"/>
      <c r="AE972" s="186"/>
      <c r="AF972" s="186"/>
      <c r="AG972" s="425" t="s">
        <v>3667</v>
      </c>
      <c r="AH972" s="186"/>
      <c r="AI972" s="191">
        <f>-0.025*W972</f>
        <v>-40</v>
      </c>
      <c r="AJ972" s="191">
        <f t="shared" ref="AJ971:AJ972" si="1538">AI972*(R972-S972)</f>
        <v>-280</v>
      </c>
      <c r="AK972" s="186"/>
      <c r="AL972" s="186"/>
      <c r="AM972" s="186" t="s">
        <v>1781</v>
      </c>
      <c r="AN972" s="344" t="s">
        <v>87</v>
      </c>
      <c r="AO972" s="308" t="s">
        <v>3668</v>
      </c>
      <c r="AP972" s="193">
        <v>0</v>
      </c>
      <c r="AQ972" s="193">
        <f t="shared" ref="AQ970:AQ972" si="1539">IF(ISBLANK(AP972),,IF(U972="S",AA972-AP972,AP972-AA972))</f>
        <v>0</v>
      </c>
      <c r="AR972" s="191">
        <f t="shared" ref="AR970:AR972" si="1540">AS972*R972</f>
        <v>0</v>
      </c>
      <c r="AS972" s="194">
        <f t="shared" ref="AS970:AS972" si="1541">IF(ISBLANK(AP972),,(AQ972*W972))</f>
        <v>0</v>
      </c>
      <c r="AT972" s="195" t="s">
        <v>97</v>
      </c>
      <c r="AU972" s="425"/>
      <c r="AV972" s="425"/>
      <c r="AW972" s="425"/>
      <c r="AX972" s="425"/>
      <c r="AY972" s="425"/>
      <c r="AZ972" s="425"/>
      <c r="BA972" s="425"/>
      <c r="BB972" s="425"/>
      <c r="BC972" s="440"/>
      <c r="BD972" s="404">
        <f>SUM($AS$4:AS972)</f>
        <v>4377.3733867880746</v>
      </c>
      <c r="BE972" s="407">
        <f>SUM($AR$4:AR972)</f>
        <v>20466.712000000174</v>
      </c>
      <c r="BF972" s="331"/>
      <c r="BG972" s="331"/>
    </row>
    <row r="973" spans="1:59" ht="15.75" customHeight="1">
      <c r="A973" s="227" t="s">
        <v>3383</v>
      </c>
      <c r="B973" s="181">
        <v>45163</v>
      </c>
      <c r="C973" s="182" t="s">
        <v>3669</v>
      </c>
      <c r="D973" s="182" t="s">
        <v>93</v>
      </c>
      <c r="E973" s="233" t="s">
        <v>3670</v>
      </c>
      <c r="F973" s="184"/>
      <c r="G973" s="185"/>
      <c r="H973" s="186"/>
      <c r="I973" s="186"/>
      <c r="J973" s="186"/>
      <c r="K973" s="187"/>
      <c r="L973" s="186"/>
      <c r="M973" s="186"/>
      <c r="N973" s="186"/>
      <c r="O973" s="187"/>
      <c r="P973" s="187"/>
      <c r="Q973" s="187"/>
      <c r="R973" s="187"/>
      <c r="S973" s="187"/>
      <c r="T973" s="187"/>
      <c r="U973" s="187"/>
      <c r="V973" s="187"/>
      <c r="W973" s="189" t="str">
        <f t="shared" si="1520"/>
        <v/>
      </c>
      <c r="X973" s="189"/>
      <c r="Y973" s="189"/>
      <c r="Z973" s="189"/>
      <c r="AA973" s="190"/>
      <c r="AB973" s="186"/>
      <c r="AC973" s="344"/>
      <c r="AD973" s="186"/>
      <c r="AE973" s="186"/>
      <c r="AF973" s="186"/>
      <c r="AG973" s="186"/>
      <c r="AH973" s="186"/>
      <c r="AI973" s="191"/>
      <c r="AJ973" s="191"/>
      <c r="AK973" s="186"/>
      <c r="AL973" s="186"/>
      <c r="AM973" s="186"/>
      <c r="AN973" s="344"/>
      <c r="AO973" s="186"/>
      <c r="AP973" s="193"/>
      <c r="AQ973" s="193"/>
      <c r="AR973" s="191"/>
      <c r="AS973" s="194"/>
      <c r="AT973" s="195"/>
      <c r="AU973" s="425"/>
      <c r="AV973" s="425"/>
      <c r="AW973" s="425"/>
      <c r="AX973" s="425"/>
      <c r="AY973" s="425"/>
      <c r="AZ973" s="425"/>
      <c r="BA973" s="425"/>
      <c r="BB973" s="425"/>
      <c r="BC973" s="440"/>
      <c r="BD973" s="404">
        <f>SUM($AS$4:AS973)</f>
        <v>4377.3733867880746</v>
      </c>
      <c r="BE973" s="407">
        <f>SUM($AR$4:AR973)</f>
        <v>20466.712000000174</v>
      </c>
      <c r="BF973" s="331"/>
      <c r="BG973" s="331"/>
    </row>
    <row r="974" spans="1:59" ht="15.75" customHeight="1">
      <c r="A974" s="227" t="s">
        <v>3383</v>
      </c>
      <c r="B974" s="181">
        <v>45166</v>
      </c>
      <c r="C974" s="182" t="s">
        <v>2107</v>
      </c>
      <c r="D974" s="182" t="s">
        <v>114</v>
      </c>
      <c r="E974" s="233"/>
      <c r="F974" s="184"/>
      <c r="G974" s="291" t="s">
        <v>2126</v>
      </c>
      <c r="H974" s="186"/>
      <c r="I974" s="186"/>
      <c r="J974" s="186"/>
      <c r="K974" s="187"/>
      <c r="L974" s="186">
        <v>1</v>
      </c>
      <c r="M974" s="186"/>
      <c r="N974" s="186"/>
      <c r="O974" s="187" t="s">
        <v>76</v>
      </c>
      <c r="P974" s="187" t="s">
        <v>77</v>
      </c>
      <c r="Q974" s="187" t="s">
        <v>78</v>
      </c>
      <c r="R974" s="187">
        <v>4</v>
      </c>
      <c r="S974" s="187">
        <v>0</v>
      </c>
      <c r="T974" s="187">
        <v>4</v>
      </c>
      <c r="U974" s="187" t="s">
        <v>78</v>
      </c>
      <c r="V974" s="188">
        <f t="shared" ref="V974" si="1542">IF(ISBLANK(O974),"",(IF(O974=UPPER("IB"),0.005,0.01)))</f>
        <v>0.01</v>
      </c>
      <c r="W974" s="189">
        <f t="shared" si="1520"/>
        <v>1600</v>
      </c>
      <c r="X974" s="189" t="s">
        <v>80</v>
      </c>
      <c r="Y974" s="189"/>
      <c r="Z974" s="189"/>
      <c r="AA974" s="190">
        <v>7.0000000000000007E-2</v>
      </c>
      <c r="AB974" s="186"/>
      <c r="AC974" s="344"/>
      <c r="AD974" s="186"/>
      <c r="AE974" s="186"/>
      <c r="AF974" s="186"/>
      <c r="AG974" s="186"/>
      <c r="AH974" s="186"/>
      <c r="AI974" s="191"/>
      <c r="AJ974" s="191"/>
      <c r="AK974" s="186"/>
      <c r="AL974" s="186"/>
      <c r="AM974" s="186" t="s">
        <v>786</v>
      </c>
      <c r="AN974" s="344" t="s">
        <v>97</v>
      </c>
      <c r="AO974" s="186" t="s">
        <v>3671</v>
      </c>
      <c r="AP974" s="193">
        <v>0.06</v>
      </c>
      <c r="AQ974" s="193">
        <f t="shared" ref="AQ973:AQ974" si="1543">IF(ISBLANK(AP974),,IF(U974="S",AA974-AP974,AP974-AA974))</f>
        <v>1.0000000000000009E-2</v>
      </c>
      <c r="AR974" s="191">
        <f t="shared" ref="AR973:AR974" si="1544">AS974*R974</f>
        <v>64.000000000000057</v>
      </c>
      <c r="AS974" s="194">
        <f t="shared" ref="AS973:AS974" si="1545">IF(ISBLANK(AP974),,(AQ974*W974))</f>
        <v>16.000000000000014</v>
      </c>
      <c r="AT974" s="195" t="s">
        <v>77</v>
      </c>
      <c r="AU974" s="425" t="s">
        <v>3672</v>
      </c>
      <c r="AV974" s="425"/>
      <c r="AW974" s="425"/>
      <c r="AX974" s="425"/>
      <c r="AY974" s="425"/>
      <c r="AZ974" s="425"/>
      <c r="BA974" s="425"/>
      <c r="BB974" s="425"/>
      <c r="BC974" s="440"/>
      <c r="BD974" s="404">
        <f>SUM($AS$4:AS974)</f>
        <v>4393.3733867880746</v>
      </c>
      <c r="BE974" s="407">
        <f>SUM($AR$4:AR974)</f>
        <v>20530.712000000174</v>
      </c>
      <c r="BF974" s="331"/>
      <c r="BG974" s="331"/>
    </row>
    <row r="975" spans="1:59" ht="15.75" customHeight="1">
      <c r="A975" s="227" t="s">
        <v>3383</v>
      </c>
      <c r="B975" s="181">
        <v>45167</v>
      </c>
      <c r="C975" s="182" t="s">
        <v>2041</v>
      </c>
      <c r="D975" s="182" t="s">
        <v>128</v>
      </c>
      <c r="E975" s="233" t="s">
        <v>3673</v>
      </c>
      <c r="F975" s="184" t="s">
        <v>3674</v>
      </c>
      <c r="G975" s="185"/>
      <c r="H975" s="186"/>
      <c r="I975" s="186"/>
      <c r="J975" s="186">
        <v>1</v>
      </c>
      <c r="K975" s="187" t="s">
        <v>97</v>
      </c>
      <c r="L975" s="186"/>
      <c r="M975" s="186"/>
      <c r="N975" s="186"/>
      <c r="O975" s="187"/>
      <c r="P975" s="187"/>
      <c r="Q975" s="187"/>
      <c r="R975" s="187"/>
      <c r="S975" s="187"/>
      <c r="T975" s="187"/>
      <c r="U975" s="187"/>
      <c r="V975" s="187"/>
      <c r="W975" s="189" t="str">
        <f t="shared" si="1520"/>
        <v/>
      </c>
      <c r="X975" s="189"/>
      <c r="Y975" s="189"/>
      <c r="Z975" s="189"/>
      <c r="AA975" s="190"/>
      <c r="AB975" s="186"/>
      <c r="AC975" s="344"/>
      <c r="AD975" s="186"/>
      <c r="AE975" s="186"/>
      <c r="AF975" s="186"/>
      <c r="AG975" s="186"/>
      <c r="AH975" s="186"/>
      <c r="AI975" s="191"/>
      <c r="AJ975" s="191"/>
      <c r="AK975" s="186"/>
      <c r="AL975" s="186"/>
      <c r="AM975" s="186"/>
      <c r="AN975" s="344"/>
      <c r="AO975" s="186"/>
      <c r="AP975" s="193"/>
      <c r="AQ975" s="193"/>
      <c r="AR975" s="191"/>
      <c r="AS975" s="194"/>
      <c r="AT975" s="195"/>
      <c r="AU975" s="425" t="s">
        <v>3675</v>
      </c>
      <c r="AV975" s="425" t="s">
        <v>3676</v>
      </c>
      <c r="AW975" s="425" t="s">
        <v>3677</v>
      </c>
      <c r="AX975" s="425"/>
      <c r="AY975" s="425"/>
      <c r="AZ975" s="425"/>
      <c r="BA975" s="425"/>
      <c r="BB975" s="425"/>
      <c r="BC975" s="440"/>
      <c r="BD975" s="404">
        <f>SUM($AS$4:AS975)</f>
        <v>4393.3733867880746</v>
      </c>
      <c r="BE975" s="407">
        <f>SUM($AR$4:AR975)</f>
        <v>20530.712000000174</v>
      </c>
      <c r="BF975" s="331"/>
      <c r="BG975" s="331"/>
    </row>
    <row r="976" spans="1:59" ht="15.75" customHeight="1">
      <c r="A976" s="227" t="s">
        <v>3383</v>
      </c>
      <c r="B976" s="181">
        <v>45167</v>
      </c>
      <c r="C976" s="182" t="s">
        <v>3678</v>
      </c>
      <c r="D976" s="182" t="s">
        <v>128</v>
      </c>
      <c r="E976" s="233"/>
      <c r="F976" s="184"/>
      <c r="G976" s="291" t="s">
        <v>2126</v>
      </c>
      <c r="H976" s="186"/>
      <c r="I976" s="186"/>
      <c r="J976" s="186"/>
      <c r="K976" s="187"/>
      <c r="L976" s="186">
        <v>1</v>
      </c>
      <c r="M976" s="186"/>
      <c r="N976" s="186"/>
      <c r="O976" s="187" t="s">
        <v>76</v>
      </c>
      <c r="P976" s="187" t="s">
        <v>77</v>
      </c>
      <c r="Q976" s="187" t="s">
        <v>78</v>
      </c>
      <c r="R976" s="187">
        <v>10</v>
      </c>
      <c r="S976" s="187">
        <v>0</v>
      </c>
      <c r="T976" s="187">
        <v>10</v>
      </c>
      <c r="U976" s="187" t="s">
        <v>22</v>
      </c>
      <c r="V976" s="188">
        <f t="shared" ref="V976:V977" si="1546">IF(ISBLANK(O976),"",(IF(O976=UPPER("IB"),0.005,0.01)))</f>
        <v>0.01</v>
      </c>
      <c r="W976" s="189">
        <f t="shared" ref="W976:W981" si="1547">IF(ISBLANK(O976),"",IF(O976="IB",8.63*200,IF(O976="IR",16*100,IF(O976="YT",20*100,IF(O976="YT-XT",24*200,IF(O976="TED",80*100))))))</f>
        <v>1600</v>
      </c>
      <c r="X976" s="189" t="s">
        <v>3679</v>
      </c>
      <c r="Y976" s="189"/>
      <c r="Z976" s="189"/>
      <c r="AA976" s="190">
        <v>0.04</v>
      </c>
      <c r="AB976" s="186"/>
      <c r="AC976" s="344"/>
      <c r="AD976" s="186"/>
      <c r="AE976" s="186"/>
      <c r="AF976" s="186"/>
      <c r="AG976" s="186"/>
      <c r="AH976" s="186"/>
      <c r="AI976" s="191"/>
      <c r="AJ976" s="191"/>
      <c r="AK976" s="186"/>
      <c r="AL976" s="186"/>
      <c r="AM976" s="186" t="s">
        <v>3125</v>
      </c>
      <c r="AN976" s="344" t="s">
        <v>376</v>
      </c>
      <c r="AO976" s="186" t="s">
        <v>3680</v>
      </c>
      <c r="AP976" s="193">
        <v>0.05</v>
      </c>
      <c r="AQ976" s="193">
        <f t="shared" ref="AQ976" si="1548">IF(ISBLANK(AP976),,IF(U976="S",AA976-AP976,AP976-AA976))</f>
        <v>1.0000000000000002E-2</v>
      </c>
      <c r="AR976" s="191">
        <f t="shared" ref="AR976" si="1549">AS976*R976</f>
        <v>160.00000000000003</v>
      </c>
      <c r="AS976" s="194">
        <f t="shared" ref="AS976" si="1550">IF(ISBLANK(AP976),,(AQ976*W976))</f>
        <v>16.000000000000004</v>
      </c>
      <c r="AT976" s="195" t="s">
        <v>77</v>
      </c>
      <c r="AU976" s="425" t="s">
        <v>3681</v>
      </c>
      <c r="AV976" s="425"/>
      <c r="AW976" s="425"/>
      <c r="AX976" s="425"/>
      <c r="AY976" s="425"/>
      <c r="AZ976" s="425"/>
      <c r="BA976" s="425"/>
      <c r="BB976" s="425"/>
      <c r="BC976" s="440"/>
      <c r="BD976" s="404">
        <f>SUM($AS$4:AS976)</f>
        <v>4409.3733867880746</v>
      </c>
      <c r="BE976" s="407">
        <f>SUM($AR$4:AR976)</f>
        <v>20690.712000000174</v>
      </c>
      <c r="BF976" s="331"/>
      <c r="BG976" s="331"/>
    </row>
    <row r="977" spans="1:59" ht="15.75" customHeight="1">
      <c r="A977" s="227" t="s">
        <v>3383</v>
      </c>
      <c r="B977" s="181">
        <v>45167</v>
      </c>
      <c r="C977" s="182" t="s">
        <v>3682</v>
      </c>
      <c r="D977" s="182" t="s">
        <v>128</v>
      </c>
      <c r="E977" s="233"/>
      <c r="F977" s="184"/>
      <c r="G977" s="291" t="s">
        <v>3683</v>
      </c>
      <c r="H977" s="186"/>
      <c r="I977" s="186"/>
      <c r="J977" s="186"/>
      <c r="K977" s="187"/>
      <c r="L977" s="186">
        <v>1</v>
      </c>
      <c r="M977" s="186"/>
      <c r="N977" s="186"/>
      <c r="O977" s="187" t="s">
        <v>2413</v>
      </c>
      <c r="P977" s="187" t="s">
        <v>2241</v>
      </c>
      <c r="Q977" s="187" t="s">
        <v>666</v>
      </c>
      <c r="R977" s="187">
        <v>1</v>
      </c>
      <c r="S977" s="187">
        <v>0</v>
      </c>
      <c r="T977" s="187">
        <v>1</v>
      </c>
      <c r="U977" s="187" t="s">
        <v>78</v>
      </c>
      <c r="V977" s="188">
        <f t="shared" si="1546"/>
        <v>0.01</v>
      </c>
      <c r="W977" s="189">
        <f>IF(ISBLANK(O977),"",IF(O977="IB",8.63*200,IF(O977="IR",16*100,IF(O977="YT",20*100,IF(O977="YT-XT",24*200,IF(O977="TED",80*100,IF(O977="XT",36*200)))))))</f>
        <v>2000</v>
      </c>
      <c r="X977" s="189" t="s">
        <v>3684</v>
      </c>
      <c r="Y977" s="189"/>
      <c r="Z977" s="189"/>
      <c r="AA977" s="190">
        <v>96.22</v>
      </c>
      <c r="AB977" s="186"/>
      <c r="AC977" s="344"/>
      <c r="AD977" s="186"/>
      <c r="AE977" s="186"/>
      <c r="AF977" s="186"/>
      <c r="AG977" s="186"/>
      <c r="AH977" s="186"/>
      <c r="AI977" s="191"/>
      <c r="AJ977" s="191"/>
      <c r="AK977" s="186"/>
      <c r="AL977" s="186"/>
      <c r="AM977" s="186" t="s">
        <v>946</v>
      </c>
      <c r="AN977" s="344" t="s">
        <v>87</v>
      </c>
      <c r="AO977" s="186" t="s">
        <v>3685</v>
      </c>
      <c r="AP977" s="193">
        <v>96.22</v>
      </c>
      <c r="AQ977" s="193">
        <f t="shared" ref="AQ977" si="1551">IF(ISBLANK(AP977),,IF(U977="S",AA977-AP977,AP977-AA977))</f>
        <v>0</v>
      </c>
      <c r="AR977" s="191">
        <f t="shared" ref="AR977" si="1552">AS977*R977</f>
        <v>0</v>
      </c>
      <c r="AS977" s="194">
        <f t="shared" ref="AS977" si="1553">IF(ISBLANK(AP977),,(AQ977*W977))</f>
        <v>0</v>
      </c>
      <c r="AT977" s="195" t="s">
        <v>97</v>
      </c>
      <c r="AU977" s="425" t="s">
        <v>3686</v>
      </c>
      <c r="AV977" s="425"/>
      <c r="AW977" s="425"/>
      <c r="AX977" s="425"/>
      <c r="AY977" s="425"/>
      <c r="AZ977" s="425"/>
      <c r="BA977" s="425"/>
      <c r="BB977" s="425"/>
      <c r="BC977" s="440"/>
      <c r="BD977" s="404">
        <f>SUM($AS$4:AS977)</f>
        <v>4409.3733867880746</v>
      </c>
      <c r="BE977" s="407">
        <f>SUM($AR$4:AR977)</f>
        <v>20690.712000000174</v>
      </c>
      <c r="BF977" s="331"/>
      <c r="BG977" s="331"/>
    </row>
    <row r="978" spans="1:59" ht="15.75" customHeight="1">
      <c r="A978" s="227" t="s">
        <v>3383</v>
      </c>
      <c r="B978" s="181">
        <v>45167</v>
      </c>
      <c r="C978" s="182" t="s">
        <v>867</v>
      </c>
      <c r="D978" s="182" t="s">
        <v>128</v>
      </c>
      <c r="E978" s="233"/>
      <c r="F978" s="184"/>
      <c r="G978" s="291" t="s">
        <v>118</v>
      </c>
      <c r="H978" s="186"/>
      <c r="I978" s="186"/>
      <c r="J978" s="186"/>
      <c r="K978" s="187"/>
      <c r="L978" s="186">
        <v>1</v>
      </c>
      <c r="M978" s="186"/>
      <c r="N978" s="186"/>
      <c r="O978" s="187" t="s">
        <v>76</v>
      </c>
      <c r="P978" s="187" t="s">
        <v>77</v>
      </c>
      <c r="Q978" s="187" t="s">
        <v>78</v>
      </c>
      <c r="R978" s="187">
        <v>12</v>
      </c>
      <c r="S978" s="187">
        <v>0</v>
      </c>
      <c r="T978" s="187">
        <v>10</v>
      </c>
      <c r="U978" s="187" t="s">
        <v>22</v>
      </c>
      <c r="V978" s="188">
        <f t="shared" ref="V978" si="1554">IF(ISBLANK(O978),"",(IF(O978=UPPER("IB"),0.005,0.01)))</f>
        <v>0.01</v>
      </c>
      <c r="W978" s="189">
        <f t="shared" ref="W978" si="1555">IF(ISBLANK(O978),"",IF(O978="IB",8.63*200,IF(O978="IR",16*100,IF(O978="YT",20*100,IF(O978="YT-XT",24*200,IF(O978="TED",80*100))))))</f>
        <v>1600</v>
      </c>
      <c r="X978" s="189" t="s">
        <v>80</v>
      </c>
      <c r="Y978" s="189"/>
      <c r="Z978" s="189"/>
      <c r="AA978" s="190">
        <v>-0.09</v>
      </c>
      <c r="AB978" s="186"/>
      <c r="AC978" s="344"/>
      <c r="AD978" s="186"/>
      <c r="AE978" s="186"/>
      <c r="AF978" s="186"/>
      <c r="AG978" s="186"/>
      <c r="AH978" s="186"/>
      <c r="AI978" s="191"/>
      <c r="AJ978" s="191"/>
      <c r="AK978" s="186"/>
      <c r="AL978" s="186"/>
      <c r="AM978" s="186" t="s">
        <v>2195</v>
      </c>
      <c r="AN978" s="344" t="s">
        <v>87</v>
      </c>
      <c r="AO978" s="186" t="s">
        <v>664</v>
      </c>
      <c r="AP978" s="193">
        <v>-0.08</v>
      </c>
      <c r="AQ978" s="193">
        <f t="shared" ref="AQ978" si="1556">IF(ISBLANK(AP978),,IF(U978="S",AA978-AP978,AP978-AA978))</f>
        <v>9.999999999999995E-3</v>
      </c>
      <c r="AR978" s="191">
        <f t="shared" ref="AR978" si="1557">AS978*R978</f>
        <v>191.99999999999991</v>
      </c>
      <c r="AS978" s="194">
        <f t="shared" ref="AS978" si="1558">IF(ISBLANK(AP978),,(AQ978*W978))</f>
        <v>15.999999999999993</v>
      </c>
      <c r="AT978" s="195" t="s">
        <v>77</v>
      </c>
      <c r="AU978" s="425"/>
      <c r="AV978" s="425"/>
      <c r="AW978" s="425"/>
      <c r="AX978" s="425"/>
      <c r="AY978" s="425"/>
      <c r="AZ978" s="425"/>
      <c r="BA978" s="425"/>
      <c r="BB978" s="425"/>
      <c r="BC978" s="440"/>
      <c r="BD978" s="404">
        <f>SUM($AS$4:AS978)</f>
        <v>4425.3733867880746</v>
      </c>
      <c r="BE978" s="407">
        <f>SUM($AR$4:AR978)</f>
        <v>20882.712000000174</v>
      </c>
      <c r="BF978" s="331"/>
      <c r="BG978" s="331"/>
    </row>
    <row r="979" spans="1:59" ht="15.75" customHeight="1">
      <c r="A979" s="227" t="s">
        <v>3383</v>
      </c>
      <c r="B979" s="181">
        <v>45168</v>
      </c>
      <c r="C979" s="182" t="s">
        <v>3687</v>
      </c>
      <c r="D979" s="182" t="s">
        <v>133</v>
      </c>
      <c r="E979" s="233"/>
      <c r="F979" s="184"/>
      <c r="G979" s="291" t="s">
        <v>2126</v>
      </c>
      <c r="H979" s="186"/>
      <c r="I979" s="186"/>
      <c r="J979" s="186"/>
      <c r="K979" s="187"/>
      <c r="L979" s="186">
        <v>1</v>
      </c>
      <c r="M979" s="186"/>
      <c r="N979" s="186"/>
      <c r="O979" s="187" t="s">
        <v>76</v>
      </c>
      <c r="P979" s="187" t="s">
        <v>77</v>
      </c>
      <c r="Q979" s="187" t="s">
        <v>78</v>
      </c>
      <c r="R979" s="187">
        <v>10</v>
      </c>
      <c r="S979" s="187">
        <v>0</v>
      </c>
      <c r="T979" s="187">
        <v>10</v>
      </c>
      <c r="U979" s="187" t="s">
        <v>22</v>
      </c>
      <c r="V979" s="188">
        <f t="shared" ref="V979" si="1559">IF(ISBLANK(O979),"",(IF(O979=UPPER("IB"),0.005,0.01)))</f>
        <v>0.01</v>
      </c>
      <c r="W979" s="189">
        <f t="shared" ref="W979" si="1560">IF(ISBLANK(O979),"",IF(O979="IB",8.63*200,IF(O979="IR",16*100,IF(O979="YT",20*100,IF(O979="YT-XT",24*200,IF(O979="TED",80*100))))))</f>
        <v>1600</v>
      </c>
      <c r="X979" s="189" t="s">
        <v>80</v>
      </c>
      <c r="Y979" s="189"/>
      <c r="Z979" s="189"/>
      <c r="AA979" s="190">
        <v>0.04</v>
      </c>
      <c r="AB979" s="186"/>
      <c r="AC979" s="344"/>
      <c r="AD979" s="186"/>
      <c r="AE979" s="186"/>
      <c r="AF979" s="186"/>
      <c r="AG979" s="186"/>
      <c r="AH979" s="186"/>
      <c r="AI979" s="191"/>
      <c r="AJ979" s="191"/>
      <c r="AK979" s="186"/>
      <c r="AL979" s="186"/>
      <c r="AM979" s="186" t="s">
        <v>1681</v>
      </c>
      <c r="AN979" s="344" t="s">
        <v>87</v>
      </c>
      <c r="AO979" s="186" t="s">
        <v>664</v>
      </c>
      <c r="AP979" s="193">
        <v>0.05</v>
      </c>
      <c r="AQ979" s="193">
        <f t="shared" ref="AQ979" si="1561">IF(ISBLANK(AP979),,IF(U979="S",AA979-AP979,AP979-AA979))</f>
        <v>1.0000000000000002E-2</v>
      </c>
      <c r="AR979" s="191">
        <f t="shared" ref="AR979" si="1562">AS979*R979</f>
        <v>160.00000000000003</v>
      </c>
      <c r="AS979" s="194">
        <f t="shared" ref="AS979" si="1563">IF(ISBLANK(AP979),,(AQ979*W979))</f>
        <v>16.000000000000004</v>
      </c>
      <c r="AT979" s="195" t="s">
        <v>77</v>
      </c>
      <c r="AU979" s="425"/>
      <c r="AV979" s="425"/>
      <c r="AW979" s="425"/>
      <c r="AX979" s="425"/>
      <c r="AY979" s="425"/>
      <c r="AZ979" s="425"/>
      <c r="BA979" s="425"/>
      <c r="BB979" s="425"/>
      <c r="BC979" s="440"/>
      <c r="BD979" s="404">
        <f>SUM($AS$4:AS979)</f>
        <v>4441.3733867880746</v>
      </c>
      <c r="BE979" s="407">
        <f>SUM($AR$4:AR979)</f>
        <v>21042.712000000174</v>
      </c>
      <c r="BF979" s="331"/>
      <c r="BG979" s="331"/>
    </row>
    <row r="980" spans="1:59" ht="15.75" customHeight="1">
      <c r="A980" s="227" t="s">
        <v>3383</v>
      </c>
      <c r="B980" s="181">
        <v>45168</v>
      </c>
      <c r="C980" s="182" t="s">
        <v>2001</v>
      </c>
      <c r="D980" s="182" t="s">
        <v>133</v>
      </c>
      <c r="E980" s="233" t="s">
        <v>3688</v>
      </c>
      <c r="F980" s="184" t="s">
        <v>3689</v>
      </c>
      <c r="G980" s="185"/>
      <c r="H980" s="186"/>
      <c r="I980" s="186"/>
      <c r="J980" s="186">
        <v>1</v>
      </c>
      <c r="K980" s="187" t="s">
        <v>97</v>
      </c>
      <c r="L980" s="186"/>
      <c r="M980" s="186"/>
      <c r="N980" s="186"/>
      <c r="O980" s="187"/>
      <c r="P980" s="187"/>
      <c r="Q980" s="187"/>
      <c r="R980" s="187"/>
      <c r="S980" s="187"/>
      <c r="T980" s="187"/>
      <c r="U980" s="187"/>
      <c r="V980" s="187"/>
      <c r="W980" s="189" t="str">
        <f t="shared" si="1547"/>
        <v/>
      </c>
      <c r="X980" s="189"/>
      <c r="Y980" s="189"/>
      <c r="Z980" s="189"/>
      <c r="AA980" s="190"/>
      <c r="AB980" s="186"/>
      <c r="AC980" s="344"/>
      <c r="AD980" s="186"/>
      <c r="AE980" s="186"/>
      <c r="AF980" s="186"/>
      <c r="AG980" s="186"/>
      <c r="AH980" s="186"/>
      <c r="AI980" s="191"/>
      <c r="AJ980" s="191"/>
      <c r="AK980" s="186"/>
      <c r="AL980" s="186"/>
      <c r="AM980" s="186"/>
      <c r="AN980" s="344"/>
      <c r="AO980" s="186"/>
      <c r="AP980" s="193"/>
      <c r="AQ980" s="193"/>
      <c r="AR980" s="191"/>
      <c r="AS980" s="194"/>
      <c r="AT980" s="195"/>
      <c r="AU980" s="425" t="s">
        <v>3690</v>
      </c>
      <c r="AV980" s="425"/>
      <c r="AW980" s="425"/>
      <c r="AX980" s="425"/>
      <c r="AY980" s="425"/>
      <c r="AZ980" s="425"/>
      <c r="BA980" s="425"/>
      <c r="BB980" s="425"/>
      <c r="BC980" s="440"/>
      <c r="BD980" s="404">
        <f>SUM($AS$4:AS980)</f>
        <v>4441.3733867880746</v>
      </c>
      <c r="BE980" s="407">
        <f>SUM($AR$4:AR980)</f>
        <v>21042.712000000174</v>
      </c>
      <c r="BF980" s="331"/>
      <c r="BG980" s="331"/>
    </row>
    <row r="981" spans="1:59" ht="15.75" customHeight="1">
      <c r="A981" s="227" t="s">
        <v>3383</v>
      </c>
      <c r="B981" s="181">
        <v>45168</v>
      </c>
      <c r="C981" s="182" t="s">
        <v>3566</v>
      </c>
      <c r="D981" s="182" t="s">
        <v>133</v>
      </c>
      <c r="E981" s="233"/>
      <c r="F981" s="184"/>
      <c r="G981" s="291" t="s">
        <v>2051</v>
      </c>
      <c r="H981" s="186"/>
      <c r="I981" s="186"/>
      <c r="J981" s="186"/>
      <c r="K981" s="187"/>
      <c r="L981" s="186">
        <v>1</v>
      </c>
      <c r="M981" s="186"/>
      <c r="N981" s="186"/>
      <c r="O981" s="187" t="s">
        <v>76</v>
      </c>
      <c r="P981" s="187" t="s">
        <v>119</v>
      </c>
      <c r="Q981" s="187" t="s">
        <v>78</v>
      </c>
      <c r="R981" s="187">
        <v>6</v>
      </c>
      <c r="S981" s="187">
        <v>0</v>
      </c>
      <c r="T981" s="187">
        <v>6</v>
      </c>
      <c r="U981" s="187" t="s">
        <v>78</v>
      </c>
      <c r="V981" s="188">
        <f t="shared" ref="V981" si="1564">IF(ISBLANK(O981),"",(IF(O981=UPPER("IB"),0.005,0.01)))</f>
        <v>0.01</v>
      </c>
      <c r="W981" s="189">
        <f t="shared" si="1547"/>
        <v>1600</v>
      </c>
      <c r="X981" s="189" t="s">
        <v>80</v>
      </c>
      <c r="Y981" s="189"/>
      <c r="Z981" s="189"/>
      <c r="AA981" s="190">
        <v>-0.1</v>
      </c>
      <c r="AB981" s="186"/>
      <c r="AC981" s="344"/>
      <c r="AD981" s="186"/>
      <c r="AE981" s="186"/>
      <c r="AF981" s="186"/>
      <c r="AG981" s="186"/>
      <c r="AH981" s="186"/>
      <c r="AI981" s="191">
        <f>-0.02*W981</f>
        <v>-32</v>
      </c>
      <c r="AJ981" s="191">
        <f t="shared" ref="AJ973:AJ982" si="1565">AI981*(R981-S981)</f>
        <v>-192</v>
      </c>
      <c r="AK981" s="186"/>
      <c r="AL981" s="186"/>
      <c r="AM981" s="186" t="s">
        <v>1968</v>
      </c>
      <c r="AN981" s="344" t="s">
        <v>87</v>
      </c>
      <c r="AO981" s="308" t="s">
        <v>3691</v>
      </c>
      <c r="AP981" s="193">
        <v>-0.1</v>
      </c>
      <c r="AQ981" s="193">
        <f t="shared" ref="AQ980:AQ981" si="1566">IF(ISBLANK(AP981),,IF(U981="S",AA981-AP981,AP981-AA981))</f>
        <v>0</v>
      </c>
      <c r="AR981" s="191">
        <f t="shared" ref="AR980:AR981" si="1567">AS981*R981</f>
        <v>0</v>
      </c>
      <c r="AS981" s="194">
        <f t="shared" ref="AS980:AS981" si="1568">IF(ISBLANK(AP981),,(AQ981*W981))</f>
        <v>0</v>
      </c>
      <c r="AT981" s="195" t="s">
        <v>97</v>
      </c>
      <c r="AU981" s="425" t="s">
        <v>3692</v>
      </c>
      <c r="AV981" s="425" t="s">
        <v>3693</v>
      </c>
      <c r="AW981" s="425" t="s">
        <v>3694</v>
      </c>
      <c r="AX981" s="425" t="s">
        <v>3695</v>
      </c>
      <c r="AY981" s="425"/>
      <c r="AZ981" s="425"/>
      <c r="BA981" s="425"/>
      <c r="BB981" s="425"/>
      <c r="BC981" s="440"/>
      <c r="BD981" s="404">
        <f>SUM($AS$4:AS981)</f>
        <v>4441.3733867880746</v>
      </c>
      <c r="BE981" s="407">
        <f>SUM($AR$4:AR981)</f>
        <v>21042.712000000174</v>
      </c>
      <c r="BF981" s="331"/>
      <c r="BG981" s="331"/>
    </row>
    <row r="982" spans="1:59" ht="15.75" customHeight="1">
      <c r="A982" s="227" t="s">
        <v>3383</v>
      </c>
      <c r="B982" s="181">
        <v>45168</v>
      </c>
      <c r="C982" s="182" t="s">
        <v>3141</v>
      </c>
      <c r="D982" s="182" t="s">
        <v>133</v>
      </c>
      <c r="E982" s="233"/>
      <c r="F982" s="184"/>
      <c r="G982" s="185" t="s">
        <v>3467</v>
      </c>
      <c r="H982" s="186"/>
      <c r="I982" s="186"/>
      <c r="J982" s="186"/>
      <c r="K982" s="187"/>
      <c r="L982" s="186"/>
      <c r="M982" s="186"/>
      <c r="N982" s="186"/>
      <c r="O982" s="187"/>
      <c r="P982" s="187"/>
      <c r="Q982" s="187"/>
      <c r="R982" s="187"/>
      <c r="S982" s="187"/>
      <c r="T982" s="187"/>
      <c r="U982" s="187"/>
      <c r="V982" s="188"/>
      <c r="W982" s="189"/>
      <c r="X982" s="189"/>
      <c r="Y982" s="189"/>
      <c r="Z982" s="189"/>
      <c r="AA982" s="190"/>
      <c r="AB982" s="186"/>
      <c r="AC982" s="344"/>
      <c r="AD982" s="186"/>
      <c r="AE982" s="186">
        <v>-3</v>
      </c>
      <c r="AF982" s="186"/>
      <c r="AG982" s="186"/>
      <c r="AH982" s="186"/>
      <c r="AI982" s="191"/>
      <c r="AJ982" s="191"/>
      <c r="AK982" s="186"/>
      <c r="AL982" s="186"/>
      <c r="AM982" s="186"/>
      <c r="AN982" s="344"/>
      <c r="AO982" s="186"/>
      <c r="AP982" s="193"/>
      <c r="AQ982" s="193">
        <f t="shared" ref="AQ982:AQ986" si="1569">IF(ISBLANK(AP982),,IF(U982="S",AA982-AP982,AP982-AA982))</f>
        <v>0</v>
      </c>
      <c r="AR982" s="191">
        <f t="shared" ref="AR982:AR986" si="1570">AS982*R982</f>
        <v>0</v>
      </c>
      <c r="AS982" s="194">
        <f t="shared" ref="AS982:AS986" si="1571">IF(ISBLANK(AP982),,(AQ982*W982))</f>
        <v>0</v>
      </c>
      <c r="AT982" s="195"/>
      <c r="AU982" s="425" t="s">
        <v>3696</v>
      </c>
      <c r="AV982" s="425"/>
      <c r="AW982" s="425"/>
      <c r="AX982" s="425"/>
      <c r="AY982" s="425"/>
      <c r="AZ982" s="425"/>
      <c r="BA982" s="425"/>
      <c r="BB982" s="425"/>
      <c r="BC982" s="440"/>
      <c r="BD982" s="404">
        <f>SUM($AS$4:AS982)</f>
        <v>4441.3733867880746</v>
      </c>
      <c r="BE982" s="407">
        <f>SUM($AR$4:AR982)</f>
        <v>21042.712000000174</v>
      </c>
      <c r="BF982" s="331"/>
      <c r="BG982" s="331"/>
    </row>
    <row r="983" spans="1:59" ht="15.75" customHeight="1">
      <c r="A983" s="227" t="s">
        <v>3383</v>
      </c>
      <c r="B983" s="181">
        <v>45168</v>
      </c>
      <c r="C983" s="182" t="s">
        <v>293</v>
      </c>
      <c r="D983" s="182" t="s">
        <v>133</v>
      </c>
      <c r="E983" s="233" t="s">
        <v>3697</v>
      </c>
      <c r="F983" s="184"/>
      <c r="G983" s="185"/>
      <c r="H983" s="186"/>
      <c r="I983" s="186"/>
      <c r="J983" s="186">
        <v>1</v>
      </c>
      <c r="K983" s="187" t="s">
        <v>97</v>
      </c>
      <c r="L983" s="186"/>
      <c r="M983" s="186"/>
      <c r="N983" s="186"/>
      <c r="O983" s="187"/>
      <c r="P983" s="187"/>
      <c r="Q983" s="187"/>
      <c r="R983" s="187"/>
      <c r="S983" s="187"/>
      <c r="T983" s="187"/>
      <c r="U983" s="187"/>
      <c r="V983" s="187"/>
      <c r="W983" s="189" t="str">
        <f t="shared" ref="W983:W986" si="1572">IF(ISBLANK(O983),"",IF(O983="IB",8.63*200,IF(O983="IR",16*100,IF(O983="YT",20*100,IF(O983="YT-XT",24*200,IF(O983="TED",80*100))))))</f>
        <v/>
      </c>
      <c r="X983" s="189"/>
      <c r="Y983" s="189"/>
      <c r="Z983" s="189"/>
      <c r="AA983" s="190"/>
      <c r="AB983" s="186"/>
      <c r="AC983" s="344"/>
      <c r="AD983" s="186"/>
      <c r="AE983" s="186"/>
      <c r="AF983" s="186"/>
      <c r="AG983" s="186"/>
      <c r="AH983" s="186"/>
      <c r="AI983" s="191"/>
      <c r="AJ983" s="191"/>
      <c r="AK983" s="186"/>
      <c r="AL983" s="186"/>
      <c r="AM983" s="186"/>
      <c r="AN983" s="344"/>
      <c r="AO983" s="186"/>
      <c r="AP983" s="193"/>
      <c r="AQ983" s="193"/>
      <c r="AR983" s="191"/>
      <c r="AS983" s="194"/>
      <c r="AT983" s="195"/>
      <c r="AU983" s="425"/>
      <c r="AV983" s="425"/>
      <c r="AW983" s="425"/>
      <c r="AX983" s="425"/>
      <c r="AY983" s="425"/>
      <c r="AZ983" s="425"/>
      <c r="BA983" s="425"/>
      <c r="BB983" s="425"/>
      <c r="BC983" s="440"/>
      <c r="BD983" s="404">
        <f>SUM($AS$4:AS983)</f>
        <v>4441.3733867880746</v>
      </c>
      <c r="BE983" s="407">
        <f>SUM($AR$4:AR983)</f>
        <v>21042.712000000174</v>
      </c>
      <c r="BF983" s="331"/>
      <c r="BG983" s="331"/>
    </row>
    <row r="984" spans="1:59" ht="15.75" customHeight="1">
      <c r="A984" s="227" t="s">
        <v>3383</v>
      </c>
      <c r="B984" s="181">
        <v>45168</v>
      </c>
      <c r="C984" s="182" t="s">
        <v>1709</v>
      </c>
      <c r="D984" s="182" t="s">
        <v>133</v>
      </c>
      <c r="E984" s="233" t="s">
        <v>3698</v>
      </c>
      <c r="F984" s="184" t="s">
        <v>3699</v>
      </c>
      <c r="G984" s="185"/>
      <c r="H984" s="186"/>
      <c r="I984" s="186"/>
      <c r="J984" s="186">
        <v>1</v>
      </c>
      <c r="K984" s="187" t="s">
        <v>97</v>
      </c>
      <c r="L984" s="186"/>
      <c r="M984" s="186"/>
      <c r="N984" s="186"/>
      <c r="O984" s="187"/>
      <c r="P984" s="187"/>
      <c r="Q984" s="187"/>
      <c r="R984" s="187"/>
      <c r="S984" s="187"/>
      <c r="T984" s="187"/>
      <c r="U984" s="187"/>
      <c r="V984" s="187"/>
      <c r="W984" s="189" t="str">
        <f t="shared" si="1572"/>
        <v/>
      </c>
      <c r="X984" s="189"/>
      <c r="Y984" s="189"/>
      <c r="Z984" s="189"/>
      <c r="AA984" s="190"/>
      <c r="AB984" s="186"/>
      <c r="AC984" s="344"/>
      <c r="AD984" s="186"/>
      <c r="AE984" s="186"/>
      <c r="AF984" s="186"/>
      <c r="AG984" s="186"/>
      <c r="AH984" s="186"/>
      <c r="AI984" s="191"/>
      <c r="AJ984" s="191"/>
      <c r="AK984" s="186"/>
      <c r="AL984" s="186"/>
      <c r="AM984" s="186"/>
      <c r="AN984" s="344"/>
      <c r="AO984" s="186"/>
      <c r="AP984" s="193"/>
      <c r="AQ984" s="193"/>
      <c r="AR984" s="191"/>
      <c r="AS984" s="194"/>
      <c r="AT984" s="195"/>
      <c r="AU984" s="425"/>
      <c r="AV984" s="425"/>
      <c r="AW984" s="425"/>
      <c r="AX984" s="425"/>
      <c r="AY984" s="425"/>
      <c r="AZ984" s="425"/>
      <c r="BA984" s="425"/>
      <c r="BB984" s="425"/>
      <c r="BC984" s="440"/>
      <c r="BD984" s="404">
        <f>SUM($AS$4:AS984)</f>
        <v>4441.3733867880746</v>
      </c>
      <c r="BE984" s="407">
        <f>SUM($AR$4:AR984)</f>
        <v>21042.712000000174</v>
      </c>
      <c r="BF984" s="331"/>
      <c r="BG984" s="331"/>
    </row>
    <row r="985" spans="1:59" ht="15.75" customHeight="1">
      <c r="A985" s="227" t="s">
        <v>3383</v>
      </c>
      <c r="B985" s="181">
        <v>45169</v>
      </c>
      <c r="C985" s="182" t="s">
        <v>3700</v>
      </c>
      <c r="D985" s="182" t="s">
        <v>74</v>
      </c>
      <c r="E985" s="233"/>
      <c r="F985" s="184"/>
      <c r="G985" s="291" t="s">
        <v>3701</v>
      </c>
      <c r="H985" s="186"/>
      <c r="I985" s="186"/>
      <c r="J985" s="186"/>
      <c r="K985" s="187"/>
      <c r="L985" s="186">
        <v>2</v>
      </c>
      <c r="M985" s="186"/>
      <c r="N985" s="186"/>
      <c r="O985" s="187" t="s">
        <v>76</v>
      </c>
      <c r="P985" s="187" t="s">
        <v>77</v>
      </c>
      <c r="Q985" s="187" t="s">
        <v>238</v>
      </c>
      <c r="R985" s="187">
        <v>12</v>
      </c>
      <c r="S985" s="187">
        <v>5</v>
      </c>
      <c r="T985" s="187">
        <v>5</v>
      </c>
      <c r="U985" s="187" t="s">
        <v>22</v>
      </c>
      <c r="V985" s="188">
        <f t="shared" ref="V985:V986" si="1573">IF(ISBLANK(O985),"",(IF(O985=UPPER("IB"),0.005,0.01)))</f>
        <v>0.01</v>
      </c>
      <c r="W985" s="189">
        <f t="shared" si="1572"/>
        <v>1600</v>
      </c>
      <c r="X985" s="189" t="s">
        <v>3634</v>
      </c>
      <c r="Y985" s="189"/>
      <c r="Z985" s="189" t="s">
        <v>3635</v>
      </c>
      <c r="AA985" s="190">
        <f>((-0.04*5)+(-0.02*7))/12</f>
        <v>-2.8333333333333335E-2</v>
      </c>
      <c r="AB985" s="186"/>
      <c r="AC985" s="344"/>
      <c r="AD985" s="186"/>
      <c r="AE985" s="186"/>
      <c r="AF985" s="186"/>
      <c r="AG985" s="186"/>
      <c r="AH985" s="186"/>
      <c r="AI985" s="191">
        <f>-0.025*W985</f>
        <v>-40</v>
      </c>
      <c r="AJ985" s="191">
        <f t="shared" ref="AJ983:AJ985" si="1574">AI985*(R985-S985)</f>
        <v>-280</v>
      </c>
      <c r="AK985" s="186"/>
      <c r="AL985" s="186"/>
      <c r="AM985" s="186" t="s">
        <v>733</v>
      </c>
      <c r="AN985" s="344" t="s">
        <v>97</v>
      </c>
      <c r="AO985" s="186" t="s">
        <v>3702</v>
      </c>
      <c r="AP985" s="193">
        <f>(0*5+(0.01*7))/12</f>
        <v>5.8333333333333336E-3</v>
      </c>
      <c r="AQ985" s="193">
        <f t="shared" ref="AQ985" si="1575">IF(ISBLANK(AP985),,IF(U985="S",AA985-AP985,AP985-AA985))</f>
        <v>3.4166666666666672E-2</v>
      </c>
      <c r="AR985" s="191">
        <f t="shared" ref="AR985" si="1576">AS985*R985</f>
        <v>656</v>
      </c>
      <c r="AS985" s="194">
        <f t="shared" ref="AS985" si="1577">IF(ISBLANK(AP985),,(AQ985*W985))</f>
        <v>54.666666666666671</v>
      </c>
      <c r="AT985" s="195" t="s">
        <v>77</v>
      </c>
      <c r="AU985" s="425" t="s">
        <v>3703</v>
      </c>
      <c r="AV985" s="425"/>
      <c r="AW985" s="425"/>
      <c r="AX985" s="425"/>
      <c r="AY985" s="425"/>
      <c r="AZ985" s="425"/>
      <c r="BA985" s="425"/>
      <c r="BB985" s="425"/>
      <c r="BC985" s="440"/>
      <c r="BD985" s="404">
        <f>SUM($AS$4:AS985)</f>
        <v>4496.0400534547416</v>
      </c>
      <c r="BE985" s="407">
        <f>SUM($AR$4:AR985)</f>
        <v>21698.712000000174</v>
      </c>
      <c r="BF985" s="331"/>
      <c r="BG985" s="331"/>
    </row>
    <row r="986" spans="1:59" ht="15.75" customHeight="1">
      <c r="A986" s="227" t="s">
        <v>3383</v>
      </c>
      <c r="B986" s="181">
        <v>45169</v>
      </c>
      <c r="C986" s="182" t="s">
        <v>2088</v>
      </c>
      <c r="D986" s="182" t="s">
        <v>74</v>
      </c>
      <c r="E986" s="233"/>
      <c r="F986" s="184"/>
      <c r="G986" s="291" t="s">
        <v>2126</v>
      </c>
      <c r="H986" s="186"/>
      <c r="I986" s="186"/>
      <c r="J986" s="186"/>
      <c r="K986" s="187"/>
      <c r="L986" s="186">
        <v>1</v>
      </c>
      <c r="M986" s="186"/>
      <c r="N986" s="186"/>
      <c r="O986" s="187" t="s">
        <v>76</v>
      </c>
      <c r="P986" s="187" t="s">
        <v>77</v>
      </c>
      <c r="Q986" s="187" t="s">
        <v>78</v>
      </c>
      <c r="R986" s="187">
        <v>3</v>
      </c>
      <c r="S986" s="187">
        <v>0</v>
      </c>
      <c r="T986" s="187">
        <v>3</v>
      </c>
      <c r="U986" s="187" t="s">
        <v>22</v>
      </c>
      <c r="V986" s="188">
        <f t="shared" si="1573"/>
        <v>0.01</v>
      </c>
      <c r="W986" s="189">
        <f t="shared" si="1572"/>
        <v>1600</v>
      </c>
      <c r="X986" s="427" t="s">
        <v>3704</v>
      </c>
      <c r="Y986" s="189"/>
      <c r="Z986" s="189"/>
      <c r="AA986" s="190">
        <v>0.02</v>
      </c>
      <c r="AB986" s="186"/>
      <c r="AC986" s="344"/>
      <c r="AD986" s="186"/>
      <c r="AE986" s="186"/>
      <c r="AF986" s="186"/>
      <c r="AG986" s="186"/>
      <c r="AH986" s="186"/>
      <c r="AI986" s="191">
        <f t="shared" ref="AI986:AI989" si="1578">-0.025*W986</f>
        <v>-40</v>
      </c>
      <c r="AJ986" s="191">
        <f t="shared" ref="AJ986:AJ989" si="1579">AI986*(R986-S986)</f>
        <v>-120</v>
      </c>
      <c r="AK986" s="186"/>
      <c r="AL986" s="186"/>
      <c r="AM986" s="186" t="s">
        <v>924</v>
      </c>
      <c r="AN986" s="344" t="s">
        <v>87</v>
      </c>
      <c r="AO986" s="186" t="s">
        <v>3705</v>
      </c>
      <c r="AP986" s="193">
        <v>0.02</v>
      </c>
      <c r="AQ986" s="193">
        <f t="shared" si="1569"/>
        <v>0</v>
      </c>
      <c r="AR986" s="191">
        <f t="shared" si="1570"/>
        <v>0</v>
      </c>
      <c r="AS986" s="194">
        <f t="shared" si="1571"/>
        <v>0</v>
      </c>
      <c r="AT986" s="195" t="s">
        <v>97</v>
      </c>
      <c r="AU986" s="425"/>
      <c r="AV986" s="425"/>
      <c r="AW986" s="425"/>
      <c r="AX986" s="425"/>
      <c r="AY986" s="425"/>
      <c r="AZ986" s="425"/>
      <c r="BA986" s="425"/>
      <c r="BB986" s="425"/>
      <c r="BC986" s="440"/>
      <c r="BD986" s="404">
        <f>SUM($AS$4:AS986)</f>
        <v>4496.0400534547416</v>
      </c>
      <c r="BE986" s="407">
        <f>SUM($AR$4:AR986)</f>
        <v>21698.712000000174</v>
      </c>
      <c r="BF986" s="331"/>
      <c r="BG986" s="331"/>
    </row>
    <row r="987" spans="1:59" ht="15.75" customHeight="1">
      <c r="A987" s="227" t="s">
        <v>3383</v>
      </c>
      <c r="B987" s="181">
        <v>45169</v>
      </c>
      <c r="C987" s="182" t="s">
        <v>2388</v>
      </c>
      <c r="D987" s="182" t="s">
        <v>74</v>
      </c>
      <c r="E987" s="233" t="s">
        <v>3706</v>
      </c>
      <c r="F987" s="184"/>
      <c r="G987" s="185"/>
      <c r="H987" s="186">
        <v>1</v>
      </c>
      <c r="I987" s="186"/>
      <c r="J987" s="186"/>
      <c r="K987" s="187" t="s">
        <v>87</v>
      </c>
      <c r="L987" s="186"/>
      <c r="M987" s="186"/>
      <c r="N987" s="186"/>
      <c r="O987" s="187"/>
      <c r="P987" s="187"/>
      <c r="Q987" s="187"/>
      <c r="R987" s="187"/>
      <c r="S987" s="187"/>
      <c r="T987" s="187"/>
      <c r="U987" s="187"/>
      <c r="V987" s="187"/>
      <c r="W987" s="189" t="str">
        <f t="shared" ref="W987:W995" si="1580">IF(ISBLANK(O987),"",IF(O987="IB",8.63*200,IF(O987="IR",16*100,IF(O987="YT",20*100,IF(O987="YT-XT",24*200,IF(O987="TED",80*100))))))</f>
        <v/>
      </c>
      <c r="X987" s="189"/>
      <c r="Y987" s="189"/>
      <c r="Z987" s="189"/>
      <c r="AA987" s="190"/>
      <c r="AB987" s="186"/>
      <c r="AC987" s="344"/>
      <c r="AD987" s="186"/>
      <c r="AE987" s="186"/>
      <c r="AF987" s="186"/>
      <c r="AG987" s="186"/>
      <c r="AH987" s="186"/>
      <c r="AI987" s="191"/>
      <c r="AJ987" s="191"/>
      <c r="AK987" s="186"/>
      <c r="AL987" s="186"/>
      <c r="AM987" s="186"/>
      <c r="AN987" s="344"/>
      <c r="AO987" s="186"/>
      <c r="AP987" s="193"/>
      <c r="AQ987" s="193"/>
      <c r="AR987" s="191"/>
      <c r="AS987" s="194"/>
      <c r="AT987" s="195"/>
      <c r="AU987" s="425"/>
      <c r="AV987" s="425"/>
      <c r="AW987" s="425"/>
      <c r="AX987" s="425"/>
      <c r="AY987" s="425"/>
      <c r="AZ987" s="425"/>
      <c r="BA987" s="425"/>
      <c r="BB987" s="425"/>
      <c r="BC987" s="440"/>
      <c r="BD987" s="404">
        <f>SUM($AS$4:AS987)</f>
        <v>4496.0400534547416</v>
      </c>
      <c r="BE987" s="407">
        <f>SUM($AR$4:AR987)</f>
        <v>21698.712000000174</v>
      </c>
      <c r="BF987" s="331"/>
      <c r="BG987" s="331"/>
    </row>
    <row r="988" spans="1:59" ht="15.75" customHeight="1">
      <c r="A988" s="227" t="s">
        <v>3383</v>
      </c>
      <c r="B988" s="181">
        <v>45169</v>
      </c>
      <c r="C988" s="182" t="s">
        <v>3707</v>
      </c>
      <c r="D988" s="182" t="s">
        <v>74</v>
      </c>
      <c r="E988" s="233"/>
      <c r="F988" s="184"/>
      <c r="G988" s="185" t="s">
        <v>2126</v>
      </c>
      <c r="H988" s="186"/>
      <c r="I988" s="186"/>
      <c r="J988" s="186"/>
      <c r="K988" s="187"/>
      <c r="L988" s="186"/>
      <c r="M988" s="186"/>
      <c r="N988" s="186"/>
      <c r="O988" s="187"/>
      <c r="P988" s="187"/>
      <c r="Q988" s="187"/>
      <c r="R988" s="187"/>
      <c r="S988" s="187"/>
      <c r="T988" s="187"/>
      <c r="U988" s="187"/>
      <c r="V988" s="188"/>
      <c r="W988" s="189"/>
      <c r="X988" s="189"/>
      <c r="Y988" s="189"/>
      <c r="Z988" s="189"/>
      <c r="AA988" s="190"/>
      <c r="AB988" s="186"/>
      <c r="AC988" s="344"/>
      <c r="AD988" s="186"/>
      <c r="AE988" s="186"/>
      <c r="AF988" s="186"/>
      <c r="AG988" s="186"/>
      <c r="AH988" s="186"/>
      <c r="AI988" s="191"/>
      <c r="AJ988" s="191"/>
      <c r="AK988" s="186"/>
      <c r="AL988" s="186"/>
      <c r="AM988" s="186"/>
      <c r="AN988" s="344"/>
      <c r="AO988" s="186"/>
      <c r="AP988" s="193"/>
      <c r="AQ988" s="193"/>
      <c r="AR988" s="191"/>
      <c r="AS988" s="194"/>
      <c r="AT988" s="195"/>
      <c r="AU988" s="425" t="s">
        <v>3708</v>
      </c>
      <c r="AV988" s="425"/>
      <c r="AW988" s="425"/>
      <c r="AX988" s="425"/>
      <c r="AY988" s="425"/>
      <c r="AZ988" s="425"/>
      <c r="BA988" s="425"/>
      <c r="BB988" s="425"/>
      <c r="BC988" s="440"/>
      <c r="BD988" s="404"/>
      <c r="BE988" s="405">
        <f>SUM($AR$4:AR988)</f>
        <v>21698.712000000174</v>
      </c>
      <c r="BF988" s="330"/>
      <c r="BG988" s="330"/>
    </row>
    <row r="989" spans="1:59" ht="15.75" customHeight="1">
      <c r="A989" s="227" t="s">
        <v>3383</v>
      </c>
      <c r="B989" s="181">
        <v>45169</v>
      </c>
      <c r="C989" s="182" t="s">
        <v>3707</v>
      </c>
      <c r="D989" s="182" t="s">
        <v>74</v>
      </c>
      <c r="E989" s="233"/>
      <c r="F989" s="184"/>
      <c r="G989" s="291" t="s">
        <v>118</v>
      </c>
      <c r="H989" s="186"/>
      <c r="I989" s="186"/>
      <c r="J989" s="186"/>
      <c r="K989" s="187"/>
      <c r="L989" s="186">
        <v>1</v>
      </c>
      <c r="M989" s="186"/>
      <c r="N989" s="186"/>
      <c r="O989" s="187" t="s">
        <v>76</v>
      </c>
      <c r="P989" s="187" t="s">
        <v>77</v>
      </c>
      <c r="Q989" s="187" t="s">
        <v>78</v>
      </c>
      <c r="R989" s="187">
        <v>3</v>
      </c>
      <c r="S989" s="187">
        <v>0</v>
      </c>
      <c r="T989" s="187">
        <v>3</v>
      </c>
      <c r="U989" s="187" t="s">
        <v>22</v>
      </c>
      <c r="V989" s="188">
        <f t="shared" ref="V989" si="1581">IF(ISBLANK(O989),"",(IF(O989=UPPER("IB"),0.005,0.01)))</f>
        <v>0.01</v>
      </c>
      <c r="W989" s="189">
        <f t="shared" si="1580"/>
        <v>1600</v>
      </c>
      <c r="X989" s="427" t="s">
        <v>980</v>
      </c>
      <c r="Y989" s="189"/>
      <c r="Z989" s="189"/>
      <c r="AA989" s="190">
        <v>-0.1</v>
      </c>
      <c r="AB989" s="186"/>
      <c r="AC989" s="344"/>
      <c r="AD989" s="186"/>
      <c r="AE989" s="186"/>
      <c r="AF989" s="186"/>
      <c r="AG989" s="186"/>
      <c r="AH989" s="186"/>
      <c r="AI989" s="191">
        <f t="shared" si="1578"/>
        <v>-40</v>
      </c>
      <c r="AJ989" s="191">
        <f t="shared" si="1579"/>
        <v>-120</v>
      </c>
      <c r="AK989" s="186"/>
      <c r="AL989" s="186"/>
      <c r="AM989" s="186" t="s">
        <v>752</v>
      </c>
      <c r="AN989" s="344" t="s">
        <v>97</v>
      </c>
      <c r="AO989" s="186" t="s">
        <v>3709</v>
      </c>
      <c r="AP989" s="193">
        <v>-0.09</v>
      </c>
      <c r="AQ989" s="193">
        <f t="shared" ref="AQ987:AQ989" si="1582">IF(ISBLANK(AP989),,IF(U989="S",AA989-AP989,AP989-AA989))</f>
        <v>1.0000000000000009E-2</v>
      </c>
      <c r="AR989" s="191">
        <f t="shared" ref="AR987:AR989" si="1583">AS989*R989</f>
        <v>48.000000000000043</v>
      </c>
      <c r="AS989" s="194">
        <f t="shared" ref="AS987:AS989" si="1584">IF(ISBLANK(AP989),,(AQ989*W989))</f>
        <v>16.000000000000014</v>
      </c>
      <c r="AT989" s="195" t="s">
        <v>77</v>
      </c>
      <c r="AU989" s="425"/>
      <c r="AV989" s="425"/>
      <c r="AW989" s="425"/>
      <c r="AX989" s="425"/>
      <c r="AY989" s="425"/>
      <c r="AZ989" s="425"/>
      <c r="BA989" s="425"/>
      <c r="BB989" s="425"/>
      <c r="BC989" s="440"/>
      <c r="BD989" s="404">
        <f>SUM($AS$4:AS989)</f>
        <v>4512.0400534547416</v>
      </c>
      <c r="BE989" s="407">
        <f>SUM($AR$4:AR989)</f>
        <v>21746.712000000174</v>
      </c>
      <c r="BF989" s="331"/>
      <c r="BG989" s="331"/>
    </row>
    <row r="990" spans="1:59" ht="15.75" customHeight="1">
      <c r="A990" s="227" t="s">
        <v>3383</v>
      </c>
      <c r="B990" s="181">
        <v>45169</v>
      </c>
      <c r="C990" s="182" t="s">
        <v>1695</v>
      </c>
      <c r="D990" s="182" t="s">
        <v>74</v>
      </c>
      <c r="E990" s="233" t="s">
        <v>3710</v>
      </c>
      <c r="F990" s="184"/>
      <c r="G990" s="185"/>
      <c r="H990" s="186"/>
      <c r="I990" s="186">
        <v>1</v>
      </c>
      <c r="J990" s="186"/>
      <c r="K990" s="187"/>
      <c r="L990" s="186"/>
      <c r="M990" s="186"/>
      <c r="N990" s="186"/>
      <c r="O990" s="187"/>
      <c r="P990" s="187"/>
      <c r="Q990" s="187"/>
      <c r="R990" s="187"/>
      <c r="S990" s="187"/>
      <c r="T990" s="187"/>
      <c r="U990" s="187"/>
      <c r="V990" s="187"/>
      <c r="W990" s="189" t="str">
        <f t="shared" ref="W989:W991" si="1585">IF(ISBLANK(O990),"",IF(O990="IB",8.63*200,IF(O990="IR",16*100,IF(O990="YT",20*100,IF(O990="YT-XT",24*200,IF(O990="TED",80*100))))))</f>
        <v/>
      </c>
      <c r="X990" s="189"/>
      <c r="Y990" s="189"/>
      <c r="Z990" s="189"/>
      <c r="AA990" s="190"/>
      <c r="AB990" s="186"/>
      <c r="AC990" s="344"/>
      <c r="AD990" s="186"/>
      <c r="AE990" s="186"/>
      <c r="AF990" s="186"/>
      <c r="AG990" s="186"/>
      <c r="AH990" s="186"/>
      <c r="AI990" s="191"/>
      <c r="AJ990" s="191"/>
      <c r="AK990" s="186"/>
      <c r="AL990" s="186"/>
      <c r="AM990" s="186"/>
      <c r="AN990" s="344"/>
      <c r="AO990" s="186"/>
      <c r="AP990" s="193"/>
      <c r="AQ990" s="193"/>
      <c r="AR990" s="191"/>
      <c r="AS990" s="194"/>
      <c r="AT990" s="195"/>
      <c r="AU990" s="425"/>
      <c r="AV990" s="425"/>
      <c r="AW990" s="425"/>
      <c r="AX990" s="425"/>
      <c r="AY990" s="425"/>
      <c r="AZ990" s="425"/>
      <c r="BA990" s="425"/>
      <c r="BB990" s="425"/>
      <c r="BC990" s="440"/>
      <c r="BD990" s="404">
        <f>SUM($AS$4:AS990)</f>
        <v>4512.0400534547416</v>
      </c>
      <c r="BE990" s="407">
        <f>SUM($AR$4:AR990)</f>
        <v>21746.712000000174</v>
      </c>
      <c r="BF990" s="331"/>
      <c r="BG990" s="331"/>
    </row>
    <row r="991" spans="1:59" ht="15.75" customHeight="1">
      <c r="A991" s="227" t="s">
        <v>3383</v>
      </c>
      <c r="B991" s="181"/>
      <c r="C991" s="182"/>
      <c r="D991" s="182"/>
      <c r="E991" s="233" t="s">
        <v>3711</v>
      </c>
      <c r="F991" s="184"/>
      <c r="G991" s="185"/>
      <c r="H991" s="186"/>
      <c r="I991" s="186">
        <v>1</v>
      </c>
      <c r="J991" s="186"/>
      <c r="K991" s="187"/>
      <c r="L991" s="186"/>
      <c r="M991" s="186"/>
      <c r="N991" s="186"/>
      <c r="O991" s="187"/>
      <c r="P991" s="187"/>
      <c r="Q991" s="187"/>
      <c r="R991" s="187"/>
      <c r="S991" s="187"/>
      <c r="T991" s="187"/>
      <c r="U991" s="187"/>
      <c r="V991" s="187"/>
      <c r="W991" s="189" t="str">
        <f t="shared" si="1585"/>
        <v/>
      </c>
      <c r="X991" s="189"/>
      <c r="Y991" s="189"/>
      <c r="Z991" s="189"/>
      <c r="AA991" s="190"/>
      <c r="AB991" s="186"/>
      <c r="AC991" s="344"/>
      <c r="AD991" s="186"/>
      <c r="AE991" s="186"/>
      <c r="AF991" s="186"/>
      <c r="AG991" s="186"/>
      <c r="AH991" s="186"/>
      <c r="AI991" s="191"/>
      <c r="AJ991" s="191"/>
      <c r="AK991" s="186"/>
      <c r="AL991" s="186"/>
      <c r="AM991" s="186"/>
      <c r="AN991" s="344"/>
      <c r="AO991" s="186"/>
      <c r="AP991" s="193"/>
      <c r="AQ991" s="193"/>
      <c r="AR991" s="191"/>
      <c r="AS991" s="194"/>
      <c r="AT991" s="195"/>
      <c r="AU991" s="425"/>
      <c r="AV991" s="425"/>
      <c r="AW991" s="425"/>
      <c r="AX991" s="425"/>
      <c r="AY991" s="425"/>
      <c r="AZ991" s="425"/>
      <c r="BA991" s="425"/>
      <c r="BB991" s="425"/>
      <c r="BC991" s="440"/>
      <c r="BD991" s="404">
        <f>SUM($AS$4:AS991)</f>
        <v>4512.0400534547416</v>
      </c>
      <c r="BE991" s="407">
        <f>SUM($AR$4:AR991)</f>
        <v>21746.712000000174</v>
      </c>
      <c r="BF991" s="331"/>
      <c r="BG991" s="331"/>
    </row>
    <row r="992" spans="1:59" ht="15.75" customHeight="1">
      <c r="A992" s="227" t="s">
        <v>3383</v>
      </c>
      <c r="B992" s="181"/>
      <c r="C992" s="182"/>
      <c r="D992" s="182"/>
      <c r="E992" s="233" t="s">
        <v>3712</v>
      </c>
      <c r="F992" s="184"/>
      <c r="G992" s="185"/>
      <c r="H992" s="186"/>
      <c r="I992" s="186"/>
      <c r="J992" s="186">
        <v>1</v>
      </c>
      <c r="K992" s="187" t="s">
        <v>97</v>
      </c>
      <c r="L992" s="186"/>
      <c r="M992" s="186"/>
      <c r="N992" s="186"/>
      <c r="O992" s="187"/>
      <c r="P992" s="187"/>
      <c r="Q992" s="187"/>
      <c r="R992" s="187"/>
      <c r="S992" s="187"/>
      <c r="T992" s="187"/>
      <c r="U992" s="187"/>
      <c r="V992" s="187"/>
      <c r="W992" s="189" t="str">
        <f t="shared" si="1580"/>
        <v/>
      </c>
      <c r="X992" s="189"/>
      <c r="Y992" s="189"/>
      <c r="Z992" s="189"/>
      <c r="AA992" s="190"/>
      <c r="AB992" s="186"/>
      <c r="AC992" s="344"/>
      <c r="AD992" s="186"/>
      <c r="AE992" s="186"/>
      <c r="AF992" s="186"/>
      <c r="AG992" s="186"/>
      <c r="AH992" s="186"/>
      <c r="AI992" s="191"/>
      <c r="AJ992" s="191"/>
      <c r="AK992" s="186"/>
      <c r="AL992" s="186"/>
      <c r="AM992" s="186"/>
      <c r="AN992" s="344"/>
      <c r="AO992" s="186"/>
      <c r="AP992" s="193"/>
      <c r="AQ992" s="193"/>
      <c r="AR992" s="191"/>
      <c r="AS992" s="194"/>
      <c r="AT992" s="195"/>
      <c r="AU992" s="425"/>
      <c r="AV992" s="425"/>
      <c r="AW992" s="425"/>
      <c r="AX992" s="425"/>
      <c r="AY992" s="425"/>
      <c r="AZ992" s="425"/>
      <c r="BA992" s="425"/>
      <c r="BB992" s="425"/>
      <c r="BC992" s="440"/>
      <c r="BD992" s="404">
        <f>SUM($AS$4:AS992)</f>
        <v>4512.0400534547416</v>
      </c>
      <c r="BE992" s="407">
        <f>SUM($AR$4:AR992)</f>
        <v>21746.712000000174</v>
      </c>
      <c r="BF992" s="331"/>
      <c r="BG992" s="331"/>
    </row>
    <row r="993" spans="1:59" ht="15.75" customHeight="1">
      <c r="A993" s="227" t="s">
        <v>3383</v>
      </c>
      <c r="B993" s="181"/>
      <c r="C993" s="182"/>
      <c r="D993" s="182"/>
      <c r="E993" s="233"/>
      <c r="F993" s="184"/>
      <c r="G993" s="185"/>
      <c r="H993" s="186"/>
      <c r="I993" s="186"/>
      <c r="J993" s="186"/>
      <c r="K993" s="187"/>
      <c r="L993" s="186"/>
      <c r="M993" s="186"/>
      <c r="N993" s="186"/>
      <c r="O993" s="187"/>
      <c r="P993" s="187"/>
      <c r="Q993" s="187"/>
      <c r="R993" s="187"/>
      <c r="S993" s="187"/>
      <c r="T993" s="187"/>
      <c r="U993" s="187"/>
      <c r="V993" s="187"/>
      <c r="W993" s="189" t="str">
        <f t="shared" si="1580"/>
        <v/>
      </c>
      <c r="X993" s="189"/>
      <c r="Y993" s="189"/>
      <c r="Z993" s="189"/>
      <c r="AA993" s="190"/>
      <c r="AB993" s="186"/>
      <c r="AC993" s="344"/>
      <c r="AD993" s="186"/>
      <c r="AE993" s="186"/>
      <c r="AF993" s="186"/>
      <c r="AG993" s="186"/>
      <c r="AH993" s="186"/>
      <c r="AI993" s="191"/>
      <c r="AJ993" s="191"/>
      <c r="AK993" s="186"/>
      <c r="AL993" s="186"/>
      <c r="AM993" s="186"/>
      <c r="AN993" s="344"/>
      <c r="AO993" s="186"/>
      <c r="AP993" s="193"/>
      <c r="AQ993" s="193"/>
      <c r="AR993" s="191"/>
      <c r="AS993" s="194"/>
      <c r="AT993" s="195"/>
      <c r="AU993" s="425"/>
      <c r="AV993" s="425"/>
      <c r="AW993" s="425"/>
      <c r="AX993" s="425"/>
      <c r="AY993" s="425"/>
      <c r="AZ993" s="425"/>
      <c r="BA993" s="425"/>
      <c r="BB993" s="425"/>
      <c r="BC993" s="440"/>
      <c r="BD993" s="404">
        <f>SUM($AS$4:AS993)</f>
        <v>4512.0400534547416</v>
      </c>
      <c r="BE993" s="407">
        <f>SUM($AR$4:AR993)</f>
        <v>21746.712000000174</v>
      </c>
      <c r="BF993" s="331"/>
      <c r="BG993" s="331"/>
    </row>
    <row r="994" spans="1:59" ht="15.75" customHeight="1">
      <c r="A994" s="227" t="s">
        <v>3383</v>
      </c>
      <c r="B994" s="181"/>
      <c r="C994" s="182"/>
      <c r="D994" s="182"/>
      <c r="E994" s="233"/>
      <c r="F994" s="184"/>
      <c r="G994" s="185"/>
      <c r="H994" s="186"/>
      <c r="I994" s="186"/>
      <c r="J994" s="186"/>
      <c r="K994" s="187"/>
      <c r="L994" s="186"/>
      <c r="M994" s="186"/>
      <c r="N994" s="186"/>
      <c r="O994" s="187"/>
      <c r="P994" s="187"/>
      <c r="Q994" s="187"/>
      <c r="R994" s="187"/>
      <c r="S994" s="187"/>
      <c r="T994" s="187"/>
      <c r="U994" s="187"/>
      <c r="V994" s="187"/>
      <c r="W994" s="189" t="str">
        <f t="shared" si="1580"/>
        <v/>
      </c>
      <c r="X994" s="189"/>
      <c r="Y994" s="189"/>
      <c r="Z994" s="189"/>
      <c r="AA994" s="190"/>
      <c r="AB994" s="186"/>
      <c r="AC994" s="344"/>
      <c r="AD994" s="186"/>
      <c r="AE994" s="186"/>
      <c r="AF994" s="186"/>
      <c r="AG994" s="186"/>
      <c r="AH994" s="186"/>
      <c r="AI994" s="191"/>
      <c r="AJ994" s="191"/>
      <c r="AK994" s="186"/>
      <c r="AL994" s="186"/>
      <c r="AM994" s="186"/>
      <c r="AN994" s="344"/>
      <c r="AO994" s="186"/>
      <c r="AP994" s="193"/>
      <c r="AQ994" s="193"/>
      <c r="AR994" s="191"/>
      <c r="AS994" s="194"/>
      <c r="AT994" s="195"/>
      <c r="AU994" s="435" t="s">
        <v>3470</v>
      </c>
      <c r="AV994" s="435" t="s">
        <v>3713</v>
      </c>
      <c r="AW994" s="435" t="s">
        <v>3714</v>
      </c>
      <c r="AX994" s="435" t="s">
        <v>3715</v>
      </c>
      <c r="AY994" s="425"/>
      <c r="AZ994" s="425"/>
      <c r="BA994" s="425"/>
      <c r="BB994" s="425"/>
      <c r="BC994" s="440"/>
      <c r="BD994" s="404">
        <f>SUM($AS$4:AS994)</f>
        <v>4512.0400534547416</v>
      </c>
      <c r="BE994" s="407">
        <f>SUM($AR$4:AR994)</f>
        <v>21746.712000000174</v>
      </c>
      <c r="BF994" s="331"/>
      <c r="BG994" s="331"/>
    </row>
    <row r="995" spans="1:59" ht="15.75" customHeight="1">
      <c r="A995" s="281" t="s">
        <v>3716</v>
      </c>
      <c r="B995" s="281"/>
      <c r="C995" s="218"/>
      <c r="D995" s="218"/>
      <c r="E995" s="219"/>
      <c r="F995" s="220"/>
      <c r="G995" s="218"/>
      <c r="H995" s="218"/>
      <c r="I995" s="218"/>
      <c r="J995" s="218"/>
      <c r="K995" s="221"/>
      <c r="L995" s="218"/>
      <c r="M995" s="218"/>
      <c r="N995" s="218"/>
      <c r="O995" s="221"/>
      <c r="P995" s="221"/>
      <c r="Q995" s="221"/>
      <c r="R995" s="221"/>
      <c r="S995" s="221"/>
      <c r="T995" s="221"/>
      <c r="U995" s="221"/>
      <c r="V995" s="221"/>
      <c r="W995" s="222" t="str">
        <f t="shared" si="1580"/>
        <v/>
      </c>
      <c r="X995" s="222"/>
      <c r="Y995" s="222"/>
      <c r="Z995" s="222"/>
      <c r="AA995" s="223"/>
      <c r="AB995" s="218"/>
      <c r="AC995" s="346"/>
      <c r="AD995" s="218"/>
      <c r="AE995" s="218"/>
      <c r="AF995" s="218"/>
      <c r="AG995" s="218"/>
      <c r="AH995" s="218"/>
      <c r="AI995" s="218"/>
      <c r="AJ995" s="218"/>
      <c r="AK995" s="218"/>
      <c r="AL995" s="218"/>
      <c r="AM995" s="218"/>
      <c r="AN995" s="346"/>
      <c r="AO995" s="218"/>
      <c r="AP995" s="218"/>
      <c r="AQ995" s="218"/>
      <c r="AR995" s="218"/>
      <c r="AS995" s="218"/>
      <c r="AT995" s="226"/>
      <c r="AU995" s="435"/>
      <c r="AV995" s="432"/>
      <c r="AW995" s="432"/>
      <c r="AX995" s="432"/>
      <c r="AY995" s="432"/>
      <c r="AZ995" s="432"/>
      <c r="BA995" s="432"/>
      <c r="BB995" s="432"/>
      <c r="BC995" s="432"/>
      <c r="BD995" s="404">
        <f>SUM($AS$4:AS995)</f>
        <v>4512.0400534547416</v>
      </c>
      <c r="BE995" s="405">
        <f>SUM($AR$4:AR995)</f>
        <v>21746.712000000174</v>
      </c>
      <c r="BF995" s="330"/>
      <c r="BG995" s="330"/>
    </row>
    <row r="996" spans="1:59" ht="15.75" customHeight="1">
      <c r="A996" s="227" t="s">
        <v>3717</v>
      </c>
      <c r="B996" s="181">
        <v>45170</v>
      </c>
      <c r="C996" s="182" t="s">
        <v>3718</v>
      </c>
      <c r="D996" s="182" t="s">
        <v>93</v>
      </c>
      <c r="E996" s="233"/>
      <c r="F996" s="184"/>
      <c r="G996" s="185"/>
      <c r="H996" s="186"/>
      <c r="I996" s="186"/>
      <c r="J996" s="186"/>
      <c r="K996" s="187"/>
      <c r="L996" s="186"/>
      <c r="M996" s="186"/>
      <c r="N996" s="186"/>
      <c r="O996" s="187"/>
      <c r="P996" s="187"/>
      <c r="Q996" s="187"/>
      <c r="R996" s="187"/>
      <c r="S996" s="187"/>
      <c r="T996" s="187"/>
      <c r="U996" s="187"/>
      <c r="V996" s="188"/>
      <c r="W996" s="189"/>
      <c r="X996" s="189"/>
      <c r="Y996" s="189"/>
      <c r="Z996" s="189"/>
      <c r="AA996" s="190"/>
      <c r="AB996" s="186"/>
      <c r="AC996" s="344"/>
      <c r="AD996" s="186"/>
      <c r="AE996" s="186"/>
      <c r="AF996" s="186"/>
      <c r="AG996" s="186"/>
      <c r="AH996" s="186"/>
      <c r="AI996" s="191"/>
      <c r="AJ996" s="191"/>
      <c r="AK996" s="186"/>
      <c r="AL996" s="186"/>
      <c r="AM996" s="186"/>
      <c r="AN996" s="344"/>
      <c r="AO996" s="186"/>
      <c r="AP996" s="193"/>
      <c r="AQ996" s="193"/>
      <c r="AR996" s="191"/>
      <c r="AS996" s="194"/>
      <c r="AT996" s="195"/>
      <c r="AU996" s="425"/>
      <c r="AV996" s="425"/>
      <c r="AW996" s="425"/>
      <c r="AX996" s="425"/>
      <c r="AY996" s="425"/>
      <c r="AZ996" s="425"/>
      <c r="BA996" s="425"/>
      <c r="BB996" s="425"/>
      <c r="BC996" s="440"/>
      <c r="BD996" s="404">
        <f>SUM($AS$4:AS996)</f>
        <v>4512.0400534547416</v>
      </c>
      <c r="BE996" s="407">
        <f>SUM($AR$4:AR996)</f>
        <v>21746.712000000174</v>
      </c>
      <c r="BF996" s="331"/>
      <c r="BG996" s="331"/>
    </row>
    <row r="997" spans="1:59" ht="15.75" customHeight="1">
      <c r="A997" s="227" t="s">
        <v>3717</v>
      </c>
      <c r="B997" s="181">
        <v>45170</v>
      </c>
      <c r="C997" s="182" t="s">
        <v>3719</v>
      </c>
      <c r="D997" s="182" t="s">
        <v>93</v>
      </c>
      <c r="E997" s="233"/>
      <c r="F997" s="184"/>
      <c r="G997" s="291" t="s">
        <v>3316</v>
      </c>
      <c r="H997" s="186"/>
      <c r="I997" s="186"/>
      <c r="J997" s="186"/>
      <c r="K997" s="187"/>
      <c r="L997" s="186">
        <v>1</v>
      </c>
      <c r="M997" s="186"/>
      <c r="N997" s="186"/>
      <c r="O997" s="187" t="s">
        <v>76</v>
      </c>
      <c r="P997" s="187" t="s">
        <v>119</v>
      </c>
      <c r="Q997" s="187" t="s">
        <v>78</v>
      </c>
      <c r="R997" s="187">
        <v>15</v>
      </c>
      <c r="S997" s="187">
        <v>0</v>
      </c>
      <c r="T997" s="187">
        <v>15</v>
      </c>
      <c r="U997" s="187" t="s">
        <v>78</v>
      </c>
      <c r="V997" s="188">
        <f t="shared" ref="V997" si="1586">IF(ISBLANK(O997),"",(IF(O997=UPPER("IB"),0.005,0.01)))</f>
        <v>0.01</v>
      </c>
      <c r="W997" s="189">
        <f t="shared" ref="W997:W1004" si="1587">IF(ISBLANK(O997),"",IF(O997="IB",8.63*200,IF(O997="IR",16*100,IF(O997="YT",20*100,IF(O997="YT-XT",24*200,IF(O997="TED",80*100))))))</f>
        <v>1600</v>
      </c>
      <c r="X997" s="189" t="s">
        <v>3720</v>
      </c>
      <c r="Y997" s="189"/>
      <c r="Z997" s="189"/>
      <c r="AA997" s="190">
        <v>-0.06</v>
      </c>
      <c r="AB997" s="186"/>
      <c r="AC997" s="344"/>
      <c r="AD997" s="186"/>
      <c r="AE997" s="186"/>
      <c r="AF997" s="186"/>
      <c r="AG997" s="186"/>
      <c r="AH997" s="186"/>
      <c r="AI997" s="191">
        <f t="shared" ref="AI990:AI997" si="1588">-0.025*W997</f>
        <v>-40</v>
      </c>
      <c r="AJ997" s="191">
        <f t="shared" ref="AJ990:AJ997" si="1589">AI997*(R997-S997)</f>
        <v>-600</v>
      </c>
      <c r="AK997" s="186"/>
      <c r="AL997" s="186"/>
      <c r="AM997" s="186" t="s">
        <v>786</v>
      </c>
      <c r="AN997" s="344" t="s">
        <v>97</v>
      </c>
      <c r="AO997" s="186" t="s">
        <v>3721</v>
      </c>
      <c r="AP997" s="193">
        <v>-7.0000000000000007E-2</v>
      </c>
      <c r="AQ997" s="193">
        <f t="shared" ref="AQ990:AQ1003" si="1590">IF(ISBLANK(AP997),,IF(U997="S",AA997-AP997,AP997-AA997))</f>
        <v>1.0000000000000009E-2</v>
      </c>
      <c r="AR997" s="191">
        <f t="shared" ref="AR990:AR1002" si="1591">AS997*R997</f>
        <v>240.00000000000023</v>
      </c>
      <c r="AS997" s="194">
        <f t="shared" ref="AS990:AS1002" si="1592">IF(ISBLANK(AP997),,(AQ997*W997))</f>
        <v>16.000000000000014</v>
      </c>
      <c r="AT997" s="195" t="s">
        <v>77</v>
      </c>
      <c r="AU997" s="425"/>
      <c r="AV997" s="425"/>
      <c r="AW997" s="425"/>
      <c r="AX997" s="425"/>
      <c r="AY997" s="425"/>
      <c r="AZ997" s="425"/>
      <c r="BA997" s="425"/>
      <c r="BB997" s="425"/>
      <c r="BC997" s="440"/>
      <c r="BD997" s="404">
        <f>SUM($AS$4:AS997)</f>
        <v>4528.0400534547416</v>
      </c>
      <c r="BE997" s="407">
        <f>SUM($AR$4:AR997)</f>
        <v>21986.712000000174</v>
      </c>
      <c r="BF997" s="331"/>
      <c r="BG997" s="331"/>
    </row>
    <row r="998" spans="1:59" ht="15.75" customHeight="1">
      <c r="A998" s="227" t="s">
        <v>3717</v>
      </c>
      <c r="B998" s="181">
        <v>45170</v>
      </c>
      <c r="C998" s="182" t="s">
        <v>1709</v>
      </c>
      <c r="D998" s="182" t="s">
        <v>93</v>
      </c>
      <c r="E998" s="233" t="s">
        <v>3722</v>
      </c>
      <c r="F998" s="184" t="s">
        <v>3723</v>
      </c>
      <c r="G998" s="185"/>
      <c r="H998" s="186">
        <v>1</v>
      </c>
      <c r="I998" s="186"/>
      <c r="J998" s="186"/>
      <c r="K998" s="187" t="s">
        <v>87</v>
      </c>
      <c r="L998" s="186"/>
      <c r="M998" s="186"/>
      <c r="N998" s="186"/>
      <c r="O998" s="187"/>
      <c r="P998" s="187"/>
      <c r="Q998" s="187"/>
      <c r="R998" s="187"/>
      <c r="S998" s="187"/>
      <c r="T998" s="187"/>
      <c r="U998" s="187"/>
      <c r="V998" s="187"/>
      <c r="W998" s="189" t="str">
        <f t="shared" ref="W998:W1003" si="1593">IF(ISBLANK(O998),"",IF(O998="IB",8.63*200,IF(O998="IR",16*100,IF(O998="YT",20*100,IF(O998="YT-XT",24*200,IF(O998="TED",80*100))))))</f>
        <v/>
      </c>
      <c r="X998" s="189"/>
      <c r="Y998" s="189"/>
      <c r="Z998" s="189"/>
      <c r="AA998" s="190"/>
      <c r="AB998" s="186"/>
      <c r="AC998" s="344"/>
      <c r="AD998" s="186"/>
      <c r="AE998" s="186"/>
      <c r="AF998" s="186"/>
      <c r="AG998" s="186"/>
      <c r="AH998" s="186"/>
      <c r="AI998" s="191"/>
      <c r="AJ998" s="191"/>
      <c r="AK998" s="186"/>
      <c r="AL998" s="186"/>
      <c r="AM998" s="186"/>
      <c r="AN998" s="344"/>
      <c r="AO998" s="186"/>
      <c r="AP998" s="193"/>
      <c r="AQ998" s="193"/>
      <c r="AR998" s="191"/>
      <c r="AS998" s="194"/>
      <c r="AT998" s="195"/>
      <c r="AU998" s="425" t="s">
        <v>3724</v>
      </c>
      <c r="AV998" s="425"/>
      <c r="AW998" s="425"/>
      <c r="AX998" s="425"/>
      <c r="AY998" s="425"/>
      <c r="AZ998" s="425"/>
      <c r="BA998" s="425"/>
      <c r="BB998" s="425"/>
      <c r="BC998" s="440"/>
      <c r="BD998" s="404">
        <f>SUM($AS$4:AS998)</f>
        <v>4528.0400534547416</v>
      </c>
      <c r="BE998" s="407">
        <f>SUM($AR$4:AR998)</f>
        <v>21986.712000000174</v>
      </c>
      <c r="BF998" s="331"/>
      <c r="BG998" s="331"/>
    </row>
    <row r="999" spans="1:59" ht="15.75" customHeight="1">
      <c r="A999" s="227" t="s">
        <v>3717</v>
      </c>
      <c r="B999" s="181"/>
      <c r="C999" s="182"/>
      <c r="D999" s="182" t="s">
        <v>93</v>
      </c>
      <c r="E999" s="233" t="s">
        <v>3725</v>
      </c>
      <c r="F999" s="184"/>
      <c r="G999" s="185"/>
      <c r="H999" s="186">
        <v>1</v>
      </c>
      <c r="I999" s="186"/>
      <c r="J999" s="186"/>
      <c r="K999" s="187" t="s">
        <v>97</v>
      </c>
      <c r="L999" s="186"/>
      <c r="M999" s="186"/>
      <c r="N999" s="186"/>
      <c r="O999" s="187"/>
      <c r="P999" s="187"/>
      <c r="Q999" s="187"/>
      <c r="R999" s="187"/>
      <c r="S999" s="187"/>
      <c r="T999" s="187"/>
      <c r="U999" s="187"/>
      <c r="V999" s="187"/>
      <c r="W999" s="189" t="str">
        <f t="shared" si="1593"/>
        <v/>
      </c>
      <c r="X999" s="189"/>
      <c r="Y999" s="189"/>
      <c r="Z999" s="189"/>
      <c r="AA999" s="190"/>
      <c r="AB999" s="186"/>
      <c r="AC999" s="344"/>
      <c r="AD999" s="186"/>
      <c r="AE999" s="186"/>
      <c r="AF999" s="186"/>
      <c r="AG999" s="186"/>
      <c r="AH999" s="186"/>
      <c r="AI999" s="191"/>
      <c r="AJ999" s="191"/>
      <c r="AK999" s="186"/>
      <c r="AL999" s="186"/>
      <c r="AM999" s="186"/>
      <c r="AN999" s="344"/>
      <c r="AO999" s="186"/>
      <c r="AP999" s="193"/>
      <c r="AQ999" s="193"/>
      <c r="AR999" s="191"/>
      <c r="AS999" s="194"/>
      <c r="AT999" s="195"/>
      <c r="AU999" s="425"/>
      <c r="AV999" s="425"/>
      <c r="AW999" s="425"/>
      <c r="AX999" s="425"/>
      <c r="AY999" s="425"/>
      <c r="AZ999" s="425"/>
      <c r="BA999" s="425"/>
      <c r="BB999" s="425"/>
      <c r="BC999" s="440"/>
      <c r="BD999" s="404">
        <f>SUM($AS$4:AS999)</f>
        <v>4528.0400534547416</v>
      </c>
      <c r="BE999" s="407">
        <f>SUM($AR$4:AR999)</f>
        <v>21986.712000000174</v>
      </c>
      <c r="BF999" s="331"/>
      <c r="BG999" s="331"/>
    </row>
    <row r="1000" spans="1:59" ht="15.75" customHeight="1">
      <c r="A1000" s="227" t="s">
        <v>3717</v>
      </c>
      <c r="B1000" s="181">
        <v>45170</v>
      </c>
      <c r="C1000" s="182" t="s">
        <v>664</v>
      </c>
      <c r="D1000" s="182" t="s">
        <v>93</v>
      </c>
      <c r="E1000" s="233"/>
      <c r="F1000" s="184"/>
      <c r="G1000" s="291" t="s">
        <v>2126</v>
      </c>
      <c r="H1000" s="186"/>
      <c r="I1000" s="186"/>
      <c r="J1000" s="186"/>
      <c r="K1000" s="187"/>
      <c r="L1000" s="186">
        <v>1</v>
      </c>
      <c r="M1000" s="186"/>
      <c r="N1000" s="186"/>
      <c r="O1000" s="187" t="s">
        <v>76</v>
      </c>
      <c r="P1000" s="187" t="s">
        <v>77</v>
      </c>
      <c r="Q1000" s="187" t="s">
        <v>78</v>
      </c>
      <c r="R1000" s="187">
        <v>16</v>
      </c>
      <c r="S1000" s="187">
        <v>12</v>
      </c>
      <c r="T1000" s="187">
        <v>7</v>
      </c>
      <c r="U1000" s="187" t="s">
        <v>22</v>
      </c>
      <c r="V1000" s="188">
        <f t="shared" ref="V1000" si="1594">IF(ISBLANK(O1000),"",(IF(O1000=UPPER("IB"),0.005,0.01)))</f>
        <v>0.01</v>
      </c>
      <c r="W1000" s="189">
        <f t="shared" si="1593"/>
        <v>1600</v>
      </c>
      <c r="X1000" s="189" t="s">
        <v>980</v>
      </c>
      <c r="Y1000" s="189"/>
      <c r="Z1000" s="189"/>
      <c r="AA1000" s="190">
        <f>(0.01*7+(-0.01*9))/16</f>
        <v>-1.2499999999999994E-3</v>
      </c>
      <c r="AB1000" s="186"/>
      <c r="AC1000" s="344"/>
      <c r="AD1000" s="186"/>
      <c r="AE1000" s="186"/>
      <c r="AF1000" s="186"/>
      <c r="AG1000" s="186"/>
      <c r="AH1000" s="186"/>
      <c r="AI1000" s="191"/>
      <c r="AJ1000" s="191"/>
      <c r="AK1000" s="186"/>
      <c r="AL1000" s="186"/>
      <c r="AM1000" s="186" t="s">
        <v>1878</v>
      </c>
      <c r="AN1000" s="344" t="s">
        <v>97</v>
      </c>
      <c r="AO1000" s="186" t="s">
        <v>550</v>
      </c>
      <c r="AP1000" s="193">
        <f>(0*3+0.01*9+0.01*4)/16</f>
        <v>8.1250000000000003E-3</v>
      </c>
      <c r="AQ1000" s="193">
        <f t="shared" si="1590"/>
        <v>9.3749999999999997E-3</v>
      </c>
      <c r="AR1000" s="191">
        <f t="shared" si="1591"/>
        <v>240</v>
      </c>
      <c r="AS1000" s="194">
        <f t="shared" si="1592"/>
        <v>15</v>
      </c>
      <c r="AT1000" s="195" t="s">
        <v>77</v>
      </c>
      <c r="AU1000" s="425"/>
      <c r="AV1000" s="425"/>
      <c r="AW1000" s="425"/>
      <c r="AX1000" s="425"/>
      <c r="AY1000" s="425"/>
      <c r="AZ1000" s="425"/>
      <c r="BA1000" s="425"/>
      <c r="BB1000" s="425"/>
      <c r="BC1000" s="440"/>
      <c r="BD1000" s="404">
        <f>SUM($AS$4:AS1000)</f>
        <v>4543.0400534547416</v>
      </c>
      <c r="BE1000" s="407">
        <f>SUM($AR$4:AR1000)</f>
        <v>22226.712000000174</v>
      </c>
      <c r="BF1000" s="331"/>
      <c r="BG1000" s="331"/>
    </row>
    <row r="1001" spans="1:59" ht="15.75" customHeight="1">
      <c r="A1001" s="227" t="s">
        <v>3717</v>
      </c>
      <c r="B1001" s="181">
        <v>45170</v>
      </c>
      <c r="C1001" s="182" t="s">
        <v>664</v>
      </c>
      <c r="D1001" s="182" t="s">
        <v>93</v>
      </c>
      <c r="E1001" s="233"/>
      <c r="F1001" s="184"/>
      <c r="G1001" s="291" t="s">
        <v>75</v>
      </c>
      <c r="H1001" s="186"/>
      <c r="I1001" s="186"/>
      <c r="J1001" s="186"/>
      <c r="K1001" s="187"/>
      <c r="L1001" s="186">
        <v>1</v>
      </c>
      <c r="M1001" s="186"/>
      <c r="N1001" s="186"/>
      <c r="O1001" s="187" t="s">
        <v>76</v>
      </c>
      <c r="P1001" s="187" t="s">
        <v>77</v>
      </c>
      <c r="Q1001" s="187" t="s">
        <v>78</v>
      </c>
      <c r="R1001" s="187">
        <v>5</v>
      </c>
      <c r="S1001" s="187">
        <v>2</v>
      </c>
      <c r="T1001" s="187">
        <v>5</v>
      </c>
      <c r="U1001" s="187" t="s">
        <v>22</v>
      </c>
      <c r="V1001" s="188">
        <f t="shared" ref="V1001:V1003" si="1595">IF(ISBLANK(O1001),"",(IF(O1001=UPPER("IB"),0.005,0.01)))</f>
        <v>0.01</v>
      </c>
      <c r="W1001" s="189">
        <f t="shared" ref="W1001" si="1596">IF(ISBLANK(O1001),"",IF(O1001="IB",8.63*200,IF(O1001="IR",16*100,IF(O1001="YT",20*100,IF(O1001="YT-XT",24*200,IF(O1001="TED",80*100))))))</f>
        <v>1600</v>
      </c>
      <c r="X1001" s="189" t="s">
        <v>980</v>
      </c>
      <c r="Y1001" s="189"/>
      <c r="Z1001" s="189"/>
      <c r="AA1001" s="190">
        <v>0.08</v>
      </c>
      <c r="AB1001" s="186"/>
      <c r="AC1001" s="344"/>
      <c r="AD1001" s="186"/>
      <c r="AE1001" s="186"/>
      <c r="AF1001" s="186"/>
      <c r="AG1001" s="186"/>
      <c r="AH1001" s="186"/>
      <c r="AI1001" s="191"/>
      <c r="AJ1001" s="191"/>
      <c r="AK1001" s="186"/>
      <c r="AL1001" s="186"/>
      <c r="AM1001" s="186" t="s">
        <v>786</v>
      </c>
      <c r="AN1001" s="344"/>
      <c r="AO1001" s="186" t="s">
        <v>3726</v>
      </c>
      <c r="AP1001" s="193">
        <f>(0.11*2+0.11*3)/5</f>
        <v>0.11000000000000001</v>
      </c>
      <c r="AQ1001" s="193">
        <f t="shared" si="1590"/>
        <v>3.0000000000000013E-2</v>
      </c>
      <c r="AR1001" s="191">
        <f t="shared" si="1591"/>
        <v>240.00000000000011</v>
      </c>
      <c r="AS1001" s="194">
        <f t="shared" si="1592"/>
        <v>48.000000000000021</v>
      </c>
      <c r="AT1001" s="195" t="s">
        <v>77</v>
      </c>
      <c r="AU1001" s="425"/>
      <c r="AV1001" s="425"/>
      <c r="AW1001" s="425"/>
      <c r="AX1001" s="425"/>
      <c r="AY1001" s="425"/>
      <c r="AZ1001" s="425"/>
      <c r="BA1001" s="425"/>
      <c r="BB1001" s="425"/>
      <c r="BC1001" s="440"/>
      <c r="BD1001" s="404">
        <f>SUM($AS$4:AS1001)</f>
        <v>4591.0400534547416</v>
      </c>
      <c r="BE1001" s="407">
        <f>SUM($AR$4:AR1001)</f>
        <v>22466.712000000174</v>
      </c>
      <c r="BF1001" s="331"/>
      <c r="BG1001" s="331"/>
    </row>
    <row r="1002" spans="1:59" ht="15.75" customHeight="1">
      <c r="A1002" s="227" t="s">
        <v>3717</v>
      </c>
      <c r="B1002" s="181">
        <v>45170</v>
      </c>
      <c r="C1002" s="182" t="s">
        <v>664</v>
      </c>
      <c r="D1002" s="182" t="s">
        <v>93</v>
      </c>
      <c r="E1002" s="233"/>
      <c r="F1002" s="184"/>
      <c r="G1002" s="185" t="s">
        <v>3599</v>
      </c>
      <c r="H1002" s="186"/>
      <c r="I1002" s="186"/>
      <c r="J1002" s="186"/>
      <c r="K1002" s="187"/>
      <c r="L1002" s="186">
        <v>1</v>
      </c>
      <c r="M1002" s="186"/>
      <c r="N1002" s="186"/>
      <c r="O1002" s="187" t="s">
        <v>3600</v>
      </c>
      <c r="P1002" s="187" t="s">
        <v>2241</v>
      </c>
      <c r="Q1002" s="187" t="s">
        <v>666</v>
      </c>
      <c r="R1002" s="187">
        <v>1</v>
      </c>
      <c r="S1002" s="187">
        <v>0</v>
      </c>
      <c r="T1002" s="187">
        <v>1</v>
      </c>
      <c r="U1002" s="187" t="s">
        <v>22</v>
      </c>
      <c r="V1002" s="188">
        <f t="shared" si="1595"/>
        <v>0.01</v>
      </c>
      <c r="W1002" s="189">
        <f>IF(ISBLANK(O1002),"",IF(O1002="IB",8.63*200,IF(O1002="IR",16*100,IF(O1002="YT",20*100,IF(O1002="YT-XT",24*200,IF(O1002="TED",80*100,IF(O1002="XT",36*200)))))))</f>
        <v>7200</v>
      </c>
      <c r="X1002" s="189" t="s">
        <v>3727</v>
      </c>
      <c r="Y1002" s="189" t="s">
        <v>3728</v>
      </c>
      <c r="Z1002" s="189"/>
      <c r="AA1002" s="190">
        <v>96.025000000000006</v>
      </c>
      <c r="AB1002" s="186"/>
      <c r="AC1002" s="344"/>
      <c r="AD1002" s="186"/>
      <c r="AE1002" s="186"/>
      <c r="AF1002" s="186"/>
      <c r="AG1002" s="186"/>
      <c r="AH1002" s="186"/>
      <c r="AI1002" s="191"/>
      <c r="AJ1002" s="191"/>
      <c r="AK1002" s="186"/>
      <c r="AL1002" s="186"/>
      <c r="AM1002" s="186" t="s">
        <v>1733</v>
      </c>
      <c r="AN1002" s="344" t="s">
        <v>376</v>
      </c>
      <c r="AO1002" s="186" t="s">
        <v>664</v>
      </c>
      <c r="AP1002" s="193">
        <v>96.025000000000006</v>
      </c>
      <c r="AQ1002" s="193">
        <f t="shared" si="1590"/>
        <v>0</v>
      </c>
      <c r="AR1002" s="191">
        <f t="shared" si="1591"/>
        <v>0</v>
      </c>
      <c r="AS1002" s="194">
        <f t="shared" si="1592"/>
        <v>0</v>
      </c>
      <c r="AT1002" s="195" t="s">
        <v>97</v>
      </c>
      <c r="AU1002" s="425" t="s">
        <v>3729</v>
      </c>
      <c r="AV1002" s="425" t="s">
        <v>3730</v>
      </c>
      <c r="AW1002" s="425"/>
      <c r="AX1002" s="425"/>
      <c r="AY1002" s="425"/>
      <c r="AZ1002" s="425"/>
      <c r="BA1002" s="425"/>
      <c r="BB1002" s="425"/>
      <c r="BC1002" s="440"/>
      <c r="BD1002" s="404">
        <f>SUM($AS$4:AS1002)</f>
        <v>4591.0400534547416</v>
      </c>
      <c r="BE1002" s="407">
        <f>SUM($AR$4:AR1002)</f>
        <v>22466.712000000174</v>
      </c>
      <c r="BF1002" s="331"/>
      <c r="BG1002" s="331"/>
    </row>
    <row r="1003" spans="1:59" ht="15.75" customHeight="1">
      <c r="A1003" s="227" t="s">
        <v>3717</v>
      </c>
      <c r="B1003" s="181">
        <v>45170</v>
      </c>
      <c r="C1003" s="182" t="s">
        <v>664</v>
      </c>
      <c r="D1003" s="182" t="s">
        <v>93</v>
      </c>
      <c r="E1003" s="233"/>
      <c r="F1003" s="184"/>
      <c r="G1003" s="291" t="s">
        <v>118</v>
      </c>
      <c r="H1003" s="186"/>
      <c r="I1003" s="186"/>
      <c r="J1003" s="186"/>
      <c r="K1003" s="187"/>
      <c r="L1003" s="186">
        <v>1</v>
      </c>
      <c r="M1003" s="186"/>
      <c r="N1003" s="186"/>
      <c r="O1003" s="187" t="s">
        <v>76</v>
      </c>
      <c r="P1003" s="187" t="s">
        <v>77</v>
      </c>
      <c r="Q1003" s="187" t="s">
        <v>78</v>
      </c>
      <c r="R1003" s="187">
        <v>5</v>
      </c>
      <c r="S1003" s="187">
        <v>0</v>
      </c>
      <c r="T1003" s="187">
        <v>5</v>
      </c>
      <c r="U1003" s="187" t="s">
        <v>22</v>
      </c>
      <c r="V1003" s="188">
        <f t="shared" si="1595"/>
        <v>0.01</v>
      </c>
      <c r="W1003" s="189">
        <f t="shared" ref="W1003" si="1597">IF(ISBLANK(O1003),"",IF(O1003="IB",8.63*200,IF(O1003="IR",16*100,IF(O1003="YT",20*100,IF(O1003="YT-XT",24*200,IF(O1003="TED",80*100))))))</f>
        <v>1600</v>
      </c>
      <c r="X1003" s="189" t="s">
        <v>3731</v>
      </c>
      <c r="Y1003" s="189"/>
      <c r="Z1003" s="189"/>
      <c r="AA1003" s="190">
        <v>-0.1</v>
      </c>
      <c r="AB1003" s="186"/>
      <c r="AC1003" s="344"/>
      <c r="AD1003" s="186"/>
      <c r="AE1003" s="186"/>
      <c r="AF1003" s="186"/>
      <c r="AG1003" s="186"/>
      <c r="AH1003" s="186"/>
      <c r="AI1003" s="191"/>
      <c r="AJ1003" s="191"/>
      <c r="AK1003" s="186"/>
      <c r="AL1003" s="186"/>
      <c r="AM1003" s="186" t="s">
        <v>1878</v>
      </c>
      <c r="AN1003" s="344" t="s">
        <v>87</v>
      </c>
      <c r="AO1003" s="186" t="s">
        <v>3732</v>
      </c>
      <c r="AP1003" s="193">
        <v>-0.1</v>
      </c>
      <c r="AQ1003" s="193">
        <f t="shared" si="1590"/>
        <v>0</v>
      </c>
      <c r="AR1003" s="191">
        <f t="shared" ref="AR1003" si="1598">AS1003*R1003</f>
        <v>0</v>
      </c>
      <c r="AS1003" s="194">
        <f t="shared" ref="AS1003" si="1599">IF(ISBLANK(AP1003),,(AQ1003*W1003))</f>
        <v>0</v>
      </c>
      <c r="AT1003" s="195" t="s">
        <v>97</v>
      </c>
      <c r="AU1003" s="425"/>
      <c r="AV1003" s="425"/>
      <c r="AW1003" s="425"/>
      <c r="AX1003" s="425"/>
      <c r="AY1003" s="425"/>
      <c r="AZ1003" s="425"/>
      <c r="BA1003" s="425"/>
      <c r="BB1003" s="425"/>
      <c r="BC1003" s="440"/>
      <c r="BD1003" s="404">
        <f>SUM($AS$4:AS1003)</f>
        <v>4591.0400534547416</v>
      </c>
      <c r="BE1003" s="407">
        <f>SUM($AR$4:AR1003)</f>
        <v>22466.712000000174</v>
      </c>
      <c r="BF1003" s="331"/>
      <c r="BG1003" s="331"/>
    </row>
    <row r="1004" spans="1:59" ht="15.75" customHeight="1">
      <c r="A1004" s="227" t="s">
        <v>3717</v>
      </c>
      <c r="B1004" s="181">
        <v>45170</v>
      </c>
      <c r="C1004" s="182" t="s">
        <v>1169</v>
      </c>
      <c r="D1004" s="182" t="s">
        <v>93</v>
      </c>
      <c r="E1004" s="233" t="s">
        <v>3733</v>
      </c>
      <c r="F1004" s="184" t="s">
        <v>3734</v>
      </c>
      <c r="G1004" s="185"/>
      <c r="H1004" s="186">
        <v>1</v>
      </c>
      <c r="I1004" s="186"/>
      <c r="J1004" s="186"/>
      <c r="K1004" s="187" t="s">
        <v>97</v>
      </c>
      <c r="L1004" s="186"/>
      <c r="M1004" s="186"/>
      <c r="N1004" s="186"/>
      <c r="O1004" s="187"/>
      <c r="P1004" s="187"/>
      <c r="Q1004" s="187"/>
      <c r="R1004" s="187"/>
      <c r="S1004" s="187"/>
      <c r="T1004" s="187"/>
      <c r="U1004" s="187"/>
      <c r="V1004" s="187"/>
      <c r="W1004" s="189" t="str">
        <f t="shared" si="1587"/>
        <v/>
      </c>
      <c r="X1004" s="189"/>
      <c r="Y1004" s="189"/>
      <c r="Z1004" s="189"/>
      <c r="AA1004" s="190"/>
      <c r="AB1004" s="186"/>
      <c r="AC1004" s="344"/>
      <c r="AD1004" s="186"/>
      <c r="AE1004" s="186"/>
      <c r="AF1004" s="186"/>
      <c r="AG1004" s="186"/>
      <c r="AH1004" s="186"/>
      <c r="AI1004" s="191"/>
      <c r="AJ1004" s="191"/>
      <c r="AK1004" s="186"/>
      <c r="AL1004" s="186"/>
      <c r="AM1004" s="186"/>
      <c r="AN1004" s="344"/>
      <c r="AO1004" s="186"/>
      <c r="AP1004" s="193"/>
      <c r="AQ1004" s="193"/>
      <c r="AR1004" s="191"/>
      <c r="AS1004" s="194"/>
      <c r="AT1004" s="195"/>
      <c r="AU1004" s="425" t="s">
        <v>3735</v>
      </c>
      <c r="AV1004" s="425"/>
      <c r="AW1004" s="425"/>
      <c r="AX1004" s="425"/>
      <c r="AY1004" s="425"/>
      <c r="AZ1004" s="425"/>
      <c r="BA1004" s="425"/>
      <c r="BB1004" s="425"/>
      <c r="BC1004" s="440"/>
      <c r="BD1004" s="404">
        <f>SUM($AS$4:AS1004)</f>
        <v>4591.0400534547416</v>
      </c>
      <c r="BE1004" s="407">
        <f>SUM($AR$4:AR1004)</f>
        <v>22466.712000000174</v>
      </c>
      <c r="BF1004" s="331"/>
      <c r="BG1004" s="331"/>
    </row>
    <row r="1005" spans="1:59" ht="15.75" customHeight="1">
      <c r="A1005" s="227" t="s">
        <v>3717</v>
      </c>
      <c r="B1005" s="181">
        <v>45170</v>
      </c>
      <c r="C1005" s="182" t="s">
        <v>2704</v>
      </c>
      <c r="D1005" s="182" t="s">
        <v>93</v>
      </c>
      <c r="E1005" s="233"/>
      <c r="F1005" s="184"/>
      <c r="G1005" s="291" t="s">
        <v>2051</v>
      </c>
      <c r="H1005" s="186"/>
      <c r="I1005" s="186"/>
      <c r="J1005" s="186"/>
      <c r="K1005" s="187"/>
      <c r="L1005" s="186">
        <v>1</v>
      </c>
      <c r="M1005" s="186"/>
      <c r="N1005" s="186"/>
      <c r="O1005" s="187" t="s">
        <v>76</v>
      </c>
      <c r="P1005" s="187" t="s">
        <v>119</v>
      </c>
      <c r="Q1005" s="187" t="s">
        <v>78</v>
      </c>
      <c r="R1005" s="187">
        <v>4</v>
      </c>
      <c r="S1005" s="187">
        <v>0</v>
      </c>
      <c r="T1005" s="187">
        <v>4</v>
      </c>
      <c r="U1005" s="187" t="s">
        <v>78</v>
      </c>
      <c r="V1005" s="188">
        <f t="shared" ref="V1005:V1006" si="1600">IF(ISBLANK(O1005),"",(IF(O1005=UPPER("IB"),0.005,0.01)))</f>
        <v>0.01</v>
      </c>
      <c r="W1005" s="189">
        <f t="shared" ref="W1005:W1009" si="1601">IF(ISBLANK(O1005),"",IF(O1005="IB",8.63*200,IF(O1005="IR",16*100,IF(O1005="YT",20*100,IF(O1005="YT-XT",24*200,IF(O1005="TED",80*100))))))</f>
        <v>1600</v>
      </c>
      <c r="X1005" s="189" t="s">
        <v>80</v>
      </c>
      <c r="Y1005" s="189"/>
      <c r="Z1005" s="189" t="s">
        <v>3736</v>
      </c>
      <c r="AA1005" s="190">
        <v>-0.1</v>
      </c>
      <c r="AB1005" s="186"/>
      <c r="AC1005" s="344"/>
      <c r="AD1005" s="186"/>
      <c r="AE1005" s="186"/>
      <c r="AF1005" s="186"/>
      <c r="AG1005" s="186"/>
      <c r="AH1005" s="186"/>
      <c r="AI1005" s="191">
        <f t="shared" ref="AI998:AI1008" si="1602">-0.025*W1005</f>
        <v>-40</v>
      </c>
      <c r="AJ1005" s="191">
        <f t="shared" ref="AJ998:AJ1008" si="1603">AI1005*(R1005-S1005)</f>
        <v>-160</v>
      </c>
      <c r="AK1005" s="186"/>
      <c r="AL1005" s="186"/>
      <c r="AM1005" s="186" t="s">
        <v>786</v>
      </c>
      <c r="AN1005" s="344" t="s">
        <v>97</v>
      </c>
      <c r="AO1005" s="186" t="s">
        <v>1297</v>
      </c>
      <c r="AP1005" s="193">
        <v>-0.1</v>
      </c>
      <c r="AQ1005" s="193">
        <f t="shared" ref="AQ1004:AQ1005" si="1604">IF(ISBLANK(AP1005),,IF(U1005="S",AA1005-AP1005,AP1005-AA1005))</f>
        <v>0</v>
      </c>
      <c r="AR1005" s="191">
        <f t="shared" ref="AR1004:AR1005" si="1605">AS1005*R1005</f>
        <v>0</v>
      </c>
      <c r="AS1005" s="194">
        <f t="shared" ref="AS1004:AS1005" si="1606">IF(ISBLANK(AP1005),,(AQ1005*W1005))</f>
        <v>0</v>
      </c>
      <c r="AT1005" s="195" t="s">
        <v>97</v>
      </c>
      <c r="AU1005" s="425" t="s">
        <v>3737</v>
      </c>
      <c r="AV1005" s="425"/>
      <c r="AW1005" s="425"/>
      <c r="AX1005" s="425"/>
      <c r="AY1005" s="425"/>
      <c r="AZ1005" s="425"/>
      <c r="BA1005" s="425"/>
      <c r="BB1005" s="425"/>
      <c r="BC1005" s="440"/>
      <c r="BD1005" s="404">
        <f>SUM($AS$4:AS1005)</f>
        <v>4591.0400534547416</v>
      </c>
      <c r="BE1005" s="407">
        <f>SUM($AR$4:AR1005)</f>
        <v>22466.712000000174</v>
      </c>
      <c r="BF1005" s="331"/>
      <c r="BG1005" s="331"/>
    </row>
    <row r="1006" spans="1:59" ht="15.75" customHeight="1">
      <c r="A1006" s="227" t="s">
        <v>3717</v>
      </c>
      <c r="B1006" s="181">
        <v>45173</v>
      </c>
      <c r="C1006" s="182" t="s">
        <v>2062</v>
      </c>
      <c r="D1006" s="182" t="s">
        <v>114</v>
      </c>
      <c r="E1006" s="233"/>
      <c r="F1006" s="184"/>
      <c r="G1006" s="185" t="s">
        <v>2126</v>
      </c>
      <c r="H1006" s="186"/>
      <c r="I1006" s="186"/>
      <c r="J1006" s="186"/>
      <c r="K1006" s="187"/>
      <c r="L1006" s="186"/>
      <c r="M1006" s="186"/>
      <c r="N1006" s="186"/>
      <c r="O1006" s="187"/>
      <c r="P1006" s="187"/>
      <c r="Q1006" s="187"/>
      <c r="R1006" s="187"/>
      <c r="S1006" s="187"/>
      <c r="T1006" s="187"/>
      <c r="U1006" s="187"/>
      <c r="V1006" s="188"/>
      <c r="W1006" s="189"/>
      <c r="X1006" s="189"/>
      <c r="Y1006" s="189"/>
      <c r="Z1006" s="189"/>
      <c r="AA1006" s="190"/>
      <c r="AB1006" s="186"/>
      <c r="AC1006" s="344"/>
      <c r="AD1006" s="186"/>
      <c r="AE1006" s="186"/>
      <c r="AF1006" s="186"/>
      <c r="AG1006" s="186"/>
      <c r="AH1006" s="186"/>
      <c r="AI1006" s="191">
        <f>-0.03*W1006</f>
        <v>0</v>
      </c>
      <c r="AJ1006" s="191">
        <f t="shared" si="1603"/>
        <v>0</v>
      </c>
      <c r="AK1006" s="186"/>
      <c r="AL1006" s="186"/>
      <c r="AM1006" s="186"/>
      <c r="AN1006" s="344"/>
      <c r="AO1006" s="186"/>
      <c r="AP1006" s="193"/>
      <c r="AQ1006" s="193"/>
      <c r="AR1006" s="191"/>
      <c r="AS1006" s="194"/>
      <c r="AT1006" s="195"/>
      <c r="AU1006" s="425" t="s">
        <v>3738</v>
      </c>
      <c r="AV1006" s="425" t="s">
        <v>3739</v>
      </c>
      <c r="AW1006" s="425" t="s">
        <v>3740</v>
      </c>
      <c r="AX1006" s="425" t="s">
        <v>3741</v>
      </c>
      <c r="AY1006" s="425"/>
      <c r="AZ1006" s="425"/>
      <c r="BA1006" s="425"/>
      <c r="BB1006" s="425"/>
      <c r="BC1006" s="440"/>
      <c r="BD1006" s="404">
        <f>SUM($AS$4:AS1006)</f>
        <v>4591.0400534547416</v>
      </c>
      <c r="BE1006" s="407">
        <f>SUM($AR$4:AR1006)</f>
        <v>22466.712000000174</v>
      </c>
      <c r="BF1006" s="331"/>
      <c r="BG1006" s="331"/>
    </row>
    <row r="1007" spans="1:59" ht="15.75" customHeight="1">
      <c r="A1007" s="227" t="s">
        <v>3717</v>
      </c>
      <c r="B1007" s="181">
        <v>45173</v>
      </c>
      <c r="C1007" s="182" t="s">
        <v>3742</v>
      </c>
      <c r="D1007" s="182" t="s">
        <v>114</v>
      </c>
      <c r="E1007" s="233"/>
      <c r="F1007" s="184"/>
      <c r="G1007" s="291" t="s">
        <v>118</v>
      </c>
      <c r="H1007" s="186"/>
      <c r="I1007" s="186"/>
      <c r="J1007" s="186"/>
      <c r="K1007" s="187"/>
      <c r="L1007" s="186">
        <v>1</v>
      </c>
      <c r="M1007" s="186"/>
      <c r="N1007" s="186"/>
      <c r="O1007" s="187" t="s">
        <v>76</v>
      </c>
      <c r="P1007" s="187" t="s">
        <v>77</v>
      </c>
      <c r="Q1007" s="187" t="s">
        <v>78</v>
      </c>
      <c r="R1007" s="187">
        <v>10</v>
      </c>
      <c r="S1007" s="187">
        <v>0</v>
      </c>
      <c r="T1007" s="187">
        <v>10</v>
      </c>
      <c r="U1007" s="187" t="s">
        <v>22</v>
      </c>
      <c r="V1007" s="188">
        <f t="shared" ref="V1007:V1009" si="1607">IF(ISBLANK(O1007),"",(IF(O1007=UPPER("IB"),0.005,0.01)))</f>
        <v>0.01</v>
      </c>
      <c r="W1007" s="189">
        <f t="shared" ref="W1007:W1014" si="1608">IF(ISBLANK(O1007),"",IF(O1007="IB",8.63*200,IF(O1007="IR",16*100,IF(O1007="YT",20*100,IF(O1007="YT-XT",24*200,IF(O1007="TED",80*100))))))</f>
        <v>1600</v>
      </c>
      <c r="X1007" s="189" t="s">
        <v>980</v>
      </c>
      <c r="Y1007" s="189"/>
      <c r="Z1007" s="189" t="s">
        <v>3743</v>
      </c>
      <c r="AA1007" s="190">
        <v>-0.08</v>
      </c>
      <c r="AB1007" s="186"/>
      <c r="AC1007" s="344"/>
      <c r="AD1007" s="186"/>
      <c r="AE1007" s="186"/>
      <c r="AF1007" s="186"/>
      <c r="AG1007" s="186"/>
      <c r="AH1007" s="186"/>
      <c r="AI1007" s="191">
        <f>-0.03*W1007</f>
        <v>-48</v>
      </c>
      <c r="AJ1007" s="191">
        <f t="shared" si="1603"/>
        <v>-480</v>
      </c>
      <c r="AK1007" s="186"/>
      <c r="AL1007" s="186"/>
      <c r="AM1007" s="186" t="s">
        <v>786</v>
      </c>
      <c r="AN1007" s="344" t="s">
        <v>97</v>
      </c>
      <c r="AO1007" s="186" t="s">
        <v>3744</v>
      </c>
      <c r="AP1007" s="193">
        <v>-0.08</v>
      </c>
      <c r="AQ1007" s="193">
        <f t="shared" ref="AQ1006:AQ1007" si="1609">IF(ISBLANK(AP1007),,IF(U1007="S",AA1007-AP1007,AP1007-AA1007))</f>
        <v>0</v>
      </c>
      <c r="AR1007" s="191">
        <f t="shared" ref="AR1006:AR1007" si="1610">AS1007*R1007</f>
        <v>0</v>
      </c>
      <c r="AS1007" s="194">
        <f t="shared" ref="AS1006:AS1007" si="1611">IF(ISBLANK(AP1007),,(AQ1007*W1007))</f>
        <v>0</v>
      </c>
      <c r="AT1007" s="195" t="s">
        <v>97</v>
      </c>
      <c r="AU1007" s="425"/>
      <c r="AV1007" s="425"/>
      <c r="AW1007" s="425"/>
      <c r="AX1007" s="425"/>
      <c r="AY1007" s="425"/>
      <c r="AZ1007" s="425"/>
      <c r="BA1007" s="425"/>
      <c r="BB1007" s="425"/>
      <c r="BC1007" s="440"/>
      <c r="BD1007" s="404">
        <f>SUM($AS$4:AS1007)</f>
        <v>4591.0400534547416</v>
      </c>
      <c r="BE1007" s="407">
        <f>SUM($AR$4:AR1007)</f>
        <v>22466.712000000174</v>
      </c>
      <c r="BF1007" s="331"/>
      <c r="BG1007" s="331"/>
    </row>
    <row r="1008" spans="1:59" ht="15.75" customHeight="1">
      <c r="A1008" s="227" t="s">
        <v>3717</v>
      </c>
      <c r="B1008" s="181">
        <v>45173</v>
      </c>
      <c r="C1008" s="182" t="s">
        <v>812</v>
      </c>
      <c r="D1008" s="182" t="s">
        <v>114</v>
      </c>
      <c r="E1008" s="233"/>
      <c r="F1008" s="184"/>
      <c r="G1008" s="291" t="s">
        <v>2126</v>
      </c>
      <c r="H1008" s="186"/>
      <c r="I1008" s="186"/>
      <c r="J1008" s="186"/>
      <c r="K1008" s="187"/>
      <c r="L1008" s="186">
        <v>1</v>
      </c>
      <c r="M1008" s="186"/>
      <c r="N1008" s="186"/>
      <c r="O1008" s="187" t="s">
        <v>76</v>
      </c>
      <c r="P1008" s="187" t="s">
        <v>77</v>
      </c>
      <c r="Q1008" s="187" t="s">
        <v>78</v>
      </c>
      <c r="R1008" s="187">
        <v>12</v>
      </c>
      <c r="S1008" s="187">
        <v>5</v>
      </c>
      <c r="T1008" s="187">
        <v>7</v>
      </c>
      <c r="U1008" s="187" t="s">
        <v>78</v>
      </c>
      <c r="V1008" s="188">
        <f t="shared" si="1607"/>
        <v>0.01</v>
      </c>
      <c r="W1008" s="189">
        <f t="shared" si="1608"/>
        <v>1600</v>
      </c>
      <c r="X1008" s="189" t="s">
        <v>980</v>
      </c>
      <c r="Y1008" s="189"/>
      <c r="Z1008" s="189" t="s">
        <v>3743</v>
      </c>
      <c r="AA1008" s="190">
        <f>(0.02*5+0.03*7)/12</f>
        <v>2.5833333333333333E-2</v>
      </c>
      <c r="AB1008" s="186"/>
      <c r="AC1008" s="344"/>
      <c r="AD1008" s="186"/>
      <c r="AE1008" s="186"/>
      <c r="AF1008" s="186"/>
      <c r="AG1008" s="186"/>
      <c r="AH1008" s="186"/>
      <c r="AI1008" s="191">
        <f>-0.03*W1008</f>
        <v>-48</v>
      </c>
      <c r="AJ1008" s="191">
        <f t="shared" si="1603"/>
        <v>-336</v>
      </c>
      <c r="AK1008" s="186"/>
      <c r="AL1008" s="186"/>
      <c r="AM1008" s="186" t="s">
        <v>786</v>
      </c>
      <c r="AN1008" s="344" t="s">
        <v>97</v>
      </c>
      <c r="AO1008" s="186" t="s">
        <v>3745</v>
      </c>
      <c r="AP1008" s="193">
        <f>(0.03*5+0.02*7)/12</f>
        <v>2.416666666666667E-2</v>
      </c>
      <c r="AQ1008" s="193">
        <f t="shared" ref="AQ1008:AQ1009" si="1612">IF(ISBLANK(AP1008),,IF(U1008="S",AA1008-AP1008,AP1008-AA1008))</f>
        <v>1.6666666666666635E-3</v>
      </c>
      <c r="AR1008" s="191">
        <f t="shared" ref="AR1008:AR1009" si="1613">AS1008*R1008</f>
        <v>31.99999999999994</v>
      </c>
      <c r="AS1008" s="194">
        <f t="shared" ref="AS1008:AS1009" si="1614">IF(ISBLANK(AP1008),,(AQ1008*W1008))</f>
        <v>2.6666666666666616</v>
      </c>
      <c r="AT1008" s="195" t="s">
        <v>77</v>
      </c>
      <c r="AU1008" s="425" t="s">
        <v>3746</v>
      </c>
      <c r="AV1008" s="425" t="s">
        <v>3747</v>
      </c>
      <c r="AW1008" s="425"/>
      <c r="AX1008" s="425"/>
      <c r="AY1008" s="425"/>
      <c r="AZ1008" s="425"/>
      <c r="BA1008" s="425"/>
      <c r="BB1008" s="425"/>
      <c r="BC1008" s="440"/>
      <c r="BD1008" s="404">
        <f>SUM($AS$4:AS1008)</f>
        <v>4593.7067201214086</v>
      </c>
      <c r="BE1008" s="407">
        <f>SUM($AR$4:AR1008)</f>
        <v>22498.712000000174</v>
      </c>
      <c r="BF1008" s="331"/>
      <c r="BG1008" s="331"/>
    </row>
    <row r="1009" spans="1:59" ht="15.75" customHeight="1">
      <c r="A1009" s="227" t="s">
        <v>3717</v>
      </c>
      <c r="B1009" s="181">
        <v>45173</v>
      </c>
      <c r="C1009" s="182" t="s">
        <v>1297</v>
      </c>
      <c r="D1009" s="182" t="s">
        <v>114</v>
      </c>
      <c r="E1009" s="233"/>
      <c r="F1009" s="184"/>
      <c r="G1009" s="291" t="s">
        <v>3748</v>
      </c>
      <c r="H1009" s="186"/>
      <c r="I1009" s="186"/>
      <c r="J1009" s="186"/>
      <c r="K1009" s="187"/>
      <c r="L1009" s="186">
        <v>1</v>
      </c>
      <c r="M1009" s="186"/>
      <c r="N1009" s="186"/>
      <c r="O1009" s="187" t="s">
        <v>76</v>
      </c>
      <c r="P1009" s="187" t="s">
        <v>119</v>
      </c>
      <c r="Q1009" s="187" t="s">
        <v>238</v>
      </c>
      <c r="R1009" s="187">
        <v>21</v>
      </c>
      <c r="S1009" s="187">
        <v>17</v>
      </c>
      <c r="T1009" s="187">
        <v>9</v>
      </c>
      <c r="U1009" s="187" t="s">
        <v>78</v>
      </c>
      <c r="V1009" s="188">
        <f t="shared" si="1607"/>
        <v>0.01</v>
      </c>
      <c r="W1009" s="189">
        <f t="shared" si="1608"/>
        <v>1600</v>
      </c>
      <c r="X1009" s="189"/>
      <c r="Y1009" s="189" t="s">
        <v>3749</v>
      </c>
      <c r="Z1009" s="189" t="s">
        <v>3750</v>
      </c>
      <c r="AA1009" s="190">
        <f>((-0.01*20)+(0*1))/21</f>
        <v>-9.5238095238095247E-3</v>
      </c>
      <c r="AB1009" s="186"/>
      <c r="AC1009" s="344"/>
      <c r="AD1009" s="186"/>
      <c r="AE1009" s="186"/>
      <c r="AF1009" s="186"/>
      <c r="AG1009" s="186"/>
      <c r="AH1009" s="186"/>
      <c r="AI1009" s="191">
        <f>-0.03*W1009</f>
        <v>-48</v>
      </c>
      <c r="AJ1009" s="191">
        <f t="shared" ref="AJ1009" si="1615">AI1009*(R1009-S1009)</f>
        <v>-192</v>
      </c>
      <c r="AK1009" s="186"/>
      <c r="AL1009" s="186"/>
      <c r="AM1009" s="186" t="s">
        <v>3751</v>
      </c>
      <c r="AN1009" s="344" t="s">
        <v>77</v>
      </c>
      <c r="AO1009" s="186" t="s">
        <v>3752</v>
      </c>
      <c r="AP1009" s="193">
        <f>((-0.02*17)+(-0.02*4))/21</f>
        <v>-0.02</v>
      </c>
      <c r="AQ1009" s="193">
        <f t="shared" si="1612"/>
        <v>1.0476190476190476E-2</v>
      </c>
      <c r="AR1009" s="191">
        <f t="shared" si="1613"/>
        <v>352</v>
      </c>
      <c r="AS1009" s="194">
        <f t="shared" si="1614"/>
        <v>16.761904761904763</v>
      </c>
      <c r="AT1009" s="195" t="s">
        <v>77</v>
      </c>
      <c r="AU1009" s="425"/>
      <c r="AV1009" s="425"/>
      <c r="AW1009" s="425"/>
      <c r="AX1009" s="425"/>
      <c r="AY1009" s="425"/>
      <c r="AZ1009" s="425"/>
      <c r="BA1009" s="425"/>
      <c r="BB1009" s="425"/>
      <c r="BC1009" s="440"/>
      <c r="BD1009" s="404">
        <f>SUM($AS$4:AS1009)</f>
        <v>4610.4686248833132</v>
      </c>
      <c r="BE1009" s="407">
        <f>SUM($AR$4:AR1009)</f>
        <v>22850.712000000174</v>
      </c>
      <c r="BF1009" s="331"/>
      <c r="BG1009" s="331"/>
    </row>
    <row r="1010" spans="1:59" ht="15.75" customHeight="1">
      <c r="A1010" s="227" t="s">
        <v>3717</v>
      </c>
      <c r="B1010" s="181">
        <v>45174</v>
      </c>
      <c r="C1010" s="182" t="s">
        <v>2074</v>
      </c>
      <c r="D1010" s="182" t="s">
        <v>128</v>
      </c>
      <c r="E1010" s="233" t="s">
        <v>3753</v>
      </c>
      <c r="F1010" s="184"/>
      <c r="G1010" s="185"/>
      <c r="H1010" s="186"/>
      <c r="I1010" s="186"/>
      <c r="J1010" s="186"/>
      <c r="K1010" s="187"/>
      <c r="L1010" s="186"/>
      <c r="M1010" s="186"/>
      <c r="N1010" s="186"/>
      <c r="O1010" s="187"/>
      <c r="P1010" s="187"/>
      <c r="Q1010" s="187"/>
      <c r="R1010" s="187"/>
      <c r="S1010" s="187"/>
      <c r="T1010" s="187"/>
      <c r="U1010" s="187"/>
      <c r="V1010" s="187"/>
      <c r="W1010" s="189" t="str">
        <f t="shared" si="1608"/>
        <v/>
      </c>
      <c r="X1010" s="189"/>
      <c r="Y1010" s="189"/>
      <c r="Z1010" s="189"/>
      <c r="AA1010" s="190"/>
      <c r="AB1010" s="186"/>
      <c r="AC1010" s="344"/>
      <c r="AD1010" s="186"/>
      <c r="AE1010" s="186"/>
      <c r="AF1010" s="186"/>
      <c r="AG1010" s="186"/>
      <c r="AH1010" s="186"/>
      <c r="AI1010" s="191"/>
      <c r="AJ1010" s="191"/>
      <c r="AK1010" s="186"/>
      <c r="AL1010" s="186"/>
      <c r="AM1010" s="186"/>
      <c r="AN1010" s="344"/>
      <c r="AO1010" s="186"/>
      <c r="AP1010" s="193"/>
      <c r="AQ1010" s="193"/>
      <c r="AR1010" s="191"/>
      <c r="AS1010" s="194"/>
      <c r="AT1010" s="195"/>
      <c r="AU1010" s="425"/>
      <c r="AV1010" s="425"/>
      <c r="AW1010" s="425"/>
      <c r="AX1010" s="425"/>
      <c r="AY1010" s="425"/>
      <c r="AZ1010" s="425"/>
      <c r="BA1010" s="425"/>
      <c r="BB1010" s="425"/>
      <c r="BC1010" s="440"/>
      <c r="BD1010" s="404">
        <f>SUM($AS$4:AS1010)</f>
        <v>4610.4686248833132</v>
      </c>
      <c r="BE1010" s="407">
        <f>SUM($AR$4:AR1010)</f>
        <v>22850.712000000174</v>
      </c>
      <c r="BF1010" s="331"/>
      <c r="BG1010" s="331"/>
    </row>
    <row r="1011" spans="1:59" ht="15.75" customHeight="1">
      <c r="A1011" s="227" t="s">
        <v>3717</v>
      </c>
      <c r="B1011" s="181">
        <v>45174</v>
      </c>
      <c r="C1011" s="182" t="s">
        <v>2248</v>
      </c>
      <c r="D1011" s="182" t="s">
        <v>128</v>
      </c>
      <c r="E1011" s="233"/>
      <c r="F1011" s="184"/>
      <c r="G1011" s="185" t="s">
        <v>1997</v>
      </c>
      <c r="H1011" s="186"/>
      <c r="I1011" s="186"/>
      <c r="J1011" s="186"/>
      <c r="K1011" s="187"/>
      <c r="L1011" s="186"/>
      <c r="M1011" s="186"/>
      <c r="N1011" s="186"/>
      <c r="O1011" s="187"/>
      <c r="P1011" s="187"/>
      <c r="Q1011" s="187"/>
      <c r="R1011" s="187"/>
      <c r="S1011" s="187"/>
      <c r="T1011" s="187"/>
      <c r="U1011" s="187"/>
      <c r="V1011" s="188"/>
      <c r="W1011" s="189"/>
      <c r="X1011" s="189"/>
      <c r="Y1011" s="189"/>
      <c r="Z1011" s="189"/>
      <c r="AA1011" s="190"/>
      <c r="AB1011" s="186"/>
      <c r="AC1011" s="344"/>
      <c r="AD1011" s="186"/>
      <c r="AE1011" s="186"/>
      <c r="AF1011" s="186"/>
      <c r="AG1011" s="186"/>
      <c r="AH1011" s="186"/>
      <c r="AI1011" s="191"/>
      <c r="AJ1011" s="191"/>
      <c r="AK1011" s="186"/>
      <c r="AL1011" s="186"/>
      <c r="AM1011" s="186"/>
      <c r="AN1011" s="344"/>
      <c r="AO1011" s="186"/>
      <c r="AP1011" s="193"/>
      <c r="AQ1011" s="193"/>
      <c r="AR1011" s="191"/>
      <c r="AS1011" s="194"/>
      <c r="AT1011" s="195"/>
      <c r="AU1011" s="425"/>
      <c r="AV1011" s="425"/>
      <c r="AW1011" s="425"/>
      <c r="AX1011" s="425"/>
      <c r="AY1011" s="425"/>
      <c r="AZ1011" s="425"/>
      <c r="BA1011" s="425"/>
      <c r="BB1011" s="425"/>
      <c r="BC1011" s="440"/>
      <c r="BD1011" s="404">
        <f>SUM($AS$4:AS1011)</f>
        <v>4610.4686248833132</v>
      </c>
      <c r="BE1011" s="407">
        <f>SUM($AR$4:AR1011)</f>
        <v>22850.712000000174</v>
      </c>
      <c r="BF1011" s="331"/>
      <c r="BG1011" s="331"/>
    </row>
    <row r="1012" spans="1:59" ht="15.75" customHeight="1">
      <c r="A1012" s="227" t="s">
        <v>3717</v>
      </c>
      <c r="B1012" s="181">
        <v>45175</v>
      </c>
      <c r="C1012" s="182" t="s">
        <v>2503</v>
      </c>
      <c r="D1012" s="182" t="s">
        <v>133</v>
      </c>
      <c r="E1012" s="233"/>
      <c r="F1012" s="184"/>
      <c r="G1012" s="185" t="s">
        <v>3754</v>
      </c>
      <c r="H1012" s="186"/>
      <c r="I1012" s="186"/>
      <c r="J1012" s="186"/>
      <c r="K1012" s="187"/>
      <c r="L1012" s="186"/>
      <c r="M1012" s="186"/>
      <c r="N1012" s="186"/>
      <c r="O1012" s="187"/>
      <c r="P1012" s="187"/>
      <c r="Q1012" s="187"/>
      <c r="R1012" s="187"/>
      <c r="S1012" s="187"/>
      <c r="T1012" s="187"/>
      <c r="U1012" s="187"/>
      <c r="V1012" s="188"/>
      <c r="W1012" s="189"/>
      <c r="X1012" s="189"/>
      <c r="Y1012" s="189"/>
      <c r="Z1012" s="189"/>
      <c r="AA1012" s="190"/>
      <c r="AB1012" s="186"/>
      <c r="AC1012" s="344"/>
      <c r="AD1012" s="186"/>
      <c r="AE1012" s="186"/>
      <c r="AF1012" s="186"/>
      <c r="AG1012" s="186"/>
      <c r="AH1012" s="186"/>
      <c r="AI1012" s="191">
        <f t="shared" ref="AI1010:AI1012" si="1616">-0.03*W1012</f>
        <v>0</v>
      </c>
      <c r="AJ1012" s="191">
        <f t="shared" ref="AJ1010:AJ1012" si="1617">AI1012*(R1012-S1012)</f>
        <v>0</v>
      </c>
      <c r="AK1012" s="186"/>
      <c r="AL1012" s="186"/>
      <c r="AM1012" s="186"/>
      <c r="AN1012" s="344"/>
      <c r="AO1012" s="186"/>
      <c r="AP1012" s="193"/>
      <c r="AQ1012" s="193"/>
      <c r="AR1012" s="191"/>
      <c r="AS1012" s="194"/>
      <c r="AT1012" s="195"/>
      <c r="AU1012" s="425"/>
      <c r="AV1012" s="425"/>
      <c r="AW1012" s="425"/>
      <c r="AX1012" s="425"/>
      <c r="AY1012" s="425"/>
      <c r="AZ1012" s="425"/>
      <c r="BA1012" s="425"/>
      <c r="BB1012" s="425"/>
      <c r="BC1012" s="440"/>
      <c r="BD1012" s="404">
        <f>SUM($AS$4:AS1012)</f>
        <v>4610.4686248833132</v>
      </c>
      <c r="BE1012" s="407">
        <f>SUM($AR$4:AR1012)</f>
        <v>22850.712000000174</v>
      </c>
      <c r="BF1012" s="331"/>
      <c r="BG1012" s="331"/>
    </row>
    <row r="1013" spans="1:59" ht="15.75" customHeight="1">
      <c r="A1013" s="227" t="s">
        <v>3717</v>
      </c>
      <c r="B1013" s="181">
        <v>45175</v>
      </c>
      <c r="C1013" s="182" t="s">
        <v>2001</v>
      </c>
      <c r="D1013" s="182" t="s">
        <v>133</v>
      </c>
      <c r="E1013" s="233" t="s">
        <v>3755</v>
      </c>
      <c r="F1013" s="184"/>
      <c r="G1013" s="185"/>
      <c r="H1013" s="186">
        <v>1</v>
      </c>
      <c r="I1013" s="186"/>
      <c r="J1013" s="186"/>
      <c r="K1013" s="187" t="s">
        <v>87</v>
      </c>
      <c r="L1013" s="186"/>
      <c r="M1013" s="186"/>
      <c r="N1013" s="186"/>
      <c r="O1013" s="187"/>
      <c r="P1013" s="187"/>
      <c r="Q1013" s="187"/>
      <c r="R1013" s="187"/>
      <c r="S1013" s="187"/>
      <c r="T1013" s="187"/>
      <c r="U1013" s="187"/>
      <c r="V1013" s="187"/>
      <c r="W1013" s="189"/>
      <c r="X1013" s="189"/>
      <c r="Y1013" s="189"/>
      <c r="Z1013" s="189"/>
      <c r="AA1013" s="190"/>
      <c r="AB1013" s="186"/>
      <c r="AC1013" s="344"/>
      <c r="AD1013" s="186"/>
      <c r="AE1013" s="186"/>
      <c r="AF1013" s="186"/>
      <c r="AG1013" s="186"/>
      <c r="AH1013" s="186"/>
      <c r="AI1013" s="191"/>
      <c r="AJ1013" s="191"/>
      <c r="AK1013" s="186"/>
      <c r="AL1013" s="186"/>
      <c r="AM1013" s="186"/>
      <c r="AN1013" s="344"/>
      <c r="AO1013" s="186"/>
      <c r="AP1013" s="193"/>
      <c r="AQ1013" s="193"/>
      <c r="AR1013" s="191"/>
      <c r="AS1013" s="194"/>
      <c r="AT1013" s="195"/>
      <c r="AU1013" s="425"/>
      <c r="AV1013" s="425"/>
      <c r="AW1013" s="425"/>
      <c r="AX1013" s="425"/>
      <c r="AY1013" s="425"/>
      <c r="AZ1013" s="425"/>
      <c r="BA1013" s="425"/>
      <c r="BB1013" s="425"/>
      <c r="BC1013" s="440"/>
      <c r="BD1013" s="404">
        <f>SUM($AS$4:AS1013)</f>
        <v>4610.4686248833132</v>
      </c>
      <c r="BE1013" s="407">
        <f>SUM($AR$4:AR1013)</f>
        <v>22850.712000000174</v>
      </c>
      <c r="BF1013" s="331"/>
      <c r="BG1013" s="331"/>
    </row>
    <row r="1014" spans="1:59" ht="15.75" customHeight="1">
      <c r="A1014" s="227" t="s">
        <v>3717</v>
      </c>
      <c r="B1014" s="181"/>
      <c r="C1014" s="182"/>
      <c r="D1014" s="182"/>
      <c r="E1014" s="233" t="s">
        <v>3756</v>
      </c>
      <c r="F1014" s="184"/>
      <c r="G1014" s="185"/>
      <c r="H1014" s="186">
        <v>1</v>
      </c>
      <c r="I1014" s="186"/>
      <c r="J1014" s="186"/>
      <c r="K1014" s="187" t="s">
        <v>87</v>
      </c>
      <c r="L1014" s="186"/>
      <c r="M1014" s="186"/>
      <c r="N1014" s="186"/>
      <c r="O1014" s="187"/>
      <c r="P1014" s="187"/>
      <c r="Q1014" s="187"/>
      <c r="R1014" s="187"/>
      <c r="S1014" s="187"/>
      <c r="T1014" s="187"/>
      <c r="U1014" s="187"/>
      <c r="V1014" s="187"/>
      <c r="W1014" s="189" t="str">
        <f t="shared" si="1608"/>
        <v/>
      </c>
      <c r="X1014" s="189"/>
      <c r="Y1014" s="189"/>
      <c r="Z1014" s="189"/>
      <c r="AA1014" s="190"/>
      <c r="AB1014" s="186"/>
      <c r="AC1014" s="344"/>
      <c r="AD1014" s="186"/>
      <c r="AE1014" s="186"/>
      <c r="AF1014" s="186"/>
      <c r="AG1014" s="186"/>
      <c r="AH1014" s="186"/>
      <c r="AI1014" s="191"/>
      <c r="AJ1014" s="191"/>
      <c r="AK1014" s="186"/>
      <c r="AL1014" s="186"/>
      <c r="AM1014" s="186"/>
      <c r="AN1014" s="344"/>
      <c r="AO1014" s="186"/>
      <c r="AP1014" s="193"/>
      <c r="AQ1014" s="193"/>
      <c r="AR1014" s="191"/>
      <c r="AS1014" s="194"/>
      <c r="AT1014" s="195"/>
      <c r="AU1014" s="425"/>
      <c r="AV1014" s="425"/>
      <c r="AW1014" s="425"/>
      <c r="AX1014" s="425"/>
      <c r="AY1014" s="425"/>
      <c r="AZ1014" s="425"/>
      <c r="BA1014" s="425"/>
      <c r="BB1014" s="425"/>
      <c r="BC1014" s="440"/>
      <c r="BD1014" s="404">
        <f>SUM($AS$4:AS1014)</f>
        <v>4610.4686248833132</v>
      </c>
      <c r="BE1014" s="407">
        <f>SUM($AR$4:AR1014)</f>
        <v>22850.712000000174</v>
      </c>
      <c r="BF1014" s="331"/>
      <c r="BG1014" s="331"/>
    </row>
    <row r="1015" spans="1:59" ht="15.75" customHeight="1">
      <c r="A1015" s="227" t="s">
        <v>3717</v>
      </c>
      <c r="B1015" s="181">
        <v>45175</v>
      </c>
      <c r="C1015" s="182" t="s">
        <v>1455</v>
      </c>
      <c r="D1015" s="182" t="s">
        <v>133</v>
      </c>
      <c r="E1015" s="233"/>
      <c r="F1015" s="184"/>
      <c r="G1015" s="185" t="s">
        <v>163</v>
      </c>
      <c r="H1015" s="186"/>
      <c r="I1015" s="186"/>
      <c r="J1015" s="186"/>
      <c r="K1015" s="187"/>
      <c r="L1015" s="186"/>
      <c r="M1015" s="186"/>
      <c r="N1015" s="186"/>
      <c r="O1015" s="187"/>
      <c r="P1015" s="187"/>
      <c r="Q1015" s="187"/>
      <c r="R1015" s="187"/>
      <c r="S1015" s="187"/>
      <c r="T1015" s="187"/>
      <c r="U1015" s="187"/>
      <c r="V1015" s="188"/>
      <c r="W1015" s="189"/>
      <c r="X1015" s="189"/>
      <c r="Y1015" s="189"/>
      <c r="Z1015" s="189"/>
      <c r="AA1015" s="190"/>
      <c r="AB1015" s="186"/>
      <c r="AC1015" s="344"/>
      <c r="AD1015" s="186"/>
      <c r="AE1015" s="186"/>
      <c r="AF1015" s="186"/>
      <c r="AG1015" s="186"/>
      <c r="AH1015" s="186"/>
      <c r="AI1015" s="191"/>
      <c r="AJ1015" s="191"/>
      <c r="AK1015" s="186"/>
      <c r="AL1015" s="186"/>
      <c r="AM1015" s="186"/>
      <c r="AN1015" s="344"/>
      <c r="AO1015" s="186"/>
      <c r="AP1015" s="193"/>
      <c r="AQ1015" s="193"/>
      <c r="AR1015" s="191"/>
      <c r="AS1015" s="194"/>
      <c r="AT1015" s="195"/>
      <c r="AU1015" s="425"/>
      <c r="AV1015" s="425"/>
      <c r="AW1015" s="425"/>
      <c r="AX1015" s="425"/>
      <c r="AY1015" s="425"/>
      <c r="AZ1015" s="425"/>
      <c r="BA1015" s="425"/>
      <c r="BB1015" s="425"/>
      <c r="BC1015" s="440"/>
      <c r="BD1015" s="404">
        <f>SUM($AS$4:AS1015)</f>
        <v>4610.4686248833132</v>
      </c>
      <c r="BE1015" s="407">
        <f>SUM($AR$4:AR1015)</f>
        <v>22850.712000000174</v>
      </c>
      <c r="BF1015" s="331"/>
      <c r="BG1015" s="331"/>
    </row>
    <row r="1016" spans="1:59" ht="15.75" customHeight="1">
      <c r="A1016" s="227" t="s">
        <v>3717</v>
      </c>
      <c r="B1016" s="181">
        <v>45175</v>
      </c>
      <c r="C1016" s="182" t="s">
        <v>1455</v>
      </c>
      <c r="D1016" s="182" t="s">
        <v>133</v>
      </c>
      <c r="E1016" s="233"/>
      <c r="F1016" s="184"/>
      <c r="G1016" s="185" t="s">
        <v>118</v>
      </c>
      <c r="H1016" s="186"/>
      <c r="I1016" s="186"/>
      <c r="J1016" s="186"/>
      <c r="K1016" s="187"/>
      <c r="L1016" s="186"/>
      <c r="M1016" s="186"/>
      <c r="N1016" s="186"/>
      <c r="O1016" s="187"/>
      <c r="P1016" s="187"/>
      <c r="Q1016" s="187"/>
      <c r="R1016" s="187"/>
      <c r="S1016" s="187"/>
      <c r="T1016" s="187"/>
      <c r="U1016" s="187"/>
      <c r="V1016" s="188"/>
      <c r="W1016" s="189"/>
      <c r="X1016" s="189"/>
      <c r="Y1016" s="189"/>
      <c r="Z1016" s="189"/>
      <c r="AA1016" s="190"/>
      <c r="AB1016" s="186"/>
      <c r="AC1016" s="344"/>
      <c r="AD1016" s="186"/>
      <c r="AE1016" s="186"/>
      <c r="AF1016" s="186"/>
      <c r="AG1016" s="186"/>
      <c r="AH1016" s="186"/>
      <c r="AI1016" s="191"/>
      <c r="AJ1016" s="191"/>
      <c r="AK1016" s="186"/>
      <c r="AL1016" s="186"/>
      <c r="AM1016" s="186"/>
      <c r="AN1016" s="344"/>
      <c r="AO1016" s="186"/>
      <c r="AP1016" s="193"/>
      <c r="AQ1016" s="193"/>
      <c r="AR1016" s="191"/>
      <c r="AS1016" s="194"/>
      <c r="AT1016" s="195"/>
      <c r="AU1016" s="425"/>
      <c r="AV1016" s="425"/>
      <c r="AW1016" s="425"/>
      <c r="AX1016" s="425"/>
      <c r="AY1016" s="425"/>
      <c r="AZ1016" s="425"/>
      <c r="BA1016" s="425"/>
      <c r="BB1016" s="425"/>
      <c r="BC1016" s="440"/>
      <c r="BD1016" s="404">
        <f>SUM($AS$4:AS1016)</f>
        <v>4610.4686248833132</v>
      </c>
      <c r="BE1016" s="407">
        <f>SUM($AR$4:AR1016)</f>
        <v>22850.712000000174</v>
      </c>
      <c r="BF1016" s="331"/>
      <c r="BG1016" s="331"/>
    </row>
    <row r="1017" spans="1:59" ht="15.75" customHeight="1">
      <c r="A1017" s="227" t="s">
        <v>3717</v>
      </c>
      <c r="B1017" s="181">
        <v>45175</v>
      </c>
      <c r="C1017" s="182" t="s">
        <v>1169</v>
      </c>
      <c r="D1017" s="182" t="s">
        <v>133</v>
      </c>
      <c r="E1017" s="233" t="s">
        <v>3757</v>
      </c>
      <c r="F1017" s="184"/>
      <c r="G1017" s="185"/>
      <c r="H1017" s="186">
        <v>1</v>
      </c>
      <c r="I1017" s="186"/>
      <c r="J1017" s="186"/>
      <c r="K1017" s="187" t="s">
        <v>87</v>
      </c>
      <c r="L1017" s="186"/>
      <c r="M1017" s="186"/>
      <c r="N1017" s="186"/>
      <c r="O1017" s="187"/>
      <c r="P1017" s="187"/>
      <c r="Q1017" s="187"/>
      <c r="R1017" s="187"/>
      <c r="S1017" s="187"/>
      <c r="T1017" s="187"/>
      <c r="U1017" s="187"/>
      <c r="V1017" s="187"/>
      <c r="W1017" s="189" t="str">
        <f t="shared" ref="W1017:W1018" si="1618">IF(ISBLANK(O1017),"",IF(O1017="IB",8.63*200,IF(O1017="IR",16*100,IF(O1017="YT",20*100,IF(O1017="YT-XT",24*200,IF(O1017="TED",80*100))))))</f>
        <v/>
      </c>
      <c r="X1017" s="189"/>
      <c r="Y1017" s="189"/>
      <c r="Z1017" s="189"/>
      <c r="AA1017" s="190"/>
      <c r="AB1017" s="186"/>
      <c r="AC1017" s="344"/>
      <c r="AD1017" s="186"/>
      <c r="AE1017" s="186"/>
      <c r="AF1017" s="186"/>
      <c r="AG1017" s="186"/>
      <c r="AH1017" s="186"/>
      <c r="AI1017" s="191"/>
      <c r="AJ1017" s="191"/>
      <c r="AK1017" s="186"/>
      <c r="AL1017" s="186"/>
      <c r="AM1017" s="186"/>
      <c r="AN1017" s="344"/>
      <c r="AO1017" s="186"/>
      <c r="AP1017" s="193"/>
      <c r="AQ1017" s="193"/>
      <c r="AR1017" s="191"/>
      <c r="AS1017" s="194"/>
      <c r="AT1017" s="195"/>
      <c r="AU1017" s="425" t="s">
        <v>3758</v>
      </c>
      <c r="AV1017" s="425" t="s">
        <v>3759</v>
      </c>
      <c r="AW1017" s="425" t="s">
        <v>3760</v>
      </c>
      <c r="AX1017" s="425" t="s">
        <v>3761</v>
      </c>
      <c r="AY1017" s="425" t="s">
        <v>3762</v>
      </c>
      <c r="AZ1017" s="425" t="s">
        <v>3763</v>
      </c>
      <c r="BA1017" s="425"/>
      <c r="BB1017" s="425"/>
      <c r="BC1017" s="440"/>
      <c r="BD1017" s="404">
        <f>SUM($AS$4:AS1017)</f>
        <v>4610.4686248833132</v>
      </c>
      <c r="BE1017" s="407">
        <f>SUM($AR$4:AR1017)</f>
        <v>22850.712000000174</v>
      </c>
      <c r="BF1017" s="331"/>
      <c r="BG1017" s="331"/>
    </row>
    <row r="1018" spans="1:59" ht="15.75" customHeight="1">
      <c r="A1018" s="227" t="s">
        <v>3717</v>
      </c>
      <c r="B1018" s="181">
        <v>45176</v>
      </c>
      <c r="C1018" s="182" t="s">
        <v>3764</v>
      </c>
      <c r="D1018" s="182" t="s">
        <v>74</v>
      </c>
      <c r="E1018" s="233"/>
      <c r="F1018" s="184"/>
      <c r="G1018" s="291" t="s">
        <v>3754</v>
      </c>
      <c r="H1018" s="186"/>
      <c r="I1018" s="186"/>
      <c r="J1018" s="186"/>
      <c r="K1018" s="187"/>
      <c r="L1018" s="186">
        <v>1</v>
      </c>
      <c r="M1018" s="186"/>
      <c r="N1018" s="186"/>
      <c r="O1018" s="187" t="s">
        <v>76</v>
      </c>
      <c r="P1018" s="187" t="s">
        <v>77</v>
      </c>
      <c r="Q1018" s="187" t="s">
        <v>238</v>
      </c>
      <c r="R1018" s="187">
        <v>12</v>
      </c>
      <c r="S1018" s="187">
        <v>10</v>
      </c>
      <c r="T1018" s="187">
        <v>7</v>
      </c>
      <c r="U1018" s="187" t="s">
        <v>22</v>
      </c>
      <c r="V1018" s="188">
        <f t="shared" ref="V1018" si="1619">IF(ISBLANK(O1018),"",(IF(O1018=UPPER("IB"),0.005,0.01)))</f>
        <v>0.01</v>
      </c>
      <c r="W1018" s="189">
        <f t="shared" si="1618"/>
        <v>1600</v>
      </c>
      <c r="X1018" s="189" t="s">
        <v>3765</v>
      </c>
      <c r="Y1018" s="189"/>
      <c r="Z1018" s="189"/>
      <c r="AA1018" s="190">
        <f>(0.02*7+0.01*5)/12</f>
        <v>1.5833333333333335E-2</v>
      </c>
      <c r="AB1018" s="186"/>
      <c r="AC1018" s="344"/>
      <c r="AD1018" s="186"/>
      <c r="AE1018" s="186"/>
      <c r="AF1018" s="186"/>
      <c r="AG1018" s="186"/>
      <c r="AH1018" s="186"/>
      <c r="AI1018" s="191">
        <f t="shared" ref="AI1018:AI1020" si="1620">-0.03*W1018</f>
        <v>-48</v>
      </c>
      <c r="AJ1018" s="191">
        <f t="shared" ref="AJ1018:AJ1020" si="1621">AI1018*(R1018-S1018)</f>
        <v>-96</v>
      </c>
      <c r="AK1018" s="186"/>
      <c r="AL1018" s="186"/>
      <c r="AM1018" s="186" t="s">
        <v>3766</v>
      </c>
      <c r="AN1018" s="344" t="s">
        <v>87</v>
      </c>
      <c r="AO1018" s="186" t="s">
        <v>3767</v>
      </c>
      <c r="AP1018" s="193">
        <f>(0.02*5+0.03*5+0.03*2)/12</f>
        <v>2.5833333333333333E-2</v>
      </c>
      <c r="AQ1018" s="193">
        <f t="shared" ref="AQ1018" si="1622">IF(ISBLANK(AP1018),,IF(U1018="S",AA1018-AP1018,AP1018-AA1018))</f>
        <v>9.9999999999999985E-3</v>
      </c>
      <c r="AR1018" s="191">
        <f t="shared" ref="AR1018" si="1623">AS1018*R1018</f>
        <v>191.99999999999997</v>
      </c>
      <c r="AS1018" s="194">
        <f t="shared" ref="AS1018" si="1624">IF(ISBLANK(AP1018),,(AQ1018*W1018))</f>
        <v>15.999999999999998</v>
      </c>
      <c r="AT1018" s="195" t="s">
        <v>77</v>
      </c>
      <c r="AU1018" s="425"/>
      <c r="AV1018" s="425"/>
      <c r="AW1018" s="425"/>
      <c r="AX1018" s="425" t="s">
        <v>3768</v>
      </c>
      <c r="AY1018" s="425"/>
      <c r="AZ1018" s="425"/>
      <c r="BA1018" s="425"/>
      <c r="BB1018" s="425"/>
      <c r="BC1018" s="440"/>
      <c r="BD1018" s="404">
        <f>SUM($AS$4:AS1018)</f>
        <v>4626.4686248833132</v>
      </c>
      <c r="BE1018" s="407">
        <f>SUM($AR$4:AR1018)</f>
        <v>23042.712000000174</v>
      </c>
      <c r="BF1018" s="331"/>
      <c r="BG1018" s="331"/>
    </row>
    <row r="1019" spans="1:59" ht="15.75" customHeight="1">
      <c r="A1019" s="227" t="s">
        <v>3717</v>
      </c>
      <c r="B1019" s="181">
        <v>45176</v>
      </c>
      <c r="C1019" s="182" t="s">
        <v>3769</v>
      </c>
      <c r="D1019" s="182" t="s">
        <v>74</v>
      </c>
      <c r="E1019" s="233"/>
      <c r="F1019" s="184"/>
      <c r="G1019" s="185" t="s">
        <v>118</v>
      </c>
      <c r="H1019" s="186"/>
      <c r="I1019" s="186"/>
      <c r="J1019" s="186"/>
      <c r="K1019" s="187"/>
      <c r="L1019" s="186"/>
      <c r="M1019" s="186"/>
      <c r="N1019" s="186"/>
      <c r="O1019" s="187"/>
      <c r="P1019" s="187"/>
      <c r="Q1019" s="187"/>
      <c r="R1019" s="187"/>
      <c r="S1019" s="187"/>
      <c r="T1019" s="187"/>
      <c r="U1019" s="187"/>
      <c r="V1019" s="188"/>
      <c r="W1019" s="189"/>
      <c r="X1019" s="189"/>
      <c r="Y1019" s="189"/>
      <c r="Z1019" s="189"/>
      <c r="AA1019" s="190"/>
      <c r="AB1019" s="186"/>
      <c r="AC1019" s="344"/>
      <c r="AD1019" s="186"/>
      <c r="AE1019" s="186"/>
      <c r="AF1019" s="186"/>
      <c r="AG1019" s="186"/>
      <c r="AH1019" s="186"/>
      <c r="AI1019" s="191"/>
      <c r="AJ1019" s="191"/>
      <c r="AK1019" s="186"/>
      <c r="AL1019" s="186"/>
      <c r="AM1019" s="186"/>
      <c r="AN1019" s="344"/>
      <c r="AO1019" s="186"/>
      <c r="AP1019" s="193"/>
      <c r="AQ1019" s="193"/>
      <c r="AR1019" s="191"/>
      <c r="AS1019" s="194"/>
      <c r="AT1019" s="195"/>
      <c r="AU1019" s="425"/>
      <c r="AV1019" s="425"/>
      <c r="AW1019" s="425"/>
      <c r="AX1019" s="425"/>
      <c r="AY1019" s="425"/>
      <c r="AZ1019" s="425"/>
      <c r="BA1019" s="425"/>
      <c r="BB1019" s="425"/>
      <c r="BC1019" s="440"/>
      <c r="BD1019" s="404">
        <f>SUM($AS$4:AS1019)</f>
        <v>4626.4686248833132</v>
      </c>
      <c r="BE1019" s="407">
        <f>SUM($AR$4:AR1019)</f>
        <v>23042.712000000174</v>
      </c>
      <c r="BF1019" s="331"/>
      <c r="BG1019" s="331"/>
    </row>
    <row r="1020" spans="1:59" ht="15.75" customHeight="1">
      <c r="A1020" s="227" t="s">
        <v>3717</v>
      </c>
      <c r="B1020" s="181">
        <v>45176</v>
      </c>
      <c r="C1020" s="182" t="s">
        <v>3770</v>
      </c>
      <c r="D1020" s="182" t="s">
        <v>74</v>
      </c>
      <c r="E1020" s="233"/>
      <c r="F1020" s="184"/>
      <c r="G1020" s="291" t="s">
        <v>1997</v>
      </c>
      <c r="H1020" s="186"/>
      <c r="I1020" s="186"/>
      <c r="J1020" s="186"/>
      <c r="K1020" s="187"/>
      <c r="L1020" s="186">
        <v>1</v>
      </c>
      <c r="M1020" s="186"/>
      <c r="N1020" s="186"/>
      <c r="O1020" s="187" t="s">
        <v>76</v>
      </c>
      <c r="P1020" s="187" t="s">
        <v>77</v>
      </c>
      <c r="Q1020" s="187" t="s">
        <v>78</v>
      </c>
      <c r="R1020" s="187">
        <v>10</v>
      </c>
      <c r="S1020" s="187">
        <v>0</v>
      </c>
      <c r="T1020" s="187">
        <v>10</v>
      </c>
      <c r="U1020" s="187" t="s">
        <v>78</v>
      </c>
      <c r="V1020" s="188">
        <f t="shared" ref="V1020" si="1625">IF(ISBLANK(O1020),"",(IF(O1020=UPPER("IB"),0.005,0.01)))</f>
        <v>0.01</v>
      </c>
      <c r="W1020" s="189">
        <f t="shared" ref="W1020" si="1626">IF(ISBLANK(O1020),"",IF(O1020="IB",8.63*200,IF(O1020="IR",16*100,IF(O1020="YT",20*100,IF(O1020="YT-XT",24*200,IF(O1020="TED",80*100))))))</f>
        <v>1600</v>
      </c>
      <c r="X1020" s="189" t="s">
        <v>980</v>
      </c>
      <c r="Y1020" s="189"/>
      <c r="Z1020" s="189" t="s">
        <v>3771</v>
      </c>
      <c r="AA1020" s="190">
        <v>-0.09</v>
      </c>
      <c r="AB1020" s="186"/>
      <c r="AC1020" s="344"/>
      <c r="AD1020" s="186"/>
      <c r="AE1020" s="186"/>
      <c r="AF1020" s="186"/>
      <c r="AG1020" s="186"/>
      <c r="AH1020" s="186"/>
      <c r="AI1020" s="191">
        <f t="shared" si="1620"/>
        <v>-48</v>
      </c>
      <c r="AJ1020" s="191">
        <f t="shared" si="1621"/>
        <v>-480</v>
      </c>
      <c r="AK1020" s="186"/>
      <c r="AL1020" s="186"/>
      <c r="AM1020" s="186" t="s">
        <v>1414</v>
      </c>
      <c r="AN1020" s="344" t="s">
        <v>87</v>
      </c>
      <c r="AO1020" s="186" t="s">
        <v>2088</v>
      </c>
      <c r="AP1020" s="193">
        <v>-0.09</v>
      </c>
      <c r="AQ1020" s="193">
        <f t="shared" ref="AQ1020" si="1627">IF(ISBLANK(AP1020),,IF(U1020="S",AA1020-AP1020,AP1020-AA1020))</f>
        <v>0</v>
      </c>
      <c r="AR1020" s="191">
        <f t="shared" ref="AR1020" si="1628">AS1020*R1020</f>
        <v>0</v>
      </c>
      <c r="AS1020" s="194">
        <f t="shared" ref="AS1020" si="1629">IF(ISBLANK(AP1020),,(AQ1020*W1020))</f>
        <v>0</v>
      </c>
      <c r="AT1020" s="195" t="s">
        <v>97</v>
      </c>
      <c r="AU1020" s="425"/>
      <c r="AV1020" s="425"/>
      <c r="AW1020" s="425"/>
      <c r="AX1020" s="425"/>
      <c r="AY1020" s="425"/>
      <c r="AZ1020" s="425"/>
      <c r="BA1020" s="425"/>
      <c r="BB1020" s="425"/>
      <c r="BC1020" s="440"/>
      <c r="BD1020" s="404">
        <f>SUM($AS$4:AS1020)</f>
        <v>4626.4686248833132</v>
      </c>
      <c r="BE1020" s="407">
        <f>SUM($AR$4:AR1020)</f>
        <v>23042.712000000174</v>
      </c>
      <c r="BF1020" s="331"/>
      <c r="BG1020" s="331"/>
    </row>
    <row r="1021" spans="1:59" ht="15.75" customHeight="1">
      <c r="A1021" s="227" t="s">
        <v>3717</v>
      </c>
      <c r="B1021" s="181">
        <v>45176</v>
      </c>
      <c r="C1021" s="182" t="s">
        <v>3772</v>
      </c>
      <c r="D1021" s="182" t="s">
        <v>74</v>
      </c>
      <c r="E1021" s="233"/>
      <c r="F1021" s="184"/>
      <c r="G1021" s="185" t="s">
        <v>2051</v>
      </c>
      <c r="H1021" s="186"/>
      <c r="I1021" s="186"/>
      <c r="J1021" s="186"/>
      <c r="K1021" s="187"/>
      <c r="L1021" s="186"/>
      <c r="M1021" s="186"/>
      <c r="N1021" s="186"/>
      <c r="O1021" s="187"/>
      <c r="P1021" s="187"/>
      <c r="Q1021" s="187"/>
      <c r="R1021" s="187"/>
      <c r="S1021" s="187"/>
      <c r="T1021" s="187"/>
      <c r="U1021" s="187"/>
      <c r="V1021" s="188"/>
      <c r="W1021" s="189"/>
      <c r="X1021" s="189"/>
      <c r="Y1021" s="189"/>
      <c r="Z1021" s="189"/>
      <c r="AA1021" s="190"/>
      <c r="AB1021" s="186"/>
      <c r="AC1021" s="344"/>
      <c r="AD1021" s="186"/>
      <c r="AE1021" s="186"/>
      <c r="AF1021" s="186"/>
      <c r="AG1021" s="186"/>
      <c r="AH1021" s="186"/>
      <c r="AI1021" s="191">
        <f t="shared" ref="AI1021" si="1630">-0.03*W1021</f>
        <v>0</v>
      </c>
      <c r="AJ1021" s="191">
        <f t="shared" ref="AJ1021" si="1631">AI1021*(R1021-S1021)</f>
        <v>0</v>
      </c>
      <c r="AK1021" s="186"/>
      <c r="AL1021" s="186"/>
      <c r="AM1021" s="186"/>
      <c r="AN1021" s="344"/>
      <c r="AO1021" s="186"/>
      <c r="AP1021" s="193"/>
      <c r="AQ1021" s="193"/>
      <c r="AR1021" s="191"/>
      <c r="AS1021" s="194"/>
      <c r="AT1021" s="195"/>
      <c r="AU1021" s="425" t="s">
        <v>3773</v>
      </c>
      <c r="AV1021" s="425"/>
      <c r="AW1021" s="425"/>
      <c r="AX1021" s="425"/>
      <c r="AY1021" s="425"/>
      <c r="AZ1021" s="425"/>
      <c r="BA1021" s="425"/>
      <c r="BB1021" s="425"/>
      <c r="BC1021" s="440"/>
      <c r="BD1021" s="404">
        <f>SUM($AS$4:AS1021)</f>
        <v>4626.4686248833132</v>
      </c>
      <c r="BE1021" s="407">
        <f>SUM($AR$4:AR1021)</f>
        <v>23042.712000000174</v>
      </c>
      <c r="BF1021" s="331"/>
      <c r="BG1021" s="331"/>
    </row>
    <row r="1022" spans="1:59" ht="15.75" customHeight="1">
      <c r="A1022" s="227" t="s">
        <v>3717</v>
      </c>
      <c r="B1022" s="181">
        <v>45176</v>
      </c>
      <c r="C1022" s="182" t="s">
        <v>3510</v>
      </c>
      <c r="D1022" s="182" t="s">
        <v>74</v>
      </c>
      <c r="E1022" s="233"/>
      <c r="F1022" s="184"/>
      <c r="G1022" s="291" t="s">
        <v>118</v>
      </c>
      <c r="H1022" s="186"/>
      <c r="I1022" s="186"/>
      <c r="J1022" s="186"/>
      <c r="K1022" s="187"/>
      <c r="L1022" s="186">
        <v>1</v>
      </c>
      <c r="M1022" s="186"/>
      <c r="N1022" s="186"/>
      <c r="O1022" s="187" t="s">
        <v>76</v>
      </c>
      <c r="P1022" s="187" t="s">
        <v>77</v>
      </c>
      <c r="Q1022" s="187" t="s">
        <v>78</v>
      </c>
      <c r="R1022" s="187">
        <v>5</v>
      </c>
      <c r="S1022" s="187">
        <v>0</v>
      </c>
      <c r="T1022" s="187">
        <v>5</v>
      </c>
      <c r="U1022" s="187" t="s">
        <v>22</v>
      </c>
      <c r="V1022" s="188">
        <f t="shared" ref="V1022" si="1632">IF(ISBLANK(O1022),"",(IF(O1022=UPPER("IB"),0.005,0.01)))</f>
        <v>0.01</v>
      </c>
      <c r="W1022" s="189">
        <f t="shared" ref="W1022" si="1633">IF(ISBLANK(O1022),"",IF(O1022="IB",8.63*200,IF(O1022="IR",16*100,IF(O1022="YT",20*100,IF(O1022="YT-XT",24*200,IF(O1022="TED",80*100))))))</f>
        <v>1600</v>
      </c>
      <c r="X1022" s="189" t="s">
        <v>980</v>
      </c>
      <c r="Y1022" s="189"/>
      <c r="Z1022" s="189"/>
      <c r="AA1022" s="190">
        <v>-7.0000000000000007E-2</v>
      </c>
      <c r="AB1022" s="186"/>
      <c r="AC1022" s="344"/>
      <c r="AD1022" s="186"/>
      <c r="AE1022" s="186"/>
      <c r="AF1022" s="186"/>
      <c r="AG1022" s="186"/>
      <c r="AH1022" s="186"/>
      <c r="AI1022" s="191"/>
      <c r="AJ1022" s="191"/>
      <c r="AK1022" s="186"/>
      <c r="AL1022" s="186"/>
      <c r="AM1022" s="186" t="s">
        <v>1008</v>
      </c>
      <c r="AN1022" s="344" t="s">
        <v>87</v>
      </c>
      <c r="AO1022" s="186" t="s">
        <v>3774</v>
      </c>
      <c r="AP1022" s="193">
        <v>-7.0000000000000007E-2</v>
      </c>
      <c r="AQ1022" s="193">
        <f t="shared" ref="AQ1021:AQ1023" si="1634">IF(ISBLANK(AP1022),,IF(U1022="S",AA1022-AP1022,AP1022-AA1022))</f>
        <v>0</v>
      </c>
      <c r="AR1022" s="191">
        <f t="shared" ref="AR1021:AR1023" si="1635">AS1022*R1022</f>
        <v>0</v>
      </c>
      <c r="AS1022" s="194">
        <f t="shared" ref="AS1021:AS1023" si="1636">IF(ISBLANK(AP1022),,(AQ1022*W1022))</f>
        <v>0</v>
      </c>
      <c r="AT1022" s="195" t="s">
        <v>97</v>
      </c>
      <c r="AU1022" s="425"/>
      <c r="AV1022" s="425"/>
      <c r="AW1022" s="425"/>
      <c r="AX1022" s="425"/>
      <c r="AY1022" s="425"/>
      <c r="AZ1022" s="425"/>
      <c r="BA1022" s="425"/>
      <c r="BB1022" s="425"/>
      <c r="BC1022" s="440"/>
      <c r="BD1022" s="404">
        <f>SUM($AS$4:AS1022)</f>
        <v>4626.4686248833132</v>
      </c>
      <c r="BE1022" s="407">
        <f>SUM($AR$4:AR1022)</f>
        <v>23042.712000000174</v>
      </c>
      <c r="BF1022" s="331"/>
      <c r="BG1022" s="331"/>
    </row>
    <row r="1023" spans="1:59" ht="15.75" customHeight="1">
      <c r="A1023" s="227" t="s">
        <v>3717</v>
      </c>
      <c r="B1023" s="181">
        <v>45176</v>
      </c>
      <c r="C1023" s="182" t="s">
        <v>3775</v>
      </c>
      <c r="D1023" s="182" t="s">
        <v>74</v>
      </c>
      <c r="E1023" s="233"/>
      <c r="F1023" s="184"/>
      <c r="G1023" s="291" t="s">
        <v>1997</v>
      </c>
      <c r="H1023" s="186"/>
      <c r="I1023" s="186"/>
      <c r="J1023" s="186"/>
      <c r="K1023" s="187"/>
      <c r="L1023" s="186">
        <v>1</v>
      </c>
      <c r="M1023" s="186"/>
      <c r="N1023" s="186"/>
      <c r="O1023" s="187" t="s">
        <v>76</v>
      </c>
      <c r="P1023" s="187" t="s">
        <v>77</v>
      </c>
      <c r="Q1023" s="187" t="s">
        <v>78</v>
      </c>
      <c r="R1023" s="187">
        <v>5</v>
      </c>
      <c r="S1023" s="187">
        <v>0</v>
      </c>
      <c r="T1023" s="187">
        <v>5</v>
      </c>
      <c r="U1023" s="187" t="s">
        <v>22</v>
      </c>
      <c r="V1023" s="188">
        <f t="shared" ref="V1023:V1024" si="1637">IF(ISBLANK(O1023),"",(IF(O1023=UPPER("IB"),0.005,0.01)))</f>
        <v>0.01</v>
      </c>
      <c r="W1023" s="189">
        <f t="shared" ref="W1023:W1073" si="1638">IF(ISBLANK(O1023),"",IF(O1023="IB",8.63*200,IF(O1023="IR",16*100,IF(O1023="YT",20*100,IF(O1023="YT-XT",24*200,IF(O1023="TED",80*100))))))</f>
        <v>1600</v>
      </c>
      <c r="X1023" s="189" t="s">
        <v>980</v>
      </c>
      <c r="Y1023" s="189"/>
      <c r="Z1023" s="189"/>
      <c r="AA1023" s="190">
        <v>-0.1</v>
      </c>
      <c r="AB1023" s="186"/>
      <c r="AC1023" s="344"/>
      <c r="AD1023" s="186"/>
      <c r="AE1023" s="186"/>
      <c r="AF1023" s="186"/>
      <c r="AG1023" s="186"/>
      <c r="AH1023" s="186"/>
      <c r="AI1023" s="191"/>
      <c r="AJ1023" s="191"/>
      <c r="AK1023" s="186"/>
      <c r="AL1023" s="186"/>
      <c r="AM1023" s="186" t="s">
        <v>949</v>
      </c>
      <c r="AN1023" s="344" t="s">
        <v>87</v>
      </c>
      <c r="AO1023" s="186" t="s">
        <v>2088</v>
      </c>
      <c r="AP1023" s="193">
        <v>-0.09</v>
      </c>
      <c r="AQ1023" s="193">
        <f t="shared" si="1634"/>
        <v>1.0000000000000009E-2</v>
      </c>
      <c r="AR1023" s="191">
        <f t="shared" si="1635"/>
        <v>80.000000000000071</v>
      </c>
      <c r="AS1023" s="194">
        <f t="shared" si="1636"/>
        <v>16.000000000000014</v>
      </c>
      <c r="AT1023" s="195" t="s">
        <v>77</v>
      </c>
      <c r="AU1023" s="425"/>
      <c r="AV1023" s="425"/>
      <c r="AW1023" s="425"/>
      <c r="AX1023" s="425"/>
      <c r="AY1023" s="425"/>
      <c r="AZ1023" s="425"/>
      <c r="BA1023" s="425"/>
      <c r="BB1023" s="425"/>
      <c r="BC1023" s="440"/>
      <c r="BD1023" s="404">
        <f>SUM($AS$4:AS1023)</f>
        <v>4642.4686248833132</v>
      </c>
      <c r="BE1023" s="407">
        <f>SUM($AR$4:AR1023)</f>
        <v>23122.712000000174</v>
      </c>
      <c r="BF1023" s="331"/>
      <c r="BG1023" s="331"/>
    </row>
    <row r="1024" spans="1:59" ht="15.75" customHeight="1">
      <c r="A1024" s="227" t="s">
        <v>3717</v>
      </c>
      <c r="B1024" s="181">
        <v>45176</v>
      </c>
      <c r="C1024" s="182" t="s">
        <v>3775</v>
      </c>
      <c r="D1024" s="182" t="s">
        <v>74</v>
      </c>
      <c r="E1024" s="233"/>
      <c r="F1024" s="184"/>
      <c r="G1024" s="185" t="s">
        <v>2924</v>
      </c>
      <c r="H1024" s="186"/>
      <c r="I1024" s="186"/>
      <c r="J1024" s="186"/>
      <c r="K1024" s="187"/>
      <c r="L1024" s="186"/>
      <c r="M1024" s="186"/>
      <c r="N1024" s="186"/>
      <c r="O1024" s="187"/>
      <c r="P1024" s="187"/>
      <c r="Q1024" s="187"/>
      <c r="R1024" s="187"/>
      <c r="S1024" s="187"/>
      <c r="T1024" s="187"/>
      <c r="U1024" s="187"/>
      <c r="V1024" s="188"/>
      <c r="W1024" s="189"/>
      <c r="X1024" s="189"/>
      <c r="Y1024" s="189"/>
      <c r="Z1024" s="189"/>
      <c r="AA1024" s="190"/>
      <c r="AB1024" s="186"/>
      <c r="AC1024" s="344"/>
      <c r="AD1024" s="186"/>
      <c r="AE1024" s="186"/>
      <c r="AF1024" s="186"/>
      <c r="AG1024" s="186"/>
      <c r="AH1024" s="186"/>
      <c r="AI1024" s="191">
        <f t="shared" ref="AI1022:AI1024" si="1639">-0.03*W1024</f>
        <v>0</v>
      </c>
      <c r="AJ1024" s="191">
        <f t="shared" ref="AJ1022:AJ1024" si="1640">AI1024*(R1024-S1024)</f>
        <v>0</v>
      </c>
      <c r="AK1024" s="186"/>
      <c r="AL1024" s="186"/>
      <c r="AM1024" s="186"/>
      <c r="AN1024" s="344"/>
      <c r="AO1024" s="186"/>
      <c r="AP1024" s="193"/>
      <c r="AQ1024" s="193"/>
      <c r="AR1024" s="191"/>
      <c r="AS1024" s="194"/>
      <c r="AT1024" s="195"/>
      <c r="AU1024" s="425"/>
      <c r="AV1024" s="425"/>
      <c r="AW1024" s="425"/>
      <c r="AX1024" s="425"/>
      <c r="AY1024" s="425"/>
      <c r="AZ1024" s="425"/>
      <c r="BA1024" s="425"/>
      <c r="BB1024" s="425"/>
      <c r="BC1024" s="440"/>
      <c r="BD1024" s="404">
        <f>SUM($AS$4:AS1024)</f>
        <v>4642.4686248833132</v>
      </c>
      <c r="BE1024" s="407">
        <f>SUM($AR$4:AR1024)</f>
        <v>23122.712000000174</v>
      </c>
      <c r="BF1024" s="331"/>
      <c r="BG1024" s="331"/>
    </row>
    <row r="1025" spans="1:59" ht="15.75" customHeight="1">
      <c r="A1025" s="227" t="s">
        <v>3717</v>
      </c>
      <c r="B1025" s="181">
        <v>45176</v>
      </c>
      <c r="C1025" s="182" t="s">
        <v>3775</v>
      </c>
      <c r="D1025" s="182" t="s">
        <v>74</v>
      </c>
      <c r="E1025" s="233"/>
      <c r="F1025" s="184"/>
      <c r="G1025" s="185" t="s">
        <v>3607</v>
      </c>
      <c r="H1025" s="186"/>
      <c r="I1025" s="186"/>
      <c r="J1025" s="186"/>
      <c r="K1025" s="187"/>
      <c r="L1025" s="186">
        <v>1</v>
      </c>
      <c r="M1025" s="186"/>
      <c r="N1025" s="186"/>
      <c r="O1025" s="187" t="s">
        <v>76</v>
      </c>
      <c r="P1025" s="187" t="s">
        <v>119</v>
      </c>
      <c r="Q1025" s="187" t="s">
        <v>78</v>
      </c>
      <c r="R1025" s="187">
        <v>15</v>
      </c>
      <c r="S1025" s="187">
        <v>0</v>
      </c>
      <c r="T1025" s="187">
        <v>5</v>
      </c>
      <c r="U1025" s="187" t="s">
        <v>78</v>
      </c>
      <c r="V1025" s="188">
        <f t="shared" ref="V1025" si="1641">IF(ISBLANK(O1025),"",(IF(O1025=UPPER("IB"),0.005,0.01)))</f>
        <v>0.01</v>
      </c>
      <c r="W1025" s="189">
        <f t="shared" ref="W1025" si="1642">IF(ISBLANK(O1025),"",IF(O1025="IB",8.63*200,IF(O1025="IR",16*100,IF(O1025="YT",20*100,IF(O1025="YT-XT",24*200,IF(O1025="TED",80*100))))))</f>
        <v>1600</v>
      </c>
      <c r="X1025" s="189" t="s">
        <v>980</v>
      </c>
      <c r="Y1025" s="189"/>
      <c r="Z1025" s="189"/>
      <c r="AA1025" s="190">
        <v>-0.15</v>
      </c>
      <c r="AB1025" s="186"/>
      <c r="AC1025" s="344"/>
      <c r="AD1025" s="186"/>
      <c r="AE1025" s="186"/>
      <c r="AF1025" s="186"/>
      <c r="AG1025" s="186"/>
      <c r="AH1025" s="186"/>
      <c r="AI1025" s="191"/>
      <c r="AJ1025" s="191"/>
      <c r="AK1025" s="186"/>
      <c r="AL1025" s="186"/>
      <c r="AM1025" s="186" t="s">
        <v>1535</v>
      </c>
      <c r="AN1025" s="344" t="s">
        <v>87</v>
      </c>
      <c r="AO1025" s="186" t="s">
        <v>3776</v>
      </c>
      <c r="AP1025" s="193">
        <v>-0.16</v>
      </c>
      <c r="AQ1025" s="193">
        <f t="shared" ref="AQ1024:AQ1025" si="1643">IF(ISBLANK(AP1025),,IF(U1025="S",AA1025-AP1025,AP1025-AA1025))</f>
        <v>1.0000000000000009E-2</v>
      </c>
      <c r="AR1025" s="191">
        <f t="shared" ref="AR1024:AR1025" si="1644">AS1025*R1025</f>
        <v>240.00000000000023</v>
      </c>
      <c r="AS1025" s="194">
        <f t="shared" ref="AS1024:AS1025" si="1645">IF(ISBLANK(AP1025),,(AQ1025*W1025))</f>
        <v>16.000000000000014</v>
      </c>
      <c r="AT1025" s="195" t="s">
        <v>77</v>
      </c>
      <c r="AU1025" s="425"/>
      <c r="AV1025" s="425"/>
      <c r="AW1025" s="425"/>
      <c r="AX1025" s="425"/>
      <c r="AY1025" s="425"/>
      <c r="AZ1025" s="425"/>
      <c r="BA1025" s="425"/>
      <c r="BB1025" s="425"/>
      <c r="BC1025" s="440"/>
      <c r="BD1025" s="404">
        <f>SUM($AS$4:AS1025)</f>
        <v>4658.4686248833132</v>
      </c>
      <c r="BE1025" s="407">
        <f>SUM($AR$4:AR1025)</f>
        <v>23362.712000000174</v>
      </c>
      <c r="BF1025" s="331"/>
      <c r="BG1025" s="331"/>
    </row>
    <row r="1026" spans="1:59" ht="15.75" customHeight="1">
      <c r="A1026" s="227" t="s">
        <v>3717</v>
      </c>
      <c r="B1026" s="181">
        <v>45182</v>
      </c>
      <c r="C1026" s="182" t="s">
        <v>1709</v>
      </c>
      <c r="D1026" s="182" t="s">
        <v>133</v>
      </c>
      <c r="E1026" s="233" t="s">
        <v>3777</v>
      </c>
      <c r="F1026" s="184"/>
      <c r="G1026" s="185"/>
      <c r="H1026" s="186">
        <v>1</v>
      </c>
      <c r="I1026" s="186"/>
      <c r="J1026" s="186"/>
      <c r="K1026" s="187" t="s">
        <v>87</v>
      </c>
      <c r="L1026" s="186"/>
      <c r="M1026" s="186"/>
      <c r="N1026" s="186"/>
      <c r="O1026" s="187"/>
      <c r="P1026" s="187"/>
      <c r="Q1026" s="187"/>
      <c r="R1026" s="187"/>
      <c r="S1026" s="187"/>
      <c r="T1026" s="187"/>
      <c r="U1026" s="187"/>
      <c r="V1026" s="187"/>
      <c r="W1026" s="189" t="str">
        <f t="shared" si="1638"/>
        <v/>
      </c>
      <c r="X1026" s="189"/>
      <c r="Y1026" s="189"/>
      <c r="Z1026" s="189"/>
      <c r="AA1026" s="190"/>
      <c r="AB1026" s="186"/>
      <c r="AC1026" s="344"/>
      <c r="AD1026" s="186"/>
      <c r="AE1026" s="186"/>
      <c r="AF1026" s="186"/>
      <c r="AG1026" s="186"/>
      <c r="AH1026" s="186"/>
      <c r="AI1026" s="191"/>
      <c r="AJ1026" s="191"/>
      <c r="AK1026" s="186"/>
      <c r="AL1026" s="186"/>
      <c r="AM1026" s="186"/>
      <c r="AN1026" s="344"/>
      <c r="AO1026" s="186"/>
      <c r="AP1026" s="193"/>
      <c r="AQ1026" s="193"/>
      <c r="AR1026" s="191"/>
      <c r="AS1026" s="194"/>
      <c r="AT1026" s="195"/>
      <c r="AU1026" s="425" t="s">
        <v>3778</v>
      </c>
      <c r="AV1026" s="425" t="s">
        <v>3763</v>
      </c>
      <c r="AW1026" s="425" t="s">
        <v>3779</v>
      </c>
      <c r="AX1026" s="425"/>
      <c r="AY1026" s="425"/>
      <c r="AZ1026" s="425"/>
      <c r="BA1026" s="425"/>
      <c r="BB1026" s="425"/>
      <c r="BC1026" s="440"/>
      <c r="BD1026" s="404">
        <f>SUM($AS$4:AS1026)</f>
        <v>4658.4686248833132</v>
      </c>
      <c r="BE1026" s="407">
        <f>SUM($AR$4:AR1026)</f>
        <v>23362.712000000174</v>
      </c>
      <c r="BF1026" s="331"/>
      <c r="BG1026" s="331"/>
    </row>
    <row r="1027" spans="1:59" ht="15.75" customHeight="1">
      <c r="A1027" s="227" t="s">
        <v>3717</v>
      </c>
      <c r="B1027" s="181"/>
      <c r="C1027" s="182"/>
      <c r="D1027" s="182"/>
      <c r="E1027" s="233" t="s">
        <v>3780</v>
      </c>
      <c r="F1027" s="184"/>
      <c r="G1027" s="185"/>
      <c r="H1027" s="186"/>
      <c r="I1027" s="186">
        <v>1</v>
      </c>
      <c r="J1027" s="186"/>
      <c r="K1027" s="187"/>
      <c r="L1027" s="186"/>
      <c r="M1027" s="186"/>
      <c r="N1027" s="186"/>
      <c r="O1027" s="187"/>
      <c r="P1027" s="187"/>
      <c r="Q1027" s="187"/>
      <c r="R1027" s="187"/>
      <c r="S1027" s="187"/>
      <c r="T1027" s="187"/>
      <c r="U1027" s="187"/>
      <c r="V1027" s="187"/>
      <c r="W1027" s="189" t="str">
        <f t="shared" si="1638"/>
        <v/>
      </c>
      <c r="X1027" s="189"/>
      <c r="Y1027" s="189"/>
      <c r="Z1027" s="189"/>
      <c r="AA1027" s="190"/>
      <c r="AB1027" s="186"/>
      <c r="AC1027" s="344"/>
      <c r="AD1027" s="186"/>
      <c r="AE1027" s="186"/>
      <c r="AF1027" s="186"/>
      <c r="AG1027" s="186"/>
      <c r="AH1027" s="186"/>
      <c r="AI1027" s="191"/>
      <c r="AJ1027" s="191"/>
      <c r="AK1027" s="186"/>
      <c r="AL1027" s="186"/>
      <c r="AM1027" s="186"/>
      <c r="AN1027" s="344"/>
      <c r="AO1027" s="186"/>
      <c r="AP1027" s="193"/>
      <c r="AQ1027" s="193"/>
      <c r="AR1027" s="191"/>
      <c r="AS1027" s="194"/>
      <c r="AT1027" s="195"/>
      <c r="AU1027" s="425"/>
      <c r="AV1027" s="425"/>
      <c r="AW1027" s="425"/>
      <c r="AX1027" s="425"/>
      <c r="AY1027" s="425"/>
      <c r="AZ1027" s="425"/>
      <c r="BA1027" s="425"/>
      <c r="BB1027" s="425"/>
      <c r="BC1027" s="440"/>
      <c r="BD1027" s="404">
        <f>SUM($AS$4:AS1027)</f>
        <v>4658.4686248833132</v>
      </c>
      <c r="BE1027" s="407">
        <f>SUM($AR$4:AR1027)</f>
        <v>23362.712000000174</v>
      </c>
      <c r="BF1027" s="331"/>
      <c r="BG1027" s="331"/>
    </row>
    <row r="1028" spans="1:59" ht="15.75" customHeight="1">
      <c r="A1028" s="227" t="s">
        <v>3717</v>
      </c>
      <c r="B1028" s="181"/>
      <c r="C1028" s="182"/>
      <c r="D1028" s="182"/>
      <c r="E1028" s="233" t="s">
        <v>3781</v>
      </c>
      <c r="F1028" s="184"/>
      <c r="G1028" s="185"/>
      <c r="H1028" s="186">
        <v>1</v>
      </c>
      <c r="I1028" s="186"/>
      <c r="J1028" s="186"/>
      <c r="K1028" s="187" t="s">
        <v>87</v>
      </c>
      <c r="L1028" s="186"/>
      <c r="M1028" s="186"/>
      <c r="N1028" s="186"/>
      <c r="O1028" s="187"/>
      <c r="P1028" s="187"/>
      <c r="Q1028" s="187"/>
      <c r="R1028" s="187"/>
      <c r="S1028" s="187"/>
      <c r="T1028" s="187"/>
      <c r="U1028" s="187"/>
      <c r="V1028" s="187"/>
      <c r="W1028" s="189" t="str">
        <f t="shared" si="1638"/>
        <v/>
      </c>
      <c r="X1028" s="189"/>
      <c r="Y1028" s="189"/>
      <c r="Z1028" s="189"/>
      <c r="AA1028" s="190"/>
      <c r="AB1028" s="186"/>
      <c r="AC1028" s="344"/>
      <c r="AD1028" s="186"/>
      <c r="AE1028" s="186"/>
      <c r="AF1028" s="186"/>
      <c r="AG1028" s="186"/>
      <c r="AH1028" s="186"/>
      <c r="AI1028" s="191"/>
      <c r="AJ1028" s="191"/>
      <c r="AK1028" s="186"/>
      <c r="AL1028" s="186"/>
      <c r="AM1028" s="186"/>
      <c r="AN1028" s="344"/>
      <c r="AO1028" s="186"/>
      <c r="AP1028" s="193"/>
      <c r="AQ1028" s="193"/>
      <c r="AR1028" s="191"/>
      <c r="AS1028" s="194"/>
      <c r="AT1028" s="195"/>
      <c r="AU1028" s="425"/>
      <c r="AV1028" s="425"/>
      <c r="AW1028" s="425"/>
      <c r="AX1028" s="425"/>
      <c r="AY1028" s="425"/>
      <c r="AZ1028" s="425"/>
      <c r="BA1028" s="425"/>
      <c r="BB1028" s="425"/>
      <c r="BC1028" s="440"/>
      <c r="BD1028" s="404">
        <f>SUM($AS$4:AS1028)</f>
        <v>4658.4686248833132</v>
      </c>
      <c r="BE1028" s="407">
        <f>SUM($AR$4:AR1028)</f>
        <v>23362.712000000174</v>
      </c>
      <c r="BF1028" s="331"/>
      <c r="BG1028" s="331"/>
    </row>
    <row r="1029" spans="1:59" ht="15.75" customHeight="1">
      <c r="A1029" s="227" t="s">
        <v>3717</v>
      </c>
      <c r="B1029" s="181"/>
      <c r="C1029" s="182"/>
      <c r="D1029" s="182"/>
      <c r="E1029" s="233" t="s">
        <v>3782</v>
      </c>
      <c r="F1029" s="184"/>
      <c r="G1029" s="185"/>
      <c r="H1029" s="186"/>
      <c r="I1029" s="186">
        <v>1</v>
      </c>
      <c r="J1029" s="186"/>
      <c r="K1029" s="187"/>
      <c r="L1029" s="186"/>
      <c r="M1029" s="186"/>
      <c r="N1029" s="186"/>
      <c r="O1029" s="187"/>
      <c r="P1029" s="187"/>
      <c r="Q1029" s="187"/>
      <c r="R1029" s="187"/>
      <c r="S1029" s="187"/>
      <c r="T1029" s="187"/>
      <c r="U1029" s="187"/>
      <c r="V1029" s="187"/>
      <c r="W1029" s="189" t="str">
        <f t="shared" si="1638"/>
        <v/>
      </c>
      <c r="X1029" s="189"/>
      <c r="Y1029" s="189"/>
      <c r="Z1029" s="189"/>
      <c r="AA1029" s="190"/>
      <c r="AB1029" s="186"/>
      <c r="AC1029" s="344"/>
      <c r="AD1029" s="186"/>
      <c r="AE1029" s="186"/>
      <c r="AF1029" s="186"/>
      <c r="AG1029" s="186"/>
      <c r="AH1029" s="186"/>
      <c r="AI1029" s="191"/>
      <c r="AJ1029" s="191"/>
      <c r="AK1029" s="186"/>
      <c r="AL1029" s="186"/>
      <c r="AM1029" s="186"/>
      <c r="AN1029" s="344"/>
      <c r="AO1029" s="186"/>
      <c r="AP1029" s="193"/>
      <c r="AQ1029" s="193"/>
      <c r="AR1029" s="191"/>
      <c r="AS1029" s="194"/>
      <c r="AT1029" s="195"/>
      <c r="AU1029" s="425"/>
      <c r="AV1029" s="425"/>
      <c r="AW1029" s="425"/>
      <c r="AX1029" s="425"/>
      <c r="AY1029" s="425"/>
      <c r="AZ1029" s="425"/>
      <c r="BA1029" s="425"/>
      <c r="BB1029" s="425"/>
      <c r="BC1029" s="440"/>
      <c r="BD1029" s="404">
        <f>SUM($AS$4:AS1029)</f>
        <v>4658.4686248833132</v>
      </c>
      <c r="BE1029" s="407">
        <f>SUM($AR$4:AR1029)</f>
        <v>23362.712000000174</v>
      </c>
      <c r="BF1029" s="331"/>
      <c r="BG1029" s="331"/>
    </row>
    <row r="1030" spans="1:59" ht="15.75" customHeight="1">
      <c r="A1030" s="227" t="s">
        <v>3717</v>
      </c>
      <c r="B1030" s="181">
        <v>45182</v>
      </c>
      <c r="C1030" s="182" t="s">
        <v>664</v>
      </c>
      <c r="D1030" s="182" t="s">
        <v>133</v>
      </c>
      <c r="E1030" s="233"/>
      <c r="F1030" s="184"/>
      <c r="G1030" s="291" t="s">
        <v>1185</v>
      </c>
      <c r="H1030" s="186"/>
      <c r="I1030" s="186"/>
      <c r="J1030" s="186"/>
      <c r="K1030" s="187"/>
      <c r="L1030" s="186">
        <v>2</v>
      </c>
      <c r="M1030" s="186"/>
      <c r="N1030" s="186"/>
      <c r="O1030" s="187" t="s">
        <v>76</v>
      </c>
      <c r="P1030" s="187" t="s">
        <v>77</v>
      </c>
      <c r="Q1030" s="187" t="s">
        <v>666</v>
      </c>
      <c r="R1030" s="187">
        <v>1</v>
      </c>
      <c r="S1030" s="187">
        <v>0</v>
      </c>
      <c r="T1030" s="187">
        <v>1</v>
      </c>
      <c r="U1030" s="187" t="s">
        <v>22</v>
      </c>
      <c r="V1030" s="188">
        <f t="shared" ref="V1030:V1031" si="1646">IF(ISBLANK(O1030),"",(IF(O1030=UPPER("IB"),0.005,0.01)))</f>
        <v>0.01</v>
      </c>
      <c r="W1030" s="189">
        <f t="shared" ref="W1030:W1031" si="1647">IF(ISBLANK(O1030),"",IF(O1030="IB",8.63*200,IF(O1030="IR",16*100,IF(O1030="YT",20*100,IF(O1030="YT-XT",24*200,IF(O1030="TED",80*100))))))</f>
        <v>1600</v>
      </c>
      <c r="X1030" s="189" t="s">
        <v>3783</v>
      </c>
      <c r="Y1030" s="189"/>
      <c r="Z1030" s="189"/>
      <c r="AA1030" s="190">
        <v>95.66</v>
      </c>
      <c r="AB1030" s="186"/>
      <c r="AC1030" s="344"/>
      <c r="AD1030" s="186"/>
      <c r="AE1030" s="186"/>
      <c r="AF1030" s="186"/>
      <c r="AG1030" s="186"/>
      <c r="AH1030" s="186"/>
      <c r="AI1030" s="191"/>
      <c r="AJ1030" s="191"/>
      <c r="AK1030" s="186"/>
      <c r="AL1030" s="186"/>
      <c r="AM1030" s="186" t="s">
        <v>3784</v>
      </c>
      <c r="AN1030" s="344" t="s">
        <v>376</v>
      </c>
      <c r="AO1030" s="186" t="s">
        <v>3785</v>
      </c>
      <c r="AP1030" s="193">
        <v>95.69</v>
      </c>
      <c r="AQ1030" s="193">
        <f t="shared" ref="AQ1026:AQ1031" si="1648">IF(ISBLANK(AP1030),,IF(U1030="S",AA1030-AP1030,AP1030-AA1030))</f>
        <v>3.0000000000001137E-2</v>
      </c>
      <c r="AR1030" s="191">
        <f t="shared" ref="AR1026:AR1031" si="1649">AS1030*R1030</f>
        <v>48.000000000001819</v>
      </c>
      <c r="AS1030" s="194">
        <f t="shared" ref="AS1026:AS1031" si="1650">IF(ISBLANK(AP1030),,(AQ1030*W1030))</f>
        <v>48.000000000001819</v>
      </c>
      <c r="AT1030" s="195" t="s">
        <v>77</v>
      </c>
      <c r="AU1030" s="425" t="s">
        <v>3786</v>
      </c>
      <c r="AV1030" s="425" t="s">
        <v>3787</v>
      </c>
      <c r="AW1030" s="425"/>
      <c r="AX1030" s="425" t="s">
        <v>3788</v>
      </c>
      <c r="AY1030" s="425"/>
      <c r="AZ1030" s="425"/>
      <c r="BA1030" s="425"/>
      <c r="BB1030" s="425"/>
      <c r="BC1030" s="440"/>
      <c r="BD1030" s="404">
        <f>SUM($AS$4:AS1030)</f>
        <v>4706.468624883315</v>
      </c>
      <c r="BE1030" s="407">
        <f>SUM($AR$4:AR1030)</f>
        <v>23410.712000000174</v>
      </c>
      <c r="BF1030" s="331"/>
      <c r="BG1030" s="331"/>
    </row>
    <row r="1031" spans="1:59" ht="15.75" customHeight="1">
      <c r="A1031" s="227" t="s">
        <v>3717</v>
      </c>
      <c r="B1031" s="181">
        <v>45182</v>
      </c>
      <c r="C1031" s="182" t="s">
        <v>664</v>
      </c>
      <c r="D1031" s="182" t="s">
        <v>133</v>
      </c>
      <c r="E1031" s="233"/>
      <c r="F1031" s="184"/>
      <c r="G1031" s="291" t="s">
        <v>2126</v>
      </c>
      <c r="H1031" s="186"/>
      <c r="I1031" s="186"/>
      <c r="J1031" s="186"/>
      <c r="K1031" s="187"/>
      <c r="L1031" s="186">
        <v>1</v>
      </c>
      <c r="M1031" s="186"/>
      <c r="N1031" s="186"/>
      <c r="O1031" s="187" t="s">
        <v>76</v>
      </c>
      <c r="P1031" s="187" t="s">
        <v>77</v>
      </c>
      <c r="Q1031" s="187" t="s">
        <v>78</v>
      </c>
      <c r="R1031" s="187">
        <v>12</v>
      </c>
      <c r="S1031" s="187">
        <v>0</v>
      </c>
      <c r="T1031" s="187">
        <v>12</v>
      </c>
      <c r="U1031" s="187" t="s">
        <v>78</v>
      </c>
      <c r="V1031" s="188">
        <f t="shared" si="1646"/>
        <v>0.01</v>
      </c>
      <c r="W1031" s="189">
        <f t="shared" si="1647"/>
        <v>1600</v>
      </c>
      <c r="X1031" s="189" t="s">
        <v>3789</v>
      </c>
      <c r="Y1031" s="189"/>
      <c r="Z1031" s="189"/>
      <c r="AA1031" s="190">
        <v>7.0000000000000007E-2</v>
      </c>
      <c r="AB1031" s="186"/>
      <c r="AC1031" s="344"/>
      <c r="AD1031" s="186"/>
      <c r="AE1031" s="186"/>
      <c r="AF1031" s="186"/>
      <c r="AG1031" s="186"/>
      <c r="AH1031" s="186"/>
      <c r="AI1031" s="191"/>
      <c r="AJ1031" s="191"/>
      <c r="AK1031" s="186"/>
      <c r="AL1031" s="186"/>
      <c r="AM1031" s="186" t="s">
        <v>3784</v>
      </c>
      <c r="AN1031" s="344" t="s">
        <v>376</v>
      </c>
      <c r="AO1031" s="186" t="s">
        <v>3785</v>
      </c>
      <c r="AP1031" s="193">
        <v>0.06</v>
      </c>
      <c r="AQ1031" s="193">
        <f t="shared" si="1648"/>
        <v>1.0000000000000009E-2</v>
      </c>
      <c r="AR1031" s="191">
        <f t="shared" si="1649"/>
        <v>192.00000000000017</v>
      </c>
      <c r="AS1031" s="194">
        <f t="shared" si="1650"/>
        <v>16.000000000000014</v>
      </c>
      <c r="AT1031" s="195" t="s">
        <v>77</v>
      </c>
      <c r="AU1031" s="425" t="s">
        <v>3790</v>
      </c>
      <c r="AV1031" s="425"/>
      <c r="AW1031" s="425"/>
      <c r="AX1031" s="425" t="s">
        <v>3791</v>
      </c>
      <c r="AY1031" s="425"/>
      <c r="AZ1031" s="425"/>
      <c r="BA1031" s="425"/>
      <c r="BB1031" s="425"/>
      <c r="BC1031" s="440"/>
      <c r="BD1031" s="404">
        <f>SUM($AS$4:AS1031)</f>
        <v>4722.468624883315</v>
      </c>
      <c r="BE1031" s="407">
        <f>SUM($AR$4:AR1031)</f>
        <v>23602.712000000174</v>
      </c>
      <c r="BF1031" s="331"/>
      <c r="BG1031" s="331"/>
    </row>
    <row r="1032" spans="1:59" ht="15.75" customHeight="1">
      <c r="A1032" s="227" t="s">
        <v>3717</v>
      </c>
      <c r="B1032" s="181">
        <v>45182</v>
      </c>
      <c r="C1032" s="182" t="s">
        <v>3792</v>
      </c>
      <c r="D1032" s="182" t="s">
        <v>133</v>
      </c>
      <c r="E1032" s="233"/>
      <c r="F1032" s="184"/>
      <c r="G1032" s="291" t="s">
        <v>2126</v>
      </c>
      <c r="H1032" s="186"/>
      <c r="I1032" s="186"/>
      <c r="J1032" s="186"/>
      <c r="K1032" s="187"/>
      <c r="L1032" s="186">
        <v>1</v>
      </c>
      <c r="M1032" s="186"/>
      <c r="N1032" s="186"/>
      <c r="O1032" s="187" t="s">
        <v>76</v>
      </c>
      <c r="P1032" s="187" t="s">
        <v>77</v>
      </c>
      <c r="Q1032" s="187" t="s">
        <v>78</v>
      </c>
      <c r="R1032" s="187">
        <v>10</v>
      </c>
      <c r="S1032" s="187">
        <v>0</v>
      </c>
      <c r="T1032" s="187">
        <v>10</v>
      </c>
      <c r="U1032" s="187" t="s">
        <v>78</v>
      </c>
      <c r="V1032" s="188">
        <f t="shared" ref="V1032" si="1651">IF(ISBLANK(O1032),"",(IF(O1032=UPPER("IB"),0.005,0.01)))</f>
        <v>0.01</v>
      </c>
      <c r="W1032" s="189">
        <f t="shared" ref="W1032" si="1652">IF(ISBLANK(O1032),"",IF(O1032="IB",8.63*200,IF(O1032="IR",16*100,IF(O1032="YT",20*100,IF(O1032="YT-XT",24*200,IF(O1032="TED",80*100))))))</f>
        <v>1600</v>
      </c>
      <c r="X1032" s="189" t="s">
        <v>80</v>
      </c>
      <c r="Y1032" s="189"/>
      <c r="Z1032" s="189"/>
      <c r="AA1032" s="190">
        <v>7.0000000000000007E-2</v>
      </c>
      <c r="AB1032" s="186"/>
      <c r="AC1032" s="344"/>
      <c r="AD1032" s="186"/>
      <c r="AE1032" s="186"/>
      <c r="AF1032" s="186"/>
      <c r="AG1032" s="186"/>
      <c r="AH1032" s="186"/>
      <c r="AI1032" s="191"/>
      <c r="AJ1032" s="191"/>
      <c r="AK1032" s="186"/>
      <c r="AL1032" s="186"/>
      <c r="AM1032" s="186" t="s">
        <v>949</v>
      </c>
      <c r="AN1032" s="344" t="s">
        <v>87</v>
      </c>
      <c r="AO1032" s="186" t="s">
        <v>2305</v>
      </c>
      <c r="AP1032" s="193">
        <v>0.06</v>
      </c>
      <c r="AQ1032" s="193">
        <f t="shared" ref="AQ1032" si="1653">IF(ISBLANK(AP1032),,IF(U1032="S",AA1032-AP1032,AP1032-AA1032))</f>
        <v>1.0000000000000009E-2</v>
      </c>
      <c r="AR1032" s="191">
        <f t="shared" ref="AR1032" si="1654">AS1032*R1032</f>
        <v>160.00000000000014</v>
      </c>
      <c r="AS1032" s="194">
        <f t="shared" ref="AS1032" si="1655">IF(ISBLANK(AP1032),,(AQ1032*W1032))</f>
        <v>16.000000000000014</v>
      </c>
      <c r="AT1032" s="195" t="s">
        <v>77</v>
      </c>
      <c r="AU1032" s="425"/>
      <c r="AV1032" s="425"/>
      <c r="AW1032" s="425"/>
      <c r="AX1032" s="425"/>
      <c r="AY1032" s="425"/>
      <c r="AZ1032" s="425"/>
      <c r="BA1032" s="425"/>
      <c r="BB1032" s="425"/>
      <c r="BC1032" s="440"/>
      <c r="BD1032" s="404">
        <f>SUM($AS$4:AS1032)</f>
        <v>4738.468624883315</v>
      </c>
      <c r="BE1032" s="407">
        <f>SUM($AR$4:AR1032)</f>
        <v>23762.712000000174</v>
      </c>
      <c r="BF1032" s="331"/>
      <c r="BG1032" s="331"/>
    </row>
    <row r="1033" spans="1:59" ht="15.75" customHeight="1">
      <c r="A1033" s="227" t="s">
        <v>3717</v>
      </c>
      <c r="B1033" s="181">
        <v>45183</v>
      </c>
      <c r="C1033" s="182" t="s">
        <v>2001</v>
      </c>
      <c r="D1033" s="182" t="s">
        <v>74</v>
      </c>
      <c r="E1033" s="233" t="s">
        <v>3793</v>
      </c>
      <c r="F1033" s="184"/>
      <c r="G1033" s="185"/>
      <c r="H1033" s="186"/>
      <c r="I1033" s="186">
        <v>1</v>
      </c>
      <c r="J1033" s="186"/>
      <c r="K1033" s="187"/>
      <c r="L1033" s="186"/>
      <c r="M1033" s="186"/>
      <c r="N1033" s="186"/>
      <c r="O1033" s="187"/>
      <c r="P1033" s="187"/>
      <c r="Q1033" s="187"/>
      <c r="R1033" s="187"/>
      <c r="S1033" s="187"/>
      <c r="T1033" s="187"/>
      <c r="U1033" s="187"/>
      <c r="V1033" s="187"/>
      <c r="W1033" s="189" t="str">
        <f t="shared" ref="W1033:W1036" si="1656">IF(ISBLANK(O1033),"",IF(O1033="IB",8.63*200,IF(O1033="IR",16*100,IF(O1033="YT",20*100,IF(O1033="YT-XT",24*200,IF(O1033="TED",80*100))))))</f>
        <v/>
      </c>
      <c r="X1033" s="189"/>
      <c r="Y1033" s="189"/>
      <c r="Z1033" s="189"/>
      <c r="AA1033" s="190"/>
      <c r="AB1033" s="186"/>
      <c r="AC1033" s="344"/>
      <c r="AD1033" s="186"/>
      <c r="AE1033" s="186"/>
      <c r="AF1033" s="186"/>
      <c r="AG1033" s="186"/>
      <c r="AH1033" s="186"/>
      <c r="AI1033" s="191"/>
      <c r="AJ1033" s="191"/>
      <c r="AK1033" s="186"/>
      <c r="AL1033" s="186"/>
      <c r="AM1033" s="186"/>
      <c r="AN1033" s="344"/>
      <c r="AO1033" s="186"/>
      <c r="AP1033" s="193"/>
      <c r="AQ1033" s="193"/>
      <c r="AR1033" s="191"/>
      <c r="AS1033" s="194"/>
      <c r="AT1033" s="195"/>
      <c r="AU1033" s="425"/>
      <c r="AV1033" s="425"/>
      <c r="AW1033" s="425"/>
      <c r="AX1033" s="425"/>
      <c r="AY1033" s="425"/>
      <c r="AZ1033" s="425"/>
      <c r="BA1033" s="425"/>
      <c r="BB1033" s="425"/>
      <c r="BC1033" s="440"/>
      <c r="BD1033" s="404">
        <f>SUM($AS$4:AS1033)</f>
        <v>4738.468624883315</v>
      </c>
      <c r="BE1033" s="407">
        <f>SUM($AR$4:AR1033)</f>
        <v>23762.712000000174</v>
      </c>
      <c r="BF1033" s="331"/>
      <c r="BG1033" s="331"/>
    </row>
    <row r="1034" spans="1:59" ht="15.75" customHeight="1">
      <c r="A1034" s="227" t="s">
        <v>3717</v>
      </c>
      <c r="B1034" s="181"/>
      <c r="C1034" s="182"/>
      <c r="D1034" s="182"/>
      <c r="E1034" s="233" t="s">
        <v>3794</v>
      </c>
      <c r="F1034" s="184"/>
      <c r="G1034" s="185"/>
      <c r="H1034" s="186">
        <v>1</v>
      </c>
      <c r="I1034" s="186"/>
      <c r="J1034" s="186"/>
      <c r="K1034" s="187" t="s">
        <v>87</v>
      </c>
      <c r="L1034" s="186"/>
      <c r="M1034" s="186"/>
      <c r="N1034" s="186"/>
      <c r="O1034" s="187"/>
      <c r="P1034" s="187"/>
      <c r="Q1034" s="187"/>
      <c r="R1034" s="187"/>
      <c r="S1034" s="187"/>
      <c r="T1034" s="187"/>
      <c r="U1034" s="187"/>
      <c r="V1034" s="187"/>
      <c r="W1034" s="189" t="str">
        <f t="shared" si="1656"/>
        <v/>
      </c>
      <c r="X1034" s="189"/>
      <c r="Y1034" s="189"/>
      <c r="Z1034" s="189"/>
      <c r="AA1034" s="190"/>
      <c r="AB1034" s="186"/>
      <c r="AC1034" s="344"/>
      <c r="AD1034" s="186"/>
      <c r="AE1034" s="186"/>
      <c r="AF1034" s="186"/>
      <c r="AG1034" s="186"/>
      <c r="AH1034" s="186"/>
      <c r="AI1034" s="191"/>
      <c r="AJ1034" s="191"/>
      <c r="AK1034" s="186"/>
      <c r="AL1034" s="186"/>
      <c r="AM1034" s="186"/>
      <c r="AN1034" s="344"/>
      <c r="AO1034" s="186"/>
      <c r="AP1034" s="193"/>
      <c r="AQ1034" s="193"/>
      <c r="AR1034" s="191"/>
      <c r="AS1034" s="194"/>
      <c r="AT1034" s="195"/>
      <c r="AU1034" s="425"/>
      <c r="AV1034" s="425"/>
      <c r="AW1034" s="425"/>
      <c r="AX1034" s="425"/>
      <c r="AY1034" s="425"/>
      <c r="AZ1034" s="425"/>
      <c r="BA1034" s="425"/>
      <c r="BB1034" s="425"/>
      <c r="BC1034" s="440"/>
      <c r="BD1034" s="404">
        <f>SUM($AS$4:AS1034)</f>
        <v>4738.468624883315</v>
      </c>
      <c r="BE1034" s="407">
        <f>SUM($AR$4:AR1034)</f>
        <v>23762.712000000174</v>
      </c>
      <c r="BF1034" s="331"/>
      <c r="BG1034" s="331"/>
    </row>
    <row r="1035" spans="1:59" ht="15.75" customHeight="1">
      <c r="A1035" s="227" t="s">
        <v>3717</v>
      </c>
      <c r="B1035" s="181">
        <v>45183</v>
      </c>
      <c r="C1035" s="182" t="s">
        <v>3252</v>
      </c>
      <c r="D1035" s="182" t="s">
        <v>74</v>
      </c>
      <c r="E1035" s="233"/>
      <c r="F1035" s="184"/>
      <c r="G1035" s="185" t="s">
        <v>2051</v>
      </c>
      <c r="H1035" s="186"/>
      <c r="I1035" s="186"/>
      <c r="J1035" s="186"/>
      <c r="K1035" s="187"/>
      <c r="L1035" s="186"/>
      <c r="M1035" s="186"/>
      <c r="N1035" s="186"/>
      <c r="O1035" s="187"/>
      <c r="P1035" s="187"/>
      <c r="Q1035" s="187"/>
      <c r="R1035" s="187"/>
      <c r="S1035" s="187"/>
      <c r="T1035" s="187"/>
      <c r="U1035" s="187"/>
      <c r="V1035" s="188"/>
      <c r="W1035" s="189"/>
      <c r="X1035" s="189"/>
      <c r="Y1035" s="189"/>
      <c r="Z1035" s="189"/>
      <c r="AA1035" s="190"/>
      <c r="AB1035" s="186"/>
      <c r="AC1035" s="344"/>
      <c r="AD1035" s="186"/>
      <c r="AE1035" s="186"/>
      <c r="AF1035" s="186"/>
      <c r="AG1035" s="186"/>
      <c r="AH1035" s="186"/>
      <c r="AI1035" s="191"/>
      <c r="AJ1035" s="191"/>
      <c r="AK1035" s="186"/>
      <c r="AL1035" s="186"/>
      <c r="AM1035" s="186"/>
      <c r="AN1035" s="344"/>
      <c r="AO1035" s="186"/>
      <c r="AP1035" s="193"/>
      <c r="AQ1035" s="193"/>
      <c r="AR1035" s="191"/>
      <c r="AS1035" s="194"/>
      <c r="AT1035" s="195"/>
      <c r="AU1035" s="425"/>
      <c r="AV1035" s="425"/>
      <c r="AW1035" s="425"/>
      <c r="AX1035" s="425"/>
      <c r="AY1035" s="425"/>
      <c r="AZ1035" s="425"/>
      <c r="BA1035" s="425"/>
      <c r="BB1035" s="425"/>
      <c r="BC1035" s="440"/>
      <c r="BD1035" s="404">
        <f>SUM($AS$4:AS1035)</f>
        <v>4738.468624883315</v>
      </c>
      <c r="BE1035" s="407">
        <f>SUM($AR$4:AR1035)</f>
        <v>23762.712000000174</v>
      </c>
      <c r="BF1035" s="331"/>
      <c r="BG1035" s="331"/>
    </row>
    <row r="1036" spans="1:59" ht="15.75" customHeight="1">
      <c r="A1036" s="227" t="s">
        <v>3717</v>
      </c>
      <c r="B1036" s="181">
        <v>45183</v>
      </c>
      <c r="C1036" s="182" t="s">
        <v>293</v>
      </c>
      <c r="D1036" s="182" t="s">
        <v>74</v>
      </c>
      <c r="E1036" s="233" t="s">
        <v>3795</v>
      </c>
      <c r="F1036" s="184" t="s">
        <v>3245</v>
      </c>
      <c r="G1036" s="185"/>
      <c r="H1036" s="186">
        <v>1</v>
      </c>
      <c r="I1036" s="186"/>
      <c r="J1036" s="186"/>
      <c r="K1036" s="187" t="s">
        <v>87</v>
      </c>
      <c r="L1036" s="186"/>
      <c r="M1036" s="186"/>
      <c r="N1036" s="186"/>
      <c r="O1036" s="187"/>
      <c r="P1036" s="187"/>
      <c r="Q1036" s="187"/>
      <c r="R1036" s="187"/>
      <c r="S1036" s="187"/>
      <c r="T1036" s="187"/>
      <c r="U1036" s="187"/>
      <c r="V1036" s="187"/>
      <c r="W1036" s="189" t="str">
        <f t="shared" si="1656"/>
        <v/>
      </c>
      <c r="X1036" s="189"/>
      <c r="Y1036" s="189"/>
      <c r="Z1036" s="189"/>
      <c r="AA1036" s="190"/>
      <c r="AB1036" s="186"/>
      <c r="AC1036" s="344"/>
      <c r="AD1036" s="186"/>
      <c r="AE1036" s="186"/>
      <c r="AF1036" s="186"/>
      <c r="AG1036" s="186"/>
      <c r="AH1036" s="186"/>
      <c r="AI1036" s="191"/>
      <c r="AJ1036" s="191"/>
      <c r="AK1036" s="186"/>
      <c r="AL1036" s="186"/>
      <c r="AM1036" s="186"/>
      <c r="AN1036" s="344"/>
      <c r="AO1036" s="186"/>
      <c r="AP1036" s="193"/>
      <c r="AQ1036" s="193"/>
      <c r="AR1036" s="191"/>
      <c r="AS1036" s="194"/>
      <c r="AT1036" s="195"/>
      <c r="AU1036" s="425"/>
      <c r="AV1036" s="425"/>
      <c r="AW1036" s="425"/>
      <c r="AX1036" s="425"/>
      <c r="AY1036" s="425"/>
      <c r="AZ1036" s="425"/>
      <c r="BA1036" s="425"/>
      <c r="BB1036" s="425"/>
      <c r="BC1036" s="440"/>
      <c r="BD1036" s="404">
        <f>SUM($AS$4:AS1036)</f>
        <v>4738.468624883315</v>
      </c>
      <c r="BE1036" s="407">
        <f>SUM($AR$4:AR1036)</f>
        <v>23762.712000000174</v>
      </c>
      <c r="BF1036" s="331"/>
      <c r="BG1036" s="331"/>
    </row>
    <row r="1037" spans="1:59" ht="15.75" customHeight="1">
      <c r="A1037" s="227" t="s">
        <v>3717</v>
      </c>
      <c r="B1037" s="181">
        <v>45183</v>
      </c>
      <c r="C1037" s="182" t="s">
        <v>1709</v>
      </c>
      <c r="D1037" s="182" t="s">
        <v>74</v>
      </c>
      <c r="E1037" s="233" t="s">
        <v>3796</v>
      </c>
      <c r="F1037" s="184" t="s">
        <v>3245</v>
      </c>
      <c r="G1037" s="185"/>
      <c r="H1037" s="186">
        <v>1</v>
      </c>
      <c r="I1037" s="186"/>
      <c r="J1037" s="186"/>
      <c r="K1037" s="187" t="s">
        <v>87</v>
      </c>
      <c r="L1037" s="186"/>
      <c r="M1037" s="186"/>
      <c r="N1037" s="186"/>
      <c r="O1037" s="187"/>
      <c r="P1037" s="187"/>
      <c r="Q1037" s="187"/>
      <c r="R1037" s="187"/>
      <c r="S1037" s="187"/>
      <c r="T1037" s="187"/>
      <c r="U1037" s="187"/>
      <c r="V1037" s="187"/>
      <c r="W1037" s="189" t="str">
        <f t="shared" si="1638"/>
        <v/>
      </c>
      <c r="X1037" s="189"/>
      <c r="Y1037" s="189"/>
      <c r="Z1037" s="189"/>
      <c r="AA1037" s="190"/>
      <c r="AB1037" s="186"/>
      <c r="AC1037" s="344"/>
      <c r="AD1037" s="186"/>
      <c r="AE1037" s="186"/>
      <c r="AF1037" s="186"/>
      <c r="AG1037" s="186"/>
      <c r="AH1037" s="186"/>
      <c r="AI1037" s="191"/>
      <c r="AJ1037" s="191"/>
      <c r="AK1037" s="186"/>
      <c r="AL1037" s="186"/>
      <c r="AM1037" s="186"/>
      <c r="AN1037" s="344"/>
      <c r="AO1037" s="186"/>
      <c r="AP1037" s="193"/>
      <c r="AQ1037" s="193"/>
      <c r="AR1037" s="191"/>
      <c r="AS1037" s="194"/>
      <c r="AT1037" s="195"/>
      <c r="AU1037" s="425"/>
      <c r="AV1037" s="425"/>
      <c r="AW1037" s="425"/>
      <c r="AX1037" s="425"/>
      <c r="AY1037" s="425"/>
      <c r="AZ1037" s="425"/>
      <c r="BA1037" s="425"/>
      <c r="BB1037" s="425"/>
      <c r="BC1037" s="440"/>
      <c r="BD1037" s="404">
        <f>SUM($AS$4:AS1037)</f>
        <v>4738.468624883315</v>
      </c>
      <c r="BE1037" s="407">
        <f>SUM($AR$4:AR1037)</f>
        <v>23762.712000000174</v>
      </c>
      <c r="BF1037" s="331"/>
      <c r="BG1037" s="331"/>
    </row>
    <row r="1038" spans="1:59" ht="15.75" customHeight="1">
      <c r="A1038" s="227" t="s">
        <v>3717</v>
      </c>
      <c r="B1038" s="181"/>
      <c r="C1038" s="182"/>
      <c r="D1038" s="182"/>
      <c r="E1038" s="233" t="s">
        <v>3797</v>
      </c>
      <c r="F1038" s="184"/>
      <c r="G1038" s="185"/>
      <c r="H1038" s="186">
        <v>1</v>
      </c>
      <c r="I1038" s="186"/>
      <c r="J1038" s="186"/>
      <c r="K1038" s="187" t="s">
        <v>87</v>
      </c>
      <c r="L1038" s="186"/>
      <c r="M1038" s="186"/>
      <c r="N1038" s="186"/>
      <c r="O1038" s="187"/>
      <c r="P1038" s="187"/>
      <c r="Q1038" s="187"/>
      <c r="R1038" s="187"/>
      <c r="S1038" s="187"/>
      <c r="T1038" s="187"/>
      <c r="U1038" s="187"/>
      <c r="V1038" s="187"/>
      <c r="W1038" s="189" t="str">
        <f t="shared" si="1638"/>
        <v/>
      </c>
      <c r="X1038" s="189"/>
      <c r="Y1038" s="189"/>
      <c r="Z1038" s="189"/>
      <c r="AA1038" s="190"/>
      <c r="AB1038" s="186"/>
      <c r="AC1038" s="344"/>
      <c r="AD1038" s="186"/>
      <c r="AE1038" s="186"/>
      <c r="AF1038" s="186"/>
      <c r="AG1038" s="186"/>
      <c r="AH1038" s="186"/>
      <c r="AI1038" s="191"/>
      <c r="AJ1038" s="191"/>
      <c r="AK1038" s="186"/>
      <c r="AL1038" s="186"/>
      <c r="AM1038" s="186"/>
      <c r="AN1038" s="344"/>
      <c r="AO1038" s="186"/>
      <c r="AP1038" s="193"/>
      <c r="AQ1038" s="193"/>
      <c r="AR1038" s="191"/>
      <c r="AS1038" s="194"/>
      <c r="AT1038" s="195"/>
      <c r="AU1038" s="425"/>
      <c r="AV1038" s="425"/>
      <c r="AW1038" s="425"/>
      <c r="AX1038" s="425"/>
      <c r="AY1038" s="425"/>
      <c r="AZ1038" s="425"/>
      <c r="BA1038" s="425"/>
      <c r="BB1038" s="425"/>
      <c r="BC1038" s="440"/>
      <c r="BD1038" s="404">
        <f>SUM($AS$4:AS1038)</f>
        <v>4738.468624883315</v>
      </c>
      <c r="BE1038" s="407">
        <f>SUM($AR$4:AR1038)</f>
        <v>23762.712000000174</v>
      </c>
      <c r="BF1038" s="331"/>
      <c r="BG1038" s="331"/>
    </row>
    <row r="1039" spans="1:59" ht="15.75" customHeight="1">
      <c r="A1039" s="227" t="s">
        <v>3717</v>
      </c>
      <c r="B1039" s="181"/>
      <c r="C1039" s="182"/>
      <c r="D1039" s="182"/>
      <c r="E1039" s="233" t="s">
        <v>3798</v>
      </c>
      <c r="F1039" s="184"/>
      <c r="G1039" s="185"/>
      <c r="H1039" s="186">
        <v>1</v>
      </c>
      <c r="I1039" s="186"/>
      <c r="J1039" s="186"/>
      <c r="K1039" s="187" t="s">
        <v>87</v>
      </c>
      <c r="L1039" s="186"/>
      <c r="M1039" s="186"/>
      <c r="N1039" s="186"/>
      <c r="O1039" s="187"/>
      <c r="P1039" s="187"/>
      <c r="Q1039" s="187"/>
      <c r="R1039" s="187"/>
      <c r="S1039" s="187"/>
      <c r="T1039" s="187"/>
      <c r="U1039" s="187"/>
      <c r="V1039" s="187"/>
      <c r="W1039" s="189" t="str">
        <f t="shared" ref="W1039:W1042" si="1657">IF(ISBLANK(O1039),"",IF(O1039="IB",8.63*200,IF(O1039="IR",16*100,IF(O1039="YT",20*100,IF(O1039="YT-XT",24*200,IF(O1039="TED",80*100))))))</f>
        <v/>
      </c>
      <c r="X1039" s="189"/>
      <c r="Y1039" s="189"/>
      <c r="Z1039" s="189"/>
      <c r="AA1039" s="190"/>
      <c r="AB1039" s="186"/>
      <c r="AC1039" s="344"/>
      <c r="AD1039" s="186"/>
      <c r="AE1039" s="186"/>
      <c r="AF1039" s="186"/>
      <c r="AG1039" s="186"/>
      <c r="AH1039" s="186"/>
      <c r="AI1039" s="191"/>
      <c r="AJ1039" s="191"/>
      <c r="AK1039" s="186"/>
      <c r="AL1039" s="186"/>
      <c r="AM1039" s="186"/>
      <c r="AN1039" s="344"/>
      <c r="AO1039" s="186"/>
      <c r="AP1039" s="193"/>
      <c r="AQ1039" s="193"/>
      <c r="AR1039" s="191"/>
      <c r="AS1039" s="194"/>
      <c r="AT1039" s="195"/>
      <c r="AU1039" s="425"/>
      <c r="AV1039" s="425"/>
      <c r="AW1039" s="425"/>
      <c r="AX1039" s="425"/>
      <c r="AY1039" s="425"/>
      <c r="AZ1039" s="425"/>
      <c r="BA1039" s="425"/>
      <c r="BB1039" s="425"/>
      <c r="BC1039" s="440"/>
      <c r="BD1039" s="404">
        <f>SUM($AS$4:AS1039)</f>
        <v>4738.468624883315</v>
      </c>
      <c r="BE1039" s="407">
        <f>SUM($AR$4:AR1039)</f>
        <v>23762.712000000174</v>
      </c>
      <c r="BF1039" s="331"/>
      <c r="BG1039" s="331"/>
    </row>
    <row r="1040" spans="1:59" ht="15.75" customHeight="1">
      <c r="A1040" s="227" t="s">
        <v>3717</v>
      </c>
      <c r="B1040" s="181"/>
      <c r="C1040" s="182"/>
      <c r="D1040" s="182"/>
      <c r="E1040" s="233" t="s">
        <v>3799</v>
      </c>
      <c r="F1040" s="184"/>
      <c r="G1040" s="185"/>
      <c r="H1040" s="186"/>
      <c r="I1040" s="186"/>
      <c r="J1040" s="186"/>
      <c r="K1040" s="187"/>
      <c r="L1040" s="186"/>
      <c r="M1040" s="186"/>
      <c r="N1040" s="186"/>
      <c r="O1040" s="187"/>
      <c r="P1040" s="187"/>
      <c r="Q1040" s="187"/>
      <c r="R1040" s="187"/>
      <c r="S1040" s="187"/>
      <c r="T1040" s="187"/>
      <c r="U1040" s="187"/>
      <c r="V1040" s="187"/>
      <c r="W1040" s="189" t="str">
        <f t="shared" si="1657"/>
        <v/>
      </c>
      <c r="X1040" s="189"/>
      <c r="Y1040" s="189"/>
      <c r="Z1040" s="189"/>
      <c r="AA1040" s="190"/>
      <c r="AB1040" s="186"/>
      <c r="AC1040" s="344"/>
      <c r="AD1040" s="186"/>
      <c r="AE1040" s="186"/>
      <c r="AF1040" s="186"/>
      <c r="AG1040" s="186"/>
      <c r="AH1040" s="186"/>
      <c r="AI1040" s="191"/>
      <c r="AJ1040" s="191"/>
      <c r="AK1040" s="186"/>
      <c r="AL1040" s="186"/>
      <c r="AM1040" s="186"/>
      <c r="AN1040" s="344"/>
      <c r="AO1040" s="186"/>
      <c r="AP1040" s="193"/>
      <c r="AQ1040" s="193"/>
      <c r="AR1040" s="191"/>
      <c r="AS1040" s="194"/>
      <c r="AT1040" s="195"/>
      <c r="AU1040" s="425"/>
      <c r="AV1040" s="425"/>
      <c r="AW1040" s="425"/>
      <c r="AX1040" s="425"/>
      <c r="AY1040" s="425"/>
      <c r="AZ1040" s="425"/>
      <c r="BA1040" s="425"/>
      <c r="BB1040" s="425"/>
      <c r="BC1040" s="440"/>
      <c r="BD1040" s="404">
        <f>SUM($AS$4:AS1040)</f>
        <v>4738.468624883315</v>
      </c>
      <c r="BE1040" s="407">
        <f>SUM($AR$4:AR1040)</f>
        <v>23762.712000000174</v>
      </c>
      <c r="BF1040" s="331"/>
      <c r="BG1040" s="331"/>
    </row>
    <row r="1041" spans="1:59" ht="15.75" customHeight="1">
      <c r="A1041" s="227" t="s">
        <v>3717</v>
      </c>
      <c r="B1041" s="204"/>
      <c r="C1041" s="182"/>
      <c r="D1041" s="182"/>
      <c r="E1041" s="233"/>
      <c r="F1041" s="184"/>
      <c r="G1041" s="185"/>
      <c r="H1041" s="186"/>
      <c r="I1041" s="186"/>
      <c r="J1041" s="186"/>
      <c r="K1041" s="187"/>
      <c r="L1041" s="186"/>
      <c r="M1041" s="186"/>
      <c r="N1041" s="186"/>
      <c r="O1041" s="187"/>
      <c r="P1041" s="187"/>
      <c r="Q1041" s="187"/>
      <c r="R1041" s="187"/>
      <c r="S1041" s="187"/>
      <c r="T1041" s="187"/>
      <c r="U1041" s="187"/>
      <c r="V1041" s="187"/>
      <c r="W1041" s="187"/>
      <c r="X1041" s="189"/>
      <c r="Y1041" s="189"/>
      <c r="Z1041" s="189"/>
      <c r="AA1041" s="190"/>
      <c r="AB1041" s="186"/>
      <c r="AC1041" s="344"/>
      <c r="AD1041" s="186"/>
      <c r="AE1041" s="186"/>
      <c r="AF1041" s="186"/>
      <c r="AG1041" s="186"/>
      <c r="AH1041" s="186"/>
      <c r="AI1041" s="191"/>
      <c r="AJ1041" s="191"/>
      <c r="AK1041" s="186"/>
      <c r="AL1041" s="186"/>
      <c r="AM1041" s="186"/>
      <c r="AN1041" s="344"/>
      <c r="AO1041" s="186"/>
      <c r="AP1041" s="193"/>
      <c r="AQ1041" s="193"/>
      <c r="AR1041" s="191"/>
      <c r="AS1041" s="194"/>
      <c r="AT1041" s="195"/>
      <c r="AU1041" s="425" t="s">
        <v>3800</v>
      </c>
      <c r="AV1041" s="425" t="s">
        <v>3801</v>
      </c>
      <c r="AW1041" s="425" t="s">
        <v>3802</v>
      </c>
      <c r="AX1041" s="425" t="s">
        <v>3803</v>
      </c>
      <c r="AY1041" s="425" t="s">
        <v>3804</v>
      </c>
      <c r="AZ1041" s="425" t="s">
        <v>3805</v>
      </c>
      <c r="BA1041" s="425" t="s">
        <v>3806</v>
      </c>
      <c r="BB1041" s="425"/>
      <c r="BC1041" s="440"/>
      <c r="BD1041" s="404"/>
      <c r="BE1041" s="405">
        <f>SUM($AR$4:AR1041)</f>
        <v>23762.712000000174</v>
      </c>
      <c r="BF1041" s="330"/>
      <c r="BG1041" s="330"/>
    </row>
    <row r="1042" spans="1:59" ht="15.75" customHeight="1">
      <c r="A1042" s="227" t="s">
        <v>3717</v>
      </c>
      <c r="B1042" s="181">
        <v>45185</v>
      </c>
      <c r="C1042" s="182" t="s">
        <v>3257</v>
      </c>
      <c r="D1042" s="182" t="s">
        <v>1657</v>
      </c>
      <c r="E1042" s="233"/>
      <c r="F1042" s="184"/>
      <c r="G1042" s="291" t="s">
        <v>2126</v>
      </c>
      <c r="H1042" s="186"/>
      <c r="I1042" s="186"/>
      <c r="J1042" s="186"/>
      <c r="K1042" s="187"/>
      <c r="L1042" s="186">
        <v>1</v>
      </c>
      <c r="M1042" s="186"/>
      <c r="N1042" s="186"/>
      <c r="O1042" s="187" t="s">
        <v>76</v>
      </c>
      <c r="P1042" s="187" t="s">
        <v>77</v>
      </c>
      <c r="Q1042" s="187" t="s">
        <v>78</v>
      </c>
      <c r="R1042" s="187">
        <v>7</v>
      </c>
      <c r="S1042" s="187">
        <v>0</v>
      </c>
      <c r="T1042" s="187">
        <v>7</v>
      </c>
      <c r="U1042" s="187" t="s">
        <v>78</v>
      </c>
      <c r="V1042" s="188">
        <f t="shared" ref="V1042" si="1658">IF(ISBLANK(O1042),"",(IF(O1042=UPPER("IB"),0.005,0.01)))</f>
        <v>0.01</v>
      </c>
      <c r="W1042" s="189">
        <f t="shared" si="1657"/>
        <v>1600</v>
      </c>
      <c r="X1042" s="189" t="s">
        <v>3789</v>
      </c>
      <c r="Y1042" s="189"/>
      <c r="Z1042" s="189"/>
      <c r="AA1042" s="190">
        <v>7.0000000000000007E-2</v>
      </c>
      <c r="AB1042" s="186"/>
      <c r="AC1042" s="344"/>
      <c r="AD1042" s="186" t="s">
        <v>3807</v>
      </c>
      <c r="AE1042" s="186"/>
      <c r="AF1042" s="186"/>
      <c r="AG1042" s="186"/>
      <c r="AH1042" s="186"/>
      <c r="AI1042" s="191">
        <f t="shared" ref="AI1042" si="1659">-0.03*W1042</f>
        <v>-48</v>
      </c>
      <c r="AJ1042" s="191">
        <f t="shared" ref="AJ1042:AJ1044" si="1660">AI1042*(R1042-S1042)</f>
        <v>-336</v>
      </c>
      <c r="AK1042" s="186"/>
      <c r="AL1042" s="186"/>
      <c r="AM1042" s="186" t="s">
        <v>846</v>
      </c>
      <c r="AN1042" s="344" t="s">
        <v>97</v>
      </c>
      <c r="AO1042" s="186" t="s">
        <v>3808</v>
      </c>
      <c r="AP1042" s="193">
        <f>(2*0.12+5*0.13)/7</f>
        <v>0.12714285714285714</v>
      </c>
      <c r="AQ1042" s="193">
        <f t="shared" ref="AQ1033:AQ1045" si="1661">IF(ISBLANK(AP1042),,IF(U1042="S",AA1042-AP1042,AP1042-AA1042))</f>
        <v>-5.7142857142857134E-2</v>
      </c>
      <c r="AR1042" s="191">
        <f t="shared" ref="AR1033:AR1045" si="1662">AS1042*R1042</f>
        <v>-639.99999999999989</v>
      </c>
      <c r="AS1042" s="194">
        <f t="shared" ref="AS1033:AS1045" si="1663">IF(ISBLANK(AP1042),,(AQ1042*W1042))</f>
        <v>-91.428571428571416</v>
      </c>
      <c r="AT1042" s="195" t="s">
        <v>211</v>
      </c>
      <c r="AU1042" s="425" t="s">
        <v>3809</v>
      </c>
      <c r="AV1042" s="425" t="s">
        <v>3810</v>
      </c>
      <c r="AW1042" s="425"/>
      <c r="AX1042" s="425"/>
      <c r="AY1042" s="425"/>
      <c r="AZ1042" s="425"/>
      <c r="BA1042" s="425"/>
      <c r="BB1042" s="425"/>
      <c r="BC1042" s="440"/>
      <c r="BD1042" s="404">
        <f>SUM($AS$4:AS1042)</f>
        <v>4647.0400534547434</v>
      </c>
      <c r="BE1042" s="407">
        <f>SUM($AR$4:AR1042)</f>
        <v>23122.712000000174</v>
      </c>
      <c r="BF1042" s="331"/>
      <c r="BG1042" s="331"/>
    </row>
    <row r="1043" spans="1:59" ht="15.75" customHeight="1">
      <c r="A1043" s="227" t="s">
        <v>3717</v>
      </c>
      <c r="B1043" s="181">
        <v>45187</v>
      </c>
      <c r="C1043" s="182" t="s">
        <v>2107</v>
      </c>
      <c r="D1043" s="182" t="s">
        <v>114</v>
      </c>
      <c r="E1043" s="233"/>
      <c r="F1043" s="184"/>
      <c r="G1043" s="291" t="s">
        <v>3811</v>
      </c>
      <c r="H1043" s="186"/>
      <c r="I1043" s="186"/>
      <c r="J1043" s="186"/>
      <c r="K1043" s="187"/>
      <c r="L1043" s="186">
        <v>1</v>
      </c>
      <c r="M1043" s="186"/>
      <c r="N1043" s="186"/>
      <c r="O1043" s="187" t="s">
        <v>76</v>
      </c>
      <c r="P1043" s="187" t="s">
        <v>77</v>
      </c>
      <c r="Q1043" s="187" t="s">
        <v>78</v>
      </c>
      <c r="R1043" s="187">
        <v>6</v>
      </c>
      <c r="S1043" s="187">
        <v>0</v>
      </c>
      <c r="T1043" s="187">
        <v>6</v>
      </c>
      <c r="U1043" s="187" t="s">
        <v>78</v>
      </c>
      <c r="V1043" s="188">
        <f t="shared" ref="V1043" si="1664">IF(ISBLANK(O1043),"",(IF(O1043=UPPER("IB"),0.005,0.01)))</f>
        <v>0.01</v>
      </c>
      <c r="W1043" s="189">
        <f t="shared" ref="W1043" si="1665">IF(ISBLANK(O1043),"",IF(O1043="IB",8.63*200,IF(O1043="IR",16*100,IF(O1043="YT",20*100,IF(O1043="YT-XT",24*200,IF(O1043="TED",80*100))))))</f>
        <v>1600</v>
      </c>
      <c r="X1043" s="189" t="s">
        <v>80</v>
      </c>
      <c r="Y1043" s="189"/>
      <c r="Z1043" s="189"/>
      <c r="AA1043" s="190">
        <v>0.09</v>
      </c>
      <c r="AB1043" s="186"/>
      <c r="AC1043" s="344"/>
      <c r="AD1043" s="186"/>
      <c r="AE1043" s="186"/>
      <c r="AF1043" s="186"/>
      <c r="AG1043" s="186" t="s">
        <v>3812</v>
      </c>
      <c r="AH1043" s="186"/>
      <c r="AI1043" s="191">
        <f>-0.04*W1043</f>
        <v>-64</v>
      </c>
      <c r="AJ1043" s="191">
        <f t="shared" si="1660"/>
        <v>-384</v>
      </c>
      <c r="AK1043" s="186"/>
      <c r="AL1043" s="186"/>
      <c r="AM1043" s="186" t="s">
        <v>786</v>
      </c>
      <c r="AN1043" s="344" t="s">
        <v>97</v>
      </c>
      <c r="AO1043" s="186" t="s">
        <v>3813</v>
      </c>
      <c r="AP1043" s="193">
        <v>0.08</v>
      </c>
      <c r="AQ1043" s="193">
        <f t="shared" si="1661"/>
        <v>9.999999999999995E-3</v>
      </c>
      <c r="AR1043" s="191">
        <f t="shared" si="1662"/>
        <v>95.999999999999957</v>
      </c>
      <c r="AS1043" s="194">
        <f t="shared" si="1663"/>
        <v>15.999999999999993</v>
      </c>
      <c r="AT1043" s="195" t="s">
        <v>77</v>
      </c>
      <c r="AU1043" s="425"/>
      <c r="AV1043" s="425"/>
      <c r="AW1043" s="425"/>
      <c r="AX1043" s="425"/>
      <c r="AY1043" s="425"/>
      <c r="AZ1043" s="425"/>
      <c r="BA1043" s="425"/>
      <c r="BB1043" s="425"/>
      <c r="BC1043" s="440"/>
      <c r="BD1043" s="404">
        <f>SUM($AS$4:AS1043)</f>
        <v>4663.0400534547434</v>
      </c>
      <c r="BE1043" s="407">
        <f>SUM($AR$4:AR1043)</f>
        <v>23218.712000000174</v>
      </c>
      <c r="BF1043" s="331"/>
      <c r="BG1043" s="331"/>
    </row>
    <row r="1044" spans="1:59" ht="15.75" customHeight="1">
      <c r="A1044" s="227" t="s">
        <v>3717</v>
      </c>
      <c r="B1044" s="181">
        <v>45187</v>
      </c>
      <c r="C1044" s="182" t="s">
        <v>3814</v>
      </c>
      <c r="D1044" s="182" t="s">
        <v>114</v>
      </c>
      <c r="E1044" s="233"/>
      <c r="F1044" s="184"/>
      <c r="G1044" s="291" t="s">
        <v>1997</v>
      </c>
      <c r="H1044" s="186"/>
      <c r="I1044" s="186"/>
      <c r="J1044" s="186"/>
      <c r="K1044" s="187"/>
      <c r="L1044" s="186">
        <v>1</v>
      </c>
      <c r="M1044" s="186"/>
      <c r="N1044" s="186"/>
      <c r="O1044" s="187" t="s">
        <v>76</v>
      </c>
      <c r="P1044" s="187" t="s">
        <v>77</v>
      </c>
      <c r="Q1044" s="187" t="s">
        <v>78</v>
      </c>
      <c r="R1044" s="187">
        <v>10</v>
      </c>
      <c r="S1044" s="187">
        <v>0</v>
      </c>
      <c r="T1044" s="187">
        <v>10</v>
      </c>
      <c r="U1044" s="187" t="s">
        <v>78</v>
      </c>
      <c r="V1044" s="188">
        <f t="shared" ref="V1044:V1045" si="1666">IF(ISBLANK(O1044),"",(IF(O1044=UPPER("IB"),0.005,0.01)))</f>
        <v>0.01</v>
      </c>
      <c r="W1044" s="189">
        <f t="shared" ref="W1044:W1072" si="1667">IF(ISBLANK(O1044),"",IF(O1044="IB",8.63*200,IF(O1044="IR",16*100,IF(O1044="YT",20*100,IF(O1044="YT-XT",24*200,IF(O1044="TED",80*100))))))</f>
        <v>1600</v>
      </c>
      <c r="X1044" s="189" t="s">
        <v>80</v>
      </c>
      <c r="Y1044" s="189"/>
      <c r="Z1044" s="189"/>
      <c r="AA1044" s="190">
        <v>-0.1</v>
      </c>
      <c r="AB1044" s="186"/>
      <c r="AC1044" s="344"/>
      <c r="AD1044" s="186"/>
      <c r="AE1044" s="186"/>
      <c r="AF1044" s="186"/>
      <c r="AG1044" s="186"/>
      <c r="AH1044" s="186"/>
      <c r="AI1044" s="191">
        <f>-0.03*W1044</f>
        <v>-48</v>
      </c>
      <c r="AJ1044" s="191">
        <f t="shared" si="1660"/>
        <v>-480</v>
      </c>
      <c r="AK1044" s="186"/>
      <c r="AL1044" s="186"/>
      <c r="AM1044" s="186" t="s">
        <v>786</v>
      </c>
      <c r="AN1044" s="344" t="s">
        <v>97</v>
      </c>
      <c r="AO1044" s="186" t="s">
        <v>3815</v>
      </c>
      <c r="AP1044" s="193">
        <v>-0.11</v>
      </c>
      <c r="AQ1044" s="193">
        <f t="shared" si="1661"/>
        <v>9.999999999999995E-3</v>
      </c>
      <c r="AR1044" s="191">
        <f t="shared" si="1662"/>
        <v>159.99999999999994</v>
      </c>
      <c r="AS1044" s="194">
        <f t="shared" si="1663"/>
        <v>15.999999999999993</v>
      </c>
      <c r="AT1044" s="195" t="s">
        <v>77</v>
      </c>
      <c r="AU1044" s="425"/>
      <c r="AV1044" s="425"/>
      <c r="AW1044" s="425"/>
      <c r="AX1044" s="425"/>
      <c r="AY1044" s="425"/>
      <c r="AZ1044" s="425"/>
      <c r="BA1044" s="425"/>
      <c r="BB1044" s="425"/>
      <c r="BC1044" s="440"/>
      <c r="BD1044" s="404">
        <f>SUM($AS$4:AS1044)</f>
        <v>4679.0400534547434</v>
      </c>
      <c r="BE1044" s="407">
        <f>SUM($AR$4:AR1044)</f>
        <v>23378.712000000174</v>
      </c>
      <c r="BF1044" s="331"/>
      <c r="BG1044" s="331"/>
    </row>
    <row r="1045" spans="1:59" ht="15.75" customHeight="1">
      <c r="A1045" s="227" t="s">
        <v>3717</v>
      </c>
      <c r="B1045" s="181">
        <v>45187</v>
      </c>
      <c r="C1045" s="182" t="s">
        <v>1447</v>
      </c>
      <c r="D1045" s="182" t="s">
        <v>114</v>
      </c>
      <c r="E1045" s="233"/>
      <c r="F1045" s="184"/>
      <c r="G1045" s="291" t="s">
        <v>1645</v>
      </c>
      <c r="H1045" s="186"/>
      <c r="I1045" s="186"/>
      <c r="J1045" s="186"/>
      <c r="K1045" s="187"/>
      <c r="L1045" s="186">
        <v>1</v>
      </c>
      <c r="M1045" s="186"/>
      <c r="N1045" s="186"/>
      <c r="O1045" s="187" t="s">
        <v>76</v>
      </c>
      <c r="P1045" s="187" t="s">
        <v>77</v>
      </c>
      <c r="Q1045" s="187" t="s">
        <v>238</v>
      </c>
      <c r="R1045" s="187">
        <v>27</v>
      </c>
      <c r="S1045" s="187">
        <v>20</v>
      </c>
      <c r="T1045" s="187">
        <v>12</v>
      </c>
      <c r="U1045" s="187" t="s">
        <v>78</v>
      </c>
      <c r="V1045" s="188">
        <f t="shared" si="1666"/>
        <v>0.01</v>
      </c>
      <c r="W1045" s="189">
        <f t="shared" si="1667"/>
        <v>1600</v>
      </c>
      <c r="X1045" s="189" t="s">
        <v>3816</v>
      </c>
      <c r="Y1045" s="189" t="s">
        <v>3817</v>
      </c>
      <c r="Z1045" s="189"/>
      <c r="AA1045" s="190">
        <f>(0.07*12+0.06*5+0.08*10)/27</f>
        <v>7.1851851851851861E-2</v>
      </c>
      <c r="AB1045" s="186"/>
      <c r="AC1045" s="344"/>
      <c r="AD1045" s="186">
        <v>0.12</v>
      </c>
      <c r="AE1045" s="186"/>
      <c r="AF1045" s="186"/>
      <c r="AG1045" s="425" t="s">
        <v>3818</v>
      </c>
      <c r="AH1045" s="186"/>
      <c r="AI1045" s="191">
        <f>-0.05*W1045</f>
        <v>-80</v>
      </c>
      <c r="AJ1045" s="191">
        <f t="shared" ref="AJ1045" si="1668">AI1045*(R1045-S1045)</f>
        <v>-560</v>
      </c>
      <c r="AK1045" s="186"/>
      <c r="AL1045" s="186"/>
      <c r="AM1045" s="186" t="s">
        <v>571</v>
      </c>
      <c r="AN1045" s="344" t="s">
        <v>97</v>
      </c>
      <c r="AO1045" s="186" t="s">
        <v>3819</v>
      </c>
      <c r="AP1045" s="193">
        <f>(0.1*8+0.09*12+0.09*7)/27</f>
        <v>9.2962962962962969E-2</v>
      </c>
      <c r="AQ1045" s="193">
        <f t="shared" si="1661"/>
        <v>-2.1111111111111108E-2</v>
      </c>
      <c r="AR1045" s="191">
        <f t="shared" si="1662"/>
        <v>-911.99999999999977</v>
      </c>
      <c r="AS1045" s="194">
        <f t="shared" si="1663"/>
        <v>-33.777777777777771</v>
      </c>
      <c r="AT1045" s="195" t="s">
        <v>211</v>
      </c>
      <c r="AU1045" s="425" t="s">
        <v>3820</v>
      </c>
      <c r="AV1045" s="425" t="s">
        <v>3821</v>
      </c>
      <c r="AW1045" s="425" t="s">
        <v>3822</v>
      </c>
      <c r="AX1045" s="425" t="s">
        <v>3823</v>
      </c>
      <c r="AY1045" s="425"/>
      <c r="AZ1045" s="425"/>
      <c r="BA1045" s="425"/>
      <c r="BB1045" s="425"/>
      <c r="BC1045" s="440"/>
      <c r="BD1045" s="404">
        <f>SUM($AS$4:AS1045)</f>
        <v>4645.2622756769661</v>
      </c>
      <c r="BE1045" s="407">
        <f>SUM($AR$4:AR1045)</f>
        <v>22466.712000000174</v>
      </c>
      <c r="BF1045" s="331"/>
      <c r="BG1045" s="331"/>
    </row>
    <row r="1046" spans="1:59" ht="15.75" customHeight="1">
      <c r="A1046" s="227" t="s">
        <v>3717</v>
      </c>
      <c r="B1046" s="181">
        <v>45188</v>
      </c>
      <c r="C1046" s="182" t="s">
        <v>191</v>
      </c>
      <c r="D1046" s="182" t="s">
        <v>128</v>
      </c>
      <c r="E1046" s="233"/>
      <c r="F1046" s="184"/>
      <c r="G1046" s="291" t="s">
        <v>3754</v>
      </c>
      <c r="H1046" s="186"/>
      <c r="I1046" s="186"/>
      <c r="J1046" s="186"/>
      <c r="K1046" s="187"/>
      <c r="L1046" s="186">
        <v>1</v>
      </c>
      <c r="M1046" s="186"/>
      <c r="N1046" s="186"/>
      <c r="O1046" s="187" t="s">
        <v>76</v>
      </c>
      <c r="P1046" s="187" t="s">
        <v>77</v>
      </c>
      <c r="Q1046" s="187" t="s">
        <v>238</v>
      </c>
      <c r="R1046" s="187">
        <v>4</v>
      </c>
      <c r="S1046" s="187">
        <v>2</v>
      </c>
      <c r="T1046" s="187">
        <v>3</v>
      </c>
      <c r="U1046" s="187" t="s">
        <v>78</v>
      </c>
      <c r="V1046" s="188">
        <f t="shared" ref="V1046:V1052" si="1669">IF(ISBLANK(O1046),"",(IF(O1046=UPPER("IB"),0.005,0.01)))</f>
        <v>0.01</v>
      </c>
      <c r="W1046" s="189">
        <f t="shared" ref="W1046:W1048" si="1670">IF(ISBLANK(O1046),"",IF(O1046="IB",8.63*200,IF(O1046="IR",16*100,IF(O1046="YT",20*100,IF(O1046="YT-XT",24*200,IF(O1046="TED",80*100))))))</f>
        <v>1600</v>
      </c>
      <c r="X1046" s="189" t="s">
        <v>3824</v>
      </c>
      <c r="Y1046" s="189"/>
      <c r="Z1046" s="189" t="s">
        <v>3825</v>
      </c>
      <c r="AA1046" s="190">
        <v>0.06</v>
      </c>
      <c r="AB1046" s="186"/>
      <c r="AC1046" s="344"/>
      <c r="AD1046" s="186"/>
      <c r="AE1046" s="186"/>
      <c r="AF1046" s="186"/>
      <c r="AG1046" s="186"/>
      <c r="AH1046" s="186"/>
      <c r="AI1046" s="191">
        <f>-0.025*W1046</f>
        <v>-40</v>
      </c>
      <c r="AJ1046" s="191">
        <f t="shared" ref="AJ1046" si="1671">AI1046*(R1046-S1046)</f>
        <v>-80</v>
      </c>
      <c r="AK1046" s="186"/>
      <c r="AL1046" s="186"/>
      <c r="AM1046" s="186" t="s">
        <v>884</v>
      </c>
      <c r="AN1046" s="344" t="s">
        <v>77</v>
      </c>
      <c r="AO1046" s="186" t="s">
        <v>3826</v>
      </c>
      <c r="AP1046" s="193">
        <v>0.05</v>
      </c>
      <c r="AQ1046" s="193">
        <f t="shared" ref="AQ1046:AQ1048" si="1672">IF(ISBLANK(AP1046),,IF(U1046="S",AA1046-AP1046,AP1046-AA1046))</f>
        <v>9.999999999999995E-3</v>
      </c>
      <c r="AR1046" s="191">
        <f t="shared" ref="AR1046:AR1048" si="1673">AS1046*R1046</f>
        <v>63.999999999999972</v>
      </c>
      <c r="AS1046" s="194">
        <f t="shared" ref="AS1046:AS1048" si="1674">IF(ISBLANK(AP1046),,(AQ1046*W1046))</f>
        <v>15.999999999999993</v>
      </c>
      <c r="AT1046" s="195" t="s">
        <v>77</v>
      </c>
      <c r="AU1046" s="425" t="s">
        <v>3827</v>
      </c>
      <c r="AV1046" s="425"/>
      <c r="AW1046" s="425"/>
      <c r="AX1046" s="425"/>
      <c r="AY1046" s="425"/>
      <c r="AZ1046" s="425"/>
      <c r="BA1046" s="425"/>
      <c r="BB1046" s="425"/>
      <c r="BC1046" s="440"/>
      <c r="BD1046" s="404">
        <f>SUM($AS$4:AS1046)</f>
        <v>4661.2622756769661</v>
      </c>
      <c r="BE1046" s="407">
        <f>SUM($AR$4:AR1046)</f>
        <v>22530.712000000174</v>
      </c>
      <c r="BF1046" s="331"/>
      <c r="BG1046" s="331"/>
    </row>
    <row r="1047" spans="1:59" ht="15.75" customHeight="1">
      <c r="A1047" s="227" t="s">
        <v>3717</v>
      </c>
      <c r="B1047" s="204">
        <v>45188</v>
      </c>
      <c r="C1047" s="182" t="s">
        <v>2388</v>
      </c>
      <c r="D1047" s="182" t="s">
        <v>128</v>
      </c>
      <c r="E1047" s="233" t="s">
        <v>3828</v>
      </c>
      <c r="F1047" s="184"/>
      <c r="G1047" s="185"/>
      <c r="H1047" s="186"/>
      <c r="I1047" s="186"/>
      <c r="J1047" s="186">
        <v>1</v>
      </c>
      <c r="K1047" s="187" t="s">
        <v>97</v>
      </c>
      <c r="L1047" s="186"/>
      <c r="M1047" s="186"/>
      <c r="N1047" s="186"/>
      <c r="O1047" s="187"/>
      <c r="P1047" s="187"/>
      <c r="Q1047" s="187"/>
      <c r="R1047" s="187"/>
      <c r="S1047" s="187"/>
      <c r="T1047" s="187"/>
      <c r="U1047" s="187"/>
      <c r="V1047" s="282"/>
      <c r="W1047" s="187"/>
      <c r="X1047" s="189"/>
      <c r="Y1047" s="189"/>
      <c r="Z1047" s="189"/>
      <c r="AA1047" s="190"/>
      <c r="AB1047" s="186"/>
      <c r="AC1047" s="344"/>
      <c r="AD1047" s="186"/>
      <c r="AE1047" s="186"/>
      <c r="AF1047" s="186"/>
      <c r="AG1047" s="186"/>
      <c r="AH1047" s="186"/>
      <c r="AI1047" s="191"/>
      <c r="AJ1047" s="191"/>
      <c r="AK1047" s="186"/>
      <c r="AL1047" s="186"/>
      <c r="AM1047" s="186"/>
      <c r="AN1047" s="344"/>
      <c r="AO1047" s="186"/>
      <c r="AP1047" s="193"/>
      <c r="AQ1047" s="193"/>
      <c r="AR1047" s="191"/>
      <c r="AS1047" s="194"/>
      <c r="AT1047" s="195"/>
      <c r="AU1047" s="425"/>
      <c r="AV1047" s="425"/>
      <c r="AW1047" s="425"/>
      <c r="AX1047" s="425"/>
      <c r="AY1047" s="425"/>
      <c r="AZ1047" s="425"/>
      <c r="BA1047" s="425"/>
      <c r="BB1047" s="425"/>
      <c r="BC1047" s="440"/>
      <c r="BD1047" s="404"/>
      <c r="BE1047" s="405">
        <f>SUM($AR$4:AR1047)</f>
        <v>22530.712000000174</v>
      </c>
      <c r="BF1047" s="330"/>
      <c r="BG1047" s="330"/>
    </row>
    <row r="1048" spans="1:59" ht="15.75" customHeight="1">
      <c r="A1048" s="227" t="s">
        <v>3717</v>
      </c>
      <c r="B1048" s="181">
        <v>45188</v>
      </c>
      <c r="C1048" s="182" t="s">
        <v>3829</v>
      </c>
      <c r="D1048" s="182" t="s">
        <v>128</v>
      </c>
      <c r="E1048" s="233"/>
      <c r="F1048" s="184"/>
      <c r="G1048" s="291" t="s">
        <v>2126</v>
      </c>
      <c r="H1048" s="186"/>
      <c r="I1048" s="186"/>
      <c r="J1048" s="186"/>
      <c r="K1048" s="187"/>
      <c r="L1048" s="186">
        <v>1</v>
      </c>
      <c r="M1048" s="186"/>
      <c r="N1048" s="186"/>
      <c r="O1048" s="187" t="s">
        <v>76</v>
      </c>
      <c r="P1048" s="187" t="s">
        <v>77</v>
      </c>
      <c r="Q1048" s="187" t="s">
        <v>78</v>
      </c>
      <c r="R1048" s="187">
        <v>5</v>
      </c>
      <c r="S1048" s="187">
        <v>0</v>
      </c>
      <c r="T1048" s="187">
        <v>5</v>
      </c>
      <c r="U1048" s="187" t="s">
        <v>78</v>
      </c>
      <c r="V1048" s="188">
        <f t="shared" si="1669"/>
        <v>0.01</v>
      </c>
      <c r="W1048" s="189">
        <f t="shared" si="1670"/>
        <v>1600</v>
      </c>
      <c r="X1048" s="189" t="s">
        <v>80</v>
      </c>
      <c r="Y1048" s="189"/>
      <c r="Z1048" s="189" t="s">
        <v>3830</v>
      </c>
      <c r="AA1048" s="190">
        <v>0.1</v>
      </c>
      <c r="AB1048" s="186"/>
      <c r="AC1048" s="344"/>
      <c r="AD1048" s="186"/>
      <c r="AE1048" s="186"/>
      <c r="AF1048" s="186"/>
      <c r="AG1048" s="186"/>
      <c r="AH1048" s="186"/>
      <c r="AI1048" s="191">
        <f t="shared" ref="AI1047:AI1048" si="1675">-0.03*W1048</f>
        <v>-48</v>
      </c>
      <c r="AJ1048" s="191">
        <f t="shared" ref="AJ1047:AJ1048" si="1676">AI1048*(R1048-S1048)</f>
        <v>-240</v>
      </c>
      <c r="AK1048" s="186"/>
      <c r="AL1048" s="186"/>
      <c r="AM1048" s="186" t="s">
        <v>1066</v>
      </c>
      <c r="AN1048" s="344" t="s">
        <v>87</v>
      </c>
      <c r="AO1048" s="186" t="s">
        <v>3831</v>
      </c>
      <c r="AP1048" s="193">
        <v>0.13</v>
      </c>
      <c r="AQ1048" s="193">
        <f t="shared" si="1672"/>
        <v>-0.03</v>
      </c>
      <c r="AR1048" s="191">
        <f t="shared" si="1673"/>
        <v>-240</v>
      </c>
      <c r="AS1048" s="194">
        <f t="shared" si="1674"/>
        <v>-48</v>
      </c>
      <c r="AT1048" s="195" t="s">
        <v>211</v>
      </c>
      <c r="AU1048" s="425"/>
      <c r="AV1048" s="425"/>
      <c r="AW1048" s="425"/>
      <c r="AX1048" s="425"/>
      <c r="AY1048" s="425"/>
      <c r="AZ1048" s="425"/>
      <c r="BA1048" s="425"/>
      <c r="BB1048" s="425"/>
      <c r="BC1048" s="440"/>
      <c r="BD1048" s="404">
        <f>SUM($AS$4:AS1048)</f>
        <v>4613.2622756769661</v>
      </c>
      <c r="BE1048" s="407">
        <f>SUM($AR$4:AR1048)</f>
        <v>22290.712000000174</v>
      </c>
      <c r="BF1048" s="331"/>
      <c r="BG1048" s="331"/>
    </row>
    <row r="1049" spans="1:59" ht="15.75" customHeight="1">
      <c r="A1049" s="227" t="s">
        <v>3717</v>
      </c>
      <c r="B1049" s="181">
        <v>45188</v>
      </c>
      <c r="C1049" s="182" t="s">
        <v>1695</v>
      </c>
      <c r="D1049" s="182" t="s">
        <v>128</v>
      </c>
      <c r="E1049" s="233" t="s">
        <v>3832</v>
      </c>
      <c r="F1049" s="184" t="s">
        <v>3833</v>
      </c>
      <c r="G1049" s="185"/>
      <c r="H1049" s="186">
        <v>1</v>
      </c>
      <c r="I1049" s="186"/>
      <c r="J1049" s="186"/>
      <c r="K1049" s="187" t="s">
        <v>87</v>
      </c>
      <c r="L1049" s="186"/>
      <c r="M1049" s="186"/>
      <c r="N1049" s="186"/>
      <c r="O1049" s="187"/>
      <c r="P1049" s="187"/>
      <c r="Q1049" s="187"/>
      <c r="R1049" s="187"/>
      <c r="S1049" s="187"/>
      <c r="T1049" s="187"/>
      <c r="U1049" s="187"/>
      <c r="V1049" s="188" t="str">
        <f t="shared" si="1669"/>
        <v/>
      </c>
      <c r="W1049" s="189" t="str">
        <f t="shared" ref="W1049:W1051" si="1677">IF(ISBLANK(O1049),"",IF(O1049="IB",8.63*200,IF(O1049="IR",16*100,IF(O1049="YT",20*100,IF(O1049="YT-XT",24*200,IF(O1049="TED",80*100))))))</f>
        <v/>
      </c>
      <c r="X1049" s="189"/>
      <c r="Y1049" s="189"/>
      <c r="Z1049" s="189"/>
      <c r="AA1049" s="190"/>
      <c r="AB1049" s="186"/>
      <c r="AC1049" s="344"/>
      <c r="AD1049" s="186"/>
      <c r="AE1049" s="186"/>
      <c r="AF1049" s="186"/>
      <c r="AG1049" s="186"/>
      <c r="AH1049" s="186"/>
      <c r="AI1049" s="191"/>
      <c r="AJ1049" s="191"/>
      <c r="AK1049" s="186"/>
      <c r="AL1049" s="186"/>
      <c r="AM1049" s="186"/>
      <c r="AN1049" s="344"/>
      <c r="AO1049" s="186"/>
      <c r="AP1049" s="193"/>
      <c r="AQ1049" s="193"/>
      <c r="AR1049" s="191"/>
      <c r="AS1049" s="194"/>
      <c r="AT1049" s="195"/>
      <c r="AU1049" s="425" t="s">
        <v>3834</v>
      </c>
      <c r="AV1049" s="425" t="s">
        <v>3835</v>
      </c>
      <c r="AW1049" s="425"/>
      <c r="AX1049" s="425"/>
      <c r="AY1049" s="425"/>
      <c r="AZ1049" s="425"/>
      <c r="BA1049" s="425"/>
      <c r="BB1049" s="425"/>
      <c r="BC1049" s="440"/>
      <c r="BD1049" s="404">
        <f>SUM($AS$4:AS1049)</f>
        <v>4613.2622756769661</v>
      </c>
      <c r="BE1049" s="407">
        <f>SUM($AR$4:AR1049)</f>
        <v>22290.712000000174</v>
      </c>
      <c r="BF1049" s="331"/>
      <c r="BG1049" s="331"/>
    </row>
    <row r="1050" spans="1:59" ht="15.75" customHeight="1">
      <c r="A1050" s="227" t="s">
        <v>3717</v>
      </c>
      <c r="B1050" s="181">
        <v>45189</v>
      </c>
      <c r="C1050" s="182" t="s">
        <v>1634</v>
      </c>
      <c r="D1050" s="182" t="s">
        <v>133</v>
      </c>
      <c r="E1050" s="233"/>
      <c r="F1050" s="184"/>
      <c r="G1050" s="291" t="s">
        <v>3836</v>
      </c>
      <c r="H1050" s="186"/>
      <c r="I1050" s="186"/>
      <c r="J1050" s="186"/>
      <c r="K1050" s="187"/>
      <c r="L1050" s="186"/>
      <c r="M1050" s="186">
        <v>2</v>
      </c>
      <c r="N1050" s="186"/>
      <c r="O1050" s="187" t="s">
        <v>1039</v>
      </c>
      <c r="P1050" s="187"/>
      <c r="Q1050" s="187" t="s">
        <v>666</v>
      </c>
      <c r="R1050" s="187">
        <v>3</v>
      </c>
      <c r="S1050" s="187">
        <v>0</v>
      </c>
      <c r="T1050" s="187">
        <v>3</v>
      </c>
      <c r="U1050" s="187" t="s">
        <v>78</v>
      </c>
      <c r="V1050" s="188">
        <f t="shared" si="1669"/>
        <v>5.0000000000000001E-3</v>
      </c>
      <c r="W1050" s="189">
        <f t="shared" si="1677"/>
        <v>1726.0000000000002</v>
      </c>
      <c r="X1050" s="189"/>
      <c r="Y1050" s="189" t="s">
        <v>3837</v>
      </c>
      <c r="Z1050" s="189"/>
      <c r="AA1050" s="190">
        <v>95.915000000000006</v>
      </c>
      <c r="AB1050" s="186"/>
      <c r="AC1050" s="344"/>
      <c r="AD1050" s="186"/>
      <c r="AE1050" s="186"/>
      <c r="AF1050" s="186"/>
      <c r="AG1050" s="186"/>
      <c r="AH1050" s="186"/>
      <c r="AI1050" s="191">
        <f t="shared" ref="AI1049:AI1052" si="1678">-0.03*W1050</f>
        <v>-51.780000000000008</v>
      </c>
      <c r="AJ1050" s="191">
        <f t="shared" ref="AJ1049:AJ1052" si="1679">AI1050*(R1050-S1050)</f>
        <v>-155.34000000000003</v>
      </c>
      <c r="AK1050" s="186"/>
      <c r="AL1050" s="186"/>
      <c r="AM1050" s="186" t="s">
        <v>786</v>
      </c>
      <c r="AN1050" s="344" t="s">
        <v>97</v>
      </c>
      <c r="AO1050" s="186" t="s">
        <v>3838</v>
      </c>
      <c r="AP1050" s="193">
        <v>95.91</v>
      </c>
      <c r="AQ1050" s="193">
        <f t="shared" ref="AQ1049:AQ1058" si="1680">IF(ISBLANK(AP1050),,IF(U1050="S",AA1050-AP1050,AP1050-AA1050))</f>
        <v>5.0000000000096634E-3</v>
      </c>
      <c r="AR1050" s="191">
        <f t="shared" ref="AR1049:AR1058" si="1681">AS1050*R1050</f>
        <v>25.890000000050044</v>
      </c>
      <c r="AS1050" s="194">
        <f t="shared" ref="AS1049:AS1058" si="1682">IF(ISBLANK(AP1050),,(AQ1050*W1050))</f>
        <v>8.6300000000166808</v>
      </c>
      <c r="AT1050" s="195" t="s">
        <v>77</v>
      </c>
      <c r="AU1050" s="425" t="s">
        <v>3839</v>
      </c>
      <c r="AV1050" s="425"/>
      <c r="AW1050" s="425"/>
      <c r="AX1050" s="425"/>
      <c r="AY1050" s="425"/>
      <c r="AZ1050" s="425"/>
      <c r="BA1050" s="425"/>
      <c r="BB1050" s="425"/>
      <c r="BC1050" s="440"/>
      <c r="BD1050" s="404">
        <f>SUM($AS$4:AS1050)</f>
        <v>4621.8922756769825</v>
      </c>
      <c r="BE1050" s="407">
        <f>SUM($AR$4:AR1050)</f>
        <v>22316.602000000225</v>
      </c>
      <c r="BF1050" s="331"/>
      <c r="BG1050" s="331"/>
    </row>
    <row r="1051" spans="1:59" ht="15.75" customHeight="1">
      <c r="A1051" s="227" t="s">
        <v>3717</v>
      </c>
      <c r="B1051" s="181">
        <v>45189</v>
      </c>
      <c r="C1051" s="182" t="s">
        <v>2842</v>
      </c>
      <c r="D1051" s="182" t="s">
        <v>133</v>
      </c>
      <c r="E1051" s="233"/>
      <c r="F1051" s="184"/>
      <c r="G1051" s="185" t="s">
        <v>3840</v>
      </c>
      <c r="H1051" s="186"/>
      <c r="I1051" s="186"/>
      <c r="J1051" s="186"/>
      <c r="K1051" s="187"/>
      <c r="L1051" s="186"/>
      <c r="M1051" s="186"/>
      <c r="N1051" s="186"/>
      <c r="O1051" s="187"/>
      <c r="P1051" s="187"/>
      <c r="Q1051" s="187"/>
      <c r="R1051" s="187"/>
      <c r="S1051" s="187"/>
      <c r="T1051" s="187"/>
      <c r="U1051" s="187"/>
      <c r="V1051" s="188"/>
      <c r="W1051" s="189"/>
      <c r="X1051" s="189"/>
      <c r="Y1051" s="189"/>
      <c r="Z1051" s="189"/>
      <c r="AA1051" s="190"/>
      <c r="AB1051" s="186"/>
      <c r="AC1051" s="344"/>
      <c r="AD1051" s="186"/>
      <c r="AE1051" s="186"/>
      <c r="AF1051" s="186"/>
      <c r="AG1051" s="186"/>
      <c r="AH1051" s="186"/>
      <c r="AI1051" s="191"/>
      <c r="AJ1051" s="191"/>
      <c r="AK1051" s="186"/>
      <c r="AL1051" s="186"/>
      <c r="AM1051" s="186"/>
      <c r="AN1051" s="344"/>
      <c r="AO1051" s="186"/>
      <c r="AP1051" s="193"/>
      <c r="AQ1051" s="193">
        <f t="shared" si="1680"/>
        <v>0</v>
      </c>
      <c r="AR1051" s="191">
        <f t="shared" si="1681"/>
        <v>0</v>
      </c>
      <c r="AS1051" s="194">
        <f t="shared" si="1682"/>
        <v>0</v>
      </c>
      <c r="AT1051" s="195"/>
      <c r="AU1051" s="425" t="s">
        <v>3841</v>
      </c>
      <c r="AV1051" s="425"/>
      <c r="AW1051" s="425"/>
      <c r="AX1051" s="425"/>
      <c r="AY1051" s="425"/>
      <c r="AZ1051" s="425"/>
      <c r="BA1051" s="425"/>
      <c r="BB1051" s="425"/>
      <c r="BC1051" s="440"/>
      <c r="BD1051" s="404">
        <f>SUM($AS$4:AS1051)</f>
        <v>4621.8922756769825</v>
      </c>
      <c r="BE1051" s="407">
        <f>SUM($AR$4:AR1051)</f>
        <v>22316.602000000225</v>
      </c>
      <c r="BF1051" s="331"/>
      <c r="BG1051" s="331"/>
    </row>
    <row r="1052" spans="1:59" ht="15.75" customHeight="1">
      <c r="A1052" s="227" t="s">
        <v>3717</v>
      </c>
      <c r="B1052" s="181">
        <v>45189</v>
      </c>
      <c r="C1052" s="182" t="s">
        <v>715</v>
      </c>
      <c r="D1052" s="182" t="s">
        <v>133</v>
      </c>
      <c r="E1052" s="233"/>
      <c r="F1052" s="184"/>
      <c r="G1052" s="291" t="s">
        <v>2126</v>
      </c>
      <c r="H1052" s="186"/>
      <c r="I1052" s="186"/>
      <c r="J1052" s="186"/>
      <c r="K1052" s="187"/>
      <c r="L1052" s="186">
        <v>1</v>
      </c>
      <c r="M1052" s="186">
        <v>1</v>
      </c>
      <c r="N1052" s="186"/>
      <c r="O1052" s="187" t="s">
        <v>76</v>
      </c>
      <c r="P1052" s="187" t="s">
        <v>77</v>
      </c>
      <c r="Q1052" s="187" t="s">
        <v>78</v>
      </c>
      <c r="R1052" s="187">
        <v>12</v>
      </c>
      <c r="S1052" s="187">
        <v>0</v>
      </c>
      <c r="T1052" s="187">
        <v>7</v>
      </c>
      <c r="U1052" s="187" t="s">
        <v>22</v>
      </c>
      <c r="V1052" s="188">
        <f t="shared" si="1669"/>
        <v>0.01</v>
      </c>
      <c r="W1052" s="189">
        <f t="shared" si="1667"/>
        <v>1600</v>
      </c>
      <c r="X1052" s="189" t="s">
        <v>3842</v>
      </c>
      <c r="Y1052" s="189" t="s">
        <v>3843</v>
      </c>
      <c r="Z1052" s="189"/>
      <c r="AA1052" s="190">
        <f>(0.1*7+0.11*5)/12</f>
        <v>0.10416666666666667</v>
      </c>
      <c r="AB1052" s="186"/>
      <c r="AC1052" s="344"/>
      <c r="AD1052" s="186"/>
      <c r="AE1052" s="186"/>
      <c r="AF1052" s="186"/>
      <c r="AG1052" s="186"/>
      <c r="AH1052" s="186"/>
      <c r="AI1052" s="191">
        <f>-0.025*W1052</f>
        <v>-40</v>
      </c>
      <c r="AJ1052" s="191">
        <f t="shared" si="1679"/>
        <v>-480</v>
      </c>
      <c r="AK1052" s="186"/>
      <c r="AL1052" s="186"/>
      <c r="AM1052" s="186" t="s">
        <v>987</v>
      </c>
      <c r="AN1052" s="344" t="s">
        <v>87</v>
      </c>
      <c r="AO1052" s="186" t="s">
        <v>3844</v>
      </c>
      <c r="AP1052" s="193">
        <f>(0.13*7+0.14*5)/12</f>
        <v>0.13416666666666668</v>
      </c>
      <c r="AQ1052" s="193">
        <f t="shared" si="1680"/>
        <v>3.0000000000000013E-2</v>
      </c>
      <c r="AR1052" s="191">
        <f t="shared" si="1681"/>
        <v>576.00000000000023</v>
      </c>
      <c r="AS1052" s="194">
        <f t="shared" si="1682"/>
        <v>48.000000000000021</v>
      </c>
      <c r="AT1052" s="195" t="s">
        <v>77</v>
      </c>
      <c r="AU1052" s="425" t="s">
        <v>3845</v>
      </c>
      <c r="AV1052" s="425"/>
      <c r="AW1052" s="425"/>
      <c r="AX1052" s="425"/>
      <c r="AY1052" s="425"/>
      <c r="AZ1052" s="425"/>
      <c r="BA1052" s="425"/>
      <c r="BB1052" s="425"/>
      <c r="BC1052" s="440"/>
      <c r="BD1052" s="404">
        <f>SUM($AS$4:AS1052)</f>
        <v>4669.8922756769825</v>
      </c>
      <c r="BE1052" s="407">
        <f>SUM($AR$4:AR1052)</f>
        <v>22892.602000000225</v>
      </c>
      <c r="BF1052" s="331"/>
      <c r="BG1052" s="331"/>
    </row>
    <row r="1053" spans="1:59" ht="15.75" customHeight="1">
      <c r="A1053" s="227" t="s">
        <v>3717</v>
      </c>
      <c r="B1053" s="181">
        <v>45189</v>
      </c>
      <c r="C1053" s="182" t="s">
        <v>2642</v>
      </c>
      <c r="D1053" s="182" t="s">
        <v>133</v>
      </c>
      <c r="E1053" s="233" t="s">
        <v>3846</v>
      </c>
      <c r="F1053" s="184" t="s">
        <v>3847</v>
      </c>
      <c r="G1053" s="185"/>
      <c r="H1053" s="186"/>
      <c r="I1053" s="186"/>
      <c r="J1053" s="186">
        <v>1</v>
      </c>
      <c r="K1053" s="187" t="s">
        <v>97</v>
      </c>
      <c r="L1053" s="186"/>
      <c r="M1053" s="186"/>
      <c r="N1053" s="186"/>
      <c r="O1053" s="187"/>
      <c r="P1053" s="187"/>
      <c r="Q1053" s="187"/>
      <c r="R1053" s="187"/>
      <c r="S1053" s="187"/>
      <c r="T1053" s="187"/>
      <c r="U1053" s="187"/>
      <c r="V1053" s="187"/>
      <c r="W1053" s="189" t="str">
        <f t="shared" si="1667"/>
        <v/>
      </c>
      <c r="X1053" s="189"/>
      <c r="Y1053" s="189"/>
      <c r="Z1053" s="189"/>
      <c r="AA1053" s="190"/>
      <c r="AB1053" s="186"/>
      <c r="AC1053" s="344"/>
      <c r="AD1053" s="186"/>
      <c r="AE1053" s="186"/>
      <c r="AF1053" s="186"/>
      <c r="AG1053" s="186"/>
      <c r="AH1053" s="186"/>
      <c r="AI1053" s="191"/>
      <c r="AJ1053" s="191"/>
      <c r="AK1053" s="186"/>
      <c r="AL1053" s="186"/>
      <c r="AM1053" s="186"/>
      <c r="AN1053" s="344"/>
      <c r="AO1053" s="186"/>
      <c r="AP1053" s="193"/>
      <c r="AQ1053" s="193"/>
      <c r="AR1053" s="191"/>
      <c r="AS1053" s="194"/>
      <c r="AT1053" s="195"/>
      <c r="AU1053" s="425"/>
      <c r="AV1053" s="425"/>
      <c r="AW1053" s="425"/>
      <c r="AX1053" s="425"/>
      <c r="AY1053" s="425"/>
      <c r="AZ1053" s="425"/>
      <c r="BA1053" s="425"/>
      <c r="BB1053" s="425"/>
      <c r="BC1053" s="440"/>
      <c r="BD1053" s="404">
        <f>SUM($AS$4:AS1053)</f>
        <v>4669.8922756769825</v>
      </c>
      <c r="BE1053" s="407">
        <f>SUM($AR$4:AR1053)</f>
        <v>22892.602000000225</v>
      </c>
      <c r="BF1053" s="331"/>
      <c r="BG1053" s="331"/>
    </row>
    <row r="1054" spans="1:59" ht="15.75" customHeight="1">
      <c r="A1054" s="227" t="s">
        <v>3717</v>
      </c>
      <c r="B1054" s="181">
        <v>45189</v>
      </c>
      <c r="C1054" s="182" t="s">
        <v>1462</v>
      </c>
      <c r="D1054" s="182" t="s">
        <v>133</v>
      </c>
      <c r="E1054" s="233" t="s">
        <v>3848</v>
      </c>
      <c r="F1054" s="184" t="s">
        <v>3849</v>
      </c>
      <c r="G1054" s="185"/>
      <c r="H1054" s="186"/>
      <c r="I1054" s="186"/>
      <c r="J1054" s="186"/>
      <c r="K1054" s="187"/>
      <c r="L1054" s="186"/>
      <c r="M1054" s="186"/>
      <c r="N1054" s="186"/>
      <c r="O1054" s="187"/>
      <c r="P1054" s="187"/>
      <c r="Q1054" s="187"/>
      <c r="R1054" s="187"/>
      <c r="S1054" s="187"/>
      <c r="T1054" s="187"/>
      <c r="U1054" s="187"/>
      <c r="V1054" s="187"/>
      <c r="W1054" s="189" t="str">
        <f t="shared" si="1667"/>
        <v/>
      </c>
      <c r="X1054" s="189"/>
      <c r="Y1054" s="189"/>
      <c r="Z1054" s="189"/>
      <c r="AA1054" s="190"/>
      <c r="AB1054" s="186"/>
      <c r="AC1054" s="344"/>
      <c r="AD1054" s="186"/>
      <c r="AE1054" s="186"/>
      <c r="AF1054" s="186"/>
      <c r="AG1054" s="186"/>
      <c r="AH1054" s="186"/>
      <c r="AI1054" s="191"/>
      <c r="AJ1054" s="191"/>
      <c r="AK1054" s="186"/>
      <c r="AL1054" s="186"/>
      <c r="AM1054" s="186"/>
      <c r="AN1054" s="344"/>
      <c r="AO1054" s="186"/>
      <c r="AP1054" s="193"/>
      <c r="AQ1054" s="193"/>
      <c r="AR1054" s="191"/>
      <c r="AS1054" s="194"/>
      <c r="AT1054" s="195"/>
      <c r="AU1054" s="425" t="s">
        <v>3850</v>
      </c>
      <c r="AV1054" s="425" t="s">
        <v>3851</v>
      </c>
      <c r="AW1054" s="425" t="s">
        <v>3852</v>
      </c>
      <c r="AX1054" s="425"/>
      <c r="AY1054" s="425"/>
      <c r="AZ1054" s="425"/>
      <c r="BA1054" s="425"/>
      <c r="BB1054" s="425"/>
      <c r="BC1054" s="440"/>
      <c r="BD1054" s="404">
        <f>SUM($AS$4:AS1054)</f>
        <v>4669.8922756769825</v>
      </c>
      <c r="BE1054" s="407">
        <f>SUM($AR$4:AR1054)</f>
        <v>22892.602000000225</v>
      </c>
      <c r="BF1054" s="331"/>
      <c r="BG1054" s="331"/>
    </row>
    <row r="1055" spans="1:59" ht="15.75" customHeight="1">
      <c r="A1055" s="227" t="s">
        <v>3717</v>
      </c>
      <c r="B1055" s="181">
        <v>45189</v>
      </c>
      <c r="C1055" s="182" t="s">
        <v>664</v>
      </c>
      <c r="D1055" s="182" t="s">
        <v>133</v>
      </c>
      <c r="E1055" s="233"/>
      <c r="F1055" s="184"/>
      <c r="G1055" s="291" t="s">
        <v>3853</v>
      </c>
      <c r="H1055" s="186"/>
      <c r="I1055" s="186"/>
      <c r="J1055" s="186"/>
      <c r="K1055" s="187"/>
      <c r="L1055" s="186"/>
      <c r="M1055" s="186">
        <v>1</v>
      </c>
      <c r="N1055" s="186"/>
      <c r="O1055" s="187" t="s">
        <v>76</v>
      </c>
      <c r="P1055" s="187" t="s">
        <v>77</v>
      </c>
      <c r="Q1055" s="187" t="s">
        <v>78</v>
      </c>
      <c r="R1055" s="187">
        <v>10</v>
      </c>
      <c r="S1055" s="187">
        <v>0</v>
      </c>
      <c r="T1055" s="187">
        <v>10</v>
      </c>
      <c r="U1055" s="187" t="s">
        <v>78</v>
      </c>
      <c r="V1055" s="188">
        <f t="shared" ref="V1055" si="1683">IF(ISBLANK(O1055),"",(IF(O1055=UPPER("IB"),0.005,0.01)))</f>
        <v>0.01</v>
      </c>
      <c r="W1055" s="189">
        <f t="shared" ref="W1055" si="1684">IF(ISBLANK(O1055),"",IF(O1055="IB",8.63*200,IF(O1055="IR",16*100,IF(O1055="YT",20*100,IF(O1055="YT-XT",24*200,IF(O1055="TED",80*100))))))</f>
        <v>1600</v>
      </c>
      <c r="X1055" s="189" t="s">
        <v>3854</v>
      </c>
      <c r="Y1055" s="189"/>
      <c r="Z1055" s="189"/>
      <c r="AA1055" s="190">
        <v>0</v>
      </c>
      <c r="AB1055" s="186"/>
      <c r="AC1055" s="344"/>
      <c r="AD1055" s="186"/>
      <c r="AE1055" s="186"/>
      <c r="AF1055" s="186"/>
      <c r="AG1055" s="186"/>
      <c r="AH1055" s="186"/>
      <c r="AI1055" s="191"/>
      <c r="AJ1055" s="191"/>
      <c r="AK1055" s="186"/>
      <c r="AL1055" s="186"/>
      <c r="AM1055" s="186" t="s">
        <v>1878</v>
      </c>
      <c r="AN1055" s="344" t="s">
        <v>87</v>
      </c>
      <c r="AO1055" s="186" t="s">
        <v>3855</v>
      </c>
      <c r="AP1055" s="193">
        <v>0</v>
      </c>
      <c r="AQ1055" s="193">
        <f t="shared" si="1680"/>
        <v>0</v>
      </c>
      <c r="AR1055" s="191">
        <f t="shared" si="1681"/>
        <v>0</v>
      </c>
      <c r="AS1055" s="194">
        <f t="shared" si="1682"/>
        <v>0</v>
      </c>
      <c r="AT1055" s="195" t="s">
        <v>97</v>
      </c>
      <c r="AU1055" s="425"/>
      <c r="AV1055" s="425"/>
      <c r="AW1055" s="425"/>
      <c r="AX1055" s="425"/>
      <c r="AY1055" s="425"/>
      <c r="AZ1055" s="425"/>
      <c r="BA1055" s="425"/>
      <c r="BB1055" s="425"/>
      <c r="BC1055" s="440"/>
      <c r="BD1055" s="404">
        <f>SUM($AS$4:AS1055)</f>
        <v>4669.8922756769825</v>
      </c>
      <c r="BE1055" s="407">
        <f>SUM($AR$4:AR1055)</f>
        <v>22892.602000000225</v>
      </c>
      <c r="BF1055" s="331"/>
      <c r="BG1055" s="331"/>
    </row>
    <row r="1056" spans="1:59" ht="15.75" customHeight="1">
      <c r="A1056" s="227" t="s">
        <v>3717</v>
      </c>
      <c r="B1056" s="181">
        <v>45189</v>
      </c>
      <c r="C1056" s="182" t="s">
        <v>664</v>
      </c>
      <c r="D1056" s="182" t="s">
        <v>133</v>
      </c>
      <c r="E1056" s="233"/>
      <c r="F1056" s="184"/>
      <c r="G1056" s="185" t="s">
        <v>2924</v>
      </c>
      <c r="H1056" s="186"/>
      <c r="I1056" s="186"/>
      <c r="J1056" s="186"/>
      <c r="K1056" s="187"/>
      <c r="L1056" s="186"/>
      <c r="M1056" s="186"/>
      <c r="N1056" s="186"/>
      <c r="O1056" s="187"/>
      <c r="P1056" s="187"/>
      <c r="Q1056" s="187"/>
      <c r="R1056" s="187"/>
      <c r="S1056" s="187"/>
      <c r="T1056" s="187"/>
      <c r="U1056" s="187"/>
      <c r="V1056" s="188"/>
      <c r="W1056" s="189"/>
      <c r="X1056" s="189"/>
      <c r="Y1056" s="189"/>
      <c r="Z1056" s="189"/>
      <c r="AA1056" s="190"/>
      <c r="AB1056" s="186"/>
      <c r="AC1056" s="344"/>
      <c r="AD1056" s="186"/>
      <c r="AE1056" s="186"/>
      <c r="AF1056" s="186"/>
      <c r="AG1056" s="496"/>
      <c r="AH1056" s="186"/>
      <c r="AI1056" s="191"/>
      <c r="AJ1056" s="191"/>
      <c r="AK1056" s="186"/>
      <c r="AL1056" s="186"/>
      <c r="AM1056" s="186"/>
      <c r="AN1056" s="344"/>
      <c r="AO1056" s="186"/>
      <c r="AP1056" s="193"/>
      <c r="AQ1056" s="193"/>
      <c r="AR1056" s="191"/>
      <c r="AS1056" s="194"/>
      <c r="AT1056" s="195"/>
      <c r="AU1056" s="425" t="s">
        <v>3856</v>
      </c>
      <c r="AV1056" s="425"/>
      <c r="AW1056" s="425"/>
      <c r="AX1056" s="425"/>
      <c r="AY1056" s="425"/>
      <c r="AZ1056" s="425"/>
      <c r="BA1056" s="425"/>
      <c r="BB1056" s="425"/>
      <c r="BC1056" s="440"/>
      <c r="BD1056" s="404">
        <f>SUM($AS$4:AS1056)</f>
        <v>4669.8922756769825</v>
      </c>
      <c r="BE1056" s="407">
        <f>SUM($AR$4:AR1056)</f>
        <v>22892.602000000225</v>
      </c>
      <c r="BF1056" s="331"/>
      <c r="BG1056" s="331"/>
    </row>
    <row r="1057" spans="1:59" ht="15.75" customHeight="1">
      <c r="A1057" s="227" t="s">
        <v>3717</v>
      </c>
      <c r="B1057" s="181">
        <v>45189</v>
      </c>
      <c r="C1057" s="182" t="s">
        <v>664</v>
      </c>
      <c r="D1057" s="182" t="s">
        <v>133</v>
      </c>
      <c r="E1057" s="233"/>
      <c r="F1057" s="184"/>
      <c r="G1057" s="291" t="s">
        <v>2051</v>
      </c>
      <c r="H1057" s="186"/>
      <c r="I1057" s="186"/>
      <c r="J1057" s="186"/>
      <c r="K1057" s="187"/>
      <c r="L1057" s="186"/>
      <c r="M1057" s="186">
        <v>1</v>
      </c>
      <c r="N1057" s="186"/>
      <c r="O1057" s="187" t="s">
        <v>76</v>
      </c>
      <c r="P1057" s="187" t="s">
        <v>119</v>
      </c>
      <c r="Q1057" s="187" t="s">
        <v>78</v>
      </c>
      <c r="R1057" s="187">
        <v>20</v>
      </c>
      <c r="S1057" s="187">
        <v>0</v>
      </c>
      <c r="T1057" s="187">
        <v>20</v>
      </c>
      <c r="U1057" s="187" t="s">
        <v>78</v>
      </c>
      <c r="V1057" s="188">
        <f t="shared" ref="V1057" si="1685">IF(ISBLANK(O1057),"",(IF(O1057=UPPER("IB"),0.005,0.01)))</f>
        <v>0.01</v>
      </c>
      <c r="W1057" s="189">
        <f t="shared" ref="W1057" si="1686">IF(ISBLANK(O1057),"",IF(O1057="IB",8.63*200,IF(O1057="IR",16*100,IF(O1057="YT",20*100,IF(O1057="YT-XT",24*200,IF(O1057="TED",80*100))))))</f>
        <v>1600</v>
      </c>
      <c r="X1057" s="189" t="s">
        <v>80</v>
      </c>
      <c r="Y1057" s="189"/>
      <c r="Z1057" s="189"/>
      <c r="AA1057" s="190">
        <v>-0.1</v>
      </c>
      <c r="AB1057" s="186"/>
      <c r="AC1057" s="344"/>
      <c r="AD1057" s="186"/>
      <c r="AE1057" s="186"/>
      <c r="AF1057" s="186"/>
      <c r="AG1057" s="186"/>
      <c r="AH1057" s="186"/>
      <c r="AI1057" s="191"/>
      <c r="AJ1057" s="191"/>
      <c r="AK1057" s="186"/>
      <c r="AL1057" s="186"/>
      <c r="AM1057" s="186" t="s">
        <v>1878</v>
      </c>
      <c r="AN1057" s="344" t="s">
        <v>87</v>
      </c>
      <c r="AO1057" s="186" t="s">
        <v>3857</v>
      </c>
      <c r="AP1057" s="193">
        <v>-0.1</v>
      </c>
      <c r="AQ1057" s="193">
        <f t="shared" si="1680"/>
        <v>0</v>
      </c>
      <c r="AR1057" s="191">
        <f t="shared" si="1681"/>
        <v>0</v>
      </c>
      <c r="AS1057" s="194">
        <f t="shared" si="1682"/>
        <v>0</v>
      </c>
      <c r="AT1057" s="195" t="s">
        <v>97</v>
      </c>
      <c r="AU1057" s="425"/>
      <c r="AV1057" s="425"/>
      <c r="AW1057" s="425"/>
      <c r="AX1057" s="425"/>
      <c r="AY1057" s="425"/>
      <c r="AZ1057" s="425"/>
      <c r="BA1057" s="425"/>
      <c r="BB1057" s="425"/>
      <c r="BC1057" s="440"/>
      <c r="BD1057" s="404">
        <f>SUM($AS$4:AS1057)</f>
        <v>4669.8922756769825</v>
      </c>
      <c r="BE1057" s="407">
        <f>SUM($AR$4:AR1057)</f>
        <v>22892.602000000225</v>
      </c>
      <c r="BF1057" s="331"/>
      <c r="BG1057" s="331"/>
    </row>
    <row r="1058" spans="1:59" ht="15.75" customHeight="1">
      <c r="A1058" s="227" t="s">
        <v>3717</v>
      </c>
      <c r="B1058" s="181">
        <v>45189</v>
      </c>
      <c r="C1058" s="182" t="s">
        <v>664</v>
      </c>
      <c r="D1058" s="182" t="s">
        <v>133</v>
      </c>
      <c r="E1058" s="233"/>
      <c r="F1058" s="184"/>
      <c r="G1058" s="291" t="s">
        <v>1997</v>
      </c>
      <c r="H1058" s="186"/>
      <c r="I1058" s="186"/>
      <c r="J1058" s="186"/>
      <c r="K1058" s="187"/>
      <c r="L1058" s="186"/>
      <c r="M1058" s="186">
        <v>1</v>
      </c>
      <c r="N1058" s="186"/>
      <c r="O1058" s="187" t="s">
        <v>76</v>
      </c>
      <c r="P1058" s="187" t="s">
        <v>119</v>
      </c>
      <c r="Q1058" s="187" t="s">
        <v>78</v>
      </c>
      <c r="R1058" s="187">
        <v>20</v>
      </c>
      <c r="S1058" s="187">
        <v>11</v>
      </c>
      <c r="T1058" s="187">
        <v>20</v>
      </c>
      <c r="U1058" s="187" t="s">
        <v>78</v>
      </c>
      <c r="V1058" s="188">
        <f t="shared" ref="V1058:V1059" si="1687">IF(ISBLANK(O1058),"",(IF(O1058=UPPER("IB"),0.005,0.01)))</f>
        <v>0.01</v>
      </c>
      <c r="W1058" s="189">
        <f t="shared" ref="W1058" si="1688">IF(ISBLANK(O1058),"",IF(O1058="IB",8.63*200,IF(O1058="IR",16*100,IF(O1058="YT",20*100,IF(O1058="YT-XT",24*200,IF(O1058="TED",80*100))))))</f>
        <v>1600</v>
      </c>
      <c r="X1058" s="189" t="s">
        <v>3858</v>
      </c>
      <c r="Y1058" s="189"/>
      <c r="Z1058" s="189"/>
      <c r="AA1058" s="190">
        <v>-0.1</v>
      </c>
      <c r="AB1058" s="186"/>
      <c r="AC1058" s="344"/>
      <c r="AD1058" s="186"/>
      <c r="AE1058" s="186"/>
      <c r="AF1058" s="186"/>
      <c r="AG1058" s="186"/>
      <c r="AH1058" s="186"/>
      <c r="AI1058" s="191">
        <f>-0.02*W1058</f>
        <v>-32</v>
      </c>
      <c r="AJ1058" s="191">
        <f t="shared" ref="AJ1053:AJ1063" si="1689">AI1058*(R1058-S1058)</f>
        <v>-288</v>
      </c>
      <c r="AK1058" s="186"/>
      <c r="AL1058" s="186"/>
      <c r="AM1058" s="186" t="s">
        <v>1414</v>
      </c>
      <c r="AN1058" s="344" t="s">
        <v>87</v>
      </c>
      <c r="AO1058" s="186" t="s">
        <v>3859</v>
      </c>
      <c r="AP1058" s="193">
        <f>((-0.1*11)+(-0.1*9))/20</f>
        <v>-0.1</v>
      </c>
      <c r="AQ1058" s="193">
        <f t="shared" si="1680"/>
        <v>0</v>
      </c>
      <c r="AR1058" s="191">
        <f t="shared" si="1681"/>
        <v>0</v>
      </c>
      <c r="AS1058" s="194">
        <f t="shared" si="1682"/>
        <v>0</v>
      </c>
      <c r="AT1058" s="195" t="s">
        <v>97</v>
      </c>
      <c r="AU1058" s="425"/>
      <c r="AV1058" s="425"/>
      <c r="AW1058" s="425"/>
      <c r="AX1058" s="425"/>
      <c r="AY1058" s="425"/>
      <c r="AZ1058" s="425"/>
      <c r="BA1058" s="425"/>
      <c r="BB1058" s="425"/>
      <c r="BC1058" s="440"/>
      <c r="BD1058" s="404">
        <f>SUM($AS$4:AS1058)</f>
        <v>4669.8922756769825</v>
      </c>
      <c r="BE1058" s="407">
        <f>SUM($AR$4:AR1058)</f>
        <v>22892.602000000225</v>
      </c>
      <c r="BF1058" s="331"/>
      <c r="BG1058" s="331"/>
    </row>
    <row r="1059" spans="1:59" ht="15.75" customHeight="1">
      <c r="A1059" s="227" t="s">
        <v>3717</v>
      </c>
      <c r="B1059" s="181">
        <v>45190</v>
      </c>
      <c r="C1059" s="182" t="s">
        <v>3860</v>
      </c>
      <c r="D1059" s="182" t="s">
        <v>74</v>
      </c>
      <c r="E1059" s="233"/>
      <c r="F1059" s="184"/>
      <c r="G1059" s="185" t="s">
        <v>3861</v>
      </c>
      <c r="H1059" s="186"/>
      <c r="I1059" s="186"/>
      <c r="J1059" s="186"/>
      <c r="K1059" s="187"/>
      <c r="L1059" s="186"/>
      <c r="M1059" s="186"/>
      <c r="N1059" s="186"/>
      <c r="O1059" s="187"/>
      <c r="P1059" s="187"/>
      <c r="Q1059" s="187"/>
      <c r="R1059" s="187"/>
      <c r="S1059" s="187"/>
      <c r="T1059" s="187"/>
      <c r="U1059" s="187"/>
      <c r="V1059" s="188"/>
      <c r="W1059" s="189"/>
      <c r="X1059" s="189"/>
      <c r="Y1059" s="189"/>
      <c r="Z1059" s="189"/>
      <c r="AA1059" s="190"/>
      <c r="AB1059" s="186"/>
      <c r="AC1059" s="344"/>
      <c r="AD1059" s="186"/>
      <c r="AE1059" s="186">
        <v>0</v>
      </c>
      <c r="AF1059" s="186"/>
      <c r="AG1059" s="186"/>
      <c r="AH1059" s="186"/>
      <c r="AI1059" s="191"/>
      <c r="AJ1059" s="191"/>
      <c r="AK1059" s="186"/>
      <c r="AL1059" s="186"/>
      <c r="AM1059" s="186"/>
      <c r="AN1059" s="344"/>
      <c r="AO1059" s="186"/>
      <c r="AP1059" s="193"/>
      <c r="AQ1059" s="193"/>
      <c r="AR1059" s="191"/>
      <c r="AS1059" s="194"/>
      <c r="AT1059" s="195"/>
      <c r="AU1059" s="425"/>
      <c r="AV1059" s="425"/>
      <c r="AW1059" s="425"/>
      <c r="AX1059" s="425"/>
      <c r="AY1059" s="425"/>
      <c r="AZ1059" s="425"/>
      <c r="BA1059" s="425"/>
      <c r="BB1059" s="425"/>
      <c r="BC1059" s="440"/>
      <c r="BD1059" s="404">
        <f>SUM($AS$4:AS1059)</f>
        <v>4669.8922756769825</v>
      </c>
      <c r="BE1059" s="407">
        <f>SUM($AR$4:AR1059)</f>
        <v>22892.602000000225</v>
      </c>
      <c r="BF1059" s="331"/>
      <c r="BG1059" s="331"/>
    </row>
    <row r="1060" spans="1:59" ht="15.75" customHeight="1">
      <c r="A1060" s="227" t="s">
        <v>3717</v>
      </c>
      <c r="B1060" s="181">
        <v>45190</v>
      </c>
      <c r="C1060" s="182" t="s">
        <v>1593</v>
      </c>
      <c r="D1060" s="182" t="s">
        <v>74</v>
      </c>
      <c r="E1060" s="233"/>
      <c r="F1060" s="184"/>
      <c r="G1060" s="291" t="s">
        <v>118</v>
      </c>
      <c r="H1060" s="186"/>
      <c r="I1060" s="186"/>
      <c r="J1060" s="186"/>
      <c r="K1060" s="187"/>
      <c r="L1060" s="186">
        <v>1</v>
      </c>
      <c r="M1060" s="186"/>
      <c r="N1060" s="186"/>
      <c r="O1060" s="187" t="s">
        <v>76</v>
      </c>
      <c r="P1060" s="187" t="s">
        <v>77</v>
      </c>
      <c r="Q1060" s="187" t="s">
        <v>78</v>
      </c>
      <c r="R1060" s="187">
        <v>15</v>
      </c>
      <c r="S1060" s="187">
        <v>0</v>
      </c>
      <c r="T1060" s="187">
        <v>15</v>
      </c>
      <c r="U1060" s="187" t="s">
        <v>78</v>
      </c>
      <c r="V1060" s="188">
        <f t="shared" ref="V1060:V1062" si="1690">IF(ISBLANK(O1060),"",(IF(O1060=UPPER("IB"),0.005,0.01)))</f>
        <v>0.01</v>
      </c>
      <c r="W1060" s="189">
        <f t="shared" ref="W1060:W1062" si="1691">IF(ISBLANK(O1060),"",IF(O1060="IB",8.63*200,IF(O1060="IR",16*100,IF(O1060="YT",20*100,IF(O1060="YT-XT",24*200,IF(O1060="TED",80*100))))))</f>
        <v>1600</v>
      </c>
      <c r="X1060" s="189" t="s">
        <v>80</v>
      </c>
      <c r="Y1060" s="189"/>
      <c r="Z1060" s="189"/>
      <c r="AA1060" s="190">
        <v>-0.03</v>
      </c>
      <c r="AB1060" s="186"/>
      <c r="AC1060" s="344"/>
      <c r="AD1060" s="186"/>
      <c r="AE1060" s="186"/>
      <c r="AF1060" s="186"/>
      <c r="AG1060" s="186"/>
      <c r="AH1060" s="186"/>
      <c r="AI1060" s="191">
        <f t="shared" ref="AI1053:AI1063" si="1692">-0.025*W1060</f>
        <v>-40</v>
      </c>
      <c r="AJ1060" s="191">
        <f t="shared" si="1689"/>
        <v>-600</v>
      </c>
      <c r="AK1060" s="186"/>
      <c r="AL1060" s="186"/>
      <c r="AM1060" s="186" t="s">
        <v>1273</v>
      </c>
      <c r="AN1060" s="344" t="s">
        <v>87</v>
      </c>
      <c r="AO1060" s="186" t="s">
        <v>3862</v>
      </c>
      <c r="AP1060" s="193">
        <v>-0.04</v>
      </c>
      <c r="AQ1060" s="193">
        <f t="shared" ref="AQ1059:AQ1060" si="1693">IF(ISBLANK(AP1060),,IF(U1060="S",AA1060-AP1060,AP1060-AA1060))</f>
        <v>1.0000000000000002E-2</v>
      </c>
      <c r="AR1060" s="191">
        <f t="shared" ref="AR1059:AR1060" si="1694">AS1060*R1060</f>
        <v>240.00000000000006</v>
      </c>
      <c r="AS1060" s="194">
        <f t="shared" ref="AS1059:AS1060" si="1695">IF(ISBLANK(AP1060),,(AQ1060*W1060))</f>
        <v>16.000000000000004</v>
      </c>
      <c r="AT1060" s="195" t="s">
        <v>77</v>
      </c>
      <c r="AU1060" s="425"/>
      <c r="AV1060" s="425"/>
      <c r="AW1060" s="425"/>
      <c r="AX1060" s="425"/>
      <c r="AY1060" s="425"/>
      <c r="AZ1060" s="425"/>
      <c r="BA1060" s="425"/>
      <c r="BB1060" s="425"/>
      <c r="BC1060" s="440"/>
      <c r="BD1060" s="404">
        <f>SUM($AS$4:AS1060)</f>
        <v>4685.8922756769825</v>
      </c>
      <c r="BE1060" s="407">
        <f>SUM($AR$4:AR1060)</f>
        <v>23132.602000000225</v>
      </c>
      <c r="BF1060" s="331"/>
      <c r="BG1060" s="331"/>
    </row>
    <row r="1061" spans="1:59" ht="15.75" customHeight="1">
      <c r="A1061" s="227" t="s">
        <v>3717</v>
      </c>
      <c r="B1061" s="181">
        <v>45190</v>
      </c>
      <c r="C1061" s="182" t="s">
        <v>178</v>
      </c>
      <c r="D1061" s="182" t="s">
        <v>74</v>
      </c>
      <c r="E1061" s="233"/>
      <c r="F1061" s="184"/>
      <c r="G1061" s="291" t="s">
        <v>3861</v>
      </c>
      <c r="H1061" s="186"/>
      <c r="I1061" s="186"/>
      <c r="J1061" s="186"/>
      <c r="K1061" s="187"/>
      <c r="L1061" s="186">
        <v>1</v>
      </c>
      <c r="M1061" s="186"/>
      <c r="N1061" s="186"/>
      <c r="O1061" s="187" t="s">
        <v>76</v>
      </c>
      <c r="P1061" s="187" t="s">
        <v>77</v>
      </c>
      <c r="Q1061" s="187" t="s">
        <v>78</v>
      </c>
      <c r="R1061" s="187">
        <v>20</v>
      </c>
      <c r="S1061" s="187">
        <v>0</v>
      </c>
      <c r="T1061" s="187">
        <v>10</v>
      </c>
      <c r="U1061" s="187" t="s">
        <v>78</v>
      </c>
      <c r="V1061" s="188">
        <f t="shared" si="1690"/>
        <v>0.01</v>
      </c>
      <c r="W1061" s="189">
        <f t="shared" si="1691"/>
        <v>1600</v>
      </c>
      <c r="X1061" s="189" t="s">
        <v>3863</v>
      </c>
      <c r="Y1061" s="189"/>
      <c r="Z1061" s="189"/>
      <c r="AA1061" s="190">
        <f>(0.02+0.05)/2</f>
        <v>3.5000000000000003E-2</v>
      </c>
      <c r="AB1061" s="186"/>
      <c r="AC1061" s="344"/>
      <c r="AD1061" s="186"/>
      <c r="AE1061" s="186"/>
      <c r="AF1061" s="186"/>
      <c r="AG1061" s="186"/>
      <c r="AH1061" s="186"/>
      <c r="AI1061" s="191">
        <f>-0.035*W1061</f>
        <v>-56.000000000000007</v>
      </c>
      <c r="AJ1061" s="191">
        <f t="shared" si="1689"/>
        <v>-1120.0000000000002</v>
      </c>
      <c r="AK1061" s="186"/>
      <c r="AL1061" s="186"/>
      <c r="AM1061" s="186" t="s">
        <v>919</v>
      </c>
      <c r="AN1061" s="344" t="s">
        <v>87</v>
      </c>
      <c r="AO1061" s="186" t="s">
        <v>3864</v>
      </c>
      <c r="AP1061" s="193">
        <v>0.03</v>
      </c>
      <c r="AQ1061" s="193">
        <f t="shared" ref="AQ1061" si="1696">IF(ISBLANK(AP1061),,IF(U1061="S",AA1061-AP1061,AP1061-AA1061))</f>
        <v>5.0000000000000044E-3</v>
      </c>
      <c r="AR1061" s="191">
        <f t="shared" ref="AR1061" si="1697">AS1061*R1061</f>
        <v>160.00000000000014</v>
      </c>
      <c r="AS1061" s="194">
        <f t="shared" ref="AS1061" si="1698">IF(ISBLANK(AP1061),,(AQ1061*W1061))</f>
        <v>8.0000000000000071</v>
      </c>
      <c r="AT1061" s="195" t="s">
        <v>77</v>
      </c>
      <c r="AU1061" s="425" t="s">
        <v>3865</v>
      </c>
      <c r="AV1061" s="425"/>
      <c r="AW1061" s="425"/>
      <c r="AX1061" s="425" t="s">
        <v>3866</v>
      </c>
      <c r="AY1061" s="425"/>
      <c r="AZ1061" s="425"/>
      <c r="BA1061" s="425"/>
      <c r="BB1061" s="425"/>
      <c r="BC1061" s="440"/>
      <c r="BD1061" s="404">
        <f>SUM($AS$4:AS1061)</f>
        <v>4693.8922756769825</v>
      </c>
      <c r="BE1061" s="407">
        <f>SUM($AR$4:AR1061)</f>
        <v>23292.602000000225</v>
      </c>
      <c r="BF1061" s="331"/>
      <c r="BG1061" s="331"/>
    </row>
    <row r="1062" spans="1:59" ht="15.75" customHeight="1">
      <c r="A1062" s="227" t="s">
        <v>3717</v>
      </c>
      <c r="B1062" s="181">
        <v>45190</v>
      </c>
      <c r="C1062" s="182" t="s">
        <v>1418</v>
      </c>
      <c r="D1062" s="182" t="s">
        <v>74</v>
      </c>
      <c r="E1062" s="233"/>
      <c r="F1062" s="184"/>
      <c r="G1062" s="291" t="s">
        <v>3840</v>
      </c>
      <c r="H1062" s="186"/>
      <c r="I1062" s="186"/>
      <c r="J1062" s="186"/>
      <c r="K1062" s="187"/>
      <c r="L1062" s="186">
        <v>2</v>
      </c>
      <c r="M1062" s="186">
        <v>2</v>
      </c>
      <c r="N1062" s="186"/>
      <c r="O1062" s="187" t="s">
        <v>76</v>
      </c>
      <c r="P1062" s="187" t="s">
        <v>119</v>
      </c>
      <c r="Q1062" s="187" t="s">
        <v>238</v>
      </c>
      <c r="R1062" s="187">
        <v>53</v>
      </c>
      <c r="S1062" s="187">
        <v>0</v>
      </c>
      <c r="T1062" s="187">
        <v>26</v>
      </c>
      <c r="U1062" s="187" t="s">
        <v>78</v>
      </c>
      <c r="V1062" s="188">
        <f t="shared" si="1690"/>
        <v>0.01</v>
      </c>
      <c r="W1062" s="189">
        <f t="shared" si="1691"/>
        <v>1600</v>
      </c>
      <c r="X1062" s="189" t="s">
        <v>3867</v>
      </c>
      <c r="Y1062" s="189"/>
      <c r="Z1062" s="189" t="s">
        <v>3868</v>
      </c>
      <c r="AA1062" s="190">
        <f>((-0.01*32)+(0*21))/53</f>
        <v>-6.0377358490566035E-3</v>
      </c>
      <c r="AB1062" s="186"/>
      <c r="AC1062" s="344">
        <v>2</v>
      </c>
      <c r="AD1062" s="186" t="s">
        <v>3869</v>
      </c>
      <c r="AE1062" s="186">
        <v>-3</v>
      </c>
      <c r="AF1062" s="186"/>
      <c r="AG1062" s="186"/>
      <c r="AH1062" s="186"/>
      <c r="AI1062" s="191">
        <f>-0.03*W1062</f>
        <v>-48</v>
      </c>
      <c r="AJ1062" s="191">
        <f t="shared" si="1689"/>
        <v>-2544</v>
      </c>
      <c r="AK1062" s="186" t="s">
        <v>3870</v>
      </c>
      <c r="AL1062" s="186" t="s">
        <v>3738</v>
      </c>
      <c r="AM1062" s="186"/>
      <c r="AN1062" s="344"/>
      <c r="AO1062" s="186"/>
      <c r="AP1062" s="193"/>
      <c r="AQ1062" s="193">
        <f t="shared" ref="AQ1062:AQ1068" si="1699">IF(ISBLANK(AP1062),,IF(U1062="S",AA1062-AP1062,AP1062-AA1062))</f>
        <v>0</v>
      </c>
      <c r="AR1062" s="191">
        <f t="shared" ref="AR1062:AR1068" si="1700">AS1062*R1062</f>
        <v>0</v>
      </c>
      <c r="AS1062" s="194">
        <f t="shared" ref="AS1062:AS1068" si="1701">IF(ISBLANK(AP1062),,(AQ1062*W1062))</f>
        <v>0</v>
      </c>
      <c r="AT1062" s="195"/>
      <c r="AU1062" s="425" t="s">
        <v>3871</v>
      </c>
      <c r="AV1062" s="425" t="s">
        <v>3872</v>
      </c>
      <c r="AW1062" s="425"/>
      <c r="AX1062" s="425"/>
      <c r="AY1062" s="425"/>
      <c r="AZ1062" s="425"/>
      <c r="BA1062" s="425"/>
      <c r="BB1062" s="425"/>
      <c r="BC1062" s="440"/>
      <c r="BD1062" s="404">
        <f>SUM($AS$4:AS1062)</f>
        <v>4693.8922756769825</v>
      </c>
      <c r="BE1062" s="407">
        <f>SUM($AR$4:AR1062)</f>
        <v>23292.602000000225</v>
      </c>
      <c r="BF1062" s="331"/>
      <c r="BG1062" s="331"/>
    </row>
    <row r="1063" spans="1:59" ht="15.75" customHeight="1">
      <c r="A1063" s="227" t="s">
        <v>3717</v>
      </c>
      <c r="B1063" s="181">
        <v>45190</v>
      </c>
      <c r="C1063" s="182" t="s">
        <v>3458</v>
      </c>
      <c r="D1063" s="182" t="s">
        <v>74</v>
      </c>
      <c r="E1063" s="233" t="s">
        <v>3873</v>
      </c>
      <c r="F1063" s="184"/>
      <c r="G1063" s="185"/>
      <c r="H1063" s="186"/>
      <c r="I1063" s="186"/>
      <c r="J1063" s="186"/>
      <c r="K1063" s="187"/>
      <c r="L1063" s="186"/>
      <c r="M1063" s="186"/>
      <c r="N1063" s="186"/>
      <c r="O1063" s="187"/>
      <c r="P1063" s="187"/>
      <c r="Q1063" s="187"/>
      <c r="R1063" s="187"/>
      <c r="S1063" s="187"/>
      <c r="T1063" s="187"/>
      <c r="U1063" s="187"/>
      <c r="V1063" s="187"/>
      <c r="W1063" s="189" t="str">
        <f t="shared" si="1667"/>
        <v/>
      </c>
      <c r="X1063" s="189"/>
      <c r="Y1063" s="189"/>
      <c r="Z1063" s="189"/>
      <c r="AA1063" s="190"/>
      <c r="AB1063" s="186"/>
      <c r="AC1063" s="344"/>
      <c r="AD1063" s="186"/>
      <c r="AE1063" s="186"/>
      <c r="AF1063" s="186"/>
      <c r="AG1063" s="186"/>
      <c r="AH1063" s="186"/>
      <c r="AI1063" s="191"/>
      <c r="AJ1063" s="191"/>
      <c r="AK1063" s="186"/>
      <c r="AL1063" s="186"/>
      <c r="AM1063" s="186"/>
      <c r="AN1063" s="344"/>
      <c r="AO1063" s="186"/>
      <c r="AP1063" s="193"/>
      <c r="AQ1063" s="193"/>
      <c r="AR1063" s="191"/>
      <c r="AS1063" s="194"/>
      <c r="AT1063" s="195"/>
      <c r="AU1063" s="425" t="s">
        <v>3874</v>
      </c>
      <c r="AV1063" s="425" t="s">
        <v>3875</v>
      </c>
      <c r="AW1063" s="425" t="s">
        <v>3876</v>
      </c>
      <c r="AX1063" s="425" t="s">
        <v>3877</v>
      </c>
      <c r="AY1063" s="425" t="s">
        <v>3878</v>
      </c>
      <c r="AZ1063" s="425"/>
      <c r="BA1063" s="425"/>
      <c r="BB1063" s="425"/>
      <c r="BC1063" s="440"/>
      <c r="BD1063" s="404">
        <f>SUM($AS$4:AS1063)</f>
        <v>4693.8922756769825</v>
      </c>
      <c r="BE1063" s="407">
        <f>SUM($AR$4:AR1063)</f>
        <v>23292.602000000225</v>
      </c>
      <c r="BF1063" s="331"/>
      <c r="BG1063" s="331"/>
    </row>
    <row r="1064" spans="1:59" ht="15.75" customHeight="1">
      <c r="A1064" s="227" t="s">
        <v>3717</v>
      </c>
      <c r="B1064" s="181">
        <v>45191</v>
      </c>
      <c r="C1064" s="182" t="s">
        <v>1285</v>
      </c>
      <c r="D1064" s="182" t="s">
        <v>93</v>
      </c>
      <c r="E1064" s="233" t="s">
        <v>3879</v>
      </c>
      <c r="F1064" s="184"/>
      <c r="G1064" s="185"/>
      <c r="H1064" s="186">
        <v>1</v>
      </c>
      <c r="I1064" s="186"/>
      <c r="J1064" s="186"/>
      <c r="K1064" s="187" t="s">
        <v>87</v>
      </c>
      <c r="L1064" s="186"/>
      <c r="M1064" s="186"/>
      <c r="N1064" s="186"/>
      <c r="O1064" s="187"/>
      <c r="P1064" s="187"/>
      <c r="Q1064" s="187"/>
      <c r="R1064" s="187"/>
      <c r="S1064" s="187"/>
      <c r="T1064" s="187"/>
      <c r="U1064" s="187"/>
      <c r="V1064" s="187"/>
      <c r="W1064" s="189" t="str">
        <f t="shared" ref="W1064:W1069" si="1702">IF(ISBLANK(O1064),"",IF(O1064="IB",8.63*200,IF(O1064="IR",16*100,IF(O1064="YT",20*100,IF(O1064="YT-XT",24*200,IF(O1064="TED",80*100))))))</f>
        <v/>
      </c>
      <c r="X1064" s="189"/>
      <c r="Y1064" s="189"/>
      <c r="Z1064" s="189"/>
      <c r="AA1064" s="190"/>
      <c r="AB1064" s="186"/>
      <c r="AC1064" s="344"/>
      <c r="AD1064" s="186"/>
      <c r="AE1064" s="186"/>
      <c r="AF1064" s="186"/>
      <c r="AG1064" s="186"/>
      <c r="AH1064" s="186"/>
      <c r="AI1064" s="191"/>
      <c r="AJ1064" s="187"/>
      <c r="AK1064" s="186"/>
      <c r="AL1064" s="186"/>
      <c r="AM1064" s="186"/>
      <c r="AN1064" s="344"/>
      <c r="AO1064" s="186"/>
      <c r="AP1064" s="193"/>
      <c r="AQ1064" s="193"/>
      <c r="AR1064" s="191"/>
      <c r="AS1064" s="194"/>
      <c r="AT1064" s="195"/>
      <c r="AU1064" s="425"/>
      <c r="AV1064" s="425"/>
      <c r="AW1064" s="425"/>
      <c r="AX1064" s="425"/>
      <c r="AY1064" s="425"/>
      <c r="AZ1064" s="425"/>
      <c r="BA1064" s="425"/>
      <c r="BB1064" s="425"/>
      <c r="BC1064" s="440"/>
      <c r="BD1064" s="404">
        <f>SUM($AS$4:AS1064)</f>
        <v>4693.8922756769825</v>
      </c>
      <c r="BE1064" s="407">
        <f>SUM($AR$4:AR1064)</f>
        <v>23292.602000000225</v>
      </c>
      <c r="BF1064" s="331"/>
      <c r="BG1064" s="331"/>
    </row>
    <row r="1065" spans="1:59" ht="15.75" customHeight="1">
      <c r="A1065" s="227" t="s">
        <v>3717</v>
      </c>
      <c r="B1065" s="181">
        <v>45191</v>
      </c>
      <c r="C1065" s="182" t="s">
        <v>3196</v>
      </c>
      <c r="D1065" s="182" t="s">
        <v>93</v>
      </c>
      <c r="E1065" s="233" t="s">
        <v>3880</v>
      </c>
      <c r="F1065" s="184"/>
      <c r="G1065" s="185"/>
      <c r="H1065" s="186"/>
      <c r="I1065" s="186">
        <v>1</v>
      </c>
      <c r="J1065" s="186"/>
      <c r="K1065" s="187"/>
      <c r="L1065" s="186"/>
      <c r="M1065" s="186"/>
      <c r="N1065" s="186"/>
      <c r="O1065" s="187"/>
      <c r="P1065" s="187"/>
      <c r="Q1065" s="187"/>
      <c r="R1065" s="187"/>
      <c r="S1065" s="187"/>
      <c r="T1065" s="187"/>
      <c r="U1065" s="187"/>
      <c r="V1065" s="187"/>
      <c r="W1065" s="189" t="str">
        <f t="shared" si="1702"/>
        <v/>
      </c>
      <c r="X1065" s="189"/>
      <c r="Y1065" s="189"/>
      <c r="Z1065" s="189"/>
      <c r="AA1065" s="190"/>
      <c r="AB1065" s="186"/>
      <c r="AC1065" s="344"/>
      <c r="AD1065" s="186"/>
      <c r="AE1065" s="186"/>
      <c r="AF1065" s="186"/>
      <c r="AG1065" s="186"/>
      <c r="AH1065" s="186"/>
      <c r="AI1065" s="191"/>
      <c r="AJ1065" s="187"/>
      <c r="AK1065" s="186"/>
      <c r="AL1065" s="186"/>
      <c r="AM1065" s="186"/>
      <c r="AN1065" s="344"/>
      <c r="AO1065" s="186"/>
      <c r="AP1065" s="193"/>
      <c r="AQ1065" s="193"/>
      <c r="AR1065" s="191"/>
      <c r="AS1065" s="194"/>
      <c r="AT1065" s="195"/>
      <c r="AU1065" s="425" t="s">
        <v>3881</v>
      </c>
      <c r="AV1065" s="425" t="s">
        <v>3882</v>
      </c>
      <c r="AW1065" s="427" t="s">
        <v>3883</v>
      </c>
      <c r="AX1065" s="425" t="s">
        <v>3884</v>
      </c>
      <c r="AY1065" s="425" t="s">
        <v>3885</v>
      </c>
      <c r="AZ1065" s="425"/>
      <c r="BA1065" s="425"/>
      <c r="BB1065" s="425"/>
      <c r="BC1065" s="440"/>
      <c r="BD1065" s="404">
        <f>SUM($AS$4:AS1065)</f>
        <v>4693.8922756769825</v>
      </c>
      <c r="BE1065" s="407">
        <f>SUM($AR$4:AR1065)</f>
        <v>23292.602000000225</v>
      </c>
      <c r="BF1065" s="331"/>
      <c r="BG1065" s="331"/>
    </row>
    <row r="1066" spans="1:59" ht="15.75" customHeight="1">
      <c r="A1066" s="227" t="s">
        <v>3717</v>
      </c>
      <c r="B1066" s="181">
        <v>45196</v>
      </c>
      <c r="C1066" s="182" t="s">
        <v>2001</v>
      </c>
      <c r="D1066" s="182" t="s">
        <v>133</v>
      </c>
      <c r="E1066" s="233" t="s">
        <v>3886</v>
      </c>
      <c r="F1066" s="184"/>
      <c r="G1066" s="185"/>
      <c r="H1066" s="186"/>
      <c r="I1066" s="186"/>
      <c r="J1066" s="186"/>
      <c r="K1066" s="187"/>
      <c r="L1066" s="186"/>
      <c r="M1066" s="186"/>
      <c r="N1066" s="186"/>
      <c r="O1066" s="187"/>
      <c r="P1066" s="187"/>
      <c r="Q1066" s="187"/>
      <c r="R1066" s="187"/>
      <c r="S1066" s="187"/>
      <c r="T1066" s="187"/>
      <c r="U1066" s="187"/>
      <c r="V1066" s="187"/>
      <c r="W1066" s="189" t="str">
        <f t="shared" si="1702"/>
        <v/>
      </c>
      <c r="X1066" s="189"/>
      <c r="Y1066" s="189"/>
      <c r="Z1066" s="189"/>
      <c r="AA1066" s="190"/>
      <c r="AB1066" s="186"/>
      <c r="AC1066" s="344"/>
      <c r="AD1066" s="186"/>
      <c r="AE1066" s="186"/>
      <c r="AF1066" s="186"/>
      <c r="AG1066" s="186"/>
      <c r="AH1066" s="186"/>
      <c r="AI1066" s="191"/>
      <c r="AJ1066" s="187"/>
      <c r="AK1066" s="186"/>
      <c r="AL1066" s="186"/>
      <c r="AM1066" s="186"/>
      <c r="AN1066" s="344"/>
      <c r="AO1066" s="186"/>
      <c r="AP1066" s="193"/>
      <c r="AQ1066" s="193"/>
      <c r="AR1066" s="191"/>
      <c r="AS1066" s="194"/>
      <c r="AT1066" s="195"/>
      <c r="AU1066" s="425" t="s">
        <v>3887</v>
      </c>
      <c r="AV1066" s="425" t="s">
        <v>3888</v>
      </c>
      <c r="AW1066" s="425" t="s">
        <v>3889</v>
      </c>
      <c r="AX1066" s="425" t="s">
        <v>3890</v>
      </c>
      <c r="AY1066" s="425" t="s">
        <v>3891</v>
      </c>
      <c r="AZ1066" s="425" t="s">
        <v>3892</v>
      </c>
      <c r="BA1066" s="425" t="s">
        <v>3893</v>
      </c>
      <c r="BB1066" s="425" t="s">
        <v>3894</v>
      </c>
      <c r="BC1066" s="440" t="s">
        <v>3895</v>
      </c>
      <c r="BD1066" s="404">
        <f>SUM($AS$4:AS1066)</f>
        <v>4693.8922756769825</v>
      </c>
      <c r="BE1066" s="407">
        <f>SUM($AR$4:AR1066)</f>
        <v>23292.602000000225</v>
      </c>
      <c r="BF1066" s="331"/>
      <c r="BG1066" s="331"/>
    </row>
    <row r="1067" spans="1:59" ht="15.75" customHeight="1">
      <c r="A1067" s="227" t="s">
        <v>3717</v>
      </c>
      <c r="B1067" s="181">
        <v>45196</v>
      </c>
      <c r="C1067" s="182" t="s">
        <v>3896</v>
      </c>
      <c r="D1067" s="182" t="s">
        <v>133</v>
      </c>
      <c r="E1067" s="233"/>
      <c r="F1067" s="184"/>
      <c r="G1067" s="291" t="s">
        <v>2126</v>
      </c>
      <c r="H1067" s="186"/>
      <c r="I1067" s="186"/>
      <c r="J1067" s="186"/>
      <c r="K1067" s="187"/>
      <c r="L1067" s="186">
        <v>1</v>
      </c>
      <c r="M1067" s="186"/>
      <c r="N1067" s="186"/>
      <c r="O1067" s="187" t="s">
        <v>76</v>
      </c>
      <c r="P1067" s="187" t="s">
        <v>77</v>
      </c>
      <c r="Q1067" s="187" t="s">
        <v>78</v>
      </c>
      <c r="R1067" s="187">
        <v>7</v>
      </c>
      <c r="S1067" s="187">
        <v>0</v>
      </c>
      <c r="T1067" s="187">
        <v>3</v>
      </c>
      <c r="U1067" s="187" t="s">
        <v>22</v>
      </c>
      <c r="V1067" s="188">
        <f t="shared" ref="V1067:V1068" si="1703">IF(ISBLANK(O1067),"",(IF(O1067=UPPER("IB"),0.005,0.01)))</f>
        <v>0.01</v>
      </c>
      <c r="W1067" s="189">
        <f t="shared" si="1702"/>
        <v>1600</v>
      </c>
      <c r="X1067" s="189" t="s">
        <v>80</v>
      </c>
      <c r="Y1067" s="189" t="s">
        <v>3897</v>
      </c>
      <c r="Z1067" s="189"/>
      <c r="AA1067" s="190">
        <v>0.12</v>
      </c>
      <c r="AB1067" s="186"/>
      <c r="AC1067" s="344"/>
      <c r="AD1067" s="186"/>
      <c r="AE1067" s="186"/>
      <c r="AF1067" s="186"/>
      <c r="AG1067" s="186"/>
      <c r="AH1067" s="186"/>
      <c r="AI1067" s="191"/>
      <c r="AJ1067" s="187"/>
      <c r="AK1067" s="186"/>
      <c r="AL1067" s="186"/>
      <c r="AM1067" s="186"/>
      <c r="AN1067" s="344" t="s">
        <v>87</v>
      </c>
      <c r="AO1067" s="186" t="s">
        <v>1455</v>
      </c>
      <c r="AP1067" s="193">
        <f>(0.12*2+0.13*2+0.12*3)/7</f>
        <v>0.12285714285714286</v>
      </c>
      <c r="AQ1067" s="193">
        <f t="shared" si="1699"/>
        <v>2.8571428571428636E-3</v>
      </c>
      <c r="AR1067" s="191">
        <f t="shared" si="1700"/>
        <v>32.000000000000071</v>
      </c>
      <c r="AS1067" s="194">
        <f t="shared" si="1701"/>
        <v>4.5714285714285818</v>
      </c>
      <c r="AT1067" s="195"/>
      <c r="AU1067" s="425"/>
      <c r="AV1067" s="425"/>
      <c r="AW1067" s="425"/>
      <c r="AX1067" s="425"/>
      <c r="AY1067" s="425"/>
      <c r="AZ1067" s="425"/>
      <c r="BA1067" s="425"/>
      <c r="BB1067" s="425"/>
      <c r="BC1067" s="440"/>
      <c r="BD1067" s="404">
        <f>SUM($AS$4:AS1067)</f>
        <v>4698.463704248411</v>
      </c>
      <c r="BE1067" s="407">
        <f>SUM($AR$4:AR1067)</f>
        <v>23324.602000000225</v>
      </c>
      <c r="BF1067" s="331"/>
      <c r="BG1067" s="331"/>
    </row>
    <row r="1068" spans="1:59" ht="15.75" customHeight="1">
      <c r="A1068" s="227" t="s">
        <v>3717</v>
      </c>
      <c r="B1068" s="181">
        <v>45196</v>
      </c>
      <c r="C1068" s="182" t="s">
        <v>1947</v>
      </c>
      <c r="D1068" s="182" t="s">
        <v>133</v>
      </c>
      <c r="E1068" s="233"/>
      <c r="F1068" s="184"/>
      <c r="G1068" s="291" t="s">
        <v>3898</v>
      </c>
      <c r="H1068" s="186"/>
      <c r="I1068" s="186"/>
      <c r="J1068" s="186"/>
      <c r="K1068" s="187"/>
      <c r="L1068" s="186">
        <v>1</v>
      </c>
      <c r="M1068" s="186">
        <v>1</v>
      </c>
      <c r="N1068" s="186"/>
      <c r="O1068" s="187" t="s">
        <v>3600</v>
      </c>
      <c r="P1068" s="187" t="s">
        <v>2241</v>
      </c>
      <c r="Q1068" s="187" t="s">
        <v>666</v>
      </c>
      <c r="R1068" s="187">
        <v>1</v>
      </c>
      <c r="S1068" s="187">
        <v>0</v>
      </c>
      <c r="T1068" s="187">
        <v>1</v>
      </c>
      <c r="U1068" s="187" t="s">
        <v>78</v>
      </c>
      <c r="V1068" s="188">
        <f t="shared" si="1703"/>
        <v>0.01</v>
      </c>
      <c r="W1068" s="189">
        <f>IF(ISBLANK(O1068),"",IF(O1068="IB",8.63*200,IF(O1068="IR",16*100,IF(O1068="YT",20*100,IF(O1068="YT-XT",24*200,IF(O1068="TED",80*100,IF(O1068="XT",36*200)))))))</f>
        <v>7200</v>
      </c>
      <c r="X1068" s="189" t="s">
        <v>3899</v>
      </c>
      <c r="Y1068" s="189"/>
      <c r="Z1068" s="189"/>
      <c r="AA1068" s="190">
        <v>95.625</v>
      </c>
      <c r="AB1068" s="186"/>
      <c r="AC1068" s="344"/>
      <c r="AD1068" s="186"/>
      <c r="AE1068" s="186"/>
      <c r="AF1068" s="186"/>
      <c r="AG1068" s="186"/>
      <c r="AH1068" s="186"/>
      <c r="AI1068" s="191"/>
      <c r="AJ1068" s="187"/>
      <c r="AK1068" s="186"/>
      <c r="AL1068" s="186"/>
      <c r="AM1068" s="186" t="s">
        <v>3900</v>
      </c>
      <c r="AN1068" s="344" t="s">
        <v>376</v>
      </c>
      <c r="AO1068" s="186" t="s">
        <v>1703</v>
      </c>
      <c r="AP1068" s="193">
        <v>95.614999999999995</v>
      </c>
      <c r="AQ1068" s="193">
        <f t="shared" si="1699"/>
        <v>1.0000000000005116E-2</v>
      </c>
      <c r="AR1068" s="191">
        <f t="shared" si="1700"/>
        <v>72.000000000036835</v>
      </c>
      <c r="AS1068" s="194">
        <f t="shared" si="1701"/>
        <v>72.000000000036835</v>
      </c>
      <c r="AT1068" s="195" t="s">
        <v>77</v>
      </c>
      <c r="AU1068" s="425" t="s">
        <v>3901</v>
      </c>
      <c r="AV1068" s="425" t="s">
        <v>3902</v>
      </c>
      <c r="AW1068" s="425" t="s">
        <v>3903</v>
      </c>
      <c r="AX1068" s="425" t="s">
        <v>3904</v>
      </c>
      <c r="AY1068" s="425" t="s">
        <v>3905</v>
      </c>
      <c r="AZ1068" s="425" t="s">
        <v>3906</v>
      </c>
      <c r="BA1068" s="425"/>
      <c r="BB1068" s="425"/>
      <c r="BC1068" s="440"/>
      <c r="BD1068" s="404">
        <f>SUM($AS$4:AS1068)</f>
        <v>4770.4637042484483</v>
      </c>
      <c r="BE1068" s="407">
        <f>SUM($AR$4:AR1068)</f>
        <v>23396.602000000261</v>
      </c>
      <c r="BF1068" s="331"/>
      <c r="BG1068" s="331"/>
    </row>
    <row r="1069" spans="1:59" ht="15.75" customHeight="1">
      <c r="A1069" s="227" t="s">
        <v>3717</v>
      </c>
      <c r="B1069" s="181">
        <v>45197</v>
      </c>
      <c r="C1069" s="182" t="s">
        <v>2001</v>
      </c>
      <c r="D1069" s="182" t="s">
        <v>74</v>
      </c>
      <c r="E1069" s="233" t="s">
        <v>3907</v>
      </c>
      <c r="F1069" s="184"/>
      <c r="G1069" s="185"/>
      <c r="H1069" s="186"/>
      <c r="I1069" s="186"/>
      <c r="J1069" s="186"/>
      <c r="K1069" s="187"/>
      <c r="L1069" s="186"/>
      <c r="M1069" s="186"/>
      <c r="N1069" s="186"/>
      <c r="O1069" s="187"/>
      <c r="P1069" s="187"/>
      <c r="Q1069" s="187"/>
      <c r="R1069" s="187"/>
      <c r="S1069" s="187"/>
      <c r="T1069" s="187"/>
      <c r="U1069" s="187"/>
      <c r="V1069" s="187"/>
      <c r="W1069" s="189" t="str">
        <f t="shared" si="1702"/>
        <v/>
      </c>
      <c r="X1069" s="189"/>
      <c r="Y1069" s="189"/>
      <c r="Z1069" s="189"/>
      <c r="AA1069" s="190"/>
      <c r="AB1069" s="186"/>
      <c r="AC1069" s="344"/>
      <c r="AD1069" s="186"/>
      <c r="AE1069" s="186"/>
      <c r="AF1069" s="186"/>
      <c r="AG1069" s="186"/>
      <c r="AH1069" s="186"/>
      <c r="AI1069" s="191"/>
      <c r="AJ1069" s="187"/>
      <c r="AK1069" s="186"/>
      <c r="AL1069" s="186"/>
      <c r="AM1069" s="186"/>
      <c r="AN1069" s="344"/>
      <c r="AO1069" s="186"/>
      <c r="AP1069" s="193"/>
      <c r="AQ1069" s="186"/>
      <c r="AR1069" s="191"/>
      <c r="AS1069" s="332"/>
      <c r="AT1069" s="195"/>
      <c r="AU1069" s="425"/>
      <c r="AV1069" s="425"/>
      <c r="AW1069" s="425"/>
      <c r="AX1069" s="425"/>
      <c r="AY1069" s="425"/>
      <c r="AZ1069" s="425"/>
      <c r="BA1069" s="425"/>
      <c r="BB1069" s="425"/>
      <c r="BC1069" s="440"/>
      <c r="BD1069" s="404">
        <f>SUM($AS$4:AS1069)</f>
        <v>4770.4637042484483</v>
      </c>
      <c r="BE1069" s="407">
        <f>SUM($AR$4:AR1069)</f>
        <v>23396.602000000261</v>
      </c>
      <c r="BF1069" s="331"/>
      <c r="BG1069" s="331"/>
    </row>
    <row r="1070" spans="1:59" ht="15.75" customHeight="1">
      <c r="A1070" s="227" t="s">
        <v>3717</v>
      </c>
      <c r="B1070" s="181"/>
      <c r="C1070" s="182"/>
      <c r="D1070" s="182"/>
      <c r="E1070" s="233"/>
      <c r="F1070" s="184"/>
      <c r="G1070" s="185"/>
      <c r="H1070" s="186"/>
      <c r="I1070" s="186"/>
      <c r="J1070" s="186"/>
      <c r="K1070" s="187"/>
      <c r="L1070" s="186"/>
      <c r="M1070" s="186"/>
      <c r="N1070" s="186"/>
      <c r="O1070" s="187"/>
      <c r="P1070" s="187"/>
      <c r="Q1070" s="187"/>
      <c r="R1070" s="187"/>
      <c r="S1070" s="187"/>
      <c r="T1070" s="187"/>
      <c r="U1070" s="187"/>
      <c r="V1070" s="187"/>
      <c r="W1070" s="189" t="str">
        <f t="shared" si="1667"/>
        <v/>
      </c>
      <c r="X1070" s="189"/>
      <c r="Y1070" s="189"/>
      <c r="Z1070" s="189"/>
      <c r="AA1070" s="190"/>
      <c r="AB1070" s="186"/>
      <c r="AC1070" s="344"/>
      <c r="AD1070" s="186"/>
      <c r="AE1070" s="186"/>
      <c r="AF1070" s="186"/>
      <c r="AG1070" s="186"/>
      <c r="AH1070" s="186"/>
      <c r="AI1070" s="191"/>
      <c r="AJ1070" s="187"/>
      <c r="AK1070" s="186"/>
      <c r="AL1070" s="186"/>
      <c r="AM1070" s="186"/>
      <c r="AN1070" s="344"/>
      <c r="AO1070" s="186"/>
      <c r="AP1070" s="193"/>
      <c r="AQ1070" s="186"/>
      <c r="AR1070" s="191"/>
      <c r="AS1070" s="332"/>
      <c r="AT1070" s="195"/>
      <c r="AU1070" s="425"/>
      <c r="AV1070" s="425"/>
      <c r="AW1070" s="425"/>
      <c r="AX1070" s="425"/>
      <c r="AY1070" s="425"/>
      <c r="AZ1070" s="425"/>
      <c r="BA1070" s="425"/>
      <c r="BB1070" s="425"/>
      <c r="BC1070" s="440"/>
      <c r="BD1070" s="404">
        <f>SUM($AS$4:AS1070)</f>
        <v>4770.4637042484483</v>
      </c>
      <c r="BE1070" s="407">
        <f>SUM($AR$4:AR1070)</f>
        <v>23396.602000000261</v>
      </c>
      <c r="BF1070" s="331"/>
      <c r="BG1070" s="331"/>
    </row>
    <row r="1071" spans="1:59" ht="15.75" customHeight="1">
      <c r="A1071" s="227" t="s">
        <v>3717</v>
      </c>
      <c r="B1071" s="181"/>
      <c r="C1071" s="182"/>
      <c r="D1071" s="182"/>
      <c r="E1071" s="233"/>
      <c r="F1071" s="184"/>
      <c r="G1071" s="185"/>
      <c r="H1071" s="186"/>
      <c r="I1071" s="186"/>
      <c r="J1071" s="186"/>
      <c r="K1071" s="187"/>
      <c r="L1071" s="186"/>
      <c r="M1071" s="186"/>
      <c r="N1071" s="186"/>
      <c r="O1071" s="187"/>
      <c r="P1071" s="187"/>
      <c r="Q1071" s="187"/>
      <c r="R1071" s="187"/>
      <c r="S1071" s="187"/>
      <c r="T1071" s="187"/>
      <c r="U1071" s="187"/>
      <c r="V1071" s="187"/>
      <c r="W1071" s="189" t="str">
        <f t="shared" si="1667"/>
        <v/>
      </c>
      <c r="X1071" s="189"/>
      <c r="Y1071" s="189"/>
      <c r="Z1071" s="189"/>
      <c r="AA1071" s="190"/>
      <c r="AB1071" s="186"/>
      <c r="AC1071" s="344"/>
      <c r="AD1071" s="186"/>
      <c r="AE1071" s="186"/>
      <c r="AF1071" s="186"/>
      <c r="AG1071" s="186"/>
      <c r="AH1071" s="186"/>
      <c r="AI1071" s="191"/>
      <c r="AJ1071" s="187"/>
      <c r="AK1071" s="186"/>
      <c r="AL1071" s="186"/>
      <c r="AM1071" s="186"/>
      <c r="AN1071" s="344"/>
      <c r="AO1071" s="186"/>
      <c r="AP1071" s="193"/>
      <c r="AQ1071" s="186"/>
      <c r="AR1071" s="191"/>
      <c r="AS1071" s="332"/>
      <c r="AT1071" s="195"/>
      <c r="AU1071" s="425"/>
      <c r="AV1071" s="425"/>
      <c r="AW1071" s="425"/>
      <c r="AX1071" s="425"/>
      <c r="AY1071" s="425"/>
      <c r="AZ1071" s="425"/>
      <c r="BA1071" s="425"/>
      <c r="BB1071" s="425"/>
      <c r="BC1071" s="440"/>
      <c r="BD1071" s="404">
        <f>SUM($AS$4:AS1071)</f>
        <v>4770.4637042484483</v>
      </c>
      <c r="BE1071" s="407">
        <f>SUM($AR$4:AR1071)</f>
        <v>23396.602000000261</v>
      </c>
      <c r="BF1071" s="331"/>
      <c r="BG1071" s="331"/>
    </row>
    <row r="1072" spans="1:59" ht="15.75" customHeight="1">
      <c r="A1072" s="227" t="s">
        <v>3717</v>
      </c>
      <c r="B1072" s="181"/>
      <c r="C1072" s="182"/>
      <c r="D1072" s="182"/>
      <c r="E1072" s="233"/>
      <c r="F1072" s="184"/>
      <c r="G1072" s="185"/>
      <c r="H1072" s="186"/>
      <c r="I1072" s="186"/>
      <c r="J1072" s="186"/>
      <c r="K1072" s="187"/>
      <c r="L1072" s="186"/>
      <c r="M1072" s="186"/>
      <c r="N1072" s="186"/>
      <c r="O1072" s="187"/>
      <c r="P1072" s="187"/>
      <c r="Q1072" s="187"/>
      <c r="R1072" s="187"/>
      <c r="S1072" s="187"/>
      <c r="T1072" s="187"/>
      <c r="U1072" s="187"/>
      <c r="V1072" s="187"/>
      <c r="W1072" s="189" t="str">
        <f t="shared" si="1667"/>
        <v/>
      </c>
      <c r="X1072" s="189"/>
      <c r="Y1072" s="189"/>
      <c r="Z1072" s="189"/>
      <c r="AA1072" s="190"/>
      <c r="AB1072" s="186"/>
      <c r="AC1072" s="344"/>
      <c r="AD1072" s="186"/>
      <c r="AE1072" s="186"/>
      <c r="AF1072" s="186"/>
      <c r="AG1072" s="186"/>
      <c r="AH1072" s="186"/>
      <c r="AI1072" s="191"/>
      <c r="AJ1072" s="187"/>
      <c r="AK1072" s="186"/>
      <c r="AL1072" s="186"/>
      <c r="AM1072" s="186"/>
      <c r="AN1072" s="344"/>
      <c r="AO1072" s="186"/>
      <c r="AP1072" s="193"/>
      <c r="AQ1072" s="186"/>
      <c r="AR1072" s="191"/>
      <c r="AS1072" s="332"/>
      <c r="AT1072" s="195"/>
      <c r="AU1072" s="425"/>
      <c r="AV1072" s="425"/>
      <c r="AW1072" s="425"/>
      <c r="AX1072" s="425"/>
      <c r="AY1072" s="425"/>
      <c r="AZ1072" s="425"/>
      <c r="BA1072" s="425"/>
      <c r="BB1072" s="425"/>
      <c r="BC1072" s="440"/>
      <c r="BD1072" s="404">
        <f>SUM($AS$4:AS1072)</f>
        <v>4770.4637042484483</v>
      </c>
      <c r="BE1072" s="407">
        <f>SUM($AR$4:AR1072)</f>
        <v>23396.602000000261</v>
      </c>
      <c r="BF1072" s="331"/>
      <c r="BG1072" s="331"/>
    </row>
    <row r="1073" spans="1:59" ht="15.75" customHeight="1">
      <c r="A1073" s="227" t="s">
        <v>3717</v>
      </c>
      <c r="B1073" s="181"/>
      <c r="C1073" s="182"/>
      <c r="D1073" s="182"/>
      <c r="E1073" s="233"/>
      <c r="F1073" s="184"/>
      <c r="G1073" s="185"/>
      <c r="H1073" s="186"/>
      <c r="I1073" s="186"/>
      <c r="J1073" s="186"/>
      <c r="K1073" s="187"/>
      <c r="L1073" s="186"/>
      <c r="M1073" s="186"/>
      <c r="N1073" s="186"/>
      <c r="O1073" s="187"/>
      <c r="P1073" s="187"/>
      <c r="Q1073" s="187"/>
      <c r="R1073" s="187"/>
      <c r="S1073" s="187"/>
      <c r="T1073" s="187"/>
      <c r="U1073" s="187"/>
      <c r="V1073" s="187"/>
      <c r="W1073" s="189" t="str">
        <f t="shared" si="1638"/>
        <v/>
      </c>
      <c r="X1073" s="189"/>
      <c r="Y1073" s="189"/>
      <c r="Z1073" s="189"/>
      <c r="AA1073" s="190"/>
      <c r="AB1073" s="186"/>
      <c r="AC1073" s="344"/>
      <c r="AD1073" s="186"/>
      <c r="AE1073" s="186"/>
      <c r="AF1073" s="186"/>
      <c r="AG1073" s="186"/>
      <c r="AH1073" s="186"/>
      <c r="AI1073" s="191"/>
      <c r="AJ1073" s="187"/>
      <c r="AK1073" s="186"/>
      <c r="AL1073" s="186"/>
      <c r="AM1073" s="186"/>
      <c r="AN1073" s="344"/>
      <c r="AO1073" s="186"/>
      <c r="AP1073" s="193"/>
      <c r="AQ1073" s="186"/>
      <c r="AR1073" s="191"/>
      <c r="AS1073" s="332"/>
      <c r="AT1073" s="195"/>
      <c r="AU1073" s="425"/>
      <c r="AV1073" s="425"/>
      <c r="AW1073" s="425"/>
      <c r="AX1073" s="425"/>
      <c r="AY1073" s="425"/>
      <c r="AZ1073" s="425"/>
      <c r="BA1073" s="425"/>
      <c r="BB1073" s="425"/>
      <c r="BC1073" s="440"/>
      <c r="BD1073" s="404">
        <f>SUM($AS$4:AS1073)</f>
        <v>4770.4637042484483</v>
      </c>
      <c r="BE1073" s="407">
        <f>SUM($AR$4:AR1073)</f>
        <v>23396.602000000261</v>
      </c>
      <c r="BF1073" s="331"/>
      <c r="BG1073" s="331"/>
    </row>
    <row r="1074" spans="1:59" ht="15.75" customHeight="1">
      <c r="A1074" s="227" t="s">
        <v>3717</v>
      </c>
      <c r="B1074" s="181"/>
      <c r="C1074" s="182"/>
      <c r="D1074" s="182"/>
      <c r="E1074" s="233"/>
      <c r="F1074" s="184"/>
      <c r="G1074" s="185"/>
      <c r="H1074" s="186"/>
      <c r="I1074" s="186"/>
      <c r="J1074" s="186"/>
      <c r="K1074" s="187"/>
      <c r="L1074" s="186"/>
      <c r="M1074" s="186"/>
      <c r="N1074" s="186"/>
      <c r="O1074" s="187"/>
      <c r="P1074" s="187"/>
      <c r="Q1074" s="187"/>
      <c r="R1074" s="187"/>
      <c r="S1074" s="187"/>
      <c r="T1074" s="187"/>
      <c r="U1074" s="187"/>
      <c r="V1074" s="187"/>
      <c r="W1074" s="189" t="str">
        <f t="shared" ref="W1074" si="1704">IF(ISBLANK(O1074),"",IF(O1074="IB",8.63*200,IF(O1074="IR",16*100,IF(O1074="YT",20*100,IF(O1074="YT-XT",24*200,IF(O1074="TED",80*100))))))</f>
        <v/>
      </c>
      <c r="X1074" s="189"/>
      <c r="Y1074" s="189"/>
      <c r="Z1074" s="189"/>
      <c r="AA1074" s="190"/>
      <c r="AB1074" s="186"/>
      <c r="AC1074" s="344"/>
      <c r="AD1074" s="186"/>
      <c r="AE1074" s="186"/>
      <c r="AF1074" s="186"/>
      <c r="AG1074" s="186"/>
      <c r="AH1074" s="186"/>
      <c r="AI1074" s="191"/>
      <c r="AJ1074" s="187"/>
      <c r="AK1074" s="186"/>
      <c r="AL1074" s="186"/>
      <c r="AM1074" s="186"/>
      <c r="AN1074" s="344"/>
      <c r="AO1074" s="186"/>
      <c r="AP1074" s="193"/>
      <c r="AQ1074" s="186"/>
      <c r="AR1074" s="191"/>
      <c r="AS1074" s="332"/>
      <c r="AT1074" s="195"/>
      <c r="AU1074" s="425"/>
      <c r="AV1074" s="425"/>
      <c r="AW1074" s="425"/>
      <c r="AX1074" s="425"/>
      <c r="AY1074" s="425"/>
      <c r="AZ1074" s="425"/>
      <c r="BA1074" s="425"/>
      <c r="BB1074" s="425"/>
      <c r="BC1074" s="440"/>
      <c r="BD1074" s="404">
        <f>SUM($AS$4:AS1074)</f>
        <v>4770.4637042484483</v>
      </c>
      <c r="BE1074" s="407">
        <f>SUM($AR$4:AR1074)</f>
        <v>23396.602000000261</v>
      </c>
      <c r="BF1074" s="331"/>
      <c r="BG1074" s="331"/>
    </row>
    <row r="1075" spans="1:59" ht="15.75" customHeight="1">
      <c r="A1075" s="227" t="s">
        <v>3717</v>
      </c>
      <c r="B1075" s="181"/>
      <c r="C1075" s="182"/>
      <c r="D1075" s="182"/>
      <c r="E1075" s="233"/>
      <c r="F1075" s="184"/>
      <c r="G1075" s="185"/>
      <c r="H1075" s="186"/>
      <c r="I1075" s="186"/>
      <c r="J1075" s="186"/>
      <c r="K1075" s="187"/>
      <c r="L1075" s="186"/>
      <c r="M1075" s="186"/>
      <c r="N1075" s="186"/>
      <c r="O1075" s="187"/>
      <c r="P1075" s="187"/>
      <c r="Q1075" s="187"/>
      <c r="R1075" s="187"/>
      <c r="S1075" s="187"/>
      <c r="T1075" s="187"/>
      <c r="U1075" s="187"/>
      <c r="V1075" s="187"/>
      <c r="W1075" s="189" t="str">
        <f t="shared" ref="W1075" si="1705">IF(ISBLANK(O1075),"",IF(O1075="IB",8.63*200,IF(O1075="IR",16*100,IF(O1075="YT",20*100,IF(O1075="YT-XT",24*200,IF(O1075="TED",80*100))))))</f>
        <v/>
      </c>
      <c r="X1075" s="189"/>
      <c r="Y1075" s="189"/>
      <c r="Z1075" s="189"/>
      <c r="AA1075" s="190"/>
      <c r="AB1075" s="186"/>
      <c r="AC1075" s="344"/>
      <c r="AD1075" s="186"/>
      <c r="AE1075" s="186"/>
      <c r="AF1075" s="186"/>
      <c r="AG1075" s="186"/>
      <c r="AH1075" s="186"/>
      <c r="AI1075" s="191"/>
      <c r="AJ1075" s="187"/>
      <c r="AK1075" s="186"/>
      <c r="AL1075" s="186"/>
      <c r="AM1075" s="186"/>
      <c r="AN1075" s="344"/>
      <c r="AO1075" s="186"/>
      <c r="AP1075" s="193"/>
      <c r="AQ1075" s="186"/>
      <c r="AR1075" s="191"/>
      <c r="AS1075" s="332"/>
      <c r="AT1075" s="195"/>
      <c r="AU1075" s="425"/>
      <c r="AV1075" s="425"/>
      <c r="AW1075" s="425"/>
      <c r="AX1075" s="425"/>
      <c r="AY1075" s="425"/>
      <c r="AZ1075" s="425"/>
      <c r="BA1075" s="425"/>
      <c r="BB1075" s="425"/>
      <c r="BC1075" s="440"/>
      <c r="BD1075" s="404">
        <f>SUM($AS$4:AS1075)</f>
        <v>4770.4637042484483</v>
      </c>
      <c r="BE1075" s="407">
        <f>SUM($AR$4:AR1075)</f>
        <v>23396.602000000261</v>
      </c>
      <c r="BF1075" s="331"/>
      <c r="BG1075" s="331"/>
    </row>
    <row r="1076" spans="1:59" ht="15.75" customHeight="1">
      <c r="A1076" s="227" t="s">
        <v>3717</v>
      </c>
      <c r="B1076" s="181"/>
      <c r="C1076" s="182"/>
      <c r="D1076" s="182"/>
      <c r="E1076" s="233"/>
      <c r="F1076" s="184"/>
      <c r="G1076" s="185"/>
      <c r="H1076" s="186"/>
      <c r="I1076" s="186"/>
      <c r="J1076" s="186"/>
      <c r="K1076" s="187"/>
      <c r="L1076" s="186"/>
      <c r="M1076" s="186"/>
      <c r="N1076" s="186"/>
      <c r="O1076" s="187"/>
      <c r="P1076" s="187"/>
      <c r="Q1076" s="187"/>
      <c r="R1076" s="187"/>
      <c r="S1076" s="187"/>
      <c r="T1076" s="187"/>
      <c r="U1076" s="187"/>
      <c r="V1076" s="187"/>
      <c r="W1076" s="189" t="str">
        <f t="shared" si="712"/>
        <v/>
      </c>
      <c r="X1076" s="189"/>
      <c r="Y1076" s="189"/>
      <c r="Z1076" s="189"/>
      <c r="AA1076" s="190"/>
      <c r="AB1076" s="186"/>
      <c r="AC1076" s="344"/>
      <c r="AD1076" s="186"/>
      <c r="AE1076" s="186"/>
      <c r="AF1076" s="186"/>
      <c r="AG1076" s="186"/>
      <c r="AH1076" s="186"/>
      <c r="AI1076" s="191"/>
      <c r="AJ1076" s="187"/>
      <c r="AK1076" s="186"/>
      <c r="AL1076" s="186"/>
      <c r="AM1076" s="186"/>
      <c r="AN1076" s="344"/>
      <c r="AO1076" s="186"/>
      <c r="AP1076" s="193"/>
      <c r="AQ1076" s="186"/>
      <c r="AR1076" s="191"/>
      <c r="AS1076" s="332"/>
      <c r="AT1076" s="195"/>
      <c r="AU1076" s="435" t="s">
        <v>3908</v>
      </c>
      <c r="AV1076" s="435" t="s">
        <v>3909</v>
      </c>
      <c r="AW1076" s="435" t="s">
        <v>3910</v>
      </c>
      <c r="AX1076" s="435" t="s">
        <v>3911</v>
      </c>
      <c r="AY1076" s="425"/>
      <c r="AZ1076" s="425"/>
      <c r="BA1076" s="425"/>
      <c r="BB1076" s="425"/>
      <c r="BC1076" s="440"/>
      <c r="BD1076" s="404">
        <f>SUM($AS$4:AS1076)</f>
        <v>4770.4637042484483</v>
      </c>
      <c r="BE1076" s="407">
        <f>SUM($AR$4:AR1076)</f>
        <v>23396.602000000261</v>
      </c>
      <c r="BF1076" s="331"/>
      <c r="BG1076" s="331"/>
    </row>
    <row r="1077" spans="1:59" ht="15.75" customHeight="1">
      <c r="A1077" s="38"/>
      <c r="B1077" s="38"/>
      <c r="C1077" s="38"/>
      <c r="D1077" s="38"/>
      <c r="E1077" s="39"/>
      <c r="F1077" s="38"/>
      <c r="G1077" s="40"/>
      <c r="H1077" s="38"/>
      <c r="I1077" s="38"/>
      <c r="J1077" s="38"/>
      <c r="K1077" s="40"/>
      <c r="L1077" s="38"/>
      <c r="M1077" s="38"/>
      <c r="N1077" s="38"/>
      <c r="O1077" s="40"/>
      <c r="P1077" s="40"/>
      <c r="Q1077" s="40"/>
      <c r="R1077" s="40"/>
      <c r="S1077" s="40"/>
      <c r="T1077" s="40"/>
      <c r="U1077" s="40"/>
      <c r="V1077" s="40">
        <f>IF(ISBLANK(O1077),,(IF(O1077=UPPER("IB"),0.005,0.01)))</f>
        <v>0</v>
      </c>
      <c r="W1077" s="40">
        <f>IF(ISBLANK(O1077),,IF(O1077=UPPER("IB"),8.52,16.65))</f>
        <v>0</v>
      </c>
      <c r="X1077" s="39"/>
      <c r="Y1077" s="39"/>
      <c r="Z1077" s="39"/>
      <c r="AA1077" s="41"/>
      <c r="AB1077" s="38"/>
      <c r="AC1077" s="38"/>
      <c r="AD1077" s="38"/>
      <c r="AE1077" s="38"/>
      <c r="AF1077" s="38"/>
      <c r="AG1077" s="38"/>
      <c r="AH1077" s="38"/>
      <c r="AI1077" s="38"/>
      <c r="AJ1077" s="38"/>
      <c r="AK1077" s="38"/>
      <c r="AL1077" s="38"/>
      <c r="AM1077" s="38"/>
      <c r="AN1077" s="38"/>
      <c r="AO1077" s="38"/>
      <c r="AP1077" s="42"/>
      <c r="AQ1077" s="38"/>
      <c r="AR1077" s="320"/>
      <c r="AS1077" s="332"/>
      <c r="AT1077" s="40"/>
      <c r="AU1077" s="38"/>
      <c r="AV1077" s="38"/>
      <c r="AW1077" s="38"/>
      <c r="AX1077" s="38"/>
      <c r="AY1077" s="38"/>
      <c r="AZ1077" s="38"/>
      <c r="BA1077" s="38"/>
      <c r="BB1077" s="38"/>
      <c r="BC1077" s="38"/>
    </row>
    <row r="1078" spans="1:59" ht="15.75" customHeight="1">
      <c r="A1078" s="38"/>
      <c r="B1078" s="38"/>
      <c r="C1078" s="38"/>
      <c r="D1078" s="38"/>
      <c r="E1078" s="39"/>
      <c r="F1078" s="38"/>
      <c r="G1078" s="40"/>
      <c r="H1078" s="38"/>
      <c r="I1078" s="38"/>
      <c r="J1078" s="38"/>
      <c r="K1078" s="40"/>
      <c r="L1078" s="38"/>
      <c r="M1078" s="38"/>
      <c r="N1078" s="38"/>
      <c r="O1078" s="40"/>
      <c r="P1078" s="40"/>
      <c r="Q1078" s="40"/>
      <c r="R1078" s="40"/>
      <c r="S1078" s="40"/>
      <c r="T1078" s="40"/>
      <c r="U1078" s="39"/>
      <c r="V1078" s="40"/>
      <c r="W1078" s="45"/>
      <c r="X1078" s="39"/>
      <c r="Y1078" s="39"/>
      <c r="Z1078" s="39"/>
      <c r="AA1078" s="41"/>
      <c r="AB1078" s="38"/>
      <c r="AC1078" s="38"/>
      <c r="AD1078" s="38"/>
      <c r="AE1078" s="38"/>
      <c r="AF1078" s="38"/>
      <c r="AG1078" s="38"/>
      <c r="AH1078" s="38"/>
      <c r="AI1078" s="38">
        <v>50</v>
      </c>
      <c r="AJ1078" s="38"/>
      <c r="AK1078" s="38"/>
      <c r="AL1078" s="38"/>
      <c r="AM1078" s="38"/>
      <c r="AN1078" s="38"/>
      <c r="AO1078" s="38"/>
      <c r="AP1078" s="42"/>
      <c r="AQ1078" s="46" t="s">
        <v>3912</v>
      </c>
      <c r="AR1078" s="339"/>
      <c r="AS1078" s="48"/>
      <c r="AT1078" s="40"/>
      <c r="AU1078" s="38"/>
      <c r="AV1078" s="38"/>
      <c r="AW1078" s="38"/>
      <c r="AX1078" s="38"/>
      <c r="AY1078" s="38"/>
      <c r="AZ1078" s="38"/>
      <c r="BA1078" s="38"/>
      <c r="BB1078" s="38"/>
      <c r="BC1078" s="38"/>
    </row>
    <row r="1079" spans="1:59" ht="15.75" customHeight="1">
      <c r="A1079" s="38"/>
      <c r="B1079" s="38"/>
      <c r="C1079" s="38"/>
      <c r="E1079" s="39"/>
      <c r="F1079" s="38"/>
      <c r="G1079" s="40"/>
      <c r="H1079" s="39"/>
      <c r="I1079" s="39"/>
      <c r="J1079" s="39"/>
      <c r="K1079" s="49"/>
      <c r="L1079" s="39"/>
      <c r="M1079" s="39"/>
      <c r="N1079" s="39"/>
      <c r="O1079" s="40"/>
      <c r="P1079" s="312"/>
      <c r="Q1079" s="312"/>
      <c r="R1079" s="312"/>
      <c r="S1079" s="40"/>
      <c r="T1079" s="40"/>
      <c r="U1079" s="39"/>
      <c r="V1079" s="40"/>
      <c r="W1079" s="45"/>
      <c r="X1079" s="39"/>
      <c r="Y1079" s="39"/>
      <c r="Z1079" s="39"/>
      <c r="AA1079" s="41"/>
      <c r="AB1079" s="38"/>
      <c r="AC1079" s="38"/>
      <c r="AD1079" s="38"/>
      <c r="AE1079" s="38"/>
      <c r="AF1079" s="38"/>
      <c r="AG1079" s="38"/>
      <c r="AH1079" s="38"/>
      <c r="AI1079" s="50" t="s">
        <v>3913</v>
      </c>
      <c r="AJ1079" s="50" t="s">
        <v>3914</v>
      </c>
      <c r="AK1079" s="38"/>
      <c r="AL1079" s="38"/>
      <c r="AM1079" s="38"/>
      <c r="AN1079" s="38"/>
      <c r="AO1079" s="38"/>
      <c r="AP1079" s="42"/>
      <c r="AQ1079" s="370"/>
      <c r="AR1079" s="371"/>
      <c r="AS1079" s="44"/>
      <c r="AT1079" s="40"/>
      <c r="AU1079" s="38"/>
      <c r="AV1079" s="38"/>
      <c r="AW1079" s="38"/>
      <c r="AX1079" s="38"/>
      <c r="AY1079" s="38"/>
      <c r="AZ1079" s="38"/>
      <c r="BA1079" s="38"/>
      <c r="BB1079" s="38"/>
      <c r="BC1079" s="38"/>
    </row>
    <row r="1080" spans="1:59" ht="15.75" customHeight="1">
      <c r="A1080" s="38"/>
      <c r="B1080" s="38"/>
      <c r="C1080" s="38"/>
      <c r="E1080" s="39"/>
      <c r="F1080" s="38"/>
      <c r="G1080" s="40"/>
      <c r="H1080" s="39"/>
      <c r="I1080" s="39"/>
      <c r="J1080" s="39"/>
      <c r="K1080" s="49"/>
      <c r="L1080" s="39"/>
      <c r="M1080" s="39"/>
      <c r="N1080" s="39"/>
      <c r="O1080" s="40"/>
      <c r="P1080" s="312"/>
      <c r="Q1080" s="312"/>
      <c r="R1080" s="312"/>
      <c r="S1080" s="40"/>
      <c r="T1080" s="40"/>
      <c r="U1080" s="38"/>
      <c r="V1080" s="40"/>
      <c r="W1080" s="45"/>
      <c r="X1080" s="366">
        <f>SUM(AR454,AR438,AR290,AR286,AR251,AR248,AR244,AR235,AR227,)</f>
        <v>859.15000000000009</v>
      </c>
      <c r="Y1080" s="52"/>
      <c r="Z1080" s="52"/>
      <c r="AA1080" s="41"/>
      <c r="AB1080" s="38"/>
      <c r="AC1080" s="38"/>
      <c r="AD1080" s="38"/>
      <c r="AE1080" s="38"/>
      <c r="AF1080" s="38"/>
      <c r="AG1080" s="38"/>
      <c r="AH1080" s="38"/>
      <c r="AI1080" s="53" t="s">
        <v>3915</v>
      </c>
      <c r="AJ1080" s="54">
        <f>SUMIFS(AJ226:AJ1076,AT226:AT1076,"&lt;&gt;W",AT226:AT1076,"&lt;&gt;L",AT226:AT1076,"&lt;&gt;D")</f>
        <v>-2544</v>
      </c>
      <c r="AK1080" s="38" t="s">
        <v>3916</v>
      </c>
      <c r="AL1080" s="38"/>
      <c r="AM1080" s="38"/>
      <c r="AN1080" s="38"/>
      <c r="AO1080" s="38"/>
      <c r="AP1080" s="42"/>
      <c r="AQ1080" s="17"/>
      <c r="AR1080" s="55"/>
      <c r="AS1080" s="44"/>
      <c r="AT1080" s="40"/>
      <c r="AU1080" s="38"/>
      <c r="AV1080" s="38"/>
      <c r="AW1080" s="38"/>
      <c r="AX1080" s="38"/>
      <c r="AY1080" s="38"/>
      <c r="AZ1080" s="38"/>
      <c r="BA1080" s="38"/>
      <c r="BB1080" s="38"/>
      <c r="BC1080" s="38"/>
    </row>
    <row r="1081" spans="1:59" ht="15.75" customHeight="1">
      <c r="A1081" s="311"/>
      <c r="B1081" s="311"/>
      <c r="C1081" s="38"/>
      <c r="E1081" s="39"/>
      <c r="F1081" s="38"/>
      <c r="G1081" s="40"/>
      <c r="H1081" s="38"/>
      <c r="I1081" s="38"/>
      <c r="J1081" s="38"/>
      <c r="K1081" s="40"/>
      <c r="L1081" s="38"/>
      <c r="M1081" s="38"/>
      <c r="N1081" s="38"/>
      <c r="O1081" s="40"/>
      <c r="P1081" s="40"/>
      <c r="Q1081" s="40"/>
      <c r="R1081" s="40"/>
      <c r="S1081" s="40"/>
      <c r="T1081" s="40"/>
      <c r="U1081" s="38"/>
      <c r="V1081" s="40"/>
      <c r="W1081" s="45"/>
      <c r="X1081" s="56">
        <f>AVERAGE(226,240,245,49,246,132,153)</f>
        <v>184.42857142857142</v>
      </c>
      <c r="Y1081" s="56"/>
      <c r="Z1081" s="56"/>
      <c r="AA1081" s="52"/>
      <c r="AB1081" s="38"/>
      <c r="AC1081" s="38"/>
      <c r="AD1081" s="38"/>
      <c r="AE1081" s="38"/>
      <c r="AF1081" s="38"/>
      <c r="AG1081" s="38"/>
      <c r="AH1081" s="38"/>
      <c r="AI1081" s="329" t="s">
        <v>3917</v>
      </c>
      <c r="AJ1081" s="340">
        <v>-780</v>
      </c>
      <c r="AK1081" s="38"/>
      <c r="AL1081" s="38"/>
      <c r="AM1081" s="38"/>
      <c r="AN1081" s="38"/>
      <c r="AO1081" s="38"/>
      <c r="AP1081" s="42"/>
      <c r="AQ1081" s="57"/>
      <c r="AR1081" s="47"/>
      <c r="AS1081" s="44"/>
      <c r="AT1081" s="40"/>
      <c r="AU1081" s="38"/>
      <c r="AV1081" s="38"/>
      <c r="AW1081" s="38"/>
      <c r="AX1081" s="38"/>
      <c r="AY1081" s="38"/>
      <c r="AZ1081" s="38"/>
      <c r="BA1081" s="38"/>
      <c r="BB1081" s="38"/>
      <c r="BC1081" s="38"/>
    </row>
    <row r="1082" spans="1:59" ht="15.75" customHeight="1">
      <c r="A1082" s="38"/>
      <c r="B1082" s="38"/>
      <c r="C1082" s="38"/>
      <c r="E1082" s="39"/>
      <c r="F1082" s="38"/>
      <c r="G1082" s="40"/>
      <c r="H1082" s="52"/>
      <c r="I1082" s="52"/>
      <c r="J1082" s="52"/>
      <c r="K1082" s="58"/>
      <c r="L1082" s="52"/>
      <c r="M1082" s="52"/>
      <c r="N1082" s="52"/>
      <c r="O1082" s="40"/>
      <c r="P1082" s="40"/>
      <c r="Q1082" s="40"/>
      <c r="R1082" s="40"/>
      <c r="S1082" s="40"/>
      <c r="T1082" s="40"/>
      <c r="U1082" s="38"/>
      <c r="V1082" s="40"/>
      <c r="W1082" s="45"/>
      <c r="X1082" s="56"/>
      <c r="Y1082" s="56"/>
      <c r="Z1082" s="56"/>
      <c r="AA1082" s="41"/>
      <c r="AB1082" s="38"/>
      <c r="AC1082" s="38"/>
      <c r="AD1082" s="38"/>
      <c r="AE1082" s="38"/>
      <c r="AF1082" s="38"/>
      <c r="AG1082" s="38"/>
      <c r="AH1082" s="38"/>
      <c r="AI1082" s="38"/>
      <c r="AJ1082" s="38"/>
      <c r="AK1082" s="38"/>
      <c r="AL1082" s="38"/>
      <c r="AM1082" s="38"/>
      <c r="AN1082" s="38"/>
      <c r="AP1082" s="59"/>
      <c r="AQ1082" s="527" t="s">
        <v>3918</v>
      </c>
      <c r="AR1082" s="528"/>
      <c r="AS1082" s="60">
        <v>45182</v>
      </c>
      <c r="AT1082" s="40"/>
      <c r="AU1082" s="38"/>
      <c r="AV1082" s="38"/>
      <c r="AW1082" s="38"/>
      <c r="AX1082" s="38"/>
      <c r="AY1082" s="38"/>
      <c r="AZ1082" s="38"/>
      <c r="BA1082" s="38"/>
      <c r="BB1082" s="38"/>
      <c r="BC1082" s="38"/>
    </row>
    <row r="1083" spans="1:59" ht="15.75" customHeight="1">
      <c r="A1083" s="38"/>
      <c r="B1083" s="38"/>
      <c r="C1083" s="38"/>
      <c r="E1083" s="39"/>
      <c r="F1083" s="38"/>
      <c r="G1083" s="40"/>
      <c r="H1083" s="39"/>
      <c r="I1083" s="39"/>
      <c r="J1083" s="39"/>
      <c r="K1083" s="49"/>
      <c r="L1083" s="39"/>
      <c r="M1083" s="39"/>
      <c r="N1083" s="39"/>
      <c r="O1083" s="40"/>
      <c r="P1083" s="49"/>
      <c r="Q1083" s="40"/>
      <c r="R1083" s="40"/>
      <c r="S1083" s="40"/>
      <c r="T1083" s="40"/>
      <c r="U1083" s="38"/>
      <c r="V1083" s="40"/>
      <c r="W1083" s="45"/>
      <c r="X1083" s="56"/>
      <c r="Y1083" s="56"/>
      <c r="Z1083" s="56"/>
      <c r="AA1083" s="41"/>
      <c r="AB1083" s="38"/>
      <c r="AC1083" s="38"/>
      <c r="AD1083" s="38"/>
      <c r="AE1083" s="38"/>
      <c r="AF1083" s="38"/>
      <c r="AG1083" s="38"/>
      <c r="AH1083" s="38"/>
      <c r="AI1083" s="329" t="s">
        <v>3919</v>
      </c>
      <c r="AJ1083" s="340">
        <f>-0.15*AJ1081</f>
        <v>117</v>
      </c>
      <c r="AK1083" s="38"/>
      <c r="AL1083" s="38"/>
      <c r="AM1083" s="38"/>
      <c r="AN1083" s="38"/>
      <c r="AO1083" s="61" t="s">
        <v>3920</v>
      </c>
      <c r="AP1083" s="59"/>
      <c r="AQ1083" s="37" t="s">
        <v>3921</v>
      </c>
      <c r="AR1083" s="62">
        <v>3000</v>
      </c>
      <c r="AS1083" s="63" t="s">
        <v>3922</v>
      </c>
      <c r="AT1083" s="40"/>
      <c r="AU1083" s="322" t="s">
        <v>3923</v>
      </c>
      <c r="AV1083" s="38"/>
      <c r="AW1083" s="38"/>
      <c r="AX1083" s="38"/>
      <c r="AY1083" s="38"/>
      <c r="AZ1083" s="38"/>
      <c r="BA1083" s="38"/>
      <c r="BB1083" s="38"/>
      <c r="BC1083" s="38"/>
    </row>
    <row r="1084" spans="1:59" ht="15.75" customHeight="1">
      <c r="AI1084" t="s">
        <v>3924</v>
      </c>
      <c r="AJ1084" s="504">
        <v>-4800</v>
      </c>
      <c r="AP1084" s="59"/>
      <c r="AQ1084" s="6" t="s">
        <v>3925</v>
      </c>
      <c r="AR1084" s="411"/>
      <c r="AS1084" s="64" t="s">
        <v>3926</v>
      </c>
    </row>
    <row r="1085" spans="1:59" ht="15.75" customHeight="1">
      <c r="AP1085" s="59"/>
      <c r="AQ1085" s="37" t="s">
        <v>3927</v>
      </c>
      <c r="AR1085" s="412">
        <f>SUM(AR996:AR1076)-AR1084</f>
        <v>1649.8900000000901</v>
      </c>
      <c r="AS1085" s="64" t="s">
        <v>3928</v>
      </c>
    </row>
    <row r="1086" spans="1:59" ht="15.75" customHeight="1">
      <c r="AP1086" s="42"/>
      <c r="AQ1086" s="29" t="s">
        <v>3929</v>
      </c>
      <c r="AR1086" s="66">
        <f>AR1085-AR1083</f>
        <v>-1350.1099999999099</v>
      </c>
      <c r="AS1086" s="44"/>
    </row>
    <row r="1087" spans="1:59" ht="15.75" customHeight="1">
      <c r="A1087" t="s">
        <v>511</v>
      </c>
      <c r="AP1087" s="42"/>
    </row>
    <row r="1088" spans="1:59" ht="15.75" customHeight="1">
      <c r="AI1088" s="310"/>
      <c r="AP1088" s="68" t="s">
        <v>3930</v>
      </c>
      <c r="AQ1088" s="69" t="s">
        <v>3931</v>
      </c>
      <c r="AR1088" s="70">
        <f>AVERAGE(AS996:AS1076)</f>
        <v>7.6006956115795941</v>
      </c>
      <c r="AS1088" s="71"/>
    </row>
    <row r="1089" spans="1:45" ht="15.75" customHeight="1">
      <c r="A1089" s="349"/>
      <c r="AI1089" s="310"/>
      <c r="AP1089" s="68"/>
      <c r="AQ1089" s="69" t="s">
        <v>3932</v>
      </c>
      <c r="AR1089" s="283">
        <f>SUMIFS(AS134:AS317,AT134:AT317,"W")/COUNTIFS(AT134:AT317,"W")</f>
        <v>37.719791666666893</v>
      </c>
      <c r="AS1089" s="71"/>
    </row>
    <row r="1090" spans="1:45" ht="15.75" customHeight="1">
      <c r="AP1090" s="68"/>
      <c r="AQ1090" s="69" t="s">
        <v>3933</v>
      </c>
      <c r="AR1090" s="284">
        <f>IFERROR(SUMIFS(AS134:AS317,AT134:AT317,"L")/COUNTIFS(AT134:AT317,"L"),0)</f>
        <v>-42.115000000000521</v>
      </c>
      <c r="AS1090" s="71"/>
    </row>
    <row r="1091" spans="1:45" ht="15.75" customHeight="1">
      <c r="AP1091" s="42"/>
      <c r="AQ1091" s="38"/>
      <c r="AR1091" s="285"/>
      <c r="AS1091" s="44"/>
    </row>
    <row r="1092" spans="1:45" ht="15.75" customHeight="1">
      <c r="AP1092" s="72" t="s">
        <v>3934</v>
      </c>
      <c r="AQ1092" s="51" t="s">
        <v>3935</v>
      </c>
      <c r="AR1092" s="51">
        <f>COUNTIFS(AT134:AT317,"W")</f>
        <v>72</v>
      </c>
      <c r="AS1092" s="73">
        <f t="shared" ref="AS1092:AS1094" si="1706">AR1092/$AR$1095</f>
        <v>0.26865671641791045</v>
      </c>
    </row>
    <row r="1093" spans="1:45" ht="15.75" customHeight="1">
      <c r="AP1093" s="72"/>
      <c r="AQ1093" s="51" t="s">
        <v>3936</v>
      </c>
      <c r="AR1093" s="51">
        <f>COUNTIFS(AT135:AT1077,"L")</f>
        <v>82</v>
      </c>
      <c r="AS1093" s="73">
        <f t="shared" si="1706"/>
        <v>0.30597014925373134</v>
      </c>
    </row>
    <row r="1094" spans="1:45" ht="15.75" customHeight="1">
      <c r="AP1094" s="72"/>
      <c r="AQ1094" s="51" t="s">
        <v>3937</v>
      </c>
      <c r="AR1094" s="51">
        <f>COUNTIFS(AT136:AT1078,"D")</f>
        <v>114</v>
      </c>
      <c r="AS1094" s="73">
        <f t="shared" si="1706"/>
        <v>0.42537313432835822</v>
      </c>
    </row>
    <row r="1095" spans="1:45" ht="15.75" customHeight="1">
      <c r="AP1095" s="72"/>
      <c r="AQ1095" s="51"/>
      <c r="AR1095" s="51">
        <f>SUM(AR1092:AR1094)</f>
        <v>268</v>
      </c>
      <c r="AS1095" s="73"/>
    </row>
    <row r="1101" spans="1:45" ht="15.75" customHeight="1">
      <c r="AR1101" s="310"/>
    </row>
  </sheetData>
  <mergeCells count="12">
    <mergeCell ref="AA1:AP1"/>
    <mergeCell ref="AQ1:AT1"/>
    <mergeCell ref="A1:F1"/>
    <mergeCell ref="H1:J1"/>
    <mergeCell ref="L1:N1"/>
    <mergeCell ref="O1:W1"/>
    <mergeCell ref="X1:Z1"/>
    <mergeCell ref="BD1:BG1"/>
    <mergeCell ref="AU1:AW1"/>
    <mergeCell ref="AX1:AZ1"/>
    <mergeCell ref="BA1:BC1"/>
    <mergeCell ref="AQ1082:AR1082"/>
  </mergeCells>
  <phoneticPr fontId="62" type="noConversion"/>
  <conditionalFormatting sqref="A3:G445 A450:G520 A446:D446 F446:G447 C447:D447 A447:B449 C448:G449 A521:D523 F521:G523 A524:G527 F528:G528 A528:D529 F529 G529:G530 A530:F530 A765:D766 F765:G766 E766 A531:G764 A767:G1063 A1064:D1065 F1064:G1065 A1066:G1066 A1067:D1067 F1067:G1067 A1068:G1076">
    <cfRule type="expression" dxfId="380" priority="259">
      <formula>$AT3="D"</formula>
    </cfRule>
  </conditionalFormatting>
  <conditionalFormatting sqref="A3:BC311 A312:AH314 AI312:BC315 X315:X316 Z315:AH316 A315:W321 AI316:AK316 AL316:BC323 X317:AJ317 AK317:AK323 X318:X320 Z318:AJ320 X321:AJ321 A322:AJ322 X323:AJ323 A323:W326 X324:BC326 A327:BC349 AT350:BA350 BC350 AK350:AS355 A350:AJ383 AT351:BC355 AK356:BC368 AT369:BC369 AK369:AS371 AT370 AW370:BC370 AT371:BC371 AK372:BC383 A384:BC390 AK391:BC399 A391:AJ403 AT400:BC400 AK400:AS403 AT401 AV401:BC401 AT402:BC403 AI531:BC547 A539:AH547 D1079:D1090 A356:A440 A404:BC438 AT439:AX439 BA439:BC439 A439:U445 V439:AP447 AI439:AJ449 AQ439:AS449 AT440:BC449 A446:D446 F446:U447 C447:D447 A447:B449 C448:V449 X448:AP449 W448:W454 A450:V454 X450:BC454 A455:BC498 W499:AH499 AI499:BC505 A499:V518 X500:AH505 W500:W538 X506:BC518 AT519:BC519 A519:U520 V519:V524 X519:AS524 AT520 AV520:BC520 A521:D523 F521:U523 AT521:BC524 A524:U524 A525:V527 X525:BC530 F528:V528 A528:D529 F529 G529:V530 A530:F530 A531:V538 X531:AH538 A548:BC548 AY551:BC552 AX550:BC550 AT553:BC554 AT549:BC549 AT550:AW552 A549:AS554 AT564 A557:AW563 AT565:AW573 BD3:BG3 A555:BC556 AK564:AS573 A564:AJ578 AK574:AW578 AV595:AX595 A579:AW594 AT595 AT596:AW599 AK595:AS599 A595:AJ603 AK600:AW603 AK613:AX614 A613:AJ621 AK615:AW621 AY557:BC638 A622:AW633 A604:AW612 AK634:AW637 A634:AJ640 AK638:AP640 AT638:AW638 AT639:BC645 AT646:BB647 AQ638:AS647 A641:AP647 A765:D766 E766 A648:BC752 F765:AH766 AQ753:BC767 A753:AP764 AK768:BC769 AK765:AP767 AI765:AJ771 AK770:AO771 AP770:BC781 A772:AO781 A767:AH771 A782:BC894 AW903:BC903 AK903:AU903 AK895:BC902 AK921:AP924 AQ921:BC925 A925:AP925 A895:AJ924 AK904:BC920 A926:BC1063 A1064:D1065 F1064:BC1065 A1067:D1067 A1066:BC1066 F1067:BC1067 AQ1062:AS1068 A1068:BC1076">
    <cfRule type="expression" dxfId="379" priority="243">
      <formula>$AT3="L"</formula>
    </cfRule>
  </conditionalFormatting>
  <conditionalFormatting sqref="A3:BC311 AI312:BC315 AL316:BC323 X324:BC326 A327:BC349 AT350:BA350 AT351:BC355 AK356:BC368 AT369:BC369 AT370 AT371:BC371 AK372:BC383 A384:BC390 AK391:BC399 AT400:BC400 AT401 AT402:BC403 A404:BC438 AT439:AX439 AT440:BC449 X450:BC454 A455:BC498 AI499:BC505 X506:BC518 AT519:BC519 AT520 AT521:BC524 X525:BC530 AI531:BC547 A312:AH314 A315:W321 A322:AJ322 A323:W326 A350:AJ383 A391:AJ403 A439:U445 F446:U447 C448:V449 A450:V454 A499:V518 A519:U520 F521:U523 A524:U524 A525:V527 F528:V528 G529:V530 A531:V538 A539:AH547 D1079:D1090 BA439:BC439 V439:AP447 AI439:AJ449 AQ439:AS449 X448:AP449 W448:W454 W499:AH499 X500:AH505 X519:AS524 W500:W538 V519:V524 AV520:BC520 X531:AH538 X315:X316 Z315:AH316 AI316:AK316 X317:AJ317 AK317:AK323 X318:X320 Z318:AJ320 X321:AJ321 X323:AJ323 BC350 AK350:AS355 A356:A440 AK369:AS371 AW370:BC370 AK400:AS403 AV401:BC401 A446:D446 C447:D447 A447:B449 A521:D523 A528:D529 F529 A530:F530 A548:BC548 AY551:BC552 AX550:BC550 AT553:BC554 AT549:BC549 AT550:AW552 A549:AS554 AT564 A557:AW563 AT565:AW573 BD3:BG3 A555:BC556 AK564:AS573 A564:AJ578 AK574:AW578 AV595:AX595 A579:AW594 AT595 AT596:AW599 AK595:AS599 A595:AJ603 AK600:AW603 AK613:AX614 A613:AJ621 AK615:AW621 AY557:BC638 A622:AW633 A604:AW612 AK634:AW637 A634:AJ640 AK638:AP640 AT638:AW638 AT639:BC645 AT646:BB647 AQ638:AS647 A641:AP647 A765:D766 E766 A648:BC752 F765:AH766 AQ753:BC767 A753:AP764 AK768:BC769 AK765:AP767 AI765:AJ771 AK770:AO771 AP770:BC781 A772:AO781 A767:AH771 A782:BC894 AW903:BC903 AK903:AU903 AK895:BC902 AK921:AP924 AQ921:BC925 A925:AP925 A895:AJ924 AK904:BC920 A926:BC1063 A1064:D1065 F1064:BC1065 A1067:D1067 A1066:BC1066 F1067:BC1067 AQ1062:AS1068 A1068:BC1076">
    <cfRule type="expression" dxfId="378" priority="241">
      <formula>$AT3="W"</formula>
    </cfRule>
  </conditionalFormatting>
  <conditionalFormatting sqref="A9:BC9">
    <cfRule type="expression" dxfId="377" priority="234">
      <formula>$AW9="W"</formula>
    </cfRule>
    <cfRule type="expression" dxfId="376" priority="235">
      <formula>$AW9="L"</formula>
    </cfRule>
  </conditionalFormatting>
  <conditionalFormatting sqref="E478:E479 H648:J648 C649:J649 C535:J647 H650:J1076">
    <cfRule type="cellIs" dxfId="375" priority="211" operator="equal">
      <formula>1</formula>
    </cfRule>
  </conditionalFormatting>
  <conditionalFormatting sqref="C648:J648">
    <cfRule type="cellIs" dxfId="374" priority="162" operator="equal">
      <formula>1</formula>
    </cfRule>
  </conditionalFormatting>
  <conditionalFormatting sqref="E91 A91:D93 D1079">
    <cfRule type="expression" dxfId="373" priority="230">
      <formula>$AS91="L"</formula>
    </cfRule>
    <cfRule type="expression" dxfId="372" priority="231">
      <formula>$AS91="W"</formula>
    </cfRule>
  </conditionalFormatting>
  <conditionalFormatting sqref="E446:E447">
    <cfRule type="expression" dxfId="371" priority="215">
      <formula>$AT446="W"</formula>
    </cfRule>
    <cfRule type="expression" dxfId="370" priority="216">
      <formula>$AT446="L"</formula>
    </cfRule>
    <cfRule type="expression" dxfId="369" priority="217">
      <formula>$AT446="D"</formula>
    </cfRule>
  </conditionalFormatting>
  <conditionalFormatting sqref="E521:E523">
    <cfRule type="expression" dxfId="368" priority="173">
      <formula>$AT521="W"</formula>
    </cfRule>
    <cfRule type="expression" dxfId="367" priority="174">
      <formula>$AT521="L"</formula>
    </cfRule>
    <cfRule type="expression" dxfId="366" priority="175">
      <formula>$AT521="D"</formula>
    </cfRule>
  </conditionalFormatting>
  <conditionalFormatting sqref="E528:E529">
    <cfRule type="expression" dxfId="365" priority="170">
      <formula>$AT528="W"</formula>
    </cfRule>
    <cfRule type="expression" dxfId="364" priority="171">
      <formula>$AT528="L"</formula>
    </cfRule>
    <cfRule type="expression" dxfId="363" priority="172">
      <formula>$AT528="D"</formula>
    </cfRule>
  </conditionalFormatting>
  <conditionalFormatting sqref="G476:G477">
    <cfRule type="cellIs" dxfId="362" priority="214" operator="equal">
      <formula>1</formula>
    </cfRule>
  </conditionalFormatting>
  <conditionalFormatting sqref="G480:G481">
    <cfRule type="cellIs" dxfId="361" priority="209" operator="equal">
      <formula>1</formula>
    </cfRule>
  </conditionalFormatting>
  <conditionalFormatting sqref="H4:J310 C46:G46 C110:G110 C131:G133 C225:G225 C311:J311 H312:J443 C444:J444 H445:J465 C465:J465 C466:D466 F466:J466 C467:J475 C534:J534">
    <cfRule type="cellIs" dxfId="360" priority="249" operator="equal">
      <formula>1</formula>
    </cfRule>
  </conditionalFormatting>
  <conditionalFormatting sqref="H476:J534 D476 D480:E481">
    <cfRule type="cellIs" dxfId="359" priority="213" operator="equal">
      <formula>1</formula>
    </cfRule>
  </conditionalFormatting>
  <conditionalFormatting sqref="H3:BC311 H312:AH314 AI312:BC315 X315:X316 Z315:AH316 H315:W321 AI316:AK316 AL316:BC323 X317:AJ317 AK317:AK323 X318:X320 Z318:AJ320 X321:AJ321 H322:AJ322 X323:AJ323 H323:W326 X324:BC326 H327:BC349 AT350:BA350 BC350 AK350:AS355 H350:AJ383 AT351:BC355 AK356:BC368 AT369:BC369 AK369:AS371 AT370 AW370:BC370 AT371:BC371 AK372:BC383 H384:BC390 AK391:BC399 H391:AJ403 AT400:BC400 AK400:AS403 AT401 AV401:BC401 AT402:BC403 H539:AH547 AK539:BC547 D1079:D1090 H548:BC548 V529:V552 AY551:BC552 AZ550:BC550 AT553:BC554 AT549:BC549 AT550:AW552 H549:AS554 AI499:AJ563 AT564 H557:AW563 AT565:AW573 BD3:BG3 H555:BC556 AK564:AS573 H564:AJ578 AK574:AW578 AV595:AX595 H579:AW594 AT595 AT596:AW599 AK595:AS599 H595:AJ603 AK600:AW603 AK613:AX614 H613:AJ621 AK615:AW621 AY557:BC638 H622:AW633 H634:AJ640 H604:AW612 AK634:AW637 AK638:AP640 AT638:AW638 AT639:BC645 AT646:BB647 H641:AP647 AQ638:AS647 AI753:AJ764 H649:BC752 H753:AP761 AT753:BC761 H763:AP764 AT763:BC767 AQ753:AS767 AK768:BC769 AK765:AP767 H765:AJ771 AK770:AO771 AP770:BC781 H772:AO781 V872:V873 H782:BC872 AI870:AJ874 AQ872:AS877 H874:BC894 AW903:BC903 AK903:AU903 AK895:BC902 H895:AJ924 AK921:AP924 AQ921:BC925 H925:AP925 AK904:BC920 V995 AQ990:AS1002 AI990:AJ997 H926:BC994 H996:BC1076">
    <cfRule type="expression" dxfId="358" priority="242">
      <formula>$AT3="D"</formula>
    </cfRule>
  </conditionalFormatting>
  <conditionalFormatting sqref="H455:BC493 H494:AP495 H499:V500 H506:N506 F271 W499:AH499 AK499:AP499 V501 Z506:BC506">
    <cfRule type="expression" dxfId="357" priority="228">
      <formula>$AT271="D"</formula>
    </cfRule>
  </conditionalFormatting>
  <conditionalFormatting sqref="H496:BC498 E261 H404:BC438 AT439:AX439 BA439:BC439 H439:AS447 AT440:BC449 X448:AS449 H448:W454 X450:BC454 AQ494:BC495 AQ499:BC499">
    <cfRule type="expression" dxfId="356" priority="229">
      <formula>$AT261="D"</formula>
    </cfRule>
  </conditionalFormatting>
  <conditionalFormatting sqref="H648:BC648">
    <cfRule type="expression" dxfId="355" priority="159">
      <formula>$AT648="D"</formula>
    </cfRule>
  </conditionalFormatting>
  <conditionalFormatting sqref="K4:K1076">
    <cfRule type="containsText" dxfId="354" priority="232" operator="containsText" text="H">
      <formula>NOT(ISERROR(SEARCH(("H"),(K4))))</formula>
    </cfRule>
    <cfRule type="containsText" dxfId="353" priority="233" operator="containsText" text="D">
      <formula>NOT(ISERROR(SEARCH(("D"),(K4))))</formula>
    </cfRule>
  </conditionalFormatting>
  <conditionalFormatting sqref="O506:U506 X506:Y506">
    <cfRule type="expression" dxfId="352" priority="203">
      <formula>$AT506="D"</formula>
    </cfRule>
  </conditionalFormatting>
  <conditionalFormatting sqref="O516:U517">
    <cfRule type="expression" dxfId="351" priority="189">
      <formula>$AT516="D"</formula>
    </cfRule>
  </conditionalFormatting>
  <conditionalFormatting sqref="O512:V512 X512:Y512">
    <cfRule type="expression" dxfId="350" priority="199">
      <formula>$AT512="D"</formula>
    </cfRule>
  </conditionalFormatting>
  <conditionalFormatting sqref="O515:V515">
    <cfRule type="expression" dxfId="349" priority="194">
      <formula>$AT515="D"</formula>
    </cfRule>
  </conditionalFormatting>
  <conditionalFormatting sqref="O518:V518 V519:V524">
    <cfRule type="expression" dxfId="348" priority="183">
      <formula>$AT518="D"</formula>
    </cfRule>
  </conditionalFormatting>
  <conditionalFormatting sqref="S224:Z224 R3:S1076">
    <cfRule type="cellIs" dxfId="347" priority="246" operator="greaterThanOrEqual">
      <formula>24</formula>
    </cfRule>
  </conditionalFormatting>
  <conditionalFormatting sqref="Q9 W9 T3:T1076">
    <cfRule type="cellIs" dxfId="346" priority="250" operator="greaterThan">
      <formula>20</formula>
    </cfRule>
  </conditionalFormatting>
  <conditionalFormatting sqref="R9 X9 U1084:U2075 V873 U995:V995 U3:U994 U996:U1077">
    <cfRule type="cellIs" dxfId="345" priority="244" operator="equal">
      <formula>"B"</formula>
    </cfRule>
    <cfRule type="cellIs" dxfId="344" priority="245" operator="equal">
      <formula>"S"</formula>
    </cfRule>
  </conditionalFormatting>
  <conditionalFormatting sqref="V505:V508">
    <cfRule type="expression" dxfId="343" priority="205">
      <formula>$AT505="D"</formula>
    </cfRule>
  </conditionalFormatting>
  <conditionalFormatting sqref="V516:V517">
    <cfRule type="expression" dxfId="342" priority="188">
      <formula>$AT516="D"</formula>
    </cfRule>
  </conditionalFormatting>
  <conditionalFormatting sqref="V648">
    <cfRule type="expression" dxfId="341" priority="157">
      <formula>$AT648="D"</formula>
    </cfRule>
  </conditionalFormatting>
  <conditionalFormatting sqref="V534:W534">
    <cfRule type="expression" dxfId="340" priority="167">
      <formula>$AT534="D"</formula>
    </cfRule>
  </conditionalFormatting>
  <conditionalFormatting sqref="V648:W648">
    <cfRule type="expression" dxfId="339" priority="158">
      <formula>$AT648="D"</formula>
    </cfRule>
  </conditionalFormatting>
  <conditionalFormatting sqref="X515:X517">
    <cfRule type="expression" dxfId="338" priority="187">
      <formula>$AT515="D"</formula>
    </cfRule>
  </conditionalFormatting>
  <conditionalFormatting sqref="X500:AH505 AK500:BC505 H501:U501 H502:V504 H505:U505 AQ500:AS647">
    <cfRule type="expression" dxfId="337" priority="207">
      <formula>$AT500="D"</formula>
    </cfRule>
  </conditionalFormatting>
  <conditionalFormatting sqref="Y316">
    <cfRule type="expression" dxfId="336" priority="225">
      <formula>$AT316="W"</formula>
    </cfRule>
    <cfRule type="expression" dxfId="335" priority="226">
      <formula>$AT316="D"</formula>
    </cfRule>
    <cfRule type="expression" dxfId="334" priority="227">
      <formula>$AT316="L"</formula>
    </cfRule>
  </conditionalFormatting>
  <conditionalFormatting sqref="Y318:Y319">
    <cfRule type="expression" dxfId="333" priority="222">
      <formula>$AT318="W"</formula>
    </cfRule>
    <cfRule type="expression" dxfId="332" priority="223">
      <formula>$AT318="D"</formula>
    </cfRule>
    <cfRule type="expression" dxfId="331" priority="224">
      <formula>$AT318="L"</formula>
    </cfRule>
  </conditionalFormatting>
  <conditionalFormatting sqref="Y501">
    <cfRule type="expression" dxfId="330" priority="206">
      <formula>$AT501="D"</formula>
    </cfRule>
  </conditionalFormatting>
  <conditionalFormatting sqref="Y505:Y506">
    <cfRule type="expression" dxfId="329" priority="204">
      <formula>$AT505="D"</formula>
    </cfRule>
  </conditionalFormatting>
  <conditionalFormatting sqref="Y518">
    <cfRule type="expression" dxfId="328" priority="182">
      <formula>$AT518="D"</formula>
    </cfRule>
  </conditionalFormatting>
  <conditionalFormatting sqref="AF9 AL9 AJ46 AJ110 AJ131:AJ133 AJ225 AK956 AI3:AI1076">
    <cfRule type="cellIs" dxfId="327" priority="247" operator="lessThanOrEqual">
      <formula>-110</formula>
    </cfRule>
  </conditionalFormatting>
  <conditionalFormatting sqref="W500:W538 H507:U508 X507:BC510 H509:V538 X511:AW511 AZ511:BC511 X512:BC518 AT519:BC519 X519:AS524 AT520 AV520:BC520 AT521:BC524 X525:BC530 X531:AH538 AK531:BC538">
    <cfRule type="expression" dxfId="326" priority="201">
      <formula>$AT500="D"</formula>
    </cfRule>
  </conditionalFormatting>
  <conditionalFormatting sqref="AI46 AI110 AI131:AI133 AI225 AG9 AM9 AJ3:AJ1076">
    <cfRule type="cellIs" dxfId="325" priority="248" operator="lessThanOrEqual">
      <formula>$AJ$1081</formula>
    </cfRule>
  </conditionalFormatting>
  <conditionalFormatting sqref="AO9 AU9 AR3:AR647 AR649:AR1077">
    <cfRule type="cellIs" dxfId="324" priority="253" operator="greaterThan">
      <formula>0</formula>
    </cfRule>
    <cfRule type="cellIs" dxfId="323" priority="254" operator="lessThan">
      <formula>0</formula>
    </cfRule>
  </conditionalFormatting>
  <conditionalFormatting sqref="AR1085">
    <cfRule type="cellIs" dxfId="322" priority="257" operator="greaterThanOrEqual">
      <formula>AR1083</formula>
    </cfRule>
    <cfRule type="cellIs" dxfId="321" priority="258" operator="lessThan">
      <formula>0</formula>
    </cfRule>
  </conditionalFormatting>
  <conditionalFormatting sqref="AR1086">
    <cfRule type="cellIs" dxfId="320" priority="255" operator="lessThan">
      <formula>0</formula>
    </cfRule>
    <cfRule type="cellIs" dxfId="319" priority="256" operator="greaterThanOrEqual">
      <formula>0</formula>
    </cfRule>
  </conditionalFormatting>
  <conditionalFormatting sqref="AS1077">
    <cfRule type="expression" dxfId="318" priority="218">
      <formula>$AT1077="W"</formula>
    </cfRule>
    <cfRule type="expression" dxfId="317" priority="219">
      <formula>$AT1077="D"</formula>
    </cfRule>
    <cfRule type="expression" dxfId="316" priority="220">
      <formula>$AT1077="L"</formula>
    </cfRule>
  </conditionalFormatting>
  <conditionalFormatting sqref="AQ9 AW9 AT3:AT1076">
    <cfRule type="cellIs" dxfId="315" priority="236" operator="equal">
      <formula>"W"</formula>
    </cfRule>
    <cfRule type="cellIs" dxfId="314" priority="237" operator="equal">
      <formula>"L"</formula>
    </cfRule>
  </conditionalFormatting>
  <conditionalFormatting sqref="AU500">
    <cfRule type="expression" dxfId="313" priority="200">
      <formula>$AT500="D"</formula>
    </cfRule>
  </conditionalFormatting>
  <conditionalFormatting sqref="AU645:BC645 AU646:BB647">
    <cfRule type="expression" dxfId="312" priority="163">
      <formula>$AT645="D"</formula>
    </cfRule>
  </conditionalFormatting>
  <conditionalFormatting sqref="AX511:AY511">
    <cfRule type="expression" dxfId="311" priority="198">
      <formula>$AT511="D"</formula>
    </cfRule>
  </conditionalFormatting>
  <conditionalFormatting sqref="AX550:AY550">
    <cfRule type="expression" dxfId="310" priority="156">
      <formula>$AT550="D"</formula>
    </cfRule>
  </conditionalFormatting>
  <conditionalFormatting sqref="AX551:AX552">
    <cfRule type="expression" dxfId="309" priority="155">
      <formula>$AT551="L"</formula>
    </cfRule>
  </conditionalFormatting>
  <conditionalFormatting sqref="AX551:AX552">
    <cfRule type="expression" dxfId="308" priority="153">
      <formula>$AT551="W"</formula>
    </cfRule>
  </conditionalFormatting>
  <conditionalFormatting sqref="AX551:AX552">
    <cfRule type="expression" dxfId="307" priority="154">
      <formula>$AT551="D"</formula>
    </cfRule>
  </conditionalFormatting>
  <conditionalFormatting sqref="AX557">
    <cfRule type="expression" dxfId="306" priority="152">
      <formula>$AT557="L"</formula>
    </cfRule>
  </conditionalFormatting>
  <conditionalFormatting sqref="AX557">
    <cfRule type="expression" dxfId="305" priority="151">
      <formula>$AT557="W"</formula>
    </cfRule>
  </conditionalFormatting>
  <conditionalFormatting sqref="AX557">
    <cfRule type="expression" dxfId="304" priority="150">
      <formula>$AT557="D"</formula>
    </cfRule>
  </conditionalFormatting>
  <conditionalFormatting sqref="AX558">
    <cfRule type="expression" dxfId="303" priority="149">
      <formula>$AT558="L"</formula>
    </cfRule>
  </conditionalFormatting>
  <conditionalFormatting sqref="AX558">
    <cfRule type="expression" dxfId="302" priority="147">
      <formula>$AT558="W"</formula>
    </cfRule>
  </conditionalFormatting>
  <conditionalFormatting sqref="AX558">
    <cfRule type="expression" dxfId="301" priority="148">
      <formula>$AT558="D"</formula>
    </cfRule>
  </conditionalFormatting>
  <conditionalFormatting sqref="AX563">
    <cfRule type="expression" dxfId="300" priority="146">
      <formula>$AT563="L"</formula>
    </cfRule>
  </conditionalFormatting>
  <conditionalFormatting sqref="AX563">
    <cfRule type="expression" dxfId="299" priority="144">
      <formula>$AT563="W"</formula>
    </cfRule>
  </conditionalFormatting>
  <conditionalFormatting sqref="AX563">
    <cfRule type="expression" dxfId="298" priority="145">
      <formula>$AT563="D"</formula>
    </cfRule>
  </conditionalFormatting>
  <conditionalFormatting sqref="AU564:AW564">
    <cfRule type="expression" dxfId="297" priority="143">
      <formula>$AT564="L"</formula>
    </cfRule>
  </conditionalFormatting>
  <conditionalFormatting sqref="AU564:AW564">
    <cfRule type="expression" dxfId="296" priority="142">
      <formula>$AT564="W"</formula>
    </cfRule>
  </conditionalFormatting>
  <conditionalFormatting sqref="AU564:AW564">
    <cfRule type="expression" dxfId="295" priority="141">
      <formula>$AT564="D"</formula>
    </cfRule>
  </conditionalFormatting>
  <conditionalFormatting sqref="AX562">
    <cfRule type="expression" dxfId="294" priority="140">
      <formula>$AT562="L"</formula>
    </cfRule>
  </conditionalFormatting>
  <conditionalFormatting sqref="AX562">
    <cfRule type="expression" dxfId="293" priority="138">
      <formula>$AT562="W"</formula>
    </cfRule>
  </conditionalFormatting>
  <conditionalFormatting sqref="AX562">
    <cfRule type="expression" dxfId="292" priority="139">
      <formula>$AT562="D"</formula>
    </cfRule>
  </conditionalFormatting>
  <conditionalFormatting sqref="AX566">
    <cfRule type="expression" dxfId="291" priority="137">
      <formula>$AT566="L"</formula>
    </cfRule>
  </conditionalFormatting>
  <conditionalFormatting sqref="AX566">
    <cfRule type="expression" dxfId="290" priority="135">
      <formula>$AT566="W"</formula>
    </cfRule>
  </conditionalFormatting>
  <conditionalFormatting sqref="AX566">
    <cfRule type="expression" dxfId="289" priority="136">
      <formula>$AT566="D"</formula>
    </cfRule>
  </conditionalFormatting>
  <conditionalFormatting sqref="AX573">
    <cfRule type="expression" dxfId="288" priority="134">
      <formula>$AT573="L"</formula>
    </cfRule>
  </conditionalFormatting>
  <conditionalFormatting sqref="AX573">
    <cfRule type="expression" dxfId="287" priority="132">
      <formula>$AT573="W"</formula>
    </cfRule>
  </conditionalFormatting>
  <conditionalFormatting sqref="AX573">
    <cfRule type="expression" dxfId="286" priority="133">
      <formula>$AT573="D"</formula>
    </cfRule>
  </conditionalFormatting>
  <conditionalFormatting sqref="AX574">
    <cfRule type="expression" dxfId="285" priority="131">
      <formula>$AT574="L"</formula>
    </cfRule>
  </conditionalFormatting>
  <conditionalFormatting sqref="AX574">
    <cfRule type="expression" dxfId="284" priority="129">
      <formula>$AT574="W"</formula>
    </cfRule>
  </conditionalFormatting>
  <conditionalFormatting sqref="AX574">
    <cfRule type="expression" dxfId="283" priority="130">
      <formula>$AT574="D"</formula>
    </cfRule>
  </conditionalFormatting>
  <conditionalFormatting sqref="AX564">
    <cfRule type="expression" dxfId="282" priority="128">
      <formula>$AT564="L"</formula>
    </cfRule>
  </conditionalFormatting>
  <conditionalFormatting sqref="AX564">
    <cfRule type="expression" dxfId="281" priority="126">
      <formula>$AT564="W"</formula>
    </cfRule>
  </conditionalFormatting>
  <conditionalFormatting sqref="AX564">
    <cfRule type="expression" dxfId="280" priority="127">
      <formula>$AT564="D"</formula>
    </cfRule>
  </conditionalFormatting>
  <conditionalFormatting sqref="AX565">
    <cfRule type="expression" dxfId="279" priority="125">
      <formula>$AT565="L"</formula>
    </cfRule>
  </conditionalFormatting>
  <conditionalFormatting sqref="AX565">
    <cfRule type="expression" dxfId="278" priority="123">
      <formula>$AT565="W"</formula>
    </cfRule>
  </conditionalFormatting>
  <conditionalFormatting sqref="AX565">
    <cfRule type="expression" dxfId="277" priority="124">
      <formula>$AT565="D"</formula>
    </cfRule>
  </conditionalFormatting>
  <conditionalFormatting sqref="AX576">
    <cfRule type="expression" dxfId="276" priority="122">
      <formula>$AT576="L"</formula>
    </cfRule>
  </conditionalFormatting>
  <conditionalFormatting sqref="AX576">
    <cfRule type="expression" dxfId="275" priority="120">
      <formula>$AT576="W"</formula>
    </cfRule>
  </conditionalFormatting>
  <conditionalFormatting sqref="AX576">
    <cfRule type="expression" dxfId="274" priority="121">
      <formula>$AT576="D"</formula>
    </cfRule>
  </conditionalFormatting>
  <conditionalFormatting sqref="AU648">
    <cfRule type="expression" dxfId="273" priority="119">
      <formula>$AT648="D"</formula>
    </cfRule>
  </conditionalFormatting>
  <conditionalFormatting sqref="AU648">
    <cfRule type="expression" dxfId="272" priority="118">
      <formula>$AT648="D"</formula>
    </cfRule>
  </conditionalFormatting>
  <conditionalFormatting sqref="AX578">
    <cfRule type="expression" dxfId="271" priority="117">
      <formula>$AT578="L"</formula>
    </cfRule>
  </conditionalFormatting>
  <conditionalFormatting sqref="AX578">
    <cfRule type="expression" dxfId="270" priority="115">
      <formula>$AT578="W"</formula>
    </cfRule>
  </conditionalFormatting>
  <conditionalFormatting sqref="AX578">
    <cfRule type="expression" dxfId="269" priority="116">
      <formula>$AT578="D"</formula>
    </cfRule>
  </conditionalFormatting>
  <conditionalFormatting sqref="AX567">
    <cfRule type="expression" dxfId="268" priority="114">
      <formula>$AT567="L"</formula>
    </cfRule>
  </conditionalFormatting>
  <conditionalFormatting sqref="AX567">
    <cfRule type="expression" dxfId="267" priority="112">
      <formula>$AT567="W"</formula>
    </cfRule>
  </conditionalFormatting>
  <conditionalFormatting sqref="AX567">
    <cfRule type="expression" dxfId="266" priority="113">
      <formula>$AT567="D"</formula>
    </cfRule>
  </conditionalFormatting>
  <conditionalFormatting sqref="AQ590:AS590">
    <cfRule type="expression" dxfId="265" priority="111">
      <formula>$AT590="D"</formula>
    </cfRule>
  </conditionalFormatting>
  <conditionalFormatting sqref="AX592:AX593">
    <cfRule type="expression" dxfId="264" priority="110">
      <formula>$AT592="L"</formula>
    </cfRule>
  </conditionalFormatting>
  <conditionalFormatting sqref="AX592:AX593">
    <cfRule type="expression" dxfId="263" priority="108">
      <formula>$AT592="W"</formula>
    </cfRule>
  </conditionalFormatting>
  <conditionalFormatting sqref="AX592:AX593">
    <cfRule type="expression" dxfId="262" priority="109">
      <formula>$AT592="D"</formula>
    </cfRule>
  </conditionalFormatting>
  <conditionalFormatting sqref="AX594">
    <cfRule type="expression" dxfId="261" priority="104">
      <formula>$AT594="L"</formula>
    </cfRule>
  </conditionalFormatting>
  <conditionalFormatting sqref="AX594">
    <cfRule type="expression" dxfId="260" priority="102">
      <formula>$AT594="W"</formula>
    </cfRule>
  </conditionalFormatting>
  <conditionalFormatting sqref="AX594">
    <cfRule type="expression" dxfId="259" priority="103">
      <formula>$AT594="D"</formula>
    </cfRule>
  </conditionalFormatting>
  <conditionalFormatting sqref="AU595">
    <cfRule type="expression" dxfId="258" priority="101">
      <formula>$AT595="L"</formula>
    </cfRule>
  </conditionalFormatting>
  <conditionalFormatting sqref="AU595">
    <cfRule type="expression" dxfId="257" priority="99">
      <formula>$AT595="W"</formula>
    </cfRule>
  </conditionalFormatting>
  <conditionalFormatting sqref="AU595">
    <cfRule type="expression" dxfId="256" priority="100">
      <formula>$AT595="D"</formula>
    </cfRule>
  </conditionalFormatting>
  <conditionalFormatting sqref="AX597">
    <cfRule type="expression" dxfId="255" priority="95">
      <formula>$AT597="L"</formula>
    </cfRule>
  </conditionalFormatting>
  <conditionalFormatting sqref="AX597">
    <cfRule type="expression" dxfId="254" priority="93">
      <formula>$AT597="W"</formula>
    </cfRule>
  </conditionalFormatting>
  <conditionalFormatting sqref="AX597">
    <cfRule type="expression" dxfId="253" priority="94">
      <formula>$AT597="D"</formula>
    </cfRule>
  </conditionalFormatting>
  <conditionalFormatting sqref="AX587">
    <cfRule type="expression" dxfId="252" priority="83">
      <formula>$AT587="L"</formula>
    </cfRule>
  </conditionalFormatting>
  <conditionalFormatting sqref="AX587">
    <cfRule type="expression" dxfId="251" priority="81">
      <formula>$AT587="W"</formula>
    </cfRule>
  </conditionalFormatting>
  <conditionalFormatting sqref="AX587">
    <cfRule type="expression" dxfId="250" priority="82">
      <formula>$AT587="D"</formula>
    </cfRule>
  </conditionalFormatting>
  <conditionalFormatting sqref="AX590">
    <cfRule type="expression" dxfId="249" priority="80">
      <formula>$AT590="L"</formula>
    </cfRule>
  </conditionalFormatting>
  <conditionalFormatting sqref="AX590">
    <cfRule type="expression" dxfId="248" priority="78">
      <formula>$AT590="W"</formula>
    </cfRule>
  </conditionalFormatting>
  <conditionalFormatting sqref="AX590">
    <cfRule type="expression" dxfId="247" priority="79">
      <formula>$AT590="D"</formula>
    </cfRule>
  </conditionalFormatting>
  <conditionalFormatting sqref="AX598:AX600">
    <cfRule type="expression" dxfId="246" priority="77">
      <formula>$AT598="L"</formula>
    </cfRule>
  </conditionalFormatting>
  <conditionalFormatting sqref="AX598:AX600">
    <cfRule type="expression" dxfId="245" priority="75">
      <formula>$AT598="W"</formula>
    </cfRule>
  </conditionalFormatting>
  <conditionalFormatting sqref="AX598:AX600">
    <cfRule type="expression" dxfId="244" priority="76">
      <formula>$AT598="D"</formula>
    </cfRule>
  </conditionalFormatting>
  <conditionalFormatting sqref="X609">
    <cfRule type="expression" dxfId="243" priority="74">
      <formula>$AT609="D"</formula>
    </cfRule>
  </conditionalFormatting>
  <conditionalFormatting sqref="X609">
    <cfRule type="expression" dxfId="242" priority="73">
      <formula>$AT609="D"</formula>
    </cfRule>
  </conditionalFormatting>
  <conditionalFormatting sqref="AX609">
    <cfRule type="expression" dxfId="241" priority="72">
      <formula>$AT609="L"</formula>
    </cfRule>
  </conditionalFormatting>
  <conditionalFormatting sqref="AX609">
    <cfRule type="expression" dxfId="240" priority="70">
      <formula>$AT609="W"</formula>
    </cfRule>
  </conditionalFormatting>
  <conditionalFormatting sqref="AX609">
    <cfRule type="expression" dxfId="239" priority="71">
      <formula>$AT609="D"</formula>
    </cfRule>
  </conditionalFormatting>
  <conditionalFormatting sqref="AX610">
    <cfRule type="expression" dxfId="238" priority="69">
      <formula>$AT610="L"</formula>
    </cfRule>
  </conditionalFormatting>
  <conditionalFormatting sqref="AX610">
    <cfRule type="expression" dxfId="237" priority="67">
      <formula>$AT610="W"</formula>
    </cfRule>
  </conditionalFormatting>
  <conditionalFormatting sqref="AX610">
    <cfRule type="expression" dxfId="236" priority="68">
      <formula>$AT610="D"</formula>
    </cfRule>
  </conditionalFormatting>
  <conditionalFormatting sqref="AX617">
    <cfRule type="expression" dxfId="235" priority="66">
      <formula>$AT617="L"</formula>
    </cfRule>
  </conditionalFormatting>
  <conditionalFormatting sqref="AX617">
    <cfRule type="expression" dxfId="234" priority="64">
      <formula>$AT617="W"</formula>
    </cfRule>
  </conditionalFormatting>
  <conditionalFormatting sqref="AX617">
    <cfRule type="expression" dxfId="233" priority="65">
      <formula>$AT617="D"</formula>
    </cfRule>
  </conditionalFormatting>
  <conditionalFormatting sqref="AX621">
    <cfRule type="expression" dxfId="232" priority="63">
      <formula>$AT621="L"</formula>
    </cfRule>
  </conditionalFormatting>
  <conditionalFormatting sqref="AX621">
    <cfRule type="expression" dxfId="231" priority="61">
      <formula>$AT621="W"</formula>
    </cfRule>
  </conditionalFormatting>
  <conditionalFormatting sqref="AX621">
    <cfRule type="expression" dxfId="230" priority="62">
      <formula>$AT621="D"</formula>
    </cfRule>
  </conditionalFormatting>
  <conditionalFormatting sqref="AX625">
    <cfRule type="expression" dxfId="229" priority="60">
      <formula>$AT625="L"</formula>
    </cfRule>
  </conditionalFormatting>
  <conditionalFormatting sqref="AX625">
    <cfRule type="expression" dxfId="228" priority="58">
      <formula>$AT625="W"</formula>
    </cfRule>
  </conditionalFormatting>
  <conditionalFormatting sqref="AX625">
    <cfRule type="expression" dxfId="227" priority="59">
      <formula>$AT625="D"</formula>
    </cfRule>
  </conditionalFormatting>
  <conditionalFormatting sqref="AX626">
    <cfRule type="expression" dxfId="226" priority="57">
      <formula>$AT626="L"</formula>
    </cfRule>
  </conditionalFormatting>
  <conditionalFormatting sqref="AX626">
    <cfRule type="expression" dxfId="225" priority="55">
      <formula>$AT626="W"</formula>
    </cfRule>
  </conditionalFormatting>
  <conditionalFormatting sqref="AX626">
    <cfRule type="expression" dxfId="224" priority="56">
      <formula>$AT626="D"</formula>
    </cfRule>
  </conditionalFormatting>
  <conditionalFormatting sqref="AX628:AX635">
    <cfRule type="expression" dxfId="223" priority="54">
      <formula>$AT628="L"</formula>
    </cfRule>
  </conditionalFormatting>
  <conditionalFormatting sqref="AX628:AX635">
    <cfRule type="expression" dxfId="222" priority="52">
      <formula>$AT628="W"</formula>
    </cfRule>
  </conditionalFormatting>
  <conditionalFormatting sqref="AX628:AX635">
    <cfRule type="expression" dxfId="221" priority="53">
      <formula>$AT628="D"</formula>
    </cfRule>
  </conditionalFormatting>
  <conditionalFormatting sqref="AU650:AU652">
    <cfRule type="expression" dxfId="220" priority="51">
      <formula>$AT650="D"</formula>
    </cfRule>
  </conditionalFormatting>
  <conditionalFormatting sqref="AX601:AX608">
    <cfRule type="expression" dxfId="219" priority="50">
      <formula>$AT601="L"</formula>
    </cfRule>
  </conditionalFormatting>
  <conditionalFormatting sqref="AX601:AX608">
    <cfRule type="expression" dxfId="218" priority="48">
      <formula>$AT601="W"</formula>
    </cfRule>
  </conditionalFormatting>
  <conditionalFormatting sqref="AX601:AX608">
    <cfRule type="expression" dxfId="217" priority="49">
      <formula>$AT601="D"</formula>
    </cfRule>
  </conditionalFormatting>
  <conditionalFormatting sqref="AX637">
    <cfRule type="expression" dxfId="216" priority="47">
      <formula>$AT637="L"</formula>
    </cfRule>
  </conditionalFormatting>
  <conditionalFormatting sqref="AX637">
    <cfRule type="expression" dxfId="215" priority="45">
      <formula>$AT637="W"</formula>
    </cfRule>
  </conditionalFormatting>
  <conditionalFormatting sqref="AX637">
    <cfRule type="expression" dxfId="214" priority="46">
      <formula>$AT637="D"</formula>
    </cfRule>
  </conditionalFormatting>
  <conditionalFormatting sqref="AQ677:AS677">
    <cfRule type="expression" dxfId="213" priority="44">
      <formula>$AT677="D"</formula>
    </cfRule>
  </conditionalFormatting>
  <conditionalFormatting sqref="AQ689:AS689">
    <cfRule type="expression" dxfId="212" priority="43">
      <formula>$AT689="D"</formula>
    </cfRule>
  </conditionalFormatting>
  <conditionalFormatting sqref="AU761:AV761">
    <cfRule type="expression" dxfId="211" priority="42">
      <formula>$AT761="D"</formula>
    </cfRule>
  </conditionalFormatting>
  <conditionalFormatting sqref="C762:J762">
    <cfRule type="cellIs" dxfId="210" priority="41" operator="equal">
      <formula>1</formula>
    </cfRule>
  </conditionalFormatting>
  <conditionalFormatting sqref="H762:BC762">
    <cfRule type="expression" dxfId="209" priority="40">
      <formula>$AT762="D"</formula>
    </cfRule>
  </conditionalFormatting>
  <conditionalFormatting sqref="V762">
    <cfRule type="expression" dxfId="208" priority="38">
      <formula>$AT762="D"</formula>
    </cfRule>
  </conditionalFormatting>
  <conditionalFormatting sqref="V762:W762">
    <cfRule type="expression" dxfId="207" priority="39">
      <formula>$AT762="D"</formula>
    </cfRule>
  </conditionalFormatting>
  <conditionalFormatting sqref="AU762">
    <cfRule type="expression" dxfId="206" priority="37">
      <formula>$AT762="D"</formula>
    </cfRule>
  </conditionalFormatting>
  <conditionalFormatting sqref="AU762">
    <cfRule type="expression" dxfId="205" priority="36">
      <formula>$AT762="D"</formula>
    </cfRule>
  </conditionalFormatting>
  <conditionalFormatting sqref="AQ700:AS700">
    <cfRule type="expression" dxfId="204" priority="35">
      <formula>$AT700="D"</formula>
    </cfRule>
  </conditionalFormatting>
  <conditionalFormatting sqref="AU1076:AX1076">
    <cfRule type="expression" dxfId="203" priority="34">
      <formula>$AT1076="D"</formula>
    </cfRule>
  </conditionalFormatting>
  <conditionalFormatting sqref="E765">
    <cfRule type="expression" dxfId="202" priority="33">
      <formula>$AT765="D"</formula>
    </cfRule>
  </conditionalFormatting>
  <conditionalFormatting sqref="E765">
    <cfRule type="expression" dxfId="201" priority="32">
      <formula>$AT765="L"</formula>
    </cfRule>
  </conditionalFormatting>
  <conditionalFormatting sqref="E765">
    <cfRule type="expression" dxfId="200" priority="31">
      <formula>$AT765="W"</formula>
    </cfRule>
  </conditionalFormatting>
  <conditionalFormatting sqref="AU872:BB872">
    <cfRule type="expression" dxfId="199" priority="30">
      <formula>$AT872="D"</formula>
    </cfRule>
  </conditionalFormatting>
  <conditionalFormatting sqref="C873:J873">
    <cfRule type="cellIs" dxfId="198" priority="29" operator="equal">
      <formula>1</formula>
    </cfRule>
  </conditionalFormatting>
  <conditionalFormatting sqref="H873:BC873">
    <cfRule type="expression" dxfId="197" priority="28">
      <formula>$AT873="D"</formula>
    </cfRule>
  </conditionalFormatting>
  <conditionalFormatting sqref="V873">
    <cfRule type="expression" dxfId="196" priority="26">
      <formula>$AT873="D"</formula>
    </cfRule>
  </conditionalFormatting>
  <conditionalFormatting sqref="V873:W873">
    <cfRule type="expression" dxfId="195" priority="27">
      <formula>$AT873="D"</formula>
    </cfRule>
  </conditionalFormatting>
  <conditionalFormatting sqref="AU873">
    <cfRule type="expression" dxfId="194" priority="25">
      <formula>$AT873="D"</formula>
    </cfRule>
  </conditionalFormatting>
  <conditionalFormatting sqref="AU873">
    <cfRule type="expression" dxfId="193" priority="24">
      <formula>$AT873="D"</formula>
    </cfRule>
  </conditionalFormatting>
  <conditionalFormatting sqref="AX804">
    <cfRule type="expression" dxfId="192" priority="23">
      <formula>$AT804="D"</formula>
    </cfRule>
  </conditionalFormatting>
  <conditionalFormatting sqref="AJ1080">
    <cfRule type="cellIs" dxfId="191" priority="22" operator="lessThan">
      <formula>$AJ$1084</formula>
    </cfRule>
  </conditionalFormatting>
  <conditionalFormatting sqref="AU904">
    <cfRule type="expression" dxfId="190" priority="21">
      <formula>$AT904="D"</formula>
    </cfRule>
  </conditionalFormatting>
  <conditionalFormatting sqref="AU994:AX994">
    <cfRule type="expression" dxfId="189" priority="20">
      <formula>$AT994="D"</formula>
    </cfRule>
  </conditionalFormatting>
  <conditionalFormatting sqref="C995:J995">
    <cfRule type="cellIs" dxfId="188" priority="19" operator="equal">
      <formula>1</formula>
    </cfRule>
  </conditionalFormatting>
  <conditionalFormatting sqref="H995:BC995">
    <cfRule type="expression" dxfId="187" priority="18">
      <formula>$AT995="D"</formula>
    </cfRule>
  </conditionalFormatting>
  <conditionalFormatting sqref="V995">
    <cfRule type="expression" dxfId="186" priority="16">
      <formula>$AT995="D"</formula>
    </cfRule>
  </conditionalFormatting>
  <conditionalFormatting sqref="V995:W995">
    <cfRule type="expression" dxfId="185" priority="17">
      <formula>$AT995="D"</formula>
    </cfRule>
  </conditionalFormatting>
  <conditionalFormatting sqref="AU995">
    <cfRule type="expression" dxfId="184" priority="15">
      <formula>$AT995="D"</formula>
    </cfRule>
  </conditionalFormatting>
  <conditionalFormatting sqref="AU995">
    <cfRule type="expression" dxfId="183" priority="14">
      <formula>$AT995="D"</formula>
    </cfRule>
  </conditionalFormatting>
  <conditionalFormatting sqref="AU1076:AX1076">
    <cfRule type="expression" dxfId="182" priority="13">
      <formula>$AT1076="D"</formula>
    </cfRule>
  </conditionalFormatting>
  <conditionalFormatting sqref="E1064">
    <cfRule type="expression" dxfId="181" priority="12">
      <formula>$AT1064="D"</formula>
    </cfRule>
  </conditionalFormatting>
  <conditionalFormatting sqref="E1064">
    <cfRule type="expression" dxfId="180" priority="11">
      <formula>$AT1064="L"</formula>
    </cfRule>
  </conditionalFormatting>
  <conditionalFormatting sqref="E1064">
    <cfRule type="expression" dxfId="179" priority="10">
      <formula>$AT1064="W"</formula>
    </cfRule>
  </conditionalFormatting>
  <conditionalFormatting sqref="E1067">
    <cfRule type="expression" dxfId="178" priority="9">
      <formula>$AT1067="D"</formula>
    </cfRule>
  </conditionalFormatting>
  <conditionalFormatting sqref="E1067">
    <cfRule type="expression" dxfId="177" priority="8">
      <formula>$AT1067="L"</formula>
    </cfRule>
  </conditionalFormatting>
  <conditionalFormatting sqref="E1067">
    <cfRule type="expression" dxfId="176" priority="7">
      <formula>$AT1067="W"</formula>
    </cfRule>
  </conditionalFormatting>
  <conditionalFormatting sqref="E1065">
    <cfRule type="expression" dxfId="175" priority="3">
      <formula>$AT1065="D"</formula>
    </cfRule>
  </conditionalFormatting>
  <conditionalFormatting sqref="E1065">
    <cfRule type="expression" dxfId="174" priority="2">
      <formula>$AT1065="L"</formula>
    </cfRule>
  </conditionalFormatting>
  <conditionalFormatting sqref="E1065">
    <cfRule type="expression" dxfId="173" priority="1">
      <formula>$AT1065="W"</formula>
    </cfRule>
  </conditionalFormatting>
  <dataValidations count="14">
    <dataValidation type="list" allowBlank="1" sqref="AT3" xr:uid="{00000000-0002-0000-0000-000005000000}">
      <formula1>"W,L"</formula1>
    </dataValidation>
    <dataValidation type="list" allowBlank="1" sqref="U3:U223 V873 V995 U225:U1076" xr:uid="{00000000-0002-0000-0000-000002000000}">
      <formula1>"B,S"</formula1>
    </dataValidation>
    <dataValidation type="list" allowBlank="1" sqref="O3:O382 O384:O498 O500:O553 O556:O577 O584 O586 O588:O592 O594:O598 O601:O604 O606:O608 O610:O627 O629:O634 O636:O675 O677:O683 O685:O746 O748:O808 O810:O848 O850:O870 O872:O882 O885:O892 O894:O951 O953:O976 O978:O1001 O1003:O1067 O1069:O1076" xr:uid="{00000000-0002-0000-0000-000006000000}">
      <formula1>"IB,IR"</formula1>
    </dataValidation>
    <dataValidation type="list" allowBlank="1" sqref="O383" xr:uid="{B1CA45A7-A4CB-4AC4-AD94-B6BB953D36ED}">
      <formula1>"IB,IR,YT"</formula1>
    </dataValidation>
    <dataValidation type="list" allowBlank="1" sqref="P3:P498 P500:P553 P555:P577 P579:P592 P594:P598 P601:P604 P606:P608 P610:P627 P629:P634 P636:P675 P677:P683 P685:P746 P748:P808 P810:P848 P850:P870 P872:P882 P885:P892 P894:P951 P953:P976 P978:P1001 P1003:P1067 P1069:P1076" xr:uid="{00000000-0002-0000-0000-000003000000}">
      <formula1>"W,R,G"</formula1>
    </dataValidation>
    <dataValidation type="list" allowBlank="1" sqref="O499" xr:uid="{8D56505A-7DA3-4A5F-AEEB-2C765E9AB310}">
      <formula1>"IB,IR,YT,XT,TED,YT-XT"</formula1>
    </dataValidation>
    <dataValidation type="list" allowBlank="1" sqref="P499 P554 P578 P593 P599:P600 P605 P609 P628 P635 P676 P684 P747 P809 P849 P871 P883:P884 P893 P952 P977 P1002 P1068" xr:uid="{AE8ADD96-2620-4DEA-9348-E7F216DFD6F8}">
      <formula1>"W,R,G,BONDS"</formula1>
    </dataValidation>
    <dataValidation type="list" allowBlank="1" sqref="O554:O555 O578:O583 O585 O587 O593 O599:O600 O605 O609 O628 O635 O676 O684 O747 O809 O849 O871 O883:O884 O893" xr:uid="{534A0710-D201-4A04-857F-1A5321CB2206}">
      <formula1>"IB,IR,YT, TED,YT-XT"</formula1>
    </dataValidation>
    <dataValidation type="list" allowBlank="1" sqref="Q3:Q553 Q555:Q1076" xr:uid="{00000000-0002-0000-0000-000000000000}">
      <formula1>"O,S,F"</formula1>
    </dataValidation>
    <dataValidation type="list" allowBlank="1" sqref="Q554" xr:uid="{F9FB83C7-AC86-4199-8486-705C230D8435}">
      <formula1>"O,S,F,T"</formula1>
    </dataValidation>
    <dataValidation type="list" allowBlank="1" sqref="O952 O977 O1002 O1068" xr:uid="{B11DF17E-5C76-470F-B4F2-1EA3D3BE5595}">
      <formula1>"IB,IR,YT, TED,YT-XT,XT"</formula1>
    </dataValidation>
    <dataValidation type="list" allowBlank="1" sqref="AN4:AN1076" xr:uid="{00000000-0002-0000-0000-000004000000}">
      <formula1>"M,H,D,W"</formula1>
    </dataValidation>
    <dataValidation type="list" allowBlank="1" sqref="K4:K1076" xr:uid="{00000000-0002-0000-0000-000001000000}">
      <formula1>"D,H"</formula1>
    </dataValidation>
    <dataValidation type="list" allowBlank="1" sqref="AT4:AT1076" xr:uid="{00000000-0002-0000-0000-000007000000}">
      <formula1>"W,L,D"</formula1>
    </dataValidation>
  </dataValidations>
  <hyperlinks>
    <hyperlink ref="E9" r:id="rId1" xr:uid="{00000000-0004-0000-0000-000001000000}"/>
    <hyperlink ref="E164" r:id="rId2" xr:uid="{00000000-0004-0000-0000-000002000000}"/>
    <hyperlink ref="E165" r:id="rId3" xr:uid="{00000000-0004-0000-0000-000003000000}"/>
    <hyperlink ref="E166" r:id="rId4" xr:uid="{00000000-0004-0000-0000-000004000000}"/>
    <hyperlink ref="E167" r:id="rId5" xr:uid="{00000000-0004-0000-0000-000005000000}"/>
    <hyperlink ref="E171" r:id="rId6" xr:uid="{00000000-0004-0000-0000-000006000000}"/>
    <hyperlink ref="E180" r:id="rId7" xr:uid="{00000000-0004-0000-0000-000007000000}"/>
    <hyperlink ref="E181" r:id="rId8" xr:uid="{00000000-0004-0000-0000-000008000000}"/>
    <hyperlink ref="E182" r:id="rId9" xr:uid="{00000000-0004-0000-0000-000009000000}"/>
    <hyperlink ref="E189" r:id="rId10" xr:uid="{00000000-0004-0000-0000-00000A000000}"/>
    <hyperlink ref="E190" r:id="rId11" xr:uid="{00000000-0004-0000-0000-00000B000000}"/>
    <hyperlink ref="E191" r:id="rId12" xr:uid="{00000000-0004-0000-0000-00000C000000}"/>
    <hyperlink ref="E199" r:id="rId13" xr:uid="{00000000-0004-0000-0000-00000D000000}"/>
    <hyperlink ref="E208" r:id="rId14" xr:uid="{00000000-0004-0000-0000-00000E000000}"/>
    <hyperlink ref="E209" r:id="rId15" xr:uid="{00000000-0004-0000-0000-00000F000000}"/>
    <hyperlink ref="E210" r:id="rId16" xr:uid="{00000000-0004-0000-0000-000010000000}"/>
    <hyperlink ref="E221" r:id="rId17" xr:uid="{00000000-0004-0000-0000-000011000000}"/>
    <hyperlink ref="E237" r:id="rId18" xr:uid="{00000000-0004-0000-0000-000012000000}"/>
    <hyperlink ref="E238" r:id="rId19" xr:uid="{00000000-0004-0000-0000-000013000000}"/>
    <hyperlink ref="E245" r:id="rId20" xr:uid="{00000000-0004-0000-0000-000014000000}"/>
    <hyperlink ref="G1" location="'Journal Live'!A1089" display="PRESENT   " xr:uid="{00000000-0004-0000-0000-000000000000}"/>
    <hyperlink ref="E268" r:id="rId21" xr:uid="{36484390-B139-4298-ADFF-72AFAC746617}"/>
    <hyperlink ref="E269" r:id="rId22" display="US CPI YOY JAN (" xr:uid="{F463A987-9528-4749-A00A-5D2F80583B86}"/>
    <hyperlink ref="E278" r:id="rId23" display="_x000a_Core Retail Sales (MoM) (Jan)" xr:uid="{8045328C-AB66-4396-B2F5-5D2632505E21}"/>
    <hyperlink ref="E279" r:id="rId24" display="_x000a_Retail Sales (MoM) (Jan)" xr:uid="{4384EE79-362F-414C-995F-973D56EE496C}"/>
    <hyperlink ref="E300" r:id="rId25" display="GDP (QoQ) (Q4)" xr:uid="{3537B656-6E8F-415E-8358-F2EC3B69D300}"/>
    <hyperlink ref="E312" r:id="rId26" display="_x000a_CPI (YoY)" xr:uid="{CB99669F-9BAD-4CFA-8848-5DA998486F8A}"/>
    <hyperlink ref="E313" r:id="rId27" display="GDP (QoQ) (Q4)" xr:uid="{35B7B964-02D0-4E6F-B033-9AEE6A653DC5}"/>
    <hyperlink ref="E334" r:id="rId28" display="_x000a_ADP Nonfarm Employment Change (Feb)" xr:uid="{769294FA-D689-44AD-835C-E379CB5A240C}"/>
    <hyperlink ref="E338" r:id="rId29" display="_x000a_Nonfarm Payrolls (Feb)" xr:uid="{EE968EB9-8D80-42E8-AD89-927C830B5E4D}"/>
    <hyperlink ref="E339" r:id="rId30" display="Unemployment Rate (Feb)" xr:uid="{41F5AB29-C93C-4F67-B5E1-03331B93984F}"/>
    <hyperlink ref="E352" r:id="rId31" display="_x000a_Core CPI (MoM) (Feb)" xr:uid="{8C925CE6-0BD3-47B6-A792-44FE4C73B9C9}"/>
    <hyperlink ref="E353" r:id="rId32" display="CPI (MoM) (Feb)" xr:uid="{0C2C3C31-070D-4D67-BD66-51DEA0CDF2B3}"/>
    <hyperlink ref="E354" r:id="rId33" display="_x000a_CPI (YoY) (Feb)" xr:uid="{D6D33715-F5A3-4F5C-A249-D48FA1D39118}"/>
    <hyperlink ref="E358" r:id="rId34" display="_x000a_Core Retail Sales (MoM) (Feb)" xr:uid="{2135DB88-A355-427E-AEFE-D85D4424A5D5}"/>
    <hyperlink ref="E359" r:id="rId35" display="PPI (MoM) (Feb)" xr:uid="{D93B24EF-0403-4405-9D1A-F457EE0719EB}"/>
    <hyperlink ref="E360" r:id="rId36" display="Retail Sales (MoM) (Feb)" xr:uid="{F98F7CCF-2BC3-45DD-8657-4B2C661EB3FD}"/>
    <hyperlink ref="E361" r:id="rId37" display="_x000a_Employment Change (Feb)" xr:uid="{109E0B43-1C1C-4807-8365-42D1150B8525}"/>
    <hyperlink ref="BA387" r:id="rId38" xr:uid="{9D3E3C74-4486-4EA4-A60F-A8725CD0104F}"/>
    <hyperlink ref="BA389" r:id="rId39" xr:uid="{2CD2DC72-BACC-49C7-A02C-2EDDEE324A30}"/>
    <hyperlink ref="E437" r:id="rId40" display="_x000a_GDP (QoQ) (Q4)" xr:uid="{A35ED2F1-3D82-434A-82DB-4496E2C043D7}"/>
    <hyperlink ref="E445" r:id="rId41" display="Retail Sales (MoM)" xr:uid="{7F1D890D-D123-4327-A0D8-B78BD1C854C6}"/>
    <hyperlink ref="E446" r:id="rId42" display="_x000a_ISM Manufacturing PMI (Mar)" xr:uid="{2C8A8CD7-71F7-457B-9A4F-60AC820E2730}"/>
    <hyperlink ref="E455" r:id="rId43" display="_x000a_JOLTs Job Openings (Feb)" xr:uid="{15CECBB3-4D19-4C06-AA6D-FCDE5E146A37}"/>
    <hyperlink ref="E462" r:id="rId44" display="ADP Nonfarm Employment Change (Mar)" xr:uid="{5698F832-7507-4BB4-B5B7-93C16FF4E1C4}"/>
    <hyperlink ref="E463" r:id="rId45" display="_x000a_ISM Non-Manufacturing PMI (Mar)" xr:uid="{E90DA747-2AED-41A7-9B7A-AB76A2AF30F3}"/>
    <hyperlink ref="E466" r:id="rId46" display="_x000a_Westpac Consumer Sentiment (Apr)" xr:uid="{D133607B-C77A-4918-B53A-8A7A53DF0FD8}"/>
    <hyperlink ref="E478" r:id="rId47" display="_x000a_Employment Change (Mar)" xr:uid="{9792B2FA-AA1F-4B79-882F-9D0ECC250493}"/>
    <hyperlink ref="E479" r:id="rId48" display="_x000a_Unemployment Rate (Mar)" xr:uid="{4267FD08-EFBA-455B-835D-2146B0EDD234}"/>
    <hyperlink ref="E487" r:id="rId49" display="Michigan Inflation Expectations (Apr) " xr:uid="{4A3EA1B7-636E-4F1F-83F7-065A1330A895}"/>
    <hyperlink ref="E519" r:id="rId50" display="_x000a_Retail Sales (MoM) (Mar)" xr:uid="{2CD38051-7156-43CD-8537-8F5E06F2A079}"/>
    <hyperlink ref="E521" r:id="rId51" display="CB Consumer Confidence (Apr)" xr:uid="{A006F390-14DB-4305-B119-6292105A7DCB}"/>
    <hyperlink ref="E522" r:id="rId52" display="_x000a_New Home Sales (Mar)" xr:uid="{2F5E7BC5-488B-4C75-AEA5-045B2C217022}"/>
    <hyperlink ref="E526" r:id="rId53" display="_x000a_CPI (QoQ) (Q1)" xr:uid="{5D45E0A9-F362-4981-ADC9-82B5184284F7}"/>
    <hyperlink ref="E528" r:id="rId54" display="Trimmed Mean CPI (QoQ) (Q1)" xr:uid="{9BB10750-6B6C-4EE5-8C68-CA5909CA5525}"/>
    <hyperlink ref="E544" r:id="rId55" display="_x000a_CPI (YoY) (Apr) " xr:uid="{79F6FC05-39B8-4D12-8C2B-5C3A9AC66FBE}"/>
    <hyperlink ref="E545" r:id="rId56" display="_x000a_Core CPI (YoY) " xr:uid="{E49236EA-C6D1-4129-A9DA-5795B129E935}"/>
    <hyperlink ref="E549" r:id="rId57" display="_x000a_Retail Sales (MoM) (Mar) " xr:uid="{5145B511-D8C4-46EB-80A7-A10831786947}"/>
    <hyperlink ref="E582" r:id="rId58" display="_x000a_Wage Price Index (QoQ) (Q1)" xr:uid="{7E1D4086-EABE-4F35-BED3-65E3C955055D}"/>
    <hyperlink ref="E611" r:id="rId59" display="_x000a_CPI (YoY) (Apr)" xr:uid="{6C55A932-E334-4660-A40F-125A92258D9C}"/>
    <hyperlink ref="E623" r:id="rId60" display="_x000a_Retail Sales (MoM) (Apr) " xr:uid="{D4BFBBA3-A356-45A9-9FCC-67B68A2108E0}"/>
    <hyperlink ref="E750" r:id="rId61" display="Retail Sales (MoM) (May)" xr:uid="{7351386A-DA59-4865-B25A-B563EE164B99}"/>
    <hyperlink ref="E756" r:id="rId62" display="_x000a_Core PCE Price Index (MoM) (May)" xr:uid="{2CC8D927-5CAA-47BE-9921-E245A391B9E8}"/>
    <hyperlink ref="E757" r:id="rId63" display="Core PCE Price Index (YoY) (May)" xr:uid="{59B98250-35C3-4B88-A1C9-CD658F3D2AB1}"/>
    <hyperlink ref="E758" r:id="rId64" display="PCE Price index (YoY) (May)" xr:uid="{641A374B-D5C6-4CF0-A6DC-5A60AA8E1088}"/>
    <hyperlink ref="E759" r:id="rId65" display="_x000a_Michigan Consumer Sentiment (Jun)" xr:uid="{D05F3EDC-E1CF-45B0-B015-1002F6F95B29}"/>
    <hyperlink ref="E765" r:id="rId66" display="_x000a_Building Approvals (MoM) (May)  " xr:uid="{68FFEBB5-2C6A-4B49-BE41-025597AF1F6B}"/>
    <hyperlink ref="E823" r:id="rId67" display="_x000a_GDP (YoY) (Q2)" xr:uid="{258C80AA-B31B-42FC-B749-F39271050FA2}"/>
    <hyperlink ref="E850" r:id="rId68" display="_x000a_Initial Jobless Claims" xr:uid="{D55073CC-E8D3-4E2B-AC5B-73C5B5C78E42}"/>
    <hyperlink ref="E880" r:id="rId69" display="ISM Manufacturing PMI (Jul)" xr:uid="{9FF2E662-C752-41A0-AC20-E355E111FD0A}"/>
    <hyperlink ref="E968" r:id="rId70" display="S&amp;P Global US Services PMI (Aug) " xr:uid="{1302E6F6-4A4B-4A23-984E-3C663D806469}"/>
    <hyperlink ref="E1004" r:id="rId71" display="_x000a_ISM Manufacturing PMI (Aug)" xr:uid="{3E867C3A-CD1E-49FD-B5D5-38AAC65D236C}"/>
    <hyperlink ref="E1064" r:id="rId72" display="_x000a_National Core CPI (YoY) (Aug)" xr:uid="{5C2508E0-D2BA-4179-AC5F-93DB8AD6C216}"/>
  </hyperlinks>
  <pageMargins left="0.7" right="0.7" top="0.75" bottom="0.75" header="0.3" footer="0.3"/>
  <pageSetup paperSize="9" orientation="portrait" r:id="rId73"/>
  <tableParts count="1">
    <tablePart r:id="rId7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7D4D9-A99C-4E98-BC4F-6DBCB8280C93}">
  <dimension ref="A1:AZ240"/>
  <sheetViews>
    <sheetView showGridLines="0" topLeftCell="A19" zoomScale="70" zoomScaleNormal="70" workbookViewId="0">
      <selection activeCell="C22" sqref="C22"/>
    </sheetView>
  </sheetViews>
  <sheetFormatPr defaultColWidth="9.140625" defaultRowHeight="12.75"/>
  <cols>
    <col min="1" max="1" width="20.7109375" style="313" customWidth="1"/>
    <col min="2" max="2" width="27" style="313" customWidth="1"/>
    <col min="3" max="3" width="14" style="313" customWidth="1"/>
    <col min="4" max="4" width="15" style="313" customWidth="1"/>
    <col min="5" max="5" width="17.140625" style="313" customWidth="1"/>
    <col min="6" max="6" width="18" style="313" bestFit="1" customWidth="1"/>
    <col min="7" max="7" width="12.28515625" style="313" bestFit="1" customWidth="1"/>
    <col min="8" max="8" width="19.7109375" style="313" bestFit="1" customWidth="1"/>
    <col min="9" max="9" width="16.85546875" style="313" bestFit="1" customWidth="1"/>
    <col min="10" max="10" width="12.7109375" style="313" bestFit="1" customWidth="1"/>
    <col min="11" max="11" width="10.28515625" style="313" bestFit="1" customWidth="1"/>
    <col min="12" max="12" width="10.28515625" style="313" customWidth="1"/>
    <col min="13" max="13" width="15.140625" style="313" customWidth="1"/>
    <col min="14" max="14" width="17.28515625" style="313" customWidth="1"/>
    <col min="15" max="15" width="11.5703125" style="313" customWidth="1"/>
    <col min="16" max="16" width="11.85546875" style="313" customWidth="1"/>
    <col min="17" max="39" width="9.140625" style="313"/>
    <col min="40" max="40" width="14.42578125" style="313" bestFit="1" customWidth="1"/>
    <col min="41" max="41" width="21.5703125" style="313" bestFit="1" customWidth="1"/>
    <col min="42" max="42" width="14.140625" style="313" customWidth="1"/>
    <col min="43" max="43" width="18.42578125" style="313" customWidth="1"/>
    <col min="44" max="44" width="17" style="313" customWidth="1"/>
    <col min="45" max="45" width="15.28515625" style="313" customWidth="1"/>
    <col min="46" max="46" width="19.5703125" style="313" customWidth="1"/>
    <col min="47" max="47" width="18.140625" style="313" customWidth="1"/>
    <col min="48" max="48" width="16.7109375" style="313" bestFit="1" customWidth="1"/>
    <col min="49" max="49" width="21.42578125" style="313" bestFit="1" customWidth="1"/>
    <col min="50" max="50" width="19.7109375" style="313" bestFit="1" customWidth="1"/>
    <col min="51" max="16384" width="9.140625" style="313"/>
  </cols>
  <sheetData>
    <row r="1" spans="1:52" s="513" customFormat="1">
      <c r="A1" s="512" t="s">
        <v>3938</v>
      </c>
      <c r="B1" s="512"/>
      <c r="C1" s="512"/>
      <c r="D1" s="512"/>
      <c r="E1" s="512"/>
      <c r="F1" s="512"/>
      <c r="G1" s="512"/>
      <c r="H1" s="512"/>
      <c r="I1" s="512"/>
      <c r="J1" s="512"/>
      <c r="K1" s="512"/>
    </row>
    <row r="2" spans="1:52" s="515" customFormat="1" ht="13.5" thickBot="1">
      <c r="A2" s="514"/>
      <c r="B2" s="514"/>
      <c r="C2" s="514"/>
      <c r="D2" s="514"/>
      <c r="E2" s="514"/>
      <c r="F2" s="514"/>
      <c r="G2" s="514"/>
      <c r="H2" s="514"/>
      <c r="I2" s="514"/>
      <c r="J2" s="514"/>
      <c r="K2" s="514"/>
    </row>
    <row r="3" spans="1:52" ht="16.149999999999999" customHeight="1">
      <c r="A3" s="516" t="s">
        <v>3717</v>
      </c>
      <c r="B3" s="314"/>
      <c r="C3" s="314"/>
      <c r="D3" s="314"/>
      <c r="E3" s="314"/>
      <c r="F3" s="314"/>
      <c r="G3" s="314"/>
      <c r="H3" s="314"/>
      <c r="I3" s="314"/>
      <c r="J3" s="314"/>
      <c r="K3" s="314"/>
      <c r="L3" s="314"/>
      <c r="M3" s="314"/>
      <c r="N3" s="314"/>
      <c r="O3" s="314"/>
      <c r="P3" s="314"/>
      <c r="Q3" s="314"/>
      <c r="R3" s="314"/>
      <c r="S3" s="314"/>
      <c r="T3" s="314"/>
      <c r="U3" s="314"/>
      <c r="V3" s="314"/>
      <c r="W3" s="314"/>
      <c r="X3" s="314"/>
      <c r="Y3" s="314"/>
      <c r="Z3" s="314"/>
      <c r="AA3" s="314"/>
      <c r="AB3" s="314"/>
      <c r="AC3" s="314"/>
      <c r="AD3" s="314"/>
      <c r="AE3" s="314"/>
      <c r="AF3" s="314"/>
      <c r="AG3" s="314"/>
      <c r="AH3" s="314"/>
      <c r="AI3" s="314"/>
      <c r="AJ3" s="314"/>
      <c r="AK3" s="314"/>
      <c r="AL3" s="314"/>
      <c r="AM3" s="314"/>
      <c r="AN3" s="314"/>
      <c r="AO3" s="314"/>
      <c r="AP3" s="314"/>
      <c r="AQ3" s="314"/>
      <c r="AR3" s="314"/>
      <c r="AS3" s="314"/>
      <c r="AT3" s="314"/>
      <c r="AU3" s="314"/>
      <c r="AV3" s="314"/>
      <c r="AW3" s="314"/>
      <c r="AX3" s="314"/>
      <c r="AY3" s="314"/>
      <c r="AZ3" s="314"/>
    </row>
    <row r="4" spans="1:52">
      <c r="A4" s="517"/>
      <c r="B4" s="314"/>
      <c r="C4" s="314"/>
      <c r="D4" s="314"/>
      <c r="E4" s="314"/>
      <c r="F4" s="314"/>
      <c r="G4" s="314"/>
      <c r="H4" s="314"/>
      <c r="I4" s="314"/>
      <c r="J4" s="314"/>
      <c r="K4" s="314"/>
      <c r="L4" s="314"/>
      <c r="M4" s="314"/>
      <c r="N4" s="314"/>
      <c r="O4" s="314"/>
      <c r="P4" s="314"/>
      <c r="Q4" s="314"/>
      <c r="R4" s="314"/>
      <c r="S4" s="314"/>
      <c r="T4" s="314"/>
      <c r="U4" s="314"/>
      <c r="V4" s="314"/>
      <c r="W4" s="314"/>
      <c r="X4" s="314"/>
      <c r="Y4" s="314"/>
      <c r="Z4" s="314"/>
      <c r="AA4" s="314"/>
      <c r="AB4" s="314"/>
      <c r="AC4" s="314"/>
      <c r="AD4" s="314"/>
      <c r="AE4" s="314"/>
      <c r="AF4" s="314"/>
      <c r="AG4" s="314"/>
      <c r="AH4" s="314"/>
      <c r="AI4" s="314"/>
      <c r="AJ4" s="314"/>
      <c r="AK4" s="314"/>
      <c r="AL4" s="314"/>
      <c r="AM4" s="314"/>
      <c r="AN4" s="314"/>
      <c r="AO4" s="314"/>
      <c r="AP4" s="418" t="s">
        <v>77</v>
      </c>
      <c r="AQ4" s="418"/>
      <c r="AR4" s="418"/>
      <c r="AS4" s="418"/>
      <c r="AT4" s="418"/>
      <c r="AU4" s="419" t="s">
        <v>211</v>
      </c>
      <c r="AV4" s="419"/>
      <c r="AW4" s="419"/>
      <c r="AX4" s="419"/>
      <c r="AY4" s="419"/>
      <c r="AZ4" s="314"/>
    </row>
    <row r="5" spans="1:52" s="374" customFormat="1" ht="15.75">
      <c r="A5" s="375" t="s">
        <v>3939</v>
      </c>
      <c r="B5" s="376" t="s">
        <v>3940</v>
      </c>
      <c r="C5" s="377" t="s">
        <v>3941</v>
      </c>
      <c r="D5" s="377" t="s">
        <v>3942</v>
      </c>
      <c r="E5" s="378" t="s">
        <v>3943</v>
      </c>
      <c r="F5" s="376" t="s">
        <v>3944</v>
      </c>
      <c r="G5" s="377" t="s">
        <v>3945</v>
      </c>
      <c r="H5" s="377" t="s">
        <v>3946</v>
      </c>
      <c r="I5" s="377" t="s">
        <v>3947</v>
      </c>
      <c r="J5" s="377" t="s">
        <v>3948</v>
      </c>
      <c r="K5" s="379" t="s">
        <v>3949</v>
      </c>
      <c r="L5" s="380" t="s">
        <v>3950</v>
      </c>
      <c r="M5" s="380" t="s">
        <v>3951</v>
      </c>
      <c r="N5" s="380" t="s">
        <v>3952</v>
      </c>
      <c r="O5" s="380" t="s">
        <v>3953</v>
      </c>
      <c r="P5" s="380" t="s">
        <v>3954</v>
      </c>
      <c r="Q5" s="380" t="s">
        <v>3955</v>
      </c>
      <c r="R5" s="380" t="s">
        <v>3956</v>
      </c>
      <c r="S5" s="380" t="s">
        <v>3957</v>
      </c>
      <c r="T5" s="380" t="s">
        <v>3958</v>
      </c>
      <c r="U5" s="380" t="s">
        <v>3959</v>
      </c>
      <c r="V5" s="380" t="s">
        <v>3960</v>
      </c>
      <c r="W5" s="380" t="s">
        <v>3961</v>
      </c>
      <c r="X5" s="380" t="s">
        <v>3962</v>
      </c>
      <c r="Y5" s="314"/>
      <c r="Z5" s="314"/>
      <c r="AA5" s="314"/>
      <c r="AB5" s="314"/>
      <c r="AC5" s="314"/>
      <c r="AD5" s="364" t="s">
        <v>511</v>
      </c>
      <c r="AE5" s="381" t="s">
        <v>16</v>
      </c>
      <c r="AF5" s="381" t="s">
        <v>3963</v>
      </c>
      <c r="AG5" s="381" t="s">
        <v>3964</v>
      </c>
      <c r="AH5" s="381" t="s">
        <v>3965</v>
      </c>
      <c r="AI5" s="381" t="s">
        <v>3966</v>
      </c>
      <c r="AJ5" s="381" t="s">
        <v>97</v>
      </c>
      <c r="AK5" s="381" t="s">
        <v>3967</v>
      </c>
      <c r="AL5" s="381" t="s">
        <v>3968</v>
      </c>
      <c r="AM5" s="364"/>
      <c r="AN5" s="375" t="s">
        <v>3939</v>
      </c>
      <c r="AO5" s="376" t="s">
        <v>3940</v>
      </c>
      <c r="AP5" s="417" t="s">
        <v>3969</v>
      </c>
      <c r="AQ5" s="417" t="s">
        <v>3942</v>
      </c>
      <c r="AR5" s="417" t="s">
        <v>3970</v>
      </c>
      <c r="AS5" s="417" t="s">
        <v>3971</v>
      </c>
      <c r="AT5" s="417" t="s">
        <v>3972</v>
      </c>
      <c r="AU5" s="417" t="s">
        <v>3973</v>
      </c>
      <c r="AV5" s="417" t="s">
        <v>3974</v>
      </c>
      <c r="AW5" s="417" t="s">
        <v>3975</v>
      </c>
      <c r="AX5" s="417" t="s">
        <v>3976</v>
      </c>
      <c r="AY5" s="423" t="s">
        <v>3977</v>
      </c>
      <c r="AZ5" s="364" t="s">
        <v>511</v>
      </c>
    </row>
    <row r="6" spans="1:52" s="374" customFormat="1" ht="15.75">
      <c r="A6" s="382" t="s">
        <v>6</v>
      </c>
      <c r="B6" s="393" t="s">
        <v>35</v>
      </c>
      <c r="C6" s="394">
        <f>COUNTIFS(Table1[MONTH],'PERFORMANCE ANALYSIS'!$A$3,Table1[TECHNICAL],"*")</f>
        <v>31</v>
      </c>
      <c r="D6" s="394">
        <f>SUMIFS(Table1[E QTY],Table1[MONTH],'PERFORMANCE ANALYSIS'!$A$3,Table1[TECHNICAL],"*")</f>
        <v>355</v>
      </c>
      <c r="E6" s="395">
        <f>AVERAGEIFS(Table1[PNL ($) SINGLE ORDER],Table1[MONTH],'PERFORMANCE ANALYSIS'!$A$3,Table1[W/L],"W",Table1[TECHNICAL],"*")</f>
        <v>23.627450980394435</v>
      </c>
      <c r="F6" s="395">
        <f>SUMIFS(Table1[TOTAL PROFIT],Table1[MONTH],'PERFORMANCE ANALYSIS'!$A$3,Table1[W/L],"W",Table1[TECHNICAL],"*")</f>
        <v>3032.0000000000396</v>
      </c>
      <c r="G6" s="383">
        <f>(COUNTIFS(Table1[W/L],"W",Table1[MONTH],'PERFORMANCE ANALYSIS'!$A$3,Table1[TECHNICAL],"*"))/Table2[[#This Row],['# ORDERS]]</f>
        <v>0.54838709677419351</v>
      </c>
      <c r="H6" s="395">
        <f>ABS(AVERAGEIFS(Table1[PNL ($) SINGLE ORDER],Table1[MONTH],'PERFORMANCE ANALYSIS'!$A$3,Table1[W/L],"L",Table1[TECHNICAL],"*"))</f>
        <v>57.735449735449727</v>
      </c>
      <c r="I6" s="395">
        <f>ABS(SUMIFS(Table1[TOTAL PROFIT],Table1[MONTH],'PERFORMANCE ANALYSIS'!$A$3,Table1[W/L],"L",Table1[TECHNICAL],"*"))</f>
        <v>1791.9999999999995</v>
      </c>
      <c r="J6" s="383">
        <f>(COUNTIFS(Table1[W/L],"L",Table1[MONTH],'PERFORMANCE ANALYSIS'!$A$3,Table1[TECHNICAL],"*"))/Table2[[#This Row],['# ORDERS]]</f>
        <v>9.6774193548387094E-2</v>
      </c>
      <c r="K6" s="384">
        <f>IFERROR(Table2[[#This Row],[TOTAL GAINS]]/Table2[[#This Row],[TOTAL LOSS]],1)</f>
        <v>1.6919642857143082</v>
      </c>
      <c r="L6" s="389">
        <f>Table2[[#This Row],[TOTAL GAINS]]-Table2[[#This Row],[TOTAL LOSS]]</f>
        <v>1240.00000000004</v>
      </c>
      <c r="M6" s="396" cm="1">
        <f t="array" ref="M6">IFERROR(MODE(IF(Table1[MONTH]='PERFORMANCE ANALYSIS'!$A$3,IF(Table1[TECHNICAL]&lt;&gt;"",Table1[E QTY]))),0)</f>
        <v>5</v>
      </c>
      <c r="N6" s="413" cm="1">
        <f t="array" ref="N6">MIN(IF(Table1[MONTH]='PERFORMANCE ANALYSIS'!$A$3,IF(Table1[TECHNICAL]&lt;&gt;"",Table1[TOTAL PROFIT])))</f>
        <v>-911.99999999999977</v>
      </c>
      <c r="O6" s="397">
        <f>IFERROR(Table2[[#This Row],[AVG GAINS/LOT]]/Table2[[#This Row],[AVG LOSS/ LOT]],0)</f>
        <v>0.40923645851306351</v>
      </c>
      <c r="P6" s="397">
        <f>IFERROR((Table2[[#This Row],[AVG GAINS/LOT]]*Table2[[#This Row],[WIN%]]),1)</f>
        <v>12.956989247313077</v>
      </c>
      <c r="Q6" s="397">
        <f>IFERROR((Table2[[#This Row],[AVG LOSS/ LOT]]*Table2[[#This Row],[LOSS%]]),1)</f>
        <v>5.5873015873015861</v>
      </c>
      <c r="R6" s="398">
        <f>Table2[[#This Row],[W SCORE]]-Table2[[#This Row],[L SCORE]]</f>
        <v>7.3696876600114907</v>
      </c>
      <c r="S6" s="477">
        <f>IFERROR(Table2[[#This Row],[TOTAL LOTS]]/Table2[[#This Row],['# ORDERS]],0)</f>
        <v>11.451612903225806</v>
      </c>
      <c r="T6" s="335">
        <f>IFERROR(Table2[[#This Row],[NET P/L]]/Table2[[#This Row],[TOTAL LOTS]],0)</f>
        <v>3.4929577464789858</v>
      </c>
      <c r="U6" s="424">
        <f>IFERROR(Table2[[#This Row],[NET P/L]]/Table2[[#This Row],['# ORDERS]],0)</f>
        <v>40.000000000001293</v>
      </c>
      <c r="V6" s="314"/>
      <c r="W6" s="314"/>
      <c r="X6" s="314"/>
      <c r="Y6" s="314"/>
      <c r="Z6" s="314"/>
      <c r="AA6" s="314"/>
      <c r="AB6" s="314"/>
      <c r="AC6" s="314"/>
      <c r="AD6" s="364"/>
      <c r="AE6" s="385" t="s">
        <v>114</v>
      </c>
      <c r="AF6" s="394">
        <f>COUNTIFS(Table1[W/L],"W",Table1[MONTH],'PERFORMANCE ANALYSIS'!$A$3,Table1[DAY],'PERFORMANCE ANALYSIS'!$AE6)</f>
        <v>4</v>
      </c>
      <c r="AG6" s="394">
        <f>SUMIFS(Table1[TOTAL PROFIT],Table1[W/L],"W",Table1[DAY],'PERFORMANCE ANALYSIS'!$AE6,Table1[MONTH],'PERFORMANCE ANALYSIS'!$A$3)</f>
        <v>639.99999999999977</v>
      </c>
      <c r="AH6" s="394">
        <f>COUNTIFS(Table1[W/L],"L",Table1[MONTH],'PERFORMANCE ANALYSIS'!$A$3,Table1[DAY],'PERFORMANCE ANALYSIS'!$AE6)</f>
        <v>1</v>
      </c>
      <c r="AI6" s="394">
        <f>SUMIFS(Table1[TOTAL PROFIT],Table1[W/L],"L",Table1[DAY],'PERFORMANCE ANALYSIS'!$AE6,Table1[MONTH],'PERFORMANCE ANALYSIS'!$A$3)</f>
        <v>-911.99999999999977</v>
      </c>
      <c r="AJ6" s="394">
        <f>COUNTIFS(Table1[W/L],"D",Table1[MONTH],'PERFORMANCE ANALYSIS'!$A$3,Table1[DAY],'PERFORMANCE ANALYSIS'!$AE6)</f>
        <v>1</v>
      </c>
      <c r="AK6" s="399">
        <f>AF6/(AJ6+AH6+AF6)</f>
        <v>0.66666666666666663</v>
      </c>
      <c r="AL6" s="399">
        <f>AH6/(AJ6+AH6+AF6)</f>
        <v>0.16666666666666666</v>
      </c>
      <c r="AM6" s="364"/>
      <c r="AN6" s="382" t="s">
        <v>6</v>
      </c>
      <c r="AO6" s="393" t="s">
        <v>35</v>
      </c>
      <c r="AP6" s="394">
        <f>COUNTIFS(Table1[MONTH],'PERFORMANCE ANALYSIS'!$A$3,Table1[TECHNICAL],"*",Table1[W/L],"W")</f>
        <v>17</v>
      </c>
      <c r="AQ6" s="421">
        <f>SUMIFS(Table1[E QTY],Table1[MONTH],'PERFORMANCE ANALYSIS'!$A$3,Table1[TECHNICAL],"*",Table1[W/L],"W")</f>
        <v>171</v>
      </c>
      <c r="AR6" s="395">
        <f>SUMIFS(Table1[TOTAL PROFIT],Table1[MONTH],'PERFORMANCE ANALYSIS'!$A$3,Table1[W/L],"W",Table1[TECHNICAL],"*")</f>
        <v>3032.0000000000396</v>
      </c>
      <c r="AS6" s="420">
        <f>AVERAGEIFS(Table1[PNL ($) SINGLE ORDER],Table1[MONTH],'PERFORMANCE ANALYSIS'!$A$3,Table1[W/L],"W",Table1[TECHNICAL],"*")</f>
        <v>23.627450980394435</v>
      </c>
      <c r="AT6" s="397">
        <f>IFERROR(Table3[[#This Row],[TOTAL LOTS]]/Table3[[#This Row],[ORDERS]],0)</f>
        <v>10.058823529411764</v>
      </c>
      <c r="AU6" s="394">
        <f>COUNTIFS(Table1[MONTH],'PERFORMANCE ANALYSIS'!$A$3,Table1[TECHNICAL],"*",Table1[W/L],"L")</f>
        <v>3</v>
      </c>
      <c r="AV6" s="421">
        <f>SUMIFS(Table1[E QTY],Table1[MONTH],'PERFORMANCE ANALYSIS'!$A$3,Table1[TECHNICAL],"*",Table1[W/L],"L")</f>
        <v>39</v>
      </c>
      <c r="AW6" s="395">
        <f>SUMIFS(Table1[TOTAL PROFIT],Table1[MONTH],'PERFORMANCE ANALYSIS'!$A$3,Table1[W/L],"L",Table1[TECHNICAL],"*")</f>
        <v>-1791.9999999999995</v>
      </c>
      <c r="AX6" s="420">
        <f>ABS(AVERAGEIFS(Table1[PNL ($) SINGLE ORDER],Table1[MONTH],'PERFORMANCE ANALYSIS'!$A$3,Table1[W/L],"L",Table1[TECHNICAL],"*"))</f>
        <v>57.735449735449727</v>
      </c>
      <c r="AY6" s="397">
        <f>IFERROR(Table3[[#This Row],[TOTAL LOTS2]]/Table3[[#This Row],[ORDERS2]],0)</f>
        <v>13</v>
      </c>
      <c r="AZ6" s="364"/>
    </row>
    <row r="7" spans="1:52" s="374" customFormat="1" ht="15.75">
      <c r="A7" s="382"/>
      <c r="B7" s="393" t="s">
        <v>36</v>
      </c>
      <c r="C7" s="394">
        <f>COUNTIFS(Table1[MONTH],'PERFORMANCE ANALYSIS'!$A$3,Table1[FUNDAMENTAL],"*")</f>
        <v>6</v>
      </c>
      <c r="D7" s="394">
        <f>SUMIFS(Table1[E QTY],Table1[MONTH],'PERFORMANCE ANALYSIS'!$A$3,Table1[FUNDAMENTAL],"*")</f>
        <v>71</v>
      </c>
      <c r="E7" s="395">
        <f>IFERROR(AVERAGEIFS(Table1[PNL ($) SINGLE ORDER],Table1[MONTH],'PERFORMANCE ANALYSIS'!$A$3,Table1[W/L],"W",Table1[FUNDAMENTAL],"*"),0)</f>
        <v>24.463968253973821</v>
      </c>
      <c r="F7" s="395">
        <f>SUMIFS(Table1[TOTAL PROFIT],Table1[MONTH],'PERFORMANCE ANALYSIS'!$A$3,Table1[W/L],"W",Table1[FUNDAMENTAL],"*")</f>
        <v>953.89000000005035</v>
      </c>
      <c r="G7" s="383">
        <f>(COUNTIFS(Table1[W/L],"W",Table1[MONTH],'PERFORMANCE ANALYSIS'!$A$3,Table1[FUNDAMENTAL],"*"))/Table2[[#This Row],['# ORDERS]]</f>
        <v>0.5</v>
      </c>
      <c r="H7" s="395">
        <f>ABS(AVERAGEIFS(Table1[PNL ($) SINGLE ORDER],Table1[MONTH],'PERFORMANCE ANALYSIS'!$A$3,Table1[W/L],"L",Table1[FUNDAMENTAL],"*"))</f>
        <v>33.777777777777771</v>
      </c>
      <c r="I7" s="395">
        <f>ABS(SUMIFS(Table1[TOTAL PROFIT],Table1[MONTH],'PERFORMANCE ANALYSIS'!$A$3,Table1[W/L],"L",Table1[FUNDAMENTAL],"*"))</f>
        <v>911.99999999999977</v>
      </c>
      <c r="J7" s="383">
        <f>(COUNTIFS(Table1[W/L],"L",Table1[MONTH],'PERFORMANCE ANALYSIS'!$A$3,Table1[FUNDAMENTAL],"*"))/Table2[[#This Row],['# ORDERS]]</f>
        <v>0.16666666666666666</v>
      </c>
      <c r="K7" s="384">
        <f>IFERROR(Table2[[#This Row],[TOTAL GAINS]]/Table2[[#This Row],[TOTAL LOSS]],1)</f>
        <v>1.0459320175439151</v>
      </c>
      <c r="L7" s="389">
        <f>Table2[[#This Row],[TOTAL GAINS]]-Table2[[#This Row],[TOTAL LOSS]]</f>
        <v>41.890000000050577</v>
      </c>
      <c r="M7" s="386" t="e" cm="1">
        <f t="array" ref="M7">MODE(IF(Table1[MONTH]='PERFORMANCE ANALYSIS'!$A$3,IF(Table1[FUNDAMENTAL]&lt;&gt;"",Table1[E QTY])))</f>
        <v>#N/A</v>
      </c>
      <c r="N7" s="413" cm="1">
        <f t="array" ref="N7">MIN(IF(Table1[MONTH]='PERFORMANCE ANALYSIS'!$A$3,IF(Table1[FUNDAMENTAL]&lt;&gt;"",Table1[TOTAL PROFIT])))</f>
        <v>-911.99999999999977</v>
      </c>
      <c r="O7" s="397">
        <f>IFERROR(Table2[[#This Row],[AVG GAINS/LOT]]/Table2[[#This Row],[AVG LOSS/ LOT]],0)</f>
        <v>0.72426221804527768</v>
      </c>
      <c r="P7" s="397">
        <f>IFERROR((Table2[[#This Row],[AVG GAINS/LOT]]*Table2[[#This Row],[WIN%]]),1)</f>
        <v>12.231984126986911</v>
      </c>
      <c r="Q7" s="397">
        <f>IFERROR((Table2[[#This Row],[AVG LOSS/ LOT]]*Table2[[#This Row],[LOSS%]]),1)</f>
        <v>5.629629629629628</v>
      </c>
      <c r="R7" s="398">
        <f>Table2[[#This Row],[W SCORE]]-Table2[[#This Row],[L SCORE]]</f>
        <v>6.6023544973572825</v>
      </c>
      <c r="S7" s="477">
        <f>IFERROR(Table2[[#This Row],[TOTAL LOTS]]/Table2[[#This Row],['# ORDERS]],0)</f>
        <v>11.833333333333334</v>
      </c>
      <c r="T7" s="335">
        <f>IFERROR(Table2[[#This Row],[NET P/L]]/Table2[[#This Row],[TOTAL LOTS]],0)</f>
        <v>0.5900000000007124</v>
      </c>
      <c r="U7" s="424">
        <f>IFERROR(Table2[[#This Row],[NET P/L]]/Table2[[#This Row],['# ORDERS]],0)</f>
        <v>6.9816666666750962</v>
      </c>
      <c r="V7" s="314"/>
      <c r="W7" s="314"/>
      <c r="X7" s="314"/>
      <c r="Y7" s="314"/>
      <c r="Z7" s="314"/>
      <c r="AA7" s="314"/>
      <c r="AB7" s="314"/>
      <c r="AC7" s="314"/>
      <c r="AD7" s="364"/>
      <c r="AE7" s="385" t="s">
        <v>128</v>
      </c>
      <c r="AF7" s="394">
        <f>COUNTIFS(Table1[W/L],"W",Table1[MONTH],'PERFORMANCE ANALYSIS'!$A$3,Table1[DAY],'PERFORMANCE ANALYSIS'!$AE7)</f>
        <v>1</v>
      </c>
      <c r="AG7" s="394">
        <f>SUMIFS(Table1[TOTAL PROFIT],Table1[W/L],"W",Table1[DAY],'PERFORMANCE ANALYSIS'!$AE7,Table1[MONTH],'PERFORMANCE ANALYSIS'!$A$3)</f>
        <v>63.999999999999972</v>
      </c>
      <c r="AH7" s="394">
        <f>COUNTIFS(Table1[W/L],"L",Table1[MONTH],'PERFORMANCE ANALYSIS'!$A$3,Table1[DAY],'PERFORMANCE ANALYSIS'!$AE7)</f>
        <v>1</v>
      </c>
      <c r="AI7" s="394">
        <f>SUMIFS(Table1[TOTAL PROFIT],Table1[W/L],"L",Table1[DAY],'PERFORMANCE ANALYSIS'!$AE7,Table1[MONTH],'PERFORMANCE ANALYSIS'!$A$3)</f>
        <v>-240</v>
      </c>
      <c r="AJ7" s="394">
        <f>COUNTIFS(Table1[W/L],"D",Table1[MONTH],'PERFORMANCE ANALYSIS'!$A$3,Table1[DAY],'PERFORMANCE ANALYSIS'!$AE7)</f>
        <v>0</v>
      </c>
      <c r="AK7" s="399">
        <f>AF7/(AJ7+AH7+AF7)</f>
        <v>0.5</v>
      </c>
      <c r="AL7" s="399">
        <f>AH7/(AJ7+AH7+AF7)</f>
        <v>0.5</v>
      </c>
      <c r="AM7" s="364"/>
      <c r="AN7" s="382"/>
      <c r="AO7" s="393" t="s">
        <v>36</v>
      </c>
      <c r="AP7" s="394">
        <f>COUNTIFS(Table1[MONTH],'PERFORMANCE ANALYSIS'!$A$3,Table1[FUNDAMENTAL],"*",Table1[W/L],"W")</f>
        <v>3</v>
      </c>
      <c r="AQ7" s="421">
        <f>SUMIFS(Table1[E QTY],Table1[MONTH],'PERFORMANCE ANALYSIS'!$A$3,Table1[FUNDAMENTAL],"*",Table1[W/L],"W")</f>
        <v>36</v>
      </c>
      <c r="AR7" s="395">
        <f>SUMIFS(Table1[TOTAL PROFIT],Table1[MONTH],'PERFORMANCE ANALYSIS'!$A$3,Table1[W/L],"W",Table1[FUNDAMENTAL],"*")</f>
        <v>953.89000000005035</v>
      </c>
      <c r="AS7" s="420">
        <f>AVERAGEIFS(Table1[PNL ($) SINGLE ORDER],Table1[MONTH],'PERFORMANCE ANALYSIS'!$A$3,Table1[W/L],"W",Table1[FUNDAMENTAL],"*")</f>
        <v>24.463968253973821</v>
      </c>
      <c r="AT7" s="397">
        <f>IFERROR(Table3[[#This Row],[TOTAL LOTS]]/Table3[[#This Row],[ORDERS]],0)</f>
        <v>12</v>
      </c>
      <c r="AU7" s="394">
        <f>COUNTIFS(Table1[MONTH],'PERFORMANCE ANALYSIS'!$A$3,Table1[FUNDAMENTAL],"*",Table1[W/L],"L")</f>
        <v>1</v>
      </c>
      <c r="AV7" s="421">
        <f>SUMIFS(Table1[E QTY],Table1[MONTH],'PERFORMANCE ANALYSIS'!$A$3,Table1[FUNDAMENTAL],"*",Table1[W/L],"L")</f>
        <v>27</v>
      </c>
      <c r="AW7" s="395">
        <f>SUMIFS(Table1[TOTAL PROFIT],Table1[MONTH],'PERFORMANCE ANALYSIS'!$A$3,Table1[W/L],"L",Table1[FUNDAMENTAL],"*")</f>
        <v>-911.99999999999977</v>
      </c>
      <c r="AX7" s="420">
        <f>ABS(AVERAGEIFS(Table1[PNL ($) SINGLE ORDER],Table1[MONTH],'PERFORMANCE ANALYSIS'!$A$3,Table1[W/L],"L",Table1[FUNDAMENTAL],"*"))</f>
        <v>33.777777777777771</v>
      </c>
      <c r="AY7" s="397">
        <f>IFERROR(Table3[[#This Row],[TOTAL LOTS2]]/Table3[[#This Row],[ORDERS2]],0)</f>
        <v>27</v>
      </c>
      <c r="AZ7" s="364"/>
    </row>
    <row r="8" spans="1:52" s="374" customFormat="1" ht="15.75">
      <c r="A8" s="382"/>
      <c r="B8" s="393" t="s">
        <v>3978</v>
      </c>
      <c r="C8" s="394">
        <f>COUNTIFS(Table1[MONTH],'PERFORMANCE ANALYSIS'!$A$3,Table1[CURVES],"*")</f>
        <v>8</v>
      </c>
      <c r="D8" s="394">
        <f>SUMIFS(Table1[E QTY],Table1[MONTH],'PERFORMANCE ANALYSIS'!$A$3,Table1[CURVES],"*")</f>
        <v>119</v>
      </c>
      <c r="E8" s="395">
        <f>AVERAGEIFS(Table1[PNL ($) SINGLE ORDER],Table1[MONTH],'PERFORMANCE ANALYSIS'!$A$3,Table1[W/L],"W",Table1[CURVES],"*")</f>
        <v>11.809523809523805</v>
      </c>
      <c r="F8" s="395">
        <f>SUMIFS(Table1[TOTAL PROFIT],Table1[MONTH],'PERFORMANCE ANALYSIS'!$A$3,Table1[W/L],"W",Table1[CURVES],"*")</f>
        <v>447.99999999999989</v>
      </c>
      <c r="G8" s="383">
        <f>(COUNTIFS(Table1[W/L],"W",Table1[MONTH],'PERFORMANCE ANALYSIS'!$A$3,Table1[CURVES],"*"))/Table2[[#This Row],['# ORDERS]]</f>
        <v>0.375</v>
      </c>
      <c r="H8" s="395">
        <f>IFERROR(ABS(AVERAGEIFS(Table1[PNL ($) SINGLE ORDER],Table1[MONTH],'PERFORMANCE ANALYSIS'!$A$3,Table1[W/L],"L",Table1[CURVES],"*")),0)</f>
        <v>48</v>
      </c>
      <c r="I8" s="395">
        <f>ABS(SUMIFS(Table1[TOTAL PROFIT],Table1[MONTH],'PERFORMANCE ANALYSIS'!$A$3,Table1[W/L],"L",Table1[CURVES],"*"))</f>
        <v>240</v>
      </c>
      <c r="J8" s="383">
        <f>IFERROR((COUNTIFS(Table1[W/L],"L",Table1[MONTH],'PERFORMANCE ANALYSIS'!$A$3,Table1[CURVES],"*"))/Table2[[#This Row],['# ORDERS]],0)</f>
        <v>0.125</v>
      </c>
      <c r="K8" s="384">
        <f>IFERROR(Table2[[#This Row],[TOTAL GAINS]]/Table2[[#This Row],[TOTAL LOSS]],1)</f>
        <v>1.8666666666666663</v>
      </c>
      <c r="L8" s="389">
        <f>Table2[[#This Row],[TOTAL GAINS]]-Table2[[#This Row],[TOTAL LOSS]]</f>
        <v>207.99999999999989</v>
      </c>
      <c r="M8" s="386" cm="1">
        <f t="array" ref="M8">MODE(IF(Table1[MONTH]='PERFORMANCE ANALYSIS'!$A$3,IF(Table1[CURVES]&lt;&gt;"",Table1[E QTY])))</f>
        <v>4</v>
      </c>
      <c r="N8" s="414" cm="1">
        <f t="array" ref="N8">MIN(IF(Table1[MONTH]='PERFORMANCE ANALYSIS'!$A$3,IF(Table1[CURVES]&lt;&gt;"",Table1[TOTAL PROFIT])))</f>
        <v>-240</v>
      </c>
      <c r="O8" s="397">
        <f>IFERROR(Table2[[#This Row],[AVG GAINS/LOT]]/Table2[[#This Row],[AVG LOSS/ LOT]],0)</f>
        <v>0.24603174603174593</v>
      </c>
      <c r="P8" s="397">
        <f>IFERROR((Table2[[#This Row],[AVG GAINS/LOT]]*Table2[[#This Row],[WIN%]]),1)</f>
        <v>4.428571428571427</v>
      </c>
      <c r="Q8" s="397">
        <f>IFERROR((Table2[[#This Row],[AVG LOSS/ LOT]]*Table2[[#This Row],[LOSS%]]),1)</f>
        <v>6</v>
      </c>
      <c r="R8" s="398">
        <f>Table2[[#This Row],[W SCORE]]-Table2[[#This Row],[L SCORE]]</f>
        <v>-1.571428571428573</v>
      </c>
      <c r="S8" s="477">
        <f>IFERROR(Table2[[#This Row],[TOTAL LOTS]]/Table2[[#This Row],['# ORDERS]],0)</f>
        <v>14.875</v>
      </c>
      <c r="T8" s="335">
        <f>IFERROR(Table2[[#This Row],[NET P/L]]/Table2[[#This Row],[TOTAL LOTS]],0)</f>
        <v>1.7478991596638647</v>
      </c>
      <c r="U8" s="424">
        <f>IFERROR(Table2[[#This Row],[NET P/L]]/Table2[[#This Row],['# ORDERS]],0)</f>
        <v>25.999999999999986</v>
      </c>
      <c r="V8" s="314"/>
      <c r="W8" s="314"/>
      <c r="X8" s="314"/>
      <c r="Y8" s="314"/>
      <c r="Z8" s="314"/>
      <c r="AA8" s="314"/>
      <c r="AB8" s="314"/>
      <c r="AC8" s="314"/>
      <c r="AD8" s="364"/>
      <c r="AE8" s="385" t="s">
        <v>133</v>
      </c>
      <c r="AF8" s="394">
        <f>COUNTIFS(Table1[W/L],"W",Table1[MONTH],'PERFORMANCE ANALYSIS'!$A$3,Table1[DAY],'PERFORMANCE ANALYSIS'!$AE8)</f>
        <v>6</v>
      </c>
      <c r="AG8" s="394">
        <f>SUMIFS(Table1[TOTAL PROFIT],Table1[W/L],"W",Table1[DAY],'PERFORMANCE ANALYSIS'!$AE8,Table1[MONTH],'PERFORMANCE ANALYSIS'!$A$3)</f>
        <v>1073.8900000000892</v>
      </c>
      <c r="AH8" s="394">
        <f>COUNTIFS(Table1[W/L],"L",Table1[MONTH],'PERFORMANCE ANALYSIS'!$A$3,Table1[DAY],'PERFORMANCE ANALYSIS'!$AE8)</f>
        <v>0</v>
      </c>
      <c r="AI8" s="394">
        <f>SUMIFS(Table1[TOTAL PROFIT],Table1[W/L],"L",Table1[DAY],'PERFORMANCE ANALYSIS'!$AE8,Table1[MONTH],'PERFORMANCE ANALYSIS'!$A$3)</f>
        <v>0</v>
      </c>
      <c r="AJ8" s="394">
        <f>COUNTIFS(Table1[W/L],"D",Table1[MONTH],'PERFORMANCE ANALYSIS'!$A$3,Table1[DAY],'PERFORMANCE ANALYSIS'!$AE8)</f>
        <v>3</v>
      </c>
      <c r="AK8" s="399">
        <f>AF8/(AJ8+AH8+AF8)</f>
        <v>0.66666666666666663</v>
      </c>
      <c r="AL8" s="399">
        <f>AH8/(AJ8+AH8+AF8)</f>
        <v>0</v>
      </c>
      <c r="AM8" s="364"/>
      <c r="AN8" s="382"/>
      <c r="AO8" s="393" t="s">
        <v>3978</v>
      </c>
      <c r="AP8" s="394">
        <f>COUNTIFS(Table1[MONTH],'PERFORMANCE ANALYSIS'!$A$3,Table1[CURVES],"*",Table1[W/L],"W")</f>
        <v>3</v>
      </c>
      <c r="AQ8" s="421">
        <f>SUMIFS(Table1[E QTY],Table1[MONTH],'PERFORMANCE ANALYSIS'!$A$3,Table1[CURVES],"*",Table1[W/L],"W")</f>
        <v>37</v>
      </c>
      <c r="AR8" s="395">
        <f>SUMIFS(Table1[TOTAL PROFIT],Table1[MONTH],'PERFORMANCE ANALYSIS'!$A$3,Table1[W/L],"W",Table1[CURVES],"*")</f>
        <v>447.99999999999989</v>
      </c>
      <c r="AS8" s="420">
        <f>AVERAGEIFS(Table1[PNL ($) SINGLE ORDER],Table1[MONTH],'PERFORMANCE ANALYSIS'!$A$3,Table1[W/L],"W",Table1[CURVES],"*")</f>
        <v>11.809523809523805</v>
      </c>
      <c r="AT8" s="397">
        <f>IFERROR(Table3[[#This Row],[TOTAL LOTS]]/Table3[[#This Row],[ORDERS]],0)</f>
        <v>12.333333333333334</v>
      </c>
      <c r="AU8" s="394">
        <f>COUNTIFS(Table1[MONTH],'PERFORMANCE ANALYSIS'!$A$3,Table1[CURVES],"*",Table1[W/L],"L")</f>
        <v>1</v>
      </c>
      <c r="AV8" s="421">
        <f>SUMIFS(Table1[E QTY],Table1[MONTH],'PERFORMANCE ANALYSIS'!$A$3,Table1[CURVES],"*",Table1[W/L],"L")</f>
        <v>5</v>
      </c>
      <c r="AW8" s="395">
        <f>SUMIFS(Table1[TOTAL PROFIT],Table1[MONTH],'PERFORMANCE ANALYSIS'!$A$3,Table1[W/L],"L",Table1[CURVES],"*")</f>
        <v>-240</v>
      </c>
      <c r="AX8" s="420">
        <f>IFERROR(ABS(AVERAGEIFS(Table1[PNL ($) SINGLE ORDER],Table1[MONTH],'PERFORMANCE ANALYSIS'!$A$3,Table1[W/L],"L",Table1[CURVES],"*")),0)</f>
        <v>48</v>
      </c>
      <c r="AY8" s="397">
        <f>IFERROR(Table3[[#This Row],[TOTAL LOTS2]]/Table3[[#This Row],[ORDERS2]],0)</f>
        <v>5</v>
      </c>
      <c r="AZ8" s="364"/>
    </row>
    <row r="9" spans="1:52" s="374" customFormat="1" ht="15.75">
      <c r="A9" s="387" t="s">
        <v>3979</v>
      </c>
      <c r="B9" s="400" t="s">
        <v>3980</v>
      </c>
      <c r="C9" s="394">
        <f>COUNTIFS(Table1[MONTH],'PERFORMANCE ANALYSIS'!$A$3,Table1[CODE2],"W")</f>
        <v>23</v>
      </c>
      <c r="D9" s="394">
        <f>SUMIFS(Table1[E QTY],Table1[MONTH],'PERFORMANCE ANALYSIS'!$A$3,Table1[CODE2],"W")</f>
        <v>226</v>
      </c>
      <c r="E9" s="395">
        <f>AVERAGEIFS(Table1[PNL ($) SINGLE ORDER],Table1[MONTH],'PERFORMANCE ANALYSIS'!$A$3,Table1[W/L],"W",Table1[CODE2],"W")</f>
        <v>21.261904761904894</v>
      </c>
      <c r="F9" s="395">
        <f>SUMIFS(Table1[TOTAL PROFIT],Table1[MONTH],'PERFORMANCE ANALYSIS'!$A$3,Table1[W/L],"W",Table1[CODE2],"W")</f>
        <v>2480.0000000000027</v>
      </c>
      <c r="G9" s="383">
        <f>(COUNTIFS(Table1[W/L],"W",Table1[MONTH],'PERFORMANCE ANALYSIS'!$A$3,Table1[CODE2],"W"))/Table2[[#This Row],['# ORDERS]]</f>
        <v>0.60869565217391308</v>
      </c>
      <c r="H9" s="395">
        <f>ABS(AVERAGEIFS(Table1[PNL ($) SINGLE ORDER],Table1[MONTH],'PERFORMANCE ANALYSIS'!$A$3,Table1[W/L],"L",Table1[CODE2],"W"))</f>
        <v>57.735449735449727</v>
      </c>
      <c r="I9" s="395">
        <f>ABS(SUMIFS(Table1[TOTAL PROFIT],Table1[MONTH],'PERFORMANCE ANALYSIS'!$A$3,Table1[W/L],"L",Table1[CODE2],"W"))</f>
        <v>1791.9999999999995</v>
      </c>
      <c r="J9" s="383">
        <f>(COUNTIFS(Table1[W/L],"L",Table1[MONTH],'PERFORMANCE ANALYSIS'!$A$3,Table1[CODE2],"W"))/Table2[[#This Row],['# ORDERS]]</f>
        <v>0.13043478260869565</v>
      </c>
      <c r="K9" s="384">
        <f>IFERROR(Table2[[#This Row],[TOTAL GAINS]]/Table2[[#This Row],[TOTAL LOSS]],1)</f>
        <v>1.3839285714285734</v>
      </c>
      <c r="L9" s="389">
        <f>Table2[[#This Row],[TOTAL GAINS]]-Table2[[#This Row],[TOTAL LOSS]]</f>
        <v>688.00000000000318</v>
      </c>
      <c r="M9" s="386" cm="1">
        <f t="array" ref="M9">MODE(IF(Table1[MONTH]='PERFORMANCE ANALYSIS'!$A$3,IF(Table1[CODE2]="W",Table1[E QTY])))</f>
        <v>5</v>
      </c>
      <c r="N9" s="414" cm="1">
        <f t="array" ref="N9">MIN(IF(Table1[MONTH]='PERFORMANCE ANALYSIS'!$A$3,IF(Table1[CODE2]="W",Table1[TOTAL PROFIT])))</f>
        <v>-911.99999999999977</v>
      </c>
      <c r="O9" s="397">
        <f>IFERROR(Table2[[#This Row],[AVG GAINS/LOT]]/Table2[[#This Row],[AVG LOSS/ LOT]],0)</f>
        <v>0.36826429618768564</v>
      </c>
      <c r="P9" s="397">
        <f>IFERROR((Table2[[#This Row],[AVG GAINS/LOT]]*Table2[[#This Row],[WIN%]]),1)</f>
        <v>12.942028985507328</v>
      </c>
      <c r="Q9" s="397">
        <f>IFERROR((Table2[[#This Row],[AVG LOSS/ LOT]]*Table2[[#This Row],[LOSS%]]),1)</f>
        <v>7.5307108350586596</v>
      </c>
      <c r="R9" s="398">
        <f>Table2[[#This Row],[W SCORE]]-Table2[[#This Row],[L SCORE]]</f>
        <v>5.4113181504486683</v>
      </c>
      <c r="S9" s="477">
        <f>IFERROR(Table2[[#This Row],[TOTAL LOTS]]/Table2[[#This Row],['# ORDERS]],0)</f>
        <v>9.8260869565217384</v>
      </c>
      <c r="T9" s="335">
        <f>IFERROR(Table2[[#This Row],[NET P/L]]/Table2[[#This Row],[TOTAL LOTS]],0)</f>
        <v>3.0442477876106335</v>
      </c>
      <c r="U9" s="424">
        <f>IFERROR(Table2[[#This Row],[NET P/L]]/Table2[[#This Row],['# ORDERS]],0)</f>
        <v>29.91304347826101</v>
      </c>
      <c r="V9" s="314"/>
      <c r="W9" s="314"/>
      <c r="X9" s="492">
        <f>Table2[[#This Row],[NET P/L]]/$AJ$17</f>
        <v>0.45263157894736944</v>
      </c>
      <c r="Y9" s="314"/>
      <c r="Z9" s="314"/>
      <c r="AA9" s="314"/>
      <c r="AB9" s="314"/>
      <c r="AC9" s="314"/>
      <c r="AD9" s="364"/>
      <c r="AE9" s="385" t="s">
        <v>74</v>
      </c>
      <c r="AF9" s="394">
        <f>COUNTIFS(Table1[W/L],"W",Table1[MONTH],'PERFORMANCE ANALYSIS'!$A$3,Table1[DAY],'PERFORMANCE ANALYSIS'!$AE9)</f>
        <v>5</v>
      </c>
      <c r="AG9" s="394">
        <f>SUMIFS(Table1[TOTAL PROFIT],Table1[W/L],"W",Table1[DAY],'PERFORMANCE ANALYSIS'!$AE9,Table1[MONTH],'PERFORMANCE ANALYSIS'!$A$3)</f>
        <v>912.00000000000034</v>
      </c>
      <c r="AH9" s="394">
        <f>COUNTIFS(Table1[W/L],"L",Table1[MONTH],'PERFORMANCE ANALYSIS'!$A$3,Table1[DAY],'PERFORMANCE ANALYSIS'!$AE9)</f>
        <v>0</v>
      </c>
      <c r="AI9" s="394">
        <f>SUMIFS(Table1[TOTAL PROFIT],Table1[W/L],"L",Table1[DAY],'PERFORMANCE ANALYSIS'!$AE9,Table1[MONTH],'PERFORMANCE ANALYSIS'!$A$3)</f>
        <v>0</v>
      </c>
      <c r="AJ9" s="394">
        <f>COUNTIFS(Table1[W/L],"D",Table1[MONTH],'PERFORMANCE ANALYSIS'!$A$3,Table1[DAY],'PERFORMANCE ANALYSIS'!$AE9)</f>
        <v>2</v>
      </c>
      <c r="AK9" s="399">
        <f>AF9/(AJ9+AH9+AF9)</f>
        <v>0.7142857142857143</v>
      </c>
      <c r="AL9" s="399">
        <f>AH9/(AJ9+AH9+AF9)</f>
        <v>0</v>
      </c>
      <c r="AM9" s="364"/>
      <c r="AN9" s="387" t="s">
        <v>3979</v>
      </c>
      <c r="AO9" s="400" t="s">
        <v>3980</v>
      </c>
      <c r="AP9" s="394">
        <f>COUNTIFS(Table1[MONTH],'PERFORMANCE ANALYSIS'!$A$3,Table1[CODE2],"W",Table1[W/L],"W")</f>
        <v>14</v>
      </c>
      <c r="AQ9" s="421">
        <f>SUMIFS(Table1[E QTY],Table1[MONTH],'PERFORMANCE ANALYSIS'!$A$3,Table1[CODE2],"W",Table1[W/L],"W")</f>
        <v>140</v>
      </c>
      <c r="AR9" s="395">
        <f>SUMIFS(Table1[TOTAL PROFIT],Table1[MONTH],'PERFORMANCE ANALYSIS'!$A$3,Table1[W/L],"W",Table1[CODE2],"W")</f>
        <v>2480.0000000000027</v>
      </c>
      <c r="AS9" s="420">
        <f>AVERAGEIFS(Table1[PNL ($) SINGLE ORDER],Table1[MONTH],'PERFORMANCE ANALYSIS'!$A$3,Table1[W/L],"W",Table1[CODE2],"W")</f>
        <v>21.261904761904894</v>
      </c>
      <c r="AT9" s="397">
        <f>IFERROR(Table3[[#This Row],[TOTAL LOTS]]/Table3[[#This Row],[ORDERS]],0)</f>
        <v>10</v>
      </c>
      <c r="AU9" s="394">
        <f>COUNTIFS(Table1[MONTH],'PERFORMANCE ANALYSIS'!$A$3,Table1[CODE2],"W",Table1[W/L],"L")</f>
        <v>3</v>
      </c>
      <c r="AV9" s="421">
        <f>SUMIFS(Table1[E QTY],Table1[MONTH],'PERFORMANCE ANALYSIS'!$A$3,Table1[CODE2],"W",Table1[W/L],"L")</f>
        <v>39</v>
      </c>
      <c r="AW9" s="395">
        <f>SUMIFS(Table1[TOTAL PROFIT],Table1[MONTH],'PERFORMANCE ANALYSIS'!$A$3,Table1[W/L],"L",Table1[CODE2],"W")</f>
        <v>-1791.9999999999995</v>
      </c>
      <c r="AX9" s="420">
        <f>ABS(AVERAGEIFS(Table1[PNL ($) SINGLE ORDER],Table1[MONTH],'PERFORMANCE ANALYSIS'!$A$3,Table1[W/L],"L",Table1[CODE2],"W"))</f>
        <v>57.735449735449727</v>
      </c>
      <c r="AY9" s="397">
        <f>IFERROR(Table3[[#This Row],[TOTAL LOTS2]]/Table3[[#This Row],[ORDERS2]],0)</f>
        <v>13</v>
      </c>
      <c r="AZ9" s="364"/>
    </row>
    <row r="10" spans="1:52" s="374" customFormat="1" ht="15.75">
      <c r="A10" s="387"/>
      <c r="B10" s="400" t="s">
        <v>3981</v>
      </c>
      <c r="C10" s="396">
        <f>COUNTIFS(Table1[MONTH],'PERFORMANCE ANALYSIS'!$A$3,Table1[CODE2],"R")</f>
        <v>7</v>
      </c>
      <c r="D10" s="394">
        <f>SUMIFS(Table1[E QTY],Table1[MONTH],'PERFORMANCE ANALYSIS'!$A$3,Table1[CODE2],"R")</f>
        <v>148</v>
      </c>
      <c r="E10" s="395">
        <f>AVERAGEIFS(Table1[PNL ($) SINGLE ORDER],Table1[MONTH],'PERFORMANCE ANALYSIS'!$A$3,Table1[W/L],"W",Table1[CODE2],"R")</f>
        <v>16.253968253968264</v>
      </c>
      <c r="F10" s="395">
        <f>SUMIFS(Table1[TOTAL PROFIT],Table1[MONTH],'PERFORMANCE ANALYSIS'!$A$3,Table1[W/L],"W",Table1[CODE2],"R")</f>
        <v>832.00000000000045</v>
      </c>
      <c r="G10" s="383">
        <f>(COUNTIFS(Table1[W/L],"W",Table1[MONTH],'PERFORMANCE ANALYSIS'!$A$3,Table1[CODE2],"R"))/Table2[[#This Row],['# ORDERS]]</f>
        <v>0.42857142857142855</v>
      </c>
      <c r="H10" s="395">
        <f>IFERROR(ABS(AVERAGEIFS(Table1[PNL ($) SINGLE ORDER],Table1[MONTH],'PERFORMANCE ANALYSIS'!$A$3,Table1[W/L],"L",Table1[CODE2],"R")),0)</f>
        <v>0</v>
      </c>
      <c r="I10" s="395">
        <f>ABS(SUMIFS(Table1[TOTAL PROFIT],Table1[MONTH],'PERFORMANCE ANALYSIS'!$A$3,Table1[W/L],"L",Table1[CODE2],"R"))</f>
        <v>0</v>
      </c>
      <c r="J10" s="383">
        <f>(COUNTIFS(Table1[W/L],"L",Table1[MONTH],'PERFORMANCE ANALYSIS'!$A$3,Table1[CODE2],"R"))/Table2[[#This Row],['# ORDERS]]</f>
        <v>0</v>
      </c>
      <c r="K10" s="384">
        <f>IFERROR(Table2[[#This Row],[TOTAL GAINS]]/Table2[[#This Row],[TOTAL LOSS]],1)</f>
        <v>1</v>
      </c>
      <c r="L10" s="389">
        <f>Table2[[#This Row],[TOTAL GAINS]]-Table2[[#This Row],[TOTAL LOSS]]</f>
        <v>832.00000000000045</v>
      </c>
      <c r="M10" s="386" cm="1">
        <f t="array" ref="M10">MODE(IF(Table1[MONTH]='PERFORMANCE ANALYSIS'!$A$3,IF(Table1[CODE2]="R",Table1[E QTY])))</f>
        <v>15</v>
      </c>
      <c r="N10" s="414" cm="1">
        <f t="array" ref="N10">MIN(IF(Table1[MONTH]='PERFORMANCE ANALYSIS'!$A$3,IF(Table1[CODE2]="R",Table1[TOTAL PROFIT])))</f>
        <v>0</v>
      </c>
      <c r="O10" s="397">
        <f>IFERROR(Table2[[#This Row],[AVG GAINS/LOT]]/Table2[[#This Row],[AVG LOSS/ LOT]],0)</f>
        <v>0</v>
      </c>
      <c r="P10" s="397">
        <f>IFERROR((Table2[[#This Row],[AVG GAINS/LOT]]*Table2[[#This Row],[WIN%]]),1)</f>
        <v>6.9659863945578273</v>
      </c>
      <c r="Q10" s="397">
        <f>IFERROR((Table2[[#This Row],[AVG LOSS/ LOT]]*Table2[[#This Row],[LOSS%]]),1)</f>
        <v>0</v>
      </c>
      <c r="R10" s="398">
        <f>Table2[[#This Row],[W SCORE]]-Table2[[#This Row],[L SCORE]]</f>
        <v>6.9659863945578273</v>
      </c>
      <c r="S10" s="477">
        <f>IFERROR(Table2[[#This Row],[TOTAL LOTS]]/Table2[[#This Row],['# ORDERS]],0)</f>
        <v>21.142857142857142</v>
      </c>
      <c r="T10" s="335">
        <f>IFERROR(Table2[[#This Row],[NET P/L]]/Table2[[#This Row],[TOTAL LOTS]],0)</f>
        <v>5.6216216216216246</v>
      </c>
      <c r="U10" s="424">
        <f>IFERROR(Table2[[#This Row],[NET P/L]]/Table2[[#This Row],['# ORDERS]],0)</f>
        <v>118.85714285714292</v>
      </c>
      <c r="V10" s="314"/>
      <c r="W10" s="314"/>
      <c r="X10" s="492">
        <f>Table2[[#This Row],[NET P/L]]/$AJ$17</f>
        <v>0.54736842105263062</v>
      </c>
      <c r="Y10" s="314"/>
      <c r="Z10" s="314"/>
      <c r="AA10" s="314"/>
      <c r="AB10" s="314"/>
      <c r="AC10" s="314"/>
      <c r="AD10" s="364"/>
      <c r="AE10" s="385" t="s">
        <v>93</v>
      </c>
      <c r="AF10" s="394">
        <f>COUNTIFS(Table1[W/L],"W",Table1[MONTH],'PERFORMANCE ANALYSIS'!$A$3,Table1[DAY],'PERFORMANCE ANALYSIS'!$AE10)</f>
        <v>3</v>
      </c>
      <c r="AG10" s="394">
        <f>SUMIFS(Table1[TOTAL PROFIT],Table1[W/L],"W",Table1[DAY],'PERFORMANCE ANALYSIS'!$AE10,Table1[MONTH],'PERFORMANCE ANALYSIS'!$A$3)</f>
        <v>720.00000000000034</v>
      </c>
      <c r="AH10" s="394">
        <f>COUNTIFS(Table1[W/L],"L",Table1[MONTH],'PERFORMANCE ANALYSIS'!$A$3,Table1[DAY],'PERFORMANCE ANALYSIS'!$AE10)</f>
        <v>0</v>
      </c>
      <c r="AI10" s="394">
        <f>SUMIFS(Table1[TOTAL PROFIT],Table1[W/L],"L",Table1[DAY],'PERFORMANCE ANALYSIS'!$AE10,Table1[MONTH],'PERFORMANCE ANALYSIS'!$A$3)</f>
        <v>0</v>
      </c>
      <c r="AJ10" s="394">
        <f>COUNTIFS(Table1[W/L],"D",Table1[MONTH],'PERFORMANCE ANALYSIS'!$A$3,Table1[DAY],'PERFORMANCE ANALYSIS'!$AE10)</f>
        <v>3</v>
      </c>
      <c r="AK10" s="399">
        <f>AF10/(AJ10+AH10+AF10)</f>
        <v>0.5</v>
      </c>
      <c r="AL10" s="399">
        <f>AH10/(AJ10+AH10+AF10)</f>
        <v>0</v>
      </c>
      <c r="AM10" s="364"/>
      <c r="AN10" s="387"/>
      <c r="AO10" s="400" t="s">
        <v>3981</v>
      </c>
      <c r="AP10" s="396">
        <f>COUNTIFS(Table1[MONTH],'PERFORMANCE ANALYSIS'!$A$3,Table1[CODE2],"R",Table1[W/L],"W")</f>
        <v>3</v>
      </c>
      <c r="AQ10" s="421">
        <f>SUMIFS(Table1[E QTY],Table1[MONTH],'PERFORMANCE ANALYSIS'!$A$3,Table1[CODE2],"R",Table1[W/L],"W")</f>
        <v>51</v>
      </c>
      <c r="AR10" s="395">
        <f>SUMIFS(Table1[TOTAL PROFIT],Table1[MONTH],'PERFORMANCE ANALYSIS'!$A$3,Table1[W/L],"W",Table1[CODE2],"R")</f>
        <v>832.00000000000045</v>
      </c>
      <c r="AS10" s="420">
        <f>AVERAGEIFS(Table1[PNL ($) SINGLE ORDER],Table1[MONTH],'PERFORMANCE ANALYSIS'!$A$3,Table1[W/L],"W",Table1[CODE2],"R")</f>
        <v>16.253968253968264</v>
      </c>
      <c r="AT10" s="397">
        <f>IFERROR(Table3[[#This Row],[TOTAL LOTS]]/Table3[[#This Row],[ORDERS]],0)</f>
        <v>17</v>
      </c>
      <c r="AU10" s="396">
        <f>COUNTIFS(Table1[MONTH],'PERFORMANCE ANALYSIS'!$A$3,Table1[CODE2],"R",Table1[W/L],"L")</f>
        <v>0</v>
      </c>
      <c r="AV10" s="421">
        <f>SUMIFS(Table1[E QTY],Table1[MONTH],'PERFORMANCE ANALYSIS'!$A$3,Table1[CODE2],"R",Table1[W/L],"L")</f>
        <v>0</v>
      </c>
      <c r="AW10" s="395">
        <f>SUMIFS(Table1[TOTAL PROFIT],Table1[MONTH],'PERFORMANCE ANALYSIS'!$A$3,Table1[W/L],"L",Table1[CODE2],"R")</f>
        <v>0</v>
      </c>
      <c r="AX10" s="420">
        <f>IFERROR(ABS(AVERAGEIFS(Table1[PNL ($) SINGLE ORDER],Table1[MONTH],'PERFORMANCE ANALYSIS'!$A$3,Table1[W/L],"L",Table1[CODE2],"R")),0)</f>
        <v>0</v>
      </c>
      <c r="AY10" s="397">
        <f>IFERROR(Table3[[#This Row],[TOTAL LOTS2]]/Table3[[#This Row],[ORDERS2]],0)</f>
        <v>0</v>
      </c>
      <c r="AZ10" s="364"/>
    </row>
    <row r="11" spans="1:52" s="374" customFormat="1" ht="15.75">
      <c r="A11" s="387"/>
      <c r="B11" s="400" t="s">
        <v>2241</v>
      </c>
      <c r="C11" s="386">
        <f>COUNTIFS(Table1[MONTH],'PERFORMANCE ANALYSIS'!$A$3,Table1[CODE2],"BONDS")</f>
        <v>2</v>
      </c>
      <c r="D11" s="386">
        <f>SUMIFS(Table1[E QTY],Table1[MONTH],'PERFORMANCE ANALYSIS'!$A$3,Table1[CODE2],"BONDS")</f>
        <v>2</v>
      </c>
      <c r="E11" s="395">
        <f>IFERROR(AVERAGEIFS(Table1[PNL ($) SINGLE ORDER],Table1[MONTH],'PERFORMANCE ANALYSIS'!$A$3,Table1[W/L],"W",Table1[CODE2],"BONDS"),0)</f>
        <v>72.000000000036835</v>
      </c>
      <c r="F11" s="395">
        <f>SUMIFS(Table1[TOTAL PROFIT],Table1[MONTH],'PERFORMANCE ANALYSIS'!$A$3,Table1[W/L],"W",Table1[CODE2],"BONDS")</f>
        <v>72.000000000036835</v>
      </c>
      <c r="G11" s="383">
        <f>(COUNTIFS(Table1[W/L],"W",Table1[MONTH],'PERFORMANCE ANALYSIS'!$A$3,Table1[CODE2],"BONDS"))/Table2[[#This Row],['# ORDERS]]</f>
        <v>0.5</v>
      </c>
      <c r="H11" s="395">
        <f>IFERROR(ABS(AVERAGEIFS(Table1[PNL ($) SINGLE ORDER],Table1[MONTH],'PERFORMANCE ANALYSIS'!$A$3,Table1[W/L],"L",Table1[CODE2],"BONDS")),0)</f>
        <v>0</v>
      </c>
      <c r="I11" s="395">
        <f>ABS(SUMIFS(Table1[TOTAL PROFIT],Table1[MONTH],'PERFORMANCE ANALYSIS'!$A$3,Table1[W/L],"L",Table1[CODE2],"BONDS"))</f>
        <v>0</v>
      </c>
      <c r="J11" s="383">
        <f>(COUNTIFS(Table1[W/L],"L",Table1[MONTH],'PERFORMANCE ANALYSIS'!$A$3,Table1[CODE2],"BONDS"))/Table2[[#This Row],['# ORDERS]]</f>
        <v>0</v>
      </c>
      <c r="K11" s="384">
        <f>IFERROR(Table2[[#This Row],[TOTAL GAINS]]/Table2[[#This Row],[TOTAL LOSS]],1)</f>
        <v>1</v>
      </c>
      <c r="L11" s="389">
        <f>Table2[[#This Row],[TOTAL GAINS]]-Table2[[#This Row],[TOTAL LOSS]]</f>
        <v>72.000000000036835</v>
      </c>
      <c r="M11" s="386" cm="1">
        <f t="array" ref="M11">IFERROR(MODE(IF(Table1[MONTH]='PERFORMANCE ANALYSIS'!$A$3,IF(Table1[CODE2]="BONDS",Table1[E QTY]))),0)</f>
        <v>1</v>
      </c>
      <c r="N11" s="414" cm="1">
        <f t="array" ref="N11">MIN(IF(Table1[MONTH]='PERFORMANCE ANALYSIS'!$A$3,IF(Table1[CODE2]="BONDS",Table1[TOTAL PROFIT])))</f>
        <v>0</v>
      </c>
      <c r="O11" s="397">
        <f>IFERROR(Table2[[#This Row],[AVG GAINS/LOT]]/Table2[[#This Row],[AVG LOSS/ LOT]],0)</f>
        <v>0</v>
      </c>
      <c r="P11" s="397">
        <f>IFERROR((Table2[[#This Row],[AVG GAINS/LOT]]*Table2[[#This Row],[WIN%]]),1)</f>
        <v>36.000000000018417</v>
      </c>
      <c r="Q11" s="397">
        <f>IFERROR((Table2[[#This Row],[AVG LOSS/ LOT]]*Table2[[#This Row],[LOSS%]]),1)</f>
        <v>0</v>
      </c>
      <c r="R11" s="398">
        <f>Table2[[#This Row],[W SCORE]]-Table2[[#This Row],[L SCORE]]</f>
        <v>36.000000000018417</v>
      </c>
      <c r="S11" s="477">
        <f>IFERROR(Table2[[#This Row],[TOTAL LOTS]]/Table2[[#This Row],['# ORDERS]],0)</f>
        <v>1</v>
      </c>
      <c r="T11" s="335">
        <f>IFERROR(Table2[[#This Row],[NET P/L]]/Table2[[#This Row],[TOTAL LOTS]],0)</f>
        <v>36.000000000018417</v>
      </c>
      <c r="U11" s="424">
        <f>IFERROR(Table2[[#This Row],[NET P/L]]/Table2[[#This Row],['# ORDERS]],0)</f>
        <v>36.000000000018417</v>
      </c>
      <c r="V11" s="314"/>
      <c r="W11" s="314"/>
      <c r="X11" s="314"/>
      <c r="Y11" s="314"/>
      <c r="Z11" s="314"/>
      <c r="AA11" s="314"/>
      <c r="AB11" s="314"/>
      <c r="AC11" s="314"/>
      <c r="AD11" s="364"/>
      <c r="AE11" s="385"/>
      <c r="AF11" s="394"/>
      <c r="AG11" s="394"/>
      <c r="AH11" s="394"/>
      <c r="AI11" s="394"/>
      <c r="AJ11" s="394"/>
      <c r="AK11" s="399"/>
      <c r="AL11" s="399"/>
      <c r="AM11" s="364"/>
      <c r="AN11" s="387"/>
      <c r="AO11" s="400" t="s">
        <v>2241</v>
      </c>
      <c r="AP11" s="386">
        <f>COUNTIFS(Table1[MONTH],'PERFORMANCE ANALYSIS'!$A$3,Table1[CODE2],"BONDS",Table1[W/L],"W")</f>
        <v>1</v>
      </c>
      <c r="AQ11" s="422">
        <f>SUMIFS(Table1[E QTY],Table1[MONTH],'PERFORMANCE ANALYSIS'!$A$3,Table1[CODE2],"BONDS",Table1[W/L],"W")</f>
        <v>1</v>
      </c>
      <c r="AR11" s="395">
        <f>SUMIFS(Table1[TOTAL PROFIT],Table1[MONTH],'PERFORMANCE ANALYSIS'!$A$3,Table1[W/L],"W",Table1[CODE2],"BONDS")</f>
        <v>72.000000000036835</v>
      </c>
      <c r="AS11" s="420">
        <f>IFERROR(AVERAGEIFS(Table1[PNL ($) SINGLE ORDER],Table1[MONTH],'PERFORMANCE ANALYSIS'!$A$3,Table1[W/L],"W",Table1[CODE2],"BONDS"),0)</f>
        <v>72.000000000036835</v>
      </c>
      <c r="AT11" s="397">
        <f>IFERROR(Table3[[#This Row],[TOTAL LOTS]]/Table3[[#This Row],[ORDERS]],0)</f>
        <v>1</v>
      </c>
      <c r="AU11" s="386">
        <f>COUNTIFS(Table1[MONTH],'PERFORMANCE ANALYSIS'!$A$3,Table1[CODE2],"BONDS",Table1[W/L],"L")</f>
        <v>0</v>
      </c>
      <c r="AV11" s="422">
        <f>SUMIFS(Table1[E QTY],Table1[MONTH],'PERFORMANCE ANALYSIS'!$A$3,Table1[CODE2],"BONDS",Table1[W/L],"L")</f>
        <v>0</v>
      </c>
      <c r="AW11" s="395">
        <f>SUMIFS(Table1[TOTAL PROFIT],Table1[MONTH],'PERFORMANCE ANALYSIS'!$A$3,Table1[W/L],"L",Table1[CODE2],"BONDS")</f>
        <v>0</v>
      </c>
      <c r="AX11" s="420">
        <f>IFERROR(ABS(AVERAGEIFS(Table1[PNL ($) SINGLE ORDER],Table1[MONTH],'PERFORMANCE ANALYSIS'!$A$3,Table1[W/L],"L",Table1[CODE2],"BONDS")),0)</f>
        <v>0</v>
      </c>
      <c r="AY11" s="397">
        <f>IFERROR(Table3[[#This Row],[TOTAL LOTS2]]/Table3[[#This Row],[ORDERS2]],0)</f>
        <v>0</v>
      </c>
      <c r="AZ11" s="364"/>
    </row>
    <row r="12" spans="1:52" s="374" customFormat="1" ht="15.75">
      <c r="A12" s="382" t="s">
        <v>3982</v>
      </c>
      <c r="B12" s="393" t="s">
        <v>3983</v>
      </c>
      <c r="C12" s="394">
        <f>COUNTIFS(Table1[MONTH],'PERFORMANCE ANALYSIS'!$A$3,Table1[O,S,F],"O")</f>
        <v>4</v>
      </c>
      <c r="D12" s="394">
        <f>SUMIFS(Table1[E QTY],Table1[MONTH],'PERFORMANCE ANALYSIS'!$A$3,Table1[O,S,F],"O")</f>
        <v>6</v>
      </c>
      <c r="E12" s="395">
        <f>IFERROR(AVERAGEIFS(Table1[PNL ($) SINGLE ORDER],Table1[MONTH],'PERFORMANCE ANALYSIS'!$A$3,Table1[W/L],"W",Table1[O,S,F],"O"),0)</f>
        <v>42.876666666685111</v>
      </c>
      <c r="F12" s="395">
        <f>SUMIFS(Table1[TOTAL PROFIT],Table1[MONTH],'PERFORMANCE ANALYSIS'!$A$3,Table1[W/L],"W",Table1[O,S,F],"O")</f>
        <v>145.89000000008869</v>
      </c>
      <c r="G12" s="383">
        <f>(COUNTIFS(Table1[W/L],"W",Table1[MONTH],'PERFORMANCE ANALYSIS'!$A$3,Table1[O,S,F],"O"))/Table2[[#This Row],['# ORDERS]]</f>
        <v>0.75</v>
      </c>
      <c r="H12" s="395">
        <f>IFERROR(ABS(AVERAGEIFS(Table1[PNL ($) SINGLE ORDER],Table1[MONTH],'PERFORMANCE ANALYSIS'!$A$3,Table1[W/L],"L",Table1[O,S,F],"O")),0)</f>
        <v>0</v>
      </c>
      <c r="I12" s="395">
        <f>ABS(SUMIFS(Table1[TOTAL PROFIT],Table1[MONTH],'PERFORMANCE ANALYSIS'!$A$3,Table1[W/L],"L",Table1[O,S,F],"O"))</f>
        <v>0</v>
      </c>
      <c r="J12" s="383">
        <f>(COUNTIFS(Table1[W/L],"L",Table1[MONTH],'PERFORMANCE ANALYSIS'!$A$3,Table1[O,S,F],"O"))/Table2[[#This Row],['# ORDERS]]</f>
        <v>0</v>
      </c>
      <c r="K12" s="384">
        <f>IFERROR(Table2[[#This Row],[TOTAL GAINS]]/Table2[[#This Row],[TOTAL LOSS]],1)</f>
        <v>1</v>
      </c>
      <c r="L12" s="389">
        <f>Table2[[#This Row],[TOTAL GAINS]]-Table2[[#This Row],[TOTAL LOSS]]</f>
        <v>145.89000000008869</v>
      </c>
      <c r="M12" s="386" cm="1">
        <f t="array" ref="M12">IFERROR(MODE(IF(Table1[MONTH]='PERFORMANCE ANALYSIS'!$A$3,IF(Table1[O,S,F]="O",Table1[E QTY]))),0)</f>
        <v>1</v>
      </c>
      <c r="N12" s="414" cm="1">
        <f t="array" ref="N12">MIN(IF(Table1[MONTH]='PERFORMANCE ANALYSIS'!$A$3,IF(Table1[O,S,F]="O",Table1[TOTAL PROFIT])))</f>
        <v>0</v>
      </c>
      <c r="O12" s="397">
        <f>IFERROR(Table2[[#This Row],[AVG GAINS/LOT]]/Table2[[#This Row],[AVG LOSS/ LOT]],0)</f>
        <v>0</v>
      </c>
      <c r="P12" s="397">
        <f>IFERROR((Table2[[#This Row],[AVG GAINS/LOT]]*Table2[[#This Row],[WIN%]]),1)</f>
        <v>32.157500000013833</v>
      </c>
      <c r="Q12" s="397">
        <f>IFERROR((Table2[[#This Row],[AVG LOSS/ LOT]]*Table2[[#This Row],[LOSS%]]),1)</f>
        <v>0</v>
      </c>
      <c r="R12" s="398">
        <f>Table2[[#This Row],[W SCORE]]-Table2[[#This Row],[L SCORE]]</f>
        <v>32.157500000013833</v>
      </c>
      <c r="S12" s="477">
        <f>IFERROR(Table2[[#This Row],[TOTAL LOTS]]/Table2[[#This Row],['# ORDERS]],0)</f>
        <v>1.5</v>
      </c>
      <c r="T12" s="335">
        <f>IFERROR(Table2[[#This Row],[NET P/L]]/Table2[[#This Row],[TOTAL LOTS]],0)</f>
        <v>24.315000000014781</v>
      </c>
      <c r="U12" s="424">
        <f>IFERROR(Table2[[#This Row],[NET P/L]]/Table2[[#This Row],['# ORDERS]],0)</f>
        <v>36.472500000022173</v>
      </c>
      <c r="V12" s="314">
        <f>Table2[[#This Row],[TOTAL LOTS]]*1</f>
        <v>6</v>
      </c>
      <c r="W12" s="493">
        <f>Table2[[#This Row],[RT]]/$AF$17</f>
        <v>6.0851926977687626E-3</v>
      </c>
      <c r="X12" s="492">
        <f>Table2[[#This Row],[NET P/L]]/$AJ$16</f>
        <v>9.0173003109037433E-2</v>
      </c>
      <c r="Y12" s="314"/>
      <c r="Z12" s="314"/>
      <c r="AA12" s="314"/>
      <c r="AB12" s="314"/>
      <c r="AC12" s="314"/>
      <c r="AD12" s="364"/>
      <c r="AE12" s="364"/>
      <c r="AF12" s="394"/>
      <c r="AG12" s="394"/>
      <c r="AH12" s="394"/>
      <c r="AI12" s="394"/>
      <c r="AJ12" s="394"/>
      <c r="AK12" s="394"/>
      <c r="AL12" s="394"/>
      <c r="AM12" s="364"/>
      <c r="AN12" s="382" t="s">
        <v>3982</v>
      </c>
      <c r="AO12" s="393" t="s">
        <v>3983</v>
      </c>
      <c r="AP12" s="394">
        <f>COUNTIFS(Table1[MONTH],'PERFORMANCE ANALYSIS'!$A$3,Table1[O,S,F],"O",Table1[W/L],"W")</f>
        <v>3</v>
      </c>
      <c r="AQ12" s="421">
        <f>SUMIFS(Table1[E QTY],Table1[MONTH],'PERFORMANCE ANALYSIS'!$A$3,Table1[O,S,F],"O",Table1[W/L],"W")</f>
        <v>5</v>
      </c>
      <c r="AR12" s="395">
        <f>SUMIFS(Table1[TOTAL PROFIT],Table1[MONTH],'PERFORMANCE ANALYSIS'!$A$3,Table1[W/L],"W",Table1[O,S,F],"O")</f>
        <v>145.89000000008869</v>
      </c>
      <c r="AS12" s="420">
        <f>IFERROR(AVERAGEIFS(Table1[PNL ($) SINGLE ORDER],Table1[MONTH],'PERFORMANCE ANALYSIS'!$A$3,Table1[W/L],"W",Table1[O,S,F],"O"),0)</f>
        <v>42.876666666685111</v>
      </c>
      <c r="AT12" s="397">
        <f>IFERROR(Table3[[#This Row],[TOTAL LOTS]]/Table3[[#This Row],[ORDERS]],0)</f>
        <v>1.6666666666666667</v>
      </c>
      <c r="AU12" s="394">
        <f>COUNTIFS(Table1[MONTH],'PERFORMANCE ANALYSIS'!$A$3,Table1[O,S,F],"O",Table1[W/L],"L")</f>
        <v>0</v>
      </c>
      <c r="AV12" s="421">
        <f>SUMIFS(Table1[E QTY],Table1[MONTH],'PERFORMANCE ANALYSIS'!$A$3,Table1[O,S,F],"O",Table1[W/L],"L")</f>
        <v>0</v>
      </c>
      <c r="AW12" s="395">
        <f>SUMIFS(Table1[TOTAL PROFIT],Table1[MONTH],'PERFORMANCE ANALYSIS'!$A$3,Table1[W/L],"L",Table1[O,S,F],"O")</f>
        <v>0</v>
      </c>
      <c r="AX12" s="420">
        <f>IFERROR(ABS(AVERAGEIFS(Table1[PNL ($) SINGLE ORDER],Table1[MONTH],'PERFORMANCE ANALYSIS'!$A$3,Table1[W/L],"L",Table1[O,S,F],"O")),0)</f>
        <v>0</v>
      </c>
      <c r="AY12" s="397">
        <f>IFERROR(Table3[[#This Row],[TOTAL LOTS2]]/Table3[[#This Row],[ORDERS2]],0)</f>
        <v>0</v>
      </c>
      <c r="AZ12" s="364"/>
    </row>
    <row r="13" spans="1:52" s="374" customFormat="1" ht="15.75">
      <c r="A13" s="382"/>
      <c r="B13" s="393" t="s">
        <v>3984</v>
      </c>
      <c r="C13" s="394">
        <f>COUNTIFS(Table1[MONTH],'PERFORMANCE ANALYSIS'!$A$3,Table1[O,S,F],"S")</f>
        <v>24</v>
      </c>
      <c r="D13" s="394">
        <f>SUMIFS(Table1[E QTY],Table1[MONTH],'PERFORMANCE ANALYSIS'!$A$3,Table1[O,S,F],"S")</f>
        <v>256</v>
      </c>
      <c r="E13" s="395">
        <f>AVERAGEIFS(Table1[PNL ($) SINGLE ORDER],Table1[MONTH],'PERFORMANCE ANALYSIS'!$A$3,Table1[W/L],"W",Table1[O,S,F],"S")</f>
        <v>19.205128205128212</v>
      </c>
      <c r="F13" s="395">
        <f>SUMIFS(Table1[TOTAL PROFIT],Table1[MONTH],'PERFORMANCE ANALYSIS'!$A$3,Table1[W/L],"W",Table1[O,S,F],"S")</f>
        <v>2656.0000000000009</v>
      </c>
      <c r="G13" s="383">
        <f>(COUNTIFS(Table1[W/L],"W",Table1[MONTH],'PERFORMANCE ANALYSIS'!$A$3,Table1[O,S,F],"S"))/Table2[[#This Row],['# ORDERS]]</f>
        <v>0.54166666666666663</v>
      </c>
      <c r="H13" s="395">
        <f>ABS(AVERAGEIFS(Table1[PNL ($) SINGLE ORDER],Table1[MONTH],'PERFORMANCE ANALYSIS'!$A$3,Table1[W/L],"L",Table1[O,S,F],"S"))</f>
        <v>69.714285714285708</v>
      </c>
      <c r="I13" s="395">
        <f>ABS(SUMIFS(Table1[TOTAL PROFIT],Table1[MONTH],'PERFORMANCE ANALYSIS'!$A$3,Table1[W/L],"L",Table1[O,S,F],"S"))</f>
        <v>879.99999999999989</v>
      </c>
      <c r="J13" s="383">
        <f>(COUNTIFS(Table1[W/L],"L",Table1[MONTH],'PERFORMANCE ANALYSIS'!$A$3,Table1[O,S,F],"S"))/Table2[[#This Row],['# ORDERS]]</f>
        <v>8.3333333333333329E-2</v>
      </c>
      <c r="K13" s="384">
        <f>IFERROR(Table2[[#This Row],[TOTAL GAINS]]/Table2[[#This Row],[TOTAL LOSS]],1)</f>
        <v>3.0181818181818194</v>
      </c>
      <c r="L13" s="389">
        <f>Table2[[#This Row],[TOTAL GAINS]]-Table2[[#This Row],[TOTAL LOSS]]</f>
        <v>1776.0000000000009</v>
      </c>
      <c r="M13" s="386" cm="1">
        <f t="array" ref="M13">MODE(IF(Table1[MONTH]='PERFORMANCE ANALYSIS'!$A$3,IF(Table1[O,S,F]="S",Table1[E QTY])))</f>
        <v>5</v>
      </c>
      <c r="N13" s="414" cm="1">
        <f t="array" ref="N13">MIN(IF(Table1[MONTH]='PERFORMANCE ANALYSIS'!$A$3,IF(Table1[O,S,F]="S",Table1[TOTAL PROFIT])))</f>
        <v>-639.99999999999989</v>
      </c>
      <c r="O13" s="397">
        <f>IFERROR(Table2[[#This Row],[AVG GAINS/LOT]]/Table2[[#This Row],[AVG LOSS/ LOT]],0)</f>
        <v>0.27548339638503583</v>
      </c>
      <c r="P13" s="397">
        <f>IFERROR((Table2[[#This Row],[AVG GAINS/LOT]]*Table2[[#This Row],[WIN%]]),1)</f>
        <v>10.40277777777778</v>
      </c>
      <c r="Q13" s="397">
        <f>IFERROR((Table2[[#This Row],[AVG LOSS/ LOT]]*Table2[[#This Row],[LOSS%]]),1)</f>
        <v>5.8095238095238084</v>
      </c>
      <c r="R13" s="398">
        <f>Table2[[#This Row],[W SCORE]]-Table2[[#This Row],[L SCORE]]</f>
        <v>4.5932539682539719</v>
      </c>
      <c r="S13" s="477">
        <f>IFERROR(Table2[[#This Row],[TOTAL LOTS]]/Table2[[#This Row],['# ORDERS]],0)</f>
        <v>10.666666666666666</v>
      </c>
      <c r="T13" s="335">
        <f>IFERROR(Table2[[#This Row],[NET P/L]]/Table2[[#This Row],[TOTAL LOTS]],0)</f>
        <v>6.9375000000000036</v>
      </c>
      <c r="U13" s="424">
        <f>IFERROR(Table2[[#This Row],[NET P/L]]/Table2[[#This Row],['# ORDERS]],0)</f>
        <v>74.000000000000043</v>
      </c>
      <c r="V13" s="314">
        <f>Table2[[#This Row],[TOTAL LOTS]]*2</f>
        <v>512</v>
      </c>
      <c r="W13" s="493">
        <f>Table2[[#This Row],[RT]]/$AF$17</f>
        <v>0.51926977687626774</v>
      </c>
      <c r="X13" s="492">
        <f>Table2[[#This Row],[NET P/L]]/$AJ$16</f>
        <v>1.0977260505967046</v>
      </c>
      <c r="Y13" s="314"/>
      <c r="Z13" s="314"/>
      <c r="AA13" s="314"/>
      <c r="AB13" s="314"/>
      <c r="AC13" s="314"/>
      <c r="AD13" s="364"/>
      <c r="AE13" s="390" t="s">
        <v>3985</v>
      </c>
      <c r="AF13" s="390">
        <f>D9/C9</f>
        <v>9.8260869565217384</v>
      </c>
      <c r="AG13" s="390" t="s">
        <v>3986</v>
      </c>
      <c r="AH13" s="465">
        <f>D9/D10</f>
        <v>1.527027027027027</v>
      </c>
      <c r="AI13" s="390"/>
      <c r="AJ13" s="390"/>
      <c r="AK13" s="390" t="s">
        <v>3987</v>
      </c>
      <c r="AL13" s="398">
        <f>S14/Table2[[#This Row],[LOTS/ORDERS]]</f>
        <v>2.1937500000000001</v>
      </c>
      <c r="AM13" s="364"/>
      <c r="AN13" s="382"/>
      <c r="AO13" s="393" t="s">
        <v>3984</v>
      </c>
      <c r="AP13" s="394">
        <f>COUNTIFS(Table1[MONTH],'PERFORMANCE ANALYSIS'!$A$3,Table1[O,S,F],"S",Table1[W/L],"W")</f>
        <v>13</v>
      </c>
      <c r="AQ13" s="421">
        <f>SUMIFS(Table1[E QTY],Table1[MONTH],'PERFORMANCE ANALYSIS'!$A$3,Table1[O,S,F],"S",Table1[W/L],"W")</f>
        <v>153</v>
      </c>
      <c r="AR13" s="395">
        <f>SUMIFS(Table1[TOTAL PROFIT],Table1[MONTH],'PERFORMANCE ANALYSIS'!$A$3,Table1[W/L],"W",Table1[O,S,F],"S")</f>
        <v>2656.0000000000009</v>
      </c>
      <c r="AS13" s="420">
        <f>AVERAGEIFS(Table1[PNL ($) SINGLE ORDER],Table1[MONTH],'PERFORMANCE ANALYSIS'!$A$3,Table1[W/L],"W",Table1[O,S,F],"S")</f>
        <v>19.205128205128212</v>
      </c>
      <c r="AT13" s="397">
        <f>IFERROR(Table3[[#This Row],[TOTAL LOTS]]/Table3[[#This Row],[ORDERS]],0)</f>
        <v>11.76923076923077</v>
      </c>
      <c r="AU13" s="394">
        <f>COUNTIFS(Table1[MONTH],'PERFORMANCE ANALYSIS'!$A$3,Table1[O,S,F],"S",Table1[W/L],"L")</f>
        <v>2</v>
      </c>
      <c r="AV13" s="421">
        <f>SUMIFS(Table1[E QTY],Table1[MONTH],'PERFORMANCE ANALYSIS'!$A$3,Table1[O,S,F],"S",Table1[W/L],"L")</f>
        <v>12</v>
      </c>
      <c r="AW13" s="395">
        <f>SUMIFS(Table1[TOTAL PROFIT],Table1[MONTH],'PERFORMANCE ANALYSIS'!$A$3,Table1[W/L],"L",Table1[O,S,F],"S")</f>
        <v>-879.99999999999989</v>
      </c>
      <c r="AX13" s="420">
        <f>ABS(AVERAGEIFS(Table1[PNL ($) SINGLE ORDER],Table1[MONTH],'PERFORMANCE ANALYSIS'!$A$3,Table1[W/L],"L",Table1[O,S,F],"S"))</f>
        <v>69.714285714285708</v>
      </c>
      <c r="AY13" s="397">
        <f>IFERROR(Table3[[#This Row],[TOTAL LOTS2]]/Table3[[#This Row],[ORDERS2]],0)</f>
        <v>6</v>
      </c>
      <c r="AZ13" s="364"/>
    </row>
    <row r="14" spans="1:52" s="374" customFormat="1" ht="15.75">
      <c r="A14" s="382"/>
      <c r="B14" s="393" t="s">
        <v>3988</v>
      </c>
      <c r="C14" s="394">
        <f>COUNTIFS(Table1[MONTH],'PERFORMANCE ANALYSIS'!$A$3,Table1[O,S,F],"F")</f>
        <v>5</v>
      </c>
      <c r="D14" s="394">
        <f>SUMIFS(Table1[E QTY],Table1[MONTH],'PERFORMANCE ANALYSIS'!$A$3,Table1[O,S,F],"F")</f>
        <v>117</v>
      </c>
      <c r="E14" s="395">
        <f>IFERROR(AVERAGEIFS(Table1[PNL ($) SINGLE ORDER],Table1[MONTH],'PERFORMANCE ANALYSIS'!$A$3,Table1[W/L],"W",Table1[O,S,F],"F"),"N/A")</f>
        <v>16.25396825396825</v>
      </c>
      <c r="F14" s="395">
        <f>SUMIFS(Table1[TOTAL PROFIT],Table1[MONTH],'PERFORMANCE ANALYSIS'!$A$3,Table1[W/L],"W",Table1[O,S,F],"F")</f>
        <v>608</v>
      </c>
      <c r="G14" s="383">
        <f>IFERROR((COUNTIFS(Table1[W/L],"W",Table1[MONTH],'PERFORMANCE ANALYSIS'!$A$3,Table1[O,S,F],"F"))/Table2[[#This Row],['# ORDERS]],0)</f>
        <v>0.6</v>
      </c>
      <c r="H14" s="395">
        <f>IFERROR(ABS(AVERAGEIFS(Table1[PNL ($) SINGLE ORDER],Table1[MONTH],'PERFORMANCE ANALYSIS'!$A$3,Table1[W/L],"L",Table1[O,S,F],"F")),0)</f>
        <v>33.777777777777771</v>
      </c>
      <c r="I14" s="395">
        <f>ABS(SUMIFS(Table1[TOTAL PROFIT],Table1[MONTH],'PERFORMANCE ANALYSIS'!$A$3,Table1[W/L],"L",Table1[O,S,F],"F"))</f>
        <v>911.99999999999977</v>
      </c>
      <c r="J14" s="383">
        <f>IFERROR((COUNTIFS(Table1[W/L],"L",Table1[MONTH],'PERFORMANCE ANALYSIS'!$A$3,Table1[O,S,F],"F"))/Table2[[#This Row],['# ORDERS]],0)</f>
        <v>0.2</v>
      </c>
      <c r="K14" s="384">
        <f>IFERROR(Table2[[#This Row],[TOTAL GAINS]]/Table2[[#This Row],[TOTAL LOSS]],1)</f>
        <v>0.66666666666666685</v>
      </c>
      <c r="L14" s="389">
        <f>Table2[[#This Row],[TOTAL GAINS]]-Table2[[#This Row],[TOTAL LOSS]]</f>
        <v>-303.99999999999977</v>
      </c>
      <c r="M14" s="386" cm="1">
        <f t="array" ref="M14">IFERROR(MODE(IF(Table1[MONTH]='PERFORMANCE ANALYSIS'!$A$3,IF(Table1[O,S,F]="F",Table1[E QTY]))),0)</f>
        <v>0</v>
      </c>
      <c r="N14" s="414" cm="1">
        <f t="array" ref="N14">MIN(IF(Table1[MONTH]='PERFORMANCE ANALYSIS'!$A$3,IF(Table1[O,S,F]="F",Table1[TOTAL PROFIT])))</f>
        <v>-911.99999999999977</v>
      </c>
      <c r="O14" s="397">
        <f>IFERROR(Table2[[#This Row],[AVG GAINS/LOT]]/Table2[[#This Row],[AVG LOSS/ LOT]],0)</f>
        <v>0.48120300751879697</v>
      </c>
      <c r="P14" s="397">
        <f>IFERROR((Table2[[#This Row],[AVG GAINS/LOT]]*Table2[[#This Row],[WIN%]]),1)</f>
        <v>9.7523809523809497</v>
      </c>
      <c r="Q14" s="397">
        <f>IFERROR((Table2[[#This Row],[AVG LOSS/ LOT]]*Table2[[#This Row],[LOSS%]]),1)</f>
        <v>6.7555555555555546</v>
      </c>
      <c r="R14" s="398">
        <f>Table2[[#This Row],[W SCORE]]-Table2[[#This Row],[L SCORE]]</f>
        <v>2.9968253968253951</v>
      </c>
      <c r="S14" s="477">
        <f>IFERROR(Table2[[#This Row],[TOTAL LOTS]]/Table2[[#This Row],['# ORDERS]],0)</f>
        <v>23.4</v>
      </c>
      <c r="T14" s="335">
        <f>IFERROR(Table2[[#This Row],[NET P/L]]/Table2[[#This Row],[TOTAL LOTS]],0)</f>
        <v>-2.5982905982905962</v>
      </c>
      <c r="U14" s="424">
        <f>IFERROR(Table2[[#This Row],[NET P/L]]/Table2[[#This Row],['# ORDERS]],0)</f>
        <v>-60.799999999999955</v>
      </c>
      <c r="V14" s="314">
        <f>Table2[[#This Row],[TOTAL LOTS]]*4</f>
        <v>468</v>
      </c>
      <c r="W14" s="493">
        <f>Table2[[#This Row],[RT]]/$AF$17</f>
        <v>0.47464503042596351</v>
      </c>
      <c r="X14" s="492">
        <f>Table2[[#This Row],[NET P/L]]/$AJ$16</f>
        <v>-0.18789905370574198</v>
      </c>
      <c r="Y14" s="314"/>
      <c r="Z14" s="314"/>
      <c r="AA14" s="314"/>
      <c r="AB14" s="314"/>
      <c r="AC14" s="314"/>
      <c r="AD14" s="364"/>
      <c r="AE14" s="390" t="s">
        <v>3989</v>
      </c>
      <c r="AF14" s="390">
        <f>D10/C10</f>
        <v>21.142857142857142</v>
      </c>
      <c r="AG14" s="390" t="s">
        <v>3967</v>
      </c>
      <c r="AH14" s="391">
        <f>(D9)/(D9+D10)</f>
        <v>0.60427807486631013</v>
      </c>
      <c r="AI14" s="390" t="s">
        <v>3990</v>
      </c>
      <c r="AJ14" s="391">
        <f>D10/(D9+D10)</f>
        <v>0.39572192513368987</v>
      </c>
      <c r="AK14" s="364" t="s">
        <v>3991</v>
      </c>
      <c r="AL14" s="476">
        <f>Table2[[#This Row],['# ORDERS]]/C13</f>
        <v>0.20833333333333334</v>
      </c>
      <c r="AM14" s="364"/>
      <c r="AN14" s="382"/>
      <c r="AO14" s="393" t="s">
        <v>3988</v>
      </c>
      <c r="AP14" s="394">
        <f>COUNTIFS(Table1[MONTH],'PERFORMANCE ANALYSIS'!$A$3,Table1[O,S,F],"F",Table1[W/L],"W")</f>
        <v>3</v>
      </c>
      <c r="AQ14" s="421">
        <f>SUMIFS(Table1[E QTY],Table1[MONTH],'PERFORMANCE ANALYSIS'!$A$3,Table1[O,S,F],"F",Table1[W/L],"W")</f>
        <v>37</v>
      </c>
      <c r="AR14" s="395">
        <f>SUMIFS(Table1[TOTAL PROFIT],Table1[MONTH],'PERFORMANCE ANALYSIS'!$A$3,Table1[W/L],"W",Table1[O,S,F],"F")</f>
        <v>608</v>
      </c>
      <c r="AS14" s="420">
        <f>IFERROR(AVERAGEIFS(Table1[PNL ($) SINGLE ORDER],Table1[MONTH],'PERFORMANCE ANALYSIS'!$A$3,Table1[W/L],"W",Table1[O,S,F],"F"),"N/A")</f>
        <v>16.25396825396825</v>
      </c>
      <c r="AT14" s="397">
        <f>IFERROR(Table3[[#This Row],[TOTAL LOTS]]/Table3[[#This Row],[ORDERS]],0)</f>
        <v>12.333333333333334</v>
      </c>
      <c r="AU14" s="394">
        <f>COUNTIFS(Table1[MONTH],'PERFORMANCE ANALYSIS'!$A$3,Table1[O,S,F],"F",Table1[W/L],"L")</f>
        <v>1</v>
      </c>
      <c r="AV14" s="421">
        <f>SUMIFS(Table1[E QTY],Table1[MONTH],'PERFORMANCE ANALYSIS'!$A$3,Table1[O,S,F],"F",Table1[W/L],"L")</f>
        <v>27</v>
      </c>
      <c r="AW14" s="395">
        <f>SUMIFS(Table1[TOTAL PROFIT],Table1[MONTH],'PERFORMANCE ANALYSIS'!$A$3,Table1[W/L],"L",Table1[O,S,F],"F")</f>
        <v>-911.99999999999977</v>
      </c>
      <c r="AX14" s="420">
        <f>IFERROR(ABS(AVERAGEIFS(Table1[PNL ($) SINGLE ORDER],Table1[MONTH],'PERFORMANCE ANALYSIS'!$A$3,Table1[W/L],"L",Table1[O,S,F],"F")),0)</f>
        <v>33.777777777777771</v>
      </c>
      <c r="AY14" s="397">
        <f>IFERROR(Table3[[#This Row],[TOTAL LOTS2]]/Table3[[#This Row],[ORDERS2]],0)</f>
        <v>27</v>
      </c>
      <c r="AZ14" s="364"/>
    </row>
    <row r="15" spans="1:52" s="374" customFormat="1" ht="15.75">
      <c r="A15" s="382"/>
      <c r="B15" s="426" t="s">
        <v>2633</v>
      </c>
      <c r="C15" s="394">
        <f>COUNTIFS(Table1[MONTH],'PERFORMANCE ANALYSIS'!$A$3,Table1[CODE],"TED")</f>
        <v>0</v>
      </c>
      <c r="D15" s="394">
        <f>SUMIFS(Table1[E QTY],Table1[MONTH],'PERFORMANCE ANALYSIS'!$A$3,Table1[CODE],"TED")</f>
        <v>0</v>
      </c>
      <c r="E15" s="395">
        <f>IFERROR(AVERAGEIFS(Table1[PNL ($) SINGLE ORDER],Table1[MONTH],'PERFORMANCE ANALYSIS'!$A$3,Table1[W/L],"W",Table1[CODE],"TED"),0)</f>
        <v>0</v>
      </c>
      <c r="F15" s="395">
        <f>SUMIFS(Table1[TOTAL PROFIT],Table1[MONTH],'PERFORMANCE ANALYSIS'!$A$3,Table1[W/L],"W",Table1[CODE],"TED")</f>
        <v>0</v>
      </c>
      <c r="G15" s="383">
        <f>IFERROR((COUNTIFS(Table1[W/L],"W",Table1[MONTH],'PERFORMANCE ANALYSIS'!$A$3,Table1[CODE],"TED"))/Table2[[#This Row],['# ORDERS]],0)</f>
        <v>0</v>
      </c>
      <c r="H15" s="395">
        <f>IFERROR(ABS(AVERAGEIFS(Table1[PNL ($) SINGLE ORDER],Table1[MONTH],'PERFORMANCE ANALYSIS'!$A$3,Table1[W/L],"L",Table1[CODE],"TED")),0)</f>
        <v>0</v>
      </c>
      <c r="I15" s="395">
        <f>ABS(SUMIFS(Table1[TOTAL PROFIT],Table1[MONTH],'PERFORMANCE ANALYSIS'!$A$3,Table1[W/L],"L",Table1[CODE],"TED"))</f>
        <v>0</v>
      </c>
      <c r="J15" s="383">
        <f>IFERROR((COUNTIFS(Table1[W/L],"L",Table1[MONTH],'PERFORMANCE ANALYSIS'!$A$3,Table1[CODE],"TED"))/Table2[[#This Row],['# ORDERS]],0)</f>
        <v>0</v>
      </c>
      <c r="K15" s="384">
        <f>IFERROR(Table2[[#This Row],[TOTAL GAINS]]/Table2[[#This Row],[TOTAL LOSS]],1)</f>
        <v>1</v>
      </c>
      <c r="L15" s="389">
        <f>Table2[[#This Row],[TOTAL GAINS]]-Table2[[#This Row],[TOTAL LOSS]]</f>
        <v>0</v>
      </c>
      <c r="M15" s="386" cm="1">
        <f t="array" ref="M15">IFERROR(MODE(IF(Table1[MONTH]='PERFORMANCE ANALYSIS'!$A$3,IF(Table1[CODE],"TED",Table1[E QTY]))),0)</f>
        <v>0</v>
      </c>
      <c r="N15" s="414" cm="1">
        <f t="array" ref="N15">IFERROR(MIN(IF(Table1[MONTH]='PERFORMANCE ANALYSIS'!$A$3,IF(Table1[CODE],"TED",Table1[TOTAL PROFIT]))),0)</f>
        <v>0</v>
      </c>
      <c r="O15" s="397">
        <f>IFERROR(Table2[[#This Row],[AVG GAINS/LOT]]/Table2[[#This Row],[AVG LOSS/ LOT]],0)</f>
        <v>0</v>
      </c>
      <c r="P15" s="397">
        <f>IFERROR((Table2[[#This Row],[AVG GAINS/LOT]]*Table2[[#This Row],[WIN%]]),1)</f>
        <v>0</v>
      </c>
      <c r="Q15" s="397">
        <f>IFERROR((Table2[[#This Row],[AVG LOSS/ LOT]]*Table2[[#This Row],[LOSS%]]),1)</f>
        <v>0</v>
      </c>
      <c r="R15" s="398">
        <f>Table2[[#This Row],[W SCORE]]-Table2[[#This Row],[L SCORE]]</f>
        <v>0</v>
      </c>
      <c r="S15" s="477">
        <f>IFERROR(Table2[[#This Row],[TOTAL LOTS]]/Table2[[#This Row],['# ORDERS]],0)</f>
        <v>0</v>
      </c>
      <c r="T15" s="335">
        <f>IFERROR(Table2[[#This Row],[NET P/L]]/Table2[[#This Row],[TOTAL LOTS]],0)</f>
        <v>0</v>
      </c>
      <c r="U15" s="424">
        <f>IFERROR(Table2[[#This Row],[NET P/L]]/Table2[[#This Row],['# ORDERS]],0)</f>
        <v>0</v>
      </c>
      <c r="V15" s="314">
        <f>Table2[[#This Row],[TOTAL LOTS]]*9</f>
        <v>0</v>
      </c>
      <c r="W15" s="493">
        <f>Table2[[#This Row],[RT]]/$AF$17</f>
        <v>0</v>
      </c>
      <c r="X15" s="492">
        <f>Table2[[#This Row],[NET P/L]]/$AJ$16</f>
        <v>0</v>
      </c>
      <c r="Y15" s="314"/>
      <c r="Z15" s="314"/>
      <c r="AA15" s="314"/>
      <c r="AB15" s="314"/>
      <c r="AC15" s="314"/>
      <c r="AD15" s="364"/>
      <c r="AE15" s="390" t="s">
        <v>3992</v>
      </c>
      <c r="AF15" s="390">
        <f>SUM(D12:D16)</f>
        <v>379</v>
      </c>
      <c r="AG15" s="390" t="s">
        <v>3993</v>
      </c>
      <c r="AH15" s="390">
        <f>L9/L10</f>
        <v>0.82692307692308031</v>
      </c>
      <c r="AI15" s="390"/>
      <c r="AJ15" s="390"/>
      <c r="AK15" s="364"/>
      <c r="AL15" s="476"/>
      <c r="AM15" s="364"/>
      <c r="AN15" s="382"/>
      <c r="AO15" s="393" t="s">
        <v>2633</v>
      </c>
      <c r="AP15" s="394">
        <f>COUNTIFS(Table1[MONTH],'PERFORMANCE ANALYSIS'!$A$3,Table1[O,S,F],"T",Table1[W/L],"W")</f>
        <v>0</v>
      </c>
      <c r="AQ15" s="421">
        <f>SUMIFS(Table1[E QTY],Table1[MONTH],'PERFORMANCE ANALYSIS'!$A$3,Table1[O,S,F],"T",Table1[W/L],"W")</f>
        <v>0</v>
      </c>
      <c r="AR15" s="395">
        <f>SUMIFS(Table1[TOTAL PROFIT],Table1[MONTH],'PERFORMANCE ANALYSIS'!$A$3,Table1[W/L],"W",Table1[O,S,F],"T")</f>
        <v>0</v>
      </c>
      <c r="AS15" s="420">
        <f>IFERROR(AVERAGEIFS(Table1[PNL ($) SINGLE ORDER],Table1[MONTH],'PERFORMANCE ANALYSIS'!$A$3,Table1[W/L],"W",Table1[O,S,F],"T"),0)</f>
        <v>0</v>
      </c>
      <c r="AT15" s="397">
        <f>IFERROR(Table3[[#This Row],[TOTAL LOTS]]/Table3[[#This Row],[ORDERS]],0)</f>
        <v>0</v>
      </c>
      <c r="AU15" s="394">
        <f>COUNTIFS(Table1[MONTH],'PERFORMANCE ANALYSIS'!$A$3,Table1[O,S,F],"T",Table1[W/L],"L")</f>
        <v>0</v>
      </c>
      <c r="AV15" s="421">
        <f>SUMIFS(Table1[E QTY],Table1[MONTH],'PERFORMANCE ANALYSIS'!$A$3,Table1[O,S,F],"T",Table1[W/L],"L")</f>
        <v>0</v>
      </c>
      <c r="AW15" s="395">
        <f>SUMIFS(Table1[TOTAL PROFIT],Table1[MONTH],'PERFORMANCE ANALYSIS'!$A$3,Table1[W/L],"L",Table1[O,S,F],"T")</f>
        <v>0</v>
      </c>
      <c r="AX15" s="420">
        <f>IFERROR(ABS(AVERAGEIFS(Table1[PNL ($) SINGLE ORDER],Table1[MONTH],'PERFORMANCE ANALYSIS'!$A$3,Table1[W/L],"L",Table1[O,S,F],"T")),0)</f>
        <v>0</v>
      </c>
      <c r="AY15" s="397">
        <f>IFERROR(Table3[[#This Row],[TOTAL LOTS2]]/Table3[[#This Row],[ORDERS2]],0)</f>
        <v>0</v>
      </c>
      <c r="AZ15" s="364"/>
    </row>
    <row r="16" spans="1:52" s="374" customFormat="1" ht="15.75">
      <c r="A16" s="382"/>
      <c r="B16" s="426" t="s">
        <v>2240</v>
      </c>
      <c r="C16" s="394">
        <f>COUNTIFS(Table1[MONTH],'PERFORMANCE ANALYSIS'!$A$3,Table1[CODE],"YT-XT")</f>
        <v>0</v>
      </c>
      <c r="D16" s="394">
        <f>SUMIFS(Table1[E QTY],Table1[MONTH],'PERFORMANCE ANALYSIS'!$A$3,Table1[CODE],"YT-XT")</f>
        <v>0</v>
      </c>
      <c r="E16" s="395">
        <f>IFERROR(AVERAGEIFS(Table1[PNL ($) SINGLE ORDER],Table1[MONTH],'PERFORMANCE ANALYSIS'!$A$3,Table1[W/L],"W",Table1[CODE],"YT-XT"),0)</f>
        <v>0</v>
      </c>
      <c r="F16" s="395">
        <f>SUMIFS(Table1[TOTAL PROFIT],Table1[MONTH],'PERFORMANCE ANALYSIS'!$A$3,Table1[W/L],"W",Table1[CODE],"YT-XT")</f>
        <v>0</v>
      </c>
      <c r="G16" s="383">
        <f>IFERROR((COUNTIFS(Table1[W/L],"W",Table1[MONTH],'PERFORMANCE ANALYSIS'!$A$3,Table1[CODE],"YT-XT"))/Table2[[#This Row],['# ORDERS]],0)</f>
        <v>0</v>
      </c>
      <c r="H16" s="395">
        <f>IFERROR(ABS(AVERAGEIFS(Table1[PNL ($) SINGLE ORDER],Table1[MONTH],'PERFORMANCE ANALYSIS'!$A$3,Table1[W/L],"L",Table1[CODE],"YT-XT")),0)</f>
        <v>0</v>
      </c>
      <c r="I16" s="395">
        <f>ABS(SUMIFS(Table1[TOTAL PROFIT],Table1[MONTH],'PERFORMANCE ANALYSIS'!$A$3,Table1[W/L],"L",Table1[CODE],"YT-XT"))</f>
        <v>0</v>
      </c>
      <c r="J16" s="383">
        <f>IFERROR((COUNTIFS(Table1[W/L],"L",Table1[MONTH],'PERFORMANCE ANALYSIS'!$A$3,Table1[CODE],"YT-XT"))/Table2[[#This Row],['# ORDERS]],0)</f>
        <v>0</v>
      </c>
      <c r="K16" s="384">
        <f>IFERROR(Table2[[#This Row],[TOTAL GAINS]]/Table2[[#This Row],[TOTAL LOSS]],1)</f>
        <v>1</v>
      </c>
      <c r="L16" s="389">
        <f>Table2[[#This Row],[TOTAL GAINS]]-Table2[[#This Row],[TOTAL LOSS]]</f>
        <v>0</v>
      </c>
      <c r="M16" s="386" cm="1">
        <f t="array" ref="M16">IFERROR(MODE(IF(Table1[MONTH]='PERFORMANCE ANALYSIS'!$A$3,IF(Table1[CODE],"YT-XT",Table1[E QTY]))),0)</f>
        <v>0</v>
      </c>
      <c r="N16" s="414" cm="1">
        <f t="array" ref="N16">IFERROR(MIN(IF(Table1[MONTH]='PERFORMANCE ANALYSIS'!$A$3,IF(Table1[CODE],"YT-XT",Table1[TOTAL PROFIT]))),0)</f>
        <v>0</v>
      </c>
      <c r="O16" s="397">
        <f>IFERROR(Table2[[#This Row],[AVG GAINS/LOT]]/Table2[[#This Row],[AVG LOSS/ LOT]],0)</f>
        <v>0</v>
      </c>
      <c r="P16" s="397">
        <f>IFERROR((Table2[[#This Row],[AVG GAINS/LOT]]*Table2[[#This Row],[WIN%]]),1)</f>
        <v>0</v>
      </c>
      <c r="Q16" s="397">
        <f>IFERROR((Table2[[#This Row],[AVG LOSS/ LOT]]*Table2[[#This Row],[LOSS%]]),1)</f>
        <v>0</v>
      </c>
      <c r="R16" s="398">
        <f>Table2[[#This Row],[W SCORE]]-Table2[[#This Row],[L SCORE]]</f>
        <v>0</v>
      </c>
      <c r="S16" s="477">
        <f>IFERROR(Table2[[#This Row],[TOTAL LOTS]]/Table2[[#This Row],['# ORDERS]],0)</f>
        <v>0</v>
      </c>
      <c r="T16" s="335">
        <f>IFERROR(Table2[[#This Row],[NET P/L]]/Table2[[#This Row],[TOTAL LOTS]],0)</f>
        <v>0</v>
      </c>
      <c r="U16" s="424">
        <f>IFERROR(Table2[[#This Row],[NET P/L]]/Table2[[#This Row],['# ORDERS]],0)</f>
        <v>0</v>
      </c>
      <c r="V16" s="314">
        <f>Table2[[#This Row],[TOTAL LOTS]]*4</f>
        <v>0</v>
      </c>
      <c r="W16" s="493">
        <f>Table2[[#This Row],[RT]]/$AF$17</f>
        <v>0</v>
      </c>
      <c r="X16" s="492">
        <f>Table2[[#This Row],[NET P/L]]/$AJ$16</f>
        <v>0</v>
      </c>
      <c r="Y16" s="314"/>
      <c r="Z16" s="314"/>
      <c r="AA16" s="314"/>
      <c r="AB16" s="314"/>
      <c r="AC16" s="314"/>
      <c r="AD16" s="364"/>
      <c r="AE16" s="390" t="s">
        <v>3994</v>
      </c>
      <c r="AF16" s="390">
        <f>SUM(C12:C16)</f>
        <v>33</v>
      </c>
      <c r="AG16" s="390"/>
      <c r="AH16" s="390"/>
      <c r="AI16" s="390" t="s">
        <v>3995</v>
      </c>
      <c r="AJ16" s="466">
        <f>ABS(SUM(L12:L16))</f>
        <v>1617.8900000000899</v>
      </c>
      <c r="AK16" s="364" t="s">
        <v>3996</v>
      </c>
      <c r="AL16" s="398">
        <f>S10/S9</f>
        <v>2.1517067003792669</v>
      </c>
      <c r="AM16" s="364"/>
      <c r="AN16" s="382"/>
      <c r="AO16" s="393" t="s">
        <v>2240</v>
      </c>
      <c r="AP16" s="394">
        <f>COUNTIFS(Table1[MONTH],'PERFORMANCE ANALYSIS'!$A$3,Table1[CODE],"YT-XT",Table1[W/L],"W")</f>
        <v>0</v>
      </c>
      <c r="AQ16" s="421">
        <f>SUMIFS(Table1[E QTY],Table1[MONTH],'PERFORMANCE ANALYSIS'!$A$3,Table1[CODE],"YT-XT",Table1[W/L],"W")</f>
        <v>0</v>
      </c>
      <c r="AR16" s="395">
        <f>SUMIFS(Table1[TOTAL PROFIT],Table1[MONTH],'PERFORMANCE ANALYSIS'!$A$3,Table1[W/L],"W",Table1[CODE],"YT-XT")</f>
        <v>0</v>
      </c>
      <c r="AS16" s="420">
        <f>IFERROR(AVERAGEIFS(Table1[PNL ($) SINGLE ORDER],Table1[MONTH],'PERFORMANCE ANALYSIS'!$A$3,Table1[W/L],"W",Table1[CODE],"YT-XT"),0)</f>
        <v>0</v>
      </c>
      <c r="AT16" s="397">
        <f>IFERROR(Table3[[#This Row],[TOTAL LOTS]]/Table3[[#This Row],[ORDERS]],0)</f>
        <v>0</v>
      </c>
      <c r="AU16" s="394">
        <f>COUNTIFS(Table1[MONTH],'PERFORMANCE ANALYSIS'!$A$3,Table1[CODE],"YT-XT",Table1[W/L],"L")</f>
        <v>0</v>
      </c>
      <c r="AV16" s="421">
        <f>SUMIFS(Table1[E QTY],Table1[MONTH],'PERFORMANCE ANALYSIS'!$A$3,Table1[CODE],"YT-XT",Table1[W/L],"L")</f>
        <v>0</v>
      </c>
      <c r="AW16" s="395">
        <f>SUMIFS(Table1[TOTAL PROFIT],Table1[MONTH],'PERFORMANCE ANALYSIS'!$A$3,Table1[W/L],"L",Table1[CODE],"YT-XT")</f>
        <v>0</v>
      </c>
      <c r="AX16" s="420">
        <f>IFERROR(ABS(AVERAGEIFS(Table1[PNL ($) SINGLE ORDER],Table1[MONTH],'PERFORMANCE ANALYSIS'!$A$3,Table1[W/L],"L",Table1[CODE],"YT-XT")),0)</f>
        <v>0</v>
      </c>
      <c r="AY16" s="397">
        <f>IFERROR(Table3[[#This Row],[TOTAL LOTS2]]/Table3[[#This Row],[ORDERS2]],0)</f>
        <v>0</v>
      </c>
      <c r="AZ16" s="364"/>
    </row>
    <row r="17" spans="1:52" ht="16.5" customHeight="1">
      <c r="A17" s="333"/>
      <c r="B17" s="317"/>
      <c r="C17" s="334"/>
      <c r="D17" s="314"/>
      <c r="E17" s="314"/>
      <c r="F17" s="314"/>
      <c r="G17" s="314"/>
      <c r="H17" s="314"/>
      <c r="I17" s="314"/>
      <c r="J17" s="314"/>
      <c r="K17" s="335"/>
      <c r="L17" s="336"/>
      <c r="M17" s="319"/>
      <c r="N17" s="337"/>
      <c r="O17"/>
      <c r="P17"/>
      <c r="Q17"/>
      <c r="R17"/>
      <c r="S17"/>
      <c r="T17"/>
      <c r="U17"/>
      <c r="V17"/>
      <c r="W17"/>
      <c r="X17"/>
      <c r="Y17"/>
      <c r="Z17"/>
      <c r="AA17"/>
      <c r="AB17"/>
      <c r="AC17"/>
      <c r="AD17" s="314"/>
      <c r="AE17" s="390" t="s">
        <v>3997</v>
      </c>
      <c r="AF17" s="390">
        <f>SUM(V12:V16)</f>
        <v>986</v>
      </c>
      <c r="AG17" s="314"/>
      <c r="AH17" s="314"/>
      <c r="AI17" s="314" t="s">
        <v>3998</v>
      </c>
      <c r="AJ17" s="467">
        <f>SUM(L9:L10)</f>
        <v>1520.0000000000036</v>
      </c>
      <c r="AK17" s="314" t="s">
        <v>3999</v>
      </c>
      <c r="AL17" s="478">
        <f>C10/C9</f>
        <v>0.30434782608695654</v>
      </c>
      <c r="AM17" s="314"/>
      <c r="AN17" s="314"/>
      <c r="AO17" s="314"/>
      <c r="AP17" s="314"/>
      <c r="AQ17" s="314"/>
      <c r="AR17" s="314"/>
      <c r="AS17" s="314"/>
      <c r="AT17" s="314"/>
      <c r="AU17" s="314"/>
      <c r="AV17" s="314"/>
      <c r="AW17" s="314"/>
      <c r="AX17" s="314"/>
      <c r="AY17" s="314"/>
      <c r="AZ17" s="314"/>
    </row>
    <row r="18" spans="1:52" ht="16.5" customHeight="1">
      <c r="A18" s="333"/>
      <c r="B18" s="317"/>
      <c r="C18" s="334"/>
      <c r="D18" s="314"/>
      <c r="E18" s="314"/>
      <c r="F18" s="314"/>
      <c r="G18" s="314"/>
      <c r="H18" s="314"/>
      <c r="I18" s="314"/>
      <c r="J18" s="314"/>
      <c r="K18" s="335"/>
      <c r="L18" s="336"/>
      <c r="M18" s="319"/>
      <c r="N18" s="337"/>
      <c r="O18"/>
      <c r="P18"/>
      <c r="Q18"/>
      <c r="R18"/>
      <c r="S18"/>
      <c r="T18"/>
      <c r="U18"/>
      <c r="V18"/>
      <c r="W18"/>
      <c r="X18"/>
      <c r="Y18"/>
      <c r="Z18"/>
      <c r="AA18"/>
      <c r="AB18"/>
      <c r="AC18"/>
      <c r="AD18" s="314"/>
      <c r="AE18" s="390"/>
      <c r="AF18" s="314"/>
      <c r="AG18" s="314"/>
      <c r="AH18" s="314"/>
      <c r="AI18" s="314"/>
      <c r="AJ18" s="314"/>
      <c r="AK18" s="314"/>
      <c r="AL18" s="314"/>
      <c r="AM18" s="314"/>
      <c r="AN18" s="314"/>
      <c r="AO18" s="314"/>
      <c r="AP18" s="314"/>
      <c r="AQ18" s="314"/>
      <c r="AR18" s="314"/>
      <c r="AS18" s="314"/>
      <c r="AT18" s="314"/>
      <c r="AU18" s="314"/>
      <c r="AV18" s="314"/>
      <c r="AW18" s="314"/>
      <c r="AX18" s="314"/>
      <c r="AY18" s="314"/>
      <c r="AZ18" s="314"/>
    </row>
    <row r="19" spans="1:52" s="416" customFormat="1" ht="16.5" customHeight="1">
      <c r="A19" s="468"/>
      <c r="B19" s="469"/>
      <c r="C19" s="470"/>
      <c r="D19" s="415"/>
      <c r="E19" s="415"/>
      <c r="F19" s="415"/>
      <c r="G19" s="415"/>
      <c r="H19" s="415"/>
      <c r="I19" s="415"/>
      <c r="J19" s="415"/>
      <c r="K19" s="471"/>
      <c r="L19" s="472"/>
      <c r="M19" s="473"/>
      <c r="N19" s="474"/>
      <c r="O19" s="475"/>
      <c r="P19" s="475"/>
      <c r="Q19" s="475"/>
      <c r="R19" s="475"/>
      <c r="S19" s="475"/>
      <c r="T19" s="475"/>
      <c r="U19" s="475"/>
      <c r="V19" s="475"/>
      <c r="W19" s="475"/>
      <c r="X19" s="475"/>
      <c r="Y19" s="475"/>
      <c r="Z19" s="475"/>
      <c r="AA19" s="475"/>
      <c r="AB19" s="475"/>
      <c r="AC19" s="475"/>
      <c r="AD19" s="415"/>
      <c r="AE19" s="415"/>
      <c r="AF19" s="415"/>
      <c r="AG19" s="415"/>
      <c r="AH19" s="415"/>
      <c r="AI19" s="415"/>
      <c r="AJ19" s="415"/>
      <c r="AK19" s="415"/>
      <c r="AL19" s="415"/>
      <c r="AM19" s="415"/>
      <c r="AN19" s="415"/>
      <c r="AO19" s="415"/>
      <c r="AP19" s="415"/>
      <c r="AQ19" s="415"/>
      <c r="AR19" s="415"/>
      <c r="AS19" s="415"/>
      <c r="AT19" s="415"/>
      <c r="AU19" s="415"/>
      <c r="AV19" s="415"/>
      <c r="AW19" s="415"/>
      <c r="AX19" s="415"/>
      <c r="AY19" s="415"/>
      <c r="AZ19" s="415"/>
    </row>
    <row r="20" spans="1:52" s="519" customFormat="1" ht="13.9" customHeight="1"/>
    <row r="21" spans="1:52" s="519" customFormat="1" ht="13.9" customHeight="1"/>
    <row r="22" spans="1:52">
      <c r="A22" s="487"/>
      <c r="B22" s="487"/>
      <c r="C22" s="487"/>
      <c r="D22" s="487"/>
      <c r="E22" s="487"/>
      <c r="F22" s="488"/>
      <c r="G22" s="487"/>
      <c r="H22" s="487"/>
      <c r="I22" s="487"/>
      <c r="J22" s="487"/>
      <c r="K22" s="487"/>
      <c r="L22" s="487"/>
      <c r="M22" s="373"/>
      <c r="N22" s="373"/>
      <c r="O22" s="373"/>
      <c r="P22" s="373"/>
      <c r="Q22" s="373"/>
      <c r="R22" s="373"/>
      <c r="S22" s="373"/>
      <c r="T22" s="373"/>
      <c r="U22" s="373"/>
      <c r="V22" s="373"/>
      <c r="W22" s="373"/>
      <c r="X22" s="373"/>
      <c r="Y22" s="373"/>
      <c r="Z22" s="373"/>
      <c r="AA22" s="373"/>
      <c r="AB22" s="373"/>
      <c r="AC22" s="373"/>
      <c r="AD22" s="373"/>
      <c r="AE22" s="314"/>
      <c r="AF22" s="314"/>
      <c r="AG22" s="314"/>
      <c r="AH22" s="314"/>
      <c r="AI22" s="314"/>
      <c r="AJ22" s="314"/>
      <c r="AK22" s="314"/>
      <c r="AL22" s="314"/>
      <c r="AM22" s="314"/>
      <c r="AN22" s="314"/>
      <c r="AO22" s="314"/>
      <c r="AP22" s="314"/>
      <c r="AQ22" s="314"/>
      <c r="AR22" s="314"/>
      <c r="AS22" s="314"/>
      <c r="AT22" s="314"/>
      <c r="AU22" s="314"/>
      <c r="AV22" s="314"/>
      <c r="AW22" s="314"/>
      <c r="AX22" s="314"/>
      <c r="AY22" s="314"/>
      <c r="AZ22" s="314"/>
    </row>
    <row r="23" spans="1:52">
      <c r="A23" s="487"/>
      <c r="B23" s="487"/>
      <c r="C23" s="487"/>
      <c r="D23" s="487"/>
      <c r="E23" s="487"/>
      <c r="F23" s="488"/>
      <c r="G23" s="487"/>
      <c r="H23" s="487"/>
      <c r="I23" s="487"/>
      <c r="J23" s="487"/>
      <c r="K23" s="487"/>
      <c r="L23" s="487"/>
      <c r="M23" s="373"/>
      <c r="N23" s="373"/>
      <c r="O23" s="373"/>
      <c r="P23" s="373"/>
      <c r="Q23" s="373"/>
      <c r="R23" s="373"/>
      <c r="S23" s="373"/>
      <c r="T23" s="373"/>
      <c r="U23" s="373"/>
      <c r="V23" s="373"/>
      <c r="W23" s="373"/>
      <c r="X23" s="373"/>
      <c r="Y23" s="373"/>
      <c r="Z23" s="373"/>
      <c r="AA23" s="373"/>
      <c r="AB23" s="373"/>
      <c r="AC23" s="373"/>
      <c r="AD23" s="373"/>
      <c r="AE23" s="314"/>
      <c r="AF23" s="314"/>
      <c r="AG23" s="314"/>
      <c r="AH23" s="314"/>
      <c r="AI23" s="314"/>
      <c r="AJ23" s="314"/>
      <c r="AK23" s="314"/>
      <c r="AL23" s="314"/>
      <c r="AM23" s="314"/>
      <c r="AN23" s="314"/>
      <c r="AO23" s="314"/>
      <c r="AP23" s="314"/>
      <c r="AQ23" s="314"/>
      <c r="AR23" s="314"/>
      <c r="AS23" s="314"/>
      <c r="AT23" s="314"/>
      <c r="AU23" s="314"/>
      <c r="AV23" s="314"/>
      <c r="AW23" s="314"/>
      <c r="AX23" s="314"/>
      <c r="AY23" s="314"/>
      <c r="AZ23" s="314"/>
    </row>
    <row r="24" spans="1:52">
      <c r="A24" s="487"/>
      <c r="B24" s="487"/>
      <c r="C24" s="487"/>
      <c r="D24" s="487"/>
      <c r="E24" s="487"/>
      <c r="F24" s="488"/>
      <c r="G24" s="487"/>
      <c r="H24" s="487"/>
      <c r="I24" s="487"/>
      <c r="J24" s="487"/>
      <c r="K24" s="487"/>
      <c r="L24" s="487"/>
      <c r="M24" s="373"/>
      <c r="N24" s="373"/>
      <c r="O24" s="373"/>
      <c r="P24" s="373"/>
      <c r="Q24" s="373"/>
      <c r="R24" s="373"/>
      <c r="S24" s="373"/>
      <c r="T24" s="373"/>
      <c r="U24" s="373"/>
      <c r="V24" s="373"/>
      <c r="W24" s="373"/>
      <c r="X24" s="373"/>
      <c r="Y24" s="373"/>
      <c r="Z24" s="373"/>
      <c r="AA24" s="373"/>
      <c r="AB24" s="373"/>
      <c r="AC24" s="373"/>
      <c r="AD24" s="373"/>
      <c r="AE24" s="314"/>
      <c r="AF24" s="314"/>
      <c r="AG24" s="314"/>
      <c r="AH24" s="314"/>
      <c r="AI24" s="314"/>
      <c r="AJ24" s="314"/>
      <c r="AK24" s="314"/>
      <c r="AL24" s="314"/>
      <c r="AM24" s="314"/>
      <c r="AN24" s="314"/>
      <c r="AO24" s="314"/>
      <c r="AP24" s="314"/>
      <c r="AQ24" s="314"/>
      <c r="AR24" s="314"/>
      <c r="AS24" s="314"/>
      <c r="AT24" s="314"/>
      <c r="AU24" s="314"/>
      <c r="AV24" s="314"/>
      <c r="AW24" s="314"/>
      <c r="AX24" s="314"/>
      <c r="AY24" s="314"/>
      <c r="AZ24" s="314"/>
    </row>
    <row r="25" spans="1:52">
      <c r="A25" s="487"/>
      <c r="B25" s="487"/>
      <c r="C25" s="487"/>
      <c r="D25" s="487"/>
      <c r="E25" s="487"/>
      <c r="F25" s="488"/>
      <c r="G25" s="487"/>
      <c r="H25" s="487"/>
      <c r="I25" s="487"/>
      <c r="J25" s="487"/>
      <c r="K25" s="487"/>
      <c r="L25" s="487"/>
      <c r="M25" s="373"/>
      <c r="N25" s="373"/>
      <c r="O25" s="373"/>
      <c r="P25" s="373"/>
      <c r="Q25" s="373"/>
      <c r="R25" s="373"/>
      <c r="S25" s="373"/>
      <c r="T25" s="373"/>
      <c r="U25" s="373"/>
      <c r="V25" s="373"/>
      <c r="W25" s="373"/>
      <c r="X25" s="373"/>
      <c r="Y25" s="373"/>
      <c r="Z25" s="373"/>
      <c r="AA25" s="373"/>
      <c r="AB25" s="373"/>
      <c r="AC25" s="373"/>
      <c r="AD25" s="373"/>
      <c r="AE25" s="314"/>
      <c r="AF25" s="314"/>
      <c r="AG25" s="314"/>
      <c r="AH25" s="314"/>
      <c r="AI25" s="314"/>
      <c r="AJ25" s="314"/>
      <c r="AK25" s="314"/>
      <c r="AL25" s="314"/>
      <c r="AM25" s="314"/>
      <c r="AN25" s="314"/>
      <c r="AO25" s="314"/>
      <c r="AP25" s="314"/>
      <c r="AQ25" s="314"/>
      <c r="AR25" s="314"/>
      <c r="AS25" s="314"/>
      <c r="AT25" s="314"/>
      <c r="AU25" s="314"/>
      <c r="AV25" s="314"/>
      <c r="AW25" s="314"/>
      <c r="AX25" s="314"/>
      <c r="AY25" s="314"/>
      <c r="AZ25" s="314"/>
    </row>
    <row r="26" spans="1:52">
      <c r="A26" s="487"/>
      <c r="B26" s="487"/>
      <c r="C26" s="487"/>
      <c r="D26" s="487"/>
      <c r="E26" s="487"/>
      <c r="F26" s="488"/>
      <c r="G26" s="487"/>
      <c r="H26" s="487"/>
      <c r="I26" s="487"/>
      <c r="J26" s="487"/>
      <c r="K26" s="487"/>
      <c r="L26" s="487"/>
      <c r="M26" s="373"/>
      <c r="N26" s="373"/>
      <c r="O26" s="373"/>
      <c r="P26" s="373"/>
      <c r="Q26" s="373"/>
      <c r="R26" s="373"/>
      <c r="S26" s="373"/>
      <c r="T26" s="373"/>
      <c r="U26" s="373"/>
      <c r="V26" s="373"/>
      <c r="W26" s="373"/>
      <c r="X26" s="373"/>
      <c r="Y26" s="373"/>
      <c r="Z26" s="373"/>
      <c r="AA26" s="373"/>
      <c r="AB26" s="373"/>
      <c r="AC26" s="373"/>
      <c r="AD26" s="373"/>
      <c r="AE26" s="314"/>
      <c r="AF26" s="314"/>
      <c r="AG26" s="314"/>
      <c r="AH26" s="314"/>
      <c r="AI26" s="314"/>
      <c r="AJ26" s="314"/>
      <c r="AK26" s="314"/>
      <c r="AL26" s="314"/>
      <c r="AM26" s="314"/>
      <c r="AN26" s="314"/>
      <c r="AO26" s="314"/>
      <c r="AP26" s="314"/>
      <c r="AQ26" s="314"/>
      <c r="AR26" s="314"/>
      <c r="AS26" s="314"/>
      <c r="AT26" s="314"/>
      <c r="AU26" s="314"/>
      <c r="AV26" s="314"/>
      <c r="AW26" s="314"/>
      <c r="AX26" s="314"/>
      <c r="AY26" s="314"/>
      <c r="AZ26" s="314"/>
    </row>
    <row r="27" spans="1:52">
      <c r="A27" s="487"/>
      <c r="B27" s="487"/>
      <c r="C27" s="487"/>
      <c r="D27" s="487"/>
      <c r="E27" s="487"/>
      <c r="F27" s="488"/>
      <c r="G27" s="487"/>
      <c r="H27" s="487"/>
      <c r="I27" s="487"/>
      <c r="J27" s="487"/>
      <c r="K27" s="487"/>
      <c r="L27" s="487"/>
      <c r="M27" s="373"/>
      <c r="N27" s="373"/>
      <c r="O27" s="373"/>
      <c r="P27" s="373"/>
      <c r="Q27" s="373"/>
      <c r="R27" s="373"/>
      <c r="S27" s="373"/>
      <c r="T27" s="373"/>
      <c r="U27" s="373"/>
      <c r="V27" s="373"/>
      <c r="W27" s="373"/>
      <c r="X27" s="373"/>
      <c r="Y27" s="373"/>
      <c r="Z27" s="373"/>
      <c r="AA27" s="373"/>
      <c r="AB27" s="373"/>
      <c r="AC27" s="373"/>
      <c r="AD27" s="373"/>
      <c r="AE27" s="314"/>
      <c r="AF27" s="314"/>
      <c r="AG27" s="314"/>
      <c r="AH27" s="314"/>
      <c r="AI27" s="314"/>
      <c r="AJ27" s="314"/>
      <c r="AK27" s="314"/>
      <c r="AL27" s="314"/>
      <c r="AM27" s="314"/>
      <c r="AN27" s="314"/>
      <c r="AO27" s="314"/>
      <c r="AP27" s="314"/>
      <c r="AQ27" s="314"/>
      <c r="AR27" s="314"/>
      <c r="AS27" s="314"/>
      <c r="AT27" s="314"/>
      <c r="AU27" s="314"/>
      <c r="AV27" s="314"/>
      <c r="AW27" s="314"/>
      <c r="AX27" s="314"/>
      <c r="AY27" s="314"/>
      <c r="AZ27" s="314"/>
    </row>
    <row r="28" spans="1:52">
      <c r="A28" s="487"/>
      <c r="B28" s="487"/>
      <c r="C28" s="487"/>
      <c r="D28" s="487"/>
      <c r="E28" s="487"/>
      <c r="F28" s="488"/>
      <c r="G28" s="487"/>
      <c r="H28" s="487"/>
      <c r="I28" s="487"/>
      <c r="J28" s="487"/>
      <c r="K28" s="487"/>
      <c r="L28" s="487"/>
      <c r="M28" s="373"/>
      <c r="N28" s="373"/>
      <c r="O28" s="373"/>
      <c r="P28" s="373"/>
      <c r="Q28" s="373"/>
      <c r="R28" s="373"/>
      <c r="S28" s="373"/>
      <c r="T28" s="373"/>
      <c r="U28" s="373"/>
      <c r="V28" s="373"/>
      <c r="W28" s="373"/>
      <c r="X28" s="373"/>
      <c r="Y28" s="373"/>
      <c r="Z28" s="373"/>
      <c r="AA28" s="373"/>
      <c r="AB28" s="373"/>
      <c r="AC28" s="373"/>
      <c r="AD28" s="373"/>
      <c r="AE28" s="314"/>
      <c r="AF28" s="314"/>
      <c r="AG28" s="314"/>
      <c r="AH28" s="314"/>
      <c r="AI28" s="314"/>
      <c r="AJ28" s="314"/>
      <c r="AK28" s="314"/>
      <c r="AL28" s="314"/>
      <c r="AM28" s="314"/>
      <c r="AN28" s="314"/>
      <c r="AO28" s="314"/>
      <c r="AP28" s="314"/>
      <c r="AQ28" s="314"/>
      <c r="AR28" s="314"/>
      <c r="AS28" s="314"/>
      <c r="AT28" s="314"/>
      <c r="AU28" s="314"/>
      <c r="AV28" s="314"/>
      <c r="AW28" s="314"/>
      <c r="AX28" s="314"/>
      <c r="AY28" s="314"/>
      <c r="AZ28" s="314"/>
    </row>
    <row r="29" spans="1:52">
      <c r="A29" s="487"/>
      <c r="B29" s="487"/>
      <c r="C29" s="487"/>
      <c r="D29" s="487"/>
      <c r="E29" s="487"/>
      <c r="F29" s="488"/>
      <c r="G29" s="487"/>
      <c r="H29" s="487"/>
      <c r="I29" s="487"/>
      <c r="J29" s="487"/>
      <c r="K29" s="487"/>
      <c r="L29" s="487"/>
      <c r="M29" s="373"/>
      <c r="N29" s="373"/>
      <c r="O29" s="373"/>
      <c r="P29" s="373"/>
      <c r="Q29" s="373"/>
      <c r="R29" s="373"/>
      <c r="S29" s="373"/>
      <c r="T29" s="373"/>
      <c r="U29" s="373"/>
      <c r="V29" s="373"/>
      <c r="W29" s="373"/>
      <c r="X29" s="373"/>
      <c r="Y29" s="373"/>
      <c r="Z29" s="373"/>
      <c r="AA29" s="373"/>
      <c r="AB29" s="373"/>
      <c r="AC29" s="373"/>
      <c r="AD29" s="373"/>
      <c r="AE29" s="314"/>
      <c r="AF29" s="314"/>
      <c r="AG29" s="314"/>
      <c r="AH29" s="314"/>
      <c r="AI29" s="314"/>
      <c r="AJ29" s="314"/>
      <c r="AK29" s="314"/>
      <c r="AL29" s="314"/>
      <c r="AM29" s="314"/>
      <c r="AN29" s="314"/>
      <c r="AO29" s="314"/>
      <c r="AP29" s="314"/>
      <c r="AQ29" s="314"/>
      <c r="AR29" s="314"/>
      <c r="AS29" s="314"/>
      <c r="AT29" s="314"/>
      <c r="AU29" s="314"/>
      <c r="AV29" s="314"/>
      <c r="AW29" s="314"/>
      <c r="AX29" s="314"/>
      <c r="AY29" s="314"/>
      <c r="AZ29" s="314"/>
    </row>
    <row r="30" spans="1:52">
      <c r="A30" s="487"/>
      <c r="B30" s="487"/>
      <c r="C30" s="487"/>
      <c r="D30" s="487"/>
      <c r="E30" s="487"/>
      <c r="F30" s="488"/>
      <c r="G30" s="487"/>
      <c r="H30" s="487"/>
      <c r="I30" s="487"/>
      <c r="J30" s="487"/>
      <c r="K30" s="487"/>
      <c r="L30" s="487"/>
      <c r="M30" s="373"/>
      <c r="N30" s="373"/>
      <c r="O30" s="373"/>
      <c r="P30" s="373"/>
      <c r="Q30" s="373"/>
      <c r="R30" s="373"/>
      <c r="S30" s="373"/>
      <c r="T30" s="373"/>
      <c r="U30" s="373"/>
      <c r="V30" s="373"/>
      <c r="W30" s="373"/>
      <c r="X30" s="373"/>
      <c r="Y30" s="373"/>
      <c r="Z30" s="373"/>
      <c r="AA30" s="373"/>
      <c r="AB30" s="373"/>
      <c r="AC30" s="373"/>
      <c r="AD30" s="373"/>
      <c r="AE30" s="314"/>
      <c r="AF30" s="314"/>
      <c r="AG30" s="314"/>
      <c r="AH30" s="314"/>
      <c r="AI30" s="314"/>
      <c r="AJ30" s="314"/>
      <c r="AK30" s="314"/>
      <c r="AL30" s="314"/>
      <c r="AM30" s="314"/>
      <c r="AN30" s="314"/>
      <c r="AO30" s="314"/>
      <c r="AP30" s="314"/>
      <c r="AQ30" s="314"/>
      <c r="AR30" s="314"/>
      <c r="AS30" s="314"/>
      <c r="AT30" s="314"/>
      <c r="AU30" s="314"/>
      <c r="AV30" s="314"/>
      <c r="AW30" s="314"/>
      <c r="AX30" s="314"/>
      <c r="AY30" s="314"/>
      <c r="AZ30" s="314"/>
    </row>
    <row r="31" spans="1:52">
      <c r="A31" s="487"/>
      <c r="B31" s="487"/>
      <c r="C31" s="487"/>
      <c r="D31" s="487"/>
      <c r="E31" s="487"/>
      <c r="F31" s="488"/>
      <c r="G31" s="487"/>
      <c r="H31" s="487"/>
      <c r="I31" s="487"/>
      <c r="J31" s="487"/>
      <c r="K31" s="487"/>
      <c r="L31" s="487"/>
      <c r="M31" s="373"/>
      <c r="N31" s="373"/>
      <c r="O31" s="373"/>
      <c r="P31" s="373"/>
      <c r="Q31" s="373"/>
      <c r="R31" s="373"/>
      <c r="S31" s="373"/>
      <c r="T31" s="373"/>
      <c r="U31" s="373"/>
      <c r="V31" s="373"/>
      <c r="W31" s="373"/>
      <c r="X31" s="373"/>
      <c r="Y31" s="373"/>
      <c r="Z31" s="373"/>
      <c r="AA31" s="373"/>
      <c r="AB31" s="373"/>
      <c r="AC31" s="373"/>
      <c r="AD31" s="373"/>
      <c r="AE31" s="314"/>
      <c r="AF31" s="314"/>
      <c r="AG31" s="314"/>
      <c r="AH31" s="314"/>
      <c r="AI31" s="314"/>
      <c r="AJ31" s="314"/>
      <c r="AK31" s="314"/>
      <c r="AL31" s="314"/>
      <c r="AM31" s="314"/>
      <c r="AN31" s="314"/>
      <c r="AO31" s="314"/>
      <c r="AP31" s="314"/>
      <c r="AQ31" s="314"/>
      <c r="AR31" s="314"/>
      <c r="AS31" s="314"/>
      <c r="AT31" s="314"/>
      <c r="AU31" s="314"/>
      <c r="AV31" s="314"/>
      <c r="AW31" s="314"/>
      <c r="AX31" s="314"/>
      <c r="AY31" s="314"/>
      <c r="AZ31" s="314"/>
    </row>
    <row r="32" spans="1:52">
      <c r="A32" s="487"/>
      <c r="B32" s="487"/>
      <c r="C32" s="487"/>
      <c r="D32" s="487"/>
      <c r="E32" s="487"/>
      <c r="F32" s="488"/>
      <c r="G32" s="487"/>
      <c r="H32" s="487"/>
      <c r="I32" s="487"/>
      <c r="J32" s="487"/>
      <c r="K32" s="487"/>
      <c r="L32" s="487"/>
      <c r="M32" s="373"/>
      <c r="N32" s="373"/>
      <c r="O32" s="373"/>
      <c r="P32" s="373"/>
      <c r="Q32" s="373"/>
      <c r="R32" s="373"/>
      <c r="S32" s="373"/>
      <c r="T32" s="373"/>
      <c r="U32" s="373"/>
      <c r="V32" s="373"/>
      <c r="W32" s="373"/>
      <c r="X32" s="373"/>
      <c r="Y32" s="373"/>
      <c r="Z32" s="373"/>
      <c r="AA32" s="373"/>
      <c r="AB32" s="373"/>
      <c r="AC32" s="373"/>
      <c r="AD32" s="373"/>
      <c r="AE32" s="314"/>
      <c r="AF32" s="314"/>
      <c r="AG32" s="314"/>
      <c r="AH32" s="314"/>
      <c r="AI32" s="314"/>
      <c r="AJ32" s="314"/>
      <c r="AK32" s="314"/>
      <c r="AL32" s="314"/>
      <c r="AM32" s="314"/>
      <c r="AN32" s="314"/>
      <c r="AO32" s="314"/>
      <c r="AP32" s="314"/>
      <c r="AQ32" s="314"/>
      <c r="AR32" s="314"/>
      <c r="AS32" s="314"/>
      <c r="AT32" s="314"/>
      <c r="AU32" s="314"/>
      <c r="AV32" s="314"/>
      <c r="AW32" s="314"/>
      <c r="AX32" s="314"/>
      <c r="AY32" s="314"/>
      <c r="AZ32" s="314"/>
    </row>
    <row r="33" spans="1:52">
      <c r="A33" s="487"/>
      <c r="B33" s="487"/>
      <c r="C33" s="487"/>
      <c r="D33" s="487"/>
      <c r="E33" s="487"/>
      <c r="F33" s="487"/>
      <c r="G33" s="487"/>
      <c r="H33" s="487"/>
      <c r="I33" s="487"/>
      <c r="J33" s="487"/>
      <c r="K33" s="487"/>
      <c r="L33" s="487"/>
      <c r="M33" s="373"/>
      <c r="N33" s="373"/>
      <c r="O33" s="373"/>
      <c r="P33" s="373"/>
      <c r="Q33" s="373"/>
      <c r="R33" s="373"/>
      <c r="S33" s="373"/>
      <c r="T33" s="373"/>
      <c r="U33" s="373"/>
      <c r="V33" s="373"/>
      <c r="W33" s="373"/>
      <c r="X33" s="373"/>
      <c r="Y33" s="373"/>
      <c r="Z33" s="373"/>
      <c r="AA33" s="373"/>
      <c r="AB33" s="373"/>
      <c r="AC33" s="373"/>
      <c r="AD33" s="373"/>
      <c r="AE33" s="314"/>
      <c r="AF33" s="314"/>
      <c r="AG33" s="314"/>
      <c r="AH33" s="314"/>
      <c r="AI33" s="314"/>
      <c r="AJ33" s="314"/>
      <c r="AK33" s="314"/>
      <c r="AL33" s="314"/>
      <c r="AM33" s="314"/>
      <c r="AN33" s="314"/>
      <c r="AO33" s="314"/>
      <c r="AP33" s="314"/>
      <c r="AQ33" s="314"/>
      <c r="AR33" s="314"/>
      <c r="AS33" s="314"/>
      <c r="AT33" s="314"/>
      <c r="AU33" s="314"/>
      <c r="AV33" s="314"/>
      <c r="AW33" s="314"/>
      <c r="AX33" s="314"/>
      <c r="AY33" s="314"/>
      <c r="AZ33" s="314"/>
    </row>
    <row r="34" spans="1:52">
      <c r="A34" s="487"/>
      <c r="B34" s="487"/>
      <c r="C34" s="487"/>
      <c r="D34" s="487"/>
      <c r="E34" s="487"/>
      <c r="F34" s="487"/>
      <c r="G34" s="487"/>
      <c r="H34" s="487"/>
      <c r="I34" s="487"/>
      <c r="J34" s="487"/>
      <c r="K34" s="487"/>
      <c r="L34" s="487"/>
      <c r="M34" s="373"/>
      <c r="N34" s="373"/>
      <c r="O34" s="373"/>
      <c r="P34" s="373"/>
      <c r="Q34" s="373"/>
      <c r="R34" s="373"/>
      <c r="S34" s="373"/>
      <c r="T34" s="373"/>
      <c r="U34" s="373"/>
      <c r="V34" s="373"/>
      <c r="W34" s="373"/>
      <c r="X34" s="373"/>
      <c r="Y34" s="373"/>
      <c r="Z34" s="373"/>
      <c r="AA34" s="373"/>
      <c r="AB34" s="373"/>
      <c r="AC34" s="373"/>
      <c r="AD34" s="373"/>
      <c r="AE34" s="314"/>
      <c r="AF34" s="314"/>
      <c r="AG34" s="314"/>
      <c r="AH34" s="314"/>
      <c r="AI34" s="314"/>
      <c r="AJ34" s="314"/>
      <c r="AK34" s="314"/>
      <c r="AL34" s="314"/>
      <c r="AM34" s="314"/>
      <c r="AN34" s="314"/>
      <c r="AO34" s="314"/>
      <c r="AP34" s="314"/>
      <c r="AQ34" s="314"/>
      <c r="AR34" s="314"/>
      <c r="AS34" s="314"/>
      <c r="AT34" s="314"/>
      <c r="AU34" s="314"/>
      <c r="AV34" s="314"/>
      <c r="AW34" s="314"/>
      <c r="AX34" s="314"/>
      <c r="AY34" s="314"/>
      <c r="AZ34" s="314"/>
    </row>
    <row r="35" spans="1:52">
      <c r="A35" s="487"/>
      <c r="B35" s="487"/>
      <c r="C35" s="487"/>
      <c r="D35" s="487"/>
      <c r="E35" s="487"/>
      <c r="F35" s="487"/>
      <c r="G35" s="487"/>
      <c r="H35" s="487"/>
      <c r="I35" s="487"/>
      <c r="J35" s="487"/>
      <c r="K35" s="487"/>
      <c r="L35" s="487"/>
      <c r="M35" s="373"/>
      <c r="N35" s="373"/>
      <c r="O35" s="373"/>
      <c r="P35" s="373"/>
      <c r="Q35" s="373"/>
      <c r="R35" s="373"/>
      <c r="S35" s="373"/>
      <c r="T35" s="373"/>
      <c r="U35" s="373"/>
      <c r="V35" s="373"/>
      <c r="W35" s="373"/>
      <c r="X35" s="373"/>
      <c r="Y35" s="373"/>
      <c r="Z35" s="373"/>
      <c r="AA35" s="373"/>
      <c r="AB35" s="373"/>
      <c r="AC35" s="373"/>
      <c r="AD35" s="373"/>
      <c r="AE35" s="314"/>
      <c r="AF35" s="314"/>
      <c r="AG35" s="314"/>
      <c r="AH35" s="314"/>
      <c r="AI35" s="314"/>
      <c r="AJ35" s="314"/>
      <c r="AK35" s="314"/>
      <c r="AL35" s="314"/>
      <c r="AM35" s="314"/>
      <c r="AN35" s="314"/>
      <c r="AO35" s="314"/>
      <c r="AP35" s="314"/>
      <c r="AQ35" s="314"/>
      <c r="AR35" s="314"/>
      <c r="AS35" s="314"/>
      <c r="AT35" s="314"/>
      <c r="AU35" s="314"/>
      <c r="AV35" s="314"/>
      <c r="AW35" s="314"/>
      <c r="AX35" s="314"/>
      <c r="AY35" s="314"/>
      <c r="AZ35" s="314"/>
    </row>
    <row r="36" spans="1:52">
      <c r="A36" s="487"/>
      <c r="B36" s="487"/>
      <c r="C36" s="487"/>
      <c r="D36" s="487"/>
      <c r="E36" s="487"/>
      <c r="F36" s="487"/>
      <c r="G36" s="487"/>
      <c r="H36" s="487"/>
      <c r="I36" s="487"/>
      <c r="J36" s="487"/>
      <c r="K36" s="487"/>
      <c r="L36" s="487"/>
      <c r="M36" s="373"/>
      <c r="N36" s="373"/>
      <c r="O36" s="373"/>
      <c r="P36" s="373"/>
      <c r="Q36" s="373"/>
      <c r="R36" s="373"/>
      <c r="S36" s="373"/>
      <c r="T36" s="373"/>
      <c r="U36" s="373"/>
      <c r="V36" s="373"/>
      <c r="W36" s="373"/>
      <c r="X36" s="373"/>
      <c r="Y36" s="373"/>
      <c r="Z36" s="373"/>
      <c r="AA36" s="373"/>
      <c r="AB36" s="373"/>
      <c r="AC36" s="373"/>
      <c r="AD36" s="373"/>
      <c r="AE36" s="314"/>
      <c r="AF36" s="314"/>
      <c r="AG36" s="314"/>
      <c r="AH36" s="314"/>
      <c r="AI36" s="314"/>
      <c r="AJ36" s="314"/>
      <c r="AK36" s="314"/>
      <c r="AL36" s="314"/>
      <c r="AM36" s="314"/>
      <c r="AN36" s="314"/>
      <c r="AO36" s="314"/>
      <c r="AP36" s="314"/>
      <c r="AQ36" s="314"/>
      <c r="AR36" s="314"/>
      <c r="AS36" s="314"/>
      <c r="AT36" s="314"/>
      <c r="AU36" s="314"/>
      <c r="AV36" s="314"/>
      <c r="AW36" s="314"/>
      <c r="AX36" s="314"/>
      <c r="AY36" s="314"/>
      <c r="AZ36" s="314"/>
    </row>
    <row r="37" spans="1:52">
      <c r="A37" s="487"/>
      <c r="B37" s="487"/>
      <c r="C37" s="487"/>
      <c r="D37" s="487"/>
      <c r="E37" s="487"/>
      <c r="F37" s="487"/>
      <c r="G37" s="487"/>
      <c r="H37" s="487"/>
      <c r="I37" s="487"/>
      <c r="J37" s="487"/>
      <c r="K37" s="487"/>
      <c r="L37" s="487"/>
      <c r="M37" s="373"/>
      <c r="N37" s="373"/>
      <c r="O37" s="373"/>
      <c r="P37" s="373"/>
      <c r="Q37" s="373"/>
      <c r="R37" s="373"/>
      <c r="S37" s="373"/>
      <c r="T37" s="373"/>
      <c r="U37" s="373"/>
      <c r="V37" s="373"/>
      <c r="W37" s="373"/>
      <c r="X37" s="373"/>
      <c r="Y37" s="373"/>
      <c r="Z37" s="373"/>
      <c r="AA37" s="373"/>
      <c r="AB37" s="373"/>
      <c r="AC37" s="373"/>
      <c r="AD37" s="373"/>
      <c r="AE37" s="314"/>
      <c r="AF37" s="314"/>
      <c r="AG37" s="314"/>
      <c r="AH37" s="314"/>
      <c r="AI37" s="314"/>
      <c r="AJ37" s="314"/>
      <c r="AK37" s="314"/>
      <c r="AL37" s="314"/>
      <c r="AM37" s="314"/>
      <c r="AN37" s="314"/>
      <c r="AO37" s="314"/>
      <c r="AP37" s="314"/>
      <c r="AQ37" s="314"/>
      <c r="AR37" s="314"/>
      <c r="AS37" s="314"/>
      <c r="AT37" s="314"/>
      <c r="AU37" s="314"/>
      <c r="AV37" s="314"/>
      <c r="AW37" s="314"/>
      <c r="AX37" s="314"/>
      <c r="AY37" s="314"/>
      <c r="AZ37" s="314"/>
    </row>
    <row r="38" spans="1:52">
      <c r="A38" s="487"/>
      <c r="B38" s="487"/>
      <c r="C38" s="487"/>
      <c r="D38" s="487"/>
      <c r="E38" s="487"/>
      <c r="F38" s="487"/>
      <c r="G38" s="487"/>
      <c r="H38" s="487"/>
      <c r="I38" s="487"/>
      <c r="J38" s="487"/>
      <c r="K38" s="487"/>
      <c r="L38" s="487"/>
      <c r="M38" s="373"/>
      <c r="N38" s="373"/>
      <c r="O38" s="373"/>
      <c r="P38" s="373"/>
      <c r="Q38" s="373"/>
      <c r="R38" s="373"/>
      <c r="S38" s="373"/>
      <c r="T38" s="373"/>
      <c r="U38" s="373"/>
      <c r="V38" s="373"/>
      <c r="W38" s="373"/>
      <c r="X38" s="373"/>
      <c r="Y38" s="373"/>
      <c r="Z38" s="373"/>
      <c r="AA38" s="373"/>
      <c r="AB38" s="373"/>
      <c r="AC38" s="373"/>
      <c r="AD38" s="373"/>
      <c r="AE38" s="314"/>
      <c r="AF38" s="314"/>
      <c r="AG38" s="314"/>
      <c r="AH38" s="314"/>
      <c r="AI38" s="314"/>
      <c r="AJ38" s="314"/>
      <c r="AK38" s="314"/>
      <c r="AL38" s="314"/>
      <c r="AM38" s="314"/>
      <c r="AN38" s="314"/>
      <c r="AO38" s="314"/>
      <c r="AP38" s="314"/>
      <c r="AQ38" s="314"/>
      <c r="AR38" s="314"/>
      <c r="AS38" s="314"/>
      <c r="AT38" s="314"/>
      <c r="AU38" s="314"/>
      <c r="AV38" s="314"/>
      <c r="AW38" s="314"/>
      <c r="AX38" s="314"/>
      <c r="AY38" s="314"/>
      <c r="AZ38" s="314"/>
    </row>
    <row r="39" spans="1:52">
      <c r="A39" s="487"/>
      <c r="B39" s="487"/>
      <c r="C39" s="487"/>
      <c r="D39" s="487"/>
      <c r="E39" s="487"/>
      <c r="F39" s="487"/>
      <c r="G39" s="487"/>
      <c r="H39" s="487"/>
      <c r="I39" s="487"/>
      <c r="J39" s="487"/>
      <c r="K39" s="487"/>
      <c r="L39" s="487"/>
      <c r="M39" s="373"/>
      <c r="N39" s="373"/>
      <c r="O39" s="373"/>
      <c r="P39" s="373"/>
      <c r="Q39" s="373"/>
      <c r="R39" s="373"/>
      <c r="S39" s="373"/>
      <c r="T39" s="373"/>
      <c r="U39" s="373"/>
      <c r="V39" s="373"/>
      <c r="W39" s="373"/>
      <c r="X39" s="373"/>
      <c r="Y39" s="373"/>
      <c r="Z39" s="373"/>
      <c r="AA39" s="373"/>
      <c r="AB39" s="373"/>
      <c r="AC39" s="373"/>
      <c r="AD39" s="373"/>
      <c r="AE39" s="314"/>
      <c r="AF39" s="314"/>
      <c r="AG39" s="314"/>
      <c r="AH39" s="314"/>
      <c r="AI39" s="314"/>
      <c r="AJ39" s="314"/>
      <c r="AK39" s="314"/>
      <c r="AL39" s="314"/>
      <c r="AM39" s="314"/>
      <c r="AN39" s="314"/>
      <c r="AO39" s="314"/>
      <c r="AP39" s="314"/>
      <c r="AQ39" s="314"/>
      <c r="AR39" s="314"/>
      <c r="AS39" s="314"/>
      <c r="AT39" s="314"/>
      <c r="AU39" s="314"/>
      <c r="AV39" s="314"/>
      <c r="AW39" s="314"/>
      <c r="AX39" s="314"/>
      <c r="AY39" s="314"/>
      <c r="AZ39" s="314"/>
    </row>
    <row r="40" spans="1:52">
      <c r="A40" s="487"/>
      <c r="B40" s="487"/>
      <c r="C40" s="487"/>
      <c r="D40" s="487"/>
      <c r="E40" s="487"/>
      <c r="F40" s="487"/>
      <c r="G40" s="487"/>
      <c r="H40" s="487"/>
      <c r="I40" s="487"/>
      <c r="J40" s="487"/>
      <c r="K40" s="487"/>
      <c r="L40" s="487"/>
      <c r="M40" s="373"/>
      <c r="N40" s="373"/>
      <c r="O40" s="373"/>
      <c r="P40" s="373"/>
      <c r="Q40" s="373"/>
      <c r="R40" s="373"/>
      <c r="S40" s="373"/>
      <c r="T40" s="373"/>
      <c r="U40" s="373"/>
      <c r="V40" s="373"/>
      <c r="W40" s="373"/>
      <c r="X40" s="373"/>
      <c r="Y40" s="373"/>
      <c r="Z40" s="373"/>
      <c r="AA40" s="373"/>
      <c r="AB40" s="373"/>
      <c r="AC40" s="373"/>
      <c r="AD40" s="373"/>
      <c r="AE40" s="314"/>
      <c r="AF40" s="314"/>
      <c r="AG40" s="314"/>
      <c r="AH40" s="314"/>
      <c r="AI40" s="314"/>
      <c r="AJ40" s="314"/>
      <c r="AK40" s="314"/>
      <c r="AL40" s="314"/>
      <c r="AM40" s="314"/>
      <c r="AN40" s="314"/>
      <c r="AO40" s="314"/>
      <c r="AP40" s="314"/>
      <c r="AQ40" s="314"/>
      <c r="AR40" s="314"/>
      <c r="AS40" s="314"/>
      <c r="AT40" s="314"/>
      <c r="AU40" s="314"/>
      <c r="AV40" s="314"/>
      <c r="AW40" s="314"/>
      <c r="AX40" s="314"/>
      <c r="AY40" s="314"/>
      <c r="AZ40" s="314"/>
    </row>
    <row r="41" spans="1:52">
      <c r="A41" s="487"/>
      <c r="B41" s="487"/>
      <c r="C41" s="487"/>
      <c r="D41" s="487"/>
      <c r="E41" s="487"/>
      <c r="F41" s="487"/>
      <c r="G41" s="487"/>
      <c r="H41" s="487"/>
      <c r="I41" s="487"/>
      <c r="J41" s="487"/>
      <c r="K41" s="487"/>
      <c r="L41" s="487"/>
      <c r="M41" s="373"/>
      <c r="N41" s="373"/>
      <c r="O41" s="373"/>
      <c r="P41" s="373"/>
      <c r="Q41" s="373"/>
      <c r="R41" s="373"/>
      <c r="S41" s="373"/>
      <c r="T41" s="373"/>
      <c r="U41" s="373"/>
      <c r="V41" s="373"/>
      <c r="W41" s="373"/>
      <c r="X41" s="373"/>
      <c r="Y41" s="373"/>
      <c r="Z41" s="373"/>
      <c r="AA41" s="373"/>
      <c r="AB41" s="373"/>
      <c r="AC41" s="373"/>
      <c r="AD41" s="373"/>
      <c r="AE41" s="314"/>
      <c r="AF41" s="314"/>
      <c r="AG41" s="314"/>
      <c r="AH41" s="314"/>
      <c r="AI41" s="314"/>
      <c r="AJ41" s="314"/>
      <c r="AK41" s="314"/>
      <c r="AL41" s="314"/>
      <c r="AM41" s="314"/>
      <c r="AN41" s="314"/>
      <c r="AO41" s="314"/>
      <c r="AP41" s="314"/>
      <c r="AQ41" s="314"/>
      <c r="AR41" s="314"/>
      <c r="AS41" s="314"/>
      <c r="AT41" s="314"/>
      <c r="AU41" s="314"/>
      <c r="AV41" s="314"/>
      <c r="AW41" s="314"/>
      <c r="AX41" s="314"/>
      <c r="AY41" s="314"/>
      <c r="AZ41" s="314"/>
    </row>
    <row r="42" spans="1:52">
      <c r="A42" s="487"/>
      <c r="B42" s="487"/>
      <c r="C42" s="487"/>
      <c r="D42" s="487"/>
      <c r="E42" s="487"/>
      <c r="F42" s="487"/>
      <c r="G42" s="487"/>
      <c r="H42" s="487"/>
      <c r="I42" s="487"/>
      <c r="J42" s="487"/>
      <c r="K42" s="487"/>
      <c r="L42" s="487"/>
      <c r="M42" s="373"/>
      <c r="N42" s="373"/>
      <c r="O42" s="373"/>
      <c r="P42" s="373"/>
      <c r="Q42" s="373"/>
      <c r="R42" s="373"/>
      <c r="S42" s="373"/>
      <c r="T42" s="373"/>
      <c r="U42" s="373"/>
      <c r="V42" s="373"/>
      <c r="W42" s="373"/>
      <c r="X42" s="373"/>
      <c r="Y42" s="373"/>
      <c r="Z42" s="373"/>
      <c r="AA42" s="373"/>
      <c r="AB42" s="373"/>
      <c r="AC42" s="373"/>
      <c r="AD42" s="373"/>
      <c r="AE42" s="314"/>
      <c r="AF42" s="314"/>
      <c r="AG42" s="314"/>
      <c r="AH42" s="314"/>
      <c r="AI42" s="314"/>
      <c r="AJ42" s="314"/>
      <c r="AK42" s="314"/>
      <c r="AL42" s="314"/>
      <c r="AM42" s="314"/>
      <c r="AN42" s="314"/>
      <c r="AO42" s="314"/>
      <c r="AP42" s="314"/>
      <c r="AQ42" s="314"/>
      <c r="AR42" s="314"/>
      <c r="AS42" s="314"/>
      <c r="AT42" s="314"/>
      <c r="AU42" s="314"/>
      <c r="AV42" s="314"/>
      <c r="AW42" s="314"/>
      <c r="AX42" s="314"/>
      <c r="AY42" s="314"/>
      <c r="AZ42" s="314"/>
    </row>
    <row r="43" spans="1:52">
      <c r="A43" s="487"/>
      <c r="B43" s="487"/>
      <c r="C43" s="487"/>
      <c r="D43" s="487"/>
      <c r="E43" s="487"/>
      <c r="F43" s="487"/>
      <c r="G43" s="487"/>
      <c r="H43" s="487"/>
      <c r="I43" s="487"/>
      <c r="J43" s="487"/>
      <c r="K43" s="487"/>
      <c r="L43" s="487"/>
      <c r="M43" s="373"/>
      <c r="N43" s="373"/>
      <c r="O43" s="373"/>
      <c r="P43" s="373"/>
      <c r="Q43" s="373"/>
      <c r="R43" s="373"/>
      <c r="S43" s="373"/>
      <c r="T43" s="373"/>
      <c r="U43" s="373"/>
      <c r="V43" s="373"/>
      <c r="W43" s="373"/>
      <c r="X43" s="373"/>
      <c r="Y43" s="373"/>
      <c r="Z43" s="373"/>
      <c r="AA43" s="373"/>
      <c r="AB43" s="373"/>
      <c r="AC43" s="373"/>
      <c r="AD43" s="373"/>
      <c r="AE43" s="314"/>
      <c r="AF43" s="314"/>
      <c r="AG43" s="314"/>
      <c r="AH43" s="314"/>
      <c r="AI43" s="314"/>
      <c r="AJ43" s="314"/>
      <c r="AK43" s="314"/>
      <c r="AL43" s="314"/>
      <c r="AM43" s="314"/>
      <c r="AN43" s="314"/>
      <c r="AO43" s="314"/>
      <c r="AP43" s="314"/>
      <c r="AQ43" s="314"/>
      <c r="AR43" s="314"/>
      <c r="AS43" s="314"/>
      <c r="AT43" s="314"/>
      <c r="AU43" s="314"/>
      <c r="AV43" s="314"/>
      <c r="AW43" s="314"/>
      <c r="AX43" s="314"/>
      <c r="AY43" s="314"/>
      <c r="AZ43" s="314"/>
    </row>
    <row r="44" spans="1:52">
      <c r="A44" s="487"/>
      <c r="B44" s="487"/>
      <c r="C44" s="487"/>
      <c r="D44" s="487"/>
      <c r="E44" s="487"/>
      <c r="F44" s="487"/>
      <c r="G44" s="487"/>
      <c r="H44" s="487"/>
      <c r="I44" s="487"/>
      <c r="J44" s="487"/>
      <c r="K44" s="487"/>
      <c r="L44" s="487"/>
      <c r="M44" s="373"/>
      <c r="N44" s="373"/>
      <c r="O44" s="373"/>
      <c r="P44" s="373"/>
      <c r="Q44" s="373"/>
      <c r="R44" s="373"/>
      <c r="S44" s="373"/>
      <c r="T44" s="373"/>
      <c r="U44" s="373"/>
      <c r="V44" s="373"/>
      <c r="W44" s="373"/>
      <c r="X44" s="373"/>
      <c r="Y44" s="373"/>
      <c r="Z44" s="373"/>
      <c r="AA44" s="373"/>
      <c r="AB44" s="373"/>
      <c r="AC44" s="373"/>
      <c r="AD44" s="373"/>
      <c r="AE44" s="314"/>
      <c r="AF44" s="314"/>
      <c r="AG44" s="314"/>
      <c r="AH44" s="314"/>
      <c r="AI44" s="314"/>
      <c r="AJ44" s="314"/>
      <c r="AK44" s="314"/>
      <c r="AL44" s="314"/>
      <c r="AM44" s="314"/>
      <c r="AN44" s="314"/>
      <c r="AO44" s="314"/>
      <c r="AP44" s="314"/>
      <c r="AQ44" s="314"/>
      <c r="AR44" s="314"/>
      <c r="AS44" s="314"/>
      <c r="AT44" s="314"/>
      <c r="AU44" s="314"/>
      <c r="AV44" s="314"/>
      <c r="AW44" s="314"/>
      <c r="AX44" s="314"/>
      <c r="AY44" s="314"/>
      <c r="AZ44" s="314"/>
    </row>
    <row r="45" spans="1:52">
      <c r="A45" s="487"/>
      <c r="B45" s="487"/>
      <c r="C45" s="487"/>
      <c r="D45" s="487"/>
      <c r="E45" s="487"/>
      <c r="F45" s="487"/>
      <c r="G45" s="487"/>
      <c r="H45" s="487"/>
      <c r="I45" s="487"/>
      <c r="J45" s="487"/>
      <c r="K45" s="487"/>
      <c r="L45" s="487"/>
      <c r="M45" s="373"/>
      <c r="N45" s="373"/>
      <c r="O45" s="373"/>
      <c r="P45" s="373"/>
      <c r="Q45" s="373"/>
      <c r="R45" s="373"/>
      <c r="S45" s="373"/>
      <c r="T45" s="373"/>
      <c r="U45" s="373"/>
      <c r="V45" s="373"/>
      <c r="W45" s="373"/>
      <c r="X45" s="373"/>
      <c r="Y45" s="373"/>
      <c r="Z45" s="373"/>
      <c r="AA45" s="373"/>
      <c r="AB45" s="373"/>
      <c r="AC45" s="373"/>
      <c r="AD45" s="373"/>
      <c r="AE45" s="314"/>
      <c r="AF45" s="314"/>
      <c r="AG45" s="314"/>
      <c r="AH45" s="314"/>
      <c r="AI45" s="314"/>
      <c r="AJ45" s="314"/>
      <c r="AK45" s="314"/>
      <c r="AL45" s="314"/>
      <c r="AM45" s="314"/>
      <c r="AN45" s="314"/>
      <c r="AO45" s="314"/>
      <c r="AP45" s="314"/>
      <c r="AQ45" s="314"/>
      <c r="AR45" s="314"/>
      <c r="AS45" s="314"/>
      <c r="AT45" s="314"/>
      <c r="AU45" s="314"/>
      <c r="AV45" s="314"/>
      <c r="AW45" s="314"/>
      <c r="AX45" s="314"/>
      <c r="AY45" s="314"/>
      <c r="AZ45" s="314"/>
    </row>
    <row r="46" spans="1:52">
      <c r="A46" s="487"/>
      <c r="B46" s="487"/>
      <c r="C46" s="487"/>
      <c r="D46" s="487"/>
      <c r="E46" s="487"/>
      <c r="F46" s="487"/>
      <c r="G46" s="487"/>
      <c r="H46" s="487"/>
      <c r="I46" s="487"/>
      <c r="J46" s="487"/>
      <c r="K46" s="487"/>
      <c r="L46" s="487"/>
      <c r="M46" s="373"/>
      <c r="N46" s="373"/>
      <c r="O46" s="373"/>
      <c r="P46" s="373"/>
      <c r="Q46" s="373"/>
      <c r="R46" s="373"/>
      <c r="S46" s="373"/>
      <c r="T46" s="373"/>
      <c r="U46" s="373"/>
      <c r="V46" s="373"/>
      <c r="W46" s="373"/>
      <c r="X46" s="373"/>
      <c r="Y46" s="373"/>
      <c r="Z46" s="373"/>
      <c r="AA46" s="373"/>
      <c r="AB46" s="373"/>
      <c r="AC46" s="373"/>
      <c r="AD46" s="373"/>
      <c r="AE46" s="314"/>
      <c r="AF46" s="314"/>
      <c r="AG46" s="314"/>
      <c r="AH46" s="314"/>
      <c r="AI46" s="314"/>
      <c r="AJ46" s="314"/>
      <c r="AK46" s="314"/>
      <c r="AL46" s="314"/>
      <c r="AM46" s="314"/>
      <c r="AN46" s="314"/>
      <c r="AO46" s="314"/>
      <c r="AP46" s="314"/>
      <c r="AQ46" s="314"/>
      <c r="AR46" s="314"/>
      <c r="AS46" s="314"/>
      <c r="AT46" s="314"/>
      <c r="AU46" s="314"/>
      <c r="AV46" s="314"/>
      <c r="AW46" s="314"/>
      <c r="AX46" s="314"/>
      <c r="AY46" s="314"/>
      <c r="AZ46" s="314"/>
    </row>
    <row r="47" spans="1:52">
      <c r="A47" s="487"/>
      <c r="B47" s="487"/>
      <c r="C47" s="487"/>
      <c r="D47" s="487"/>
      <c r="E47" s="487"/>
      <c r="F47" s="487"/>
      <c r="G47" s="487"/>
      <c r="H47" s="487"/>
      <c r="I47" s="487"/>
      <c r="J47" s="487"/>
      <c r="K47" s="487"/>
      <c r="L47" s="487"/>
      <c r="M47" s="373"/>
      <c r="N47" s="373"/>
      <c r="O47" s="373"/>
      <c r="P47" s="373"/>
      <c r="Q47" s="373"/>
      <c r="R47" s="373"/>
      <c r="S47" s="373"/>
      <c r="T47" s="373"/>
      <c r="U47" s="373"/>
      <c r="V47" s="373"/>
      <c r="W47" s="373"/>
      <c r="X47" s="373"/>
      <c r="Y47" s="373"/>
      <c r="Z47" s="373"/>
      <c r="AA47" s="373"/>
      <c r="AB47" s="373"/>
      <c r="AC47" s="373"/>
      <c r="AD47" s="373"/>
      <c r="AE47" s="314"/>
      <c r="AF47" s="314"/>
      <c r="AG47" s="314"/>
      <c r="AH47" s="314"/>
      <c r="AI47" s="314"/>
      <c r="AJ47" s="314"/>
      <c r="AK47" s="314"/>
      <c r="AL47" s="314"/>
      <c r="AM47" s="314"/>
      <c r="AN47" s="314"/>
      <c r="AO47" s="314"/>
      <c r="AP47" s="314"/>
      <c r="AQ47" s="314"/>
      <c r="AR47" s="314"/>
      <c r="AS47" s="314"/>
      <c r="AT47" s="314"/>
      <c r="AU47" s="314"/>
      <c r="AV47" s="314"/>
      <c r="AW47" s="314"/>
      <c r="AX47" s="314"/>
      <c r="AY47" s="314"/>
      <c r="AZ47" s="314"/>
    </row>
    <row r="48" spans="1:52">
      <c r="A48" s="487"/>
      <c r="B48" s="487"/>
      <c r="C48" s="487"/>
      <c r="D48" s="487"/>
      <c r="E48" s="487"/>
      <c r="F48" s="487"/>
      <c r="G48" s="487"/>
      <c r="H48" s="487"/>
      <c r="I48" s="487"/>
      <c r="J48" s="487"/>
      <c r="K48" s="487"/>
      <c r="L48" s="487"/>
      <c r="M48" s="373"/>
      <c r="N48" s="373"/>
      <c r="O48" s="373"/>
      <c r="P48" s="373"/>
      <c r="Q48" s="373"/>
      <c r="R48" s="373"/>
      <c r="S48" s="373"/>
      <c r="T48" s="373"/>
      <c r="U48" s="373"/>
      <c r="V48" s="373"/>
      <c r="W48" s="373"/>
      <c r="X48" s="373"/>
      <c r="Y48" s="373"/>
      <c r="Z48" s="373"/>
      <c r="AA48" s="373"/>
      <c r="AB48" s="373"/>
      <c r="AC48" s="373"/>
      <c r="AD48" s="373"/>
      <c r="AE48" s="314"/>
      <c r="AF48" s="314"/>
      <c r="AG48" s="314"/>
      <c r="AH48" s="314"/>
      <c r="AI48" s="314"/>
      <c r="AJ48" s="314"/>
      <c r="AK48" s="314"/>
      <c r="AL48" s="314"/>
      <c r="AM48" s="314"/>
      <c r="AN48" s="314"/>
      <c r="AO48" s="314"/>
      <c r="AP48" s="314"/>
      <c r="AQ48" s="314"/>
      <c r="AR48" s="314"/>
      <c r="AS48" s="314"/>
      <c r="AT48" s="314"/>
      <c r="AU48" s="314"/>
      <c r="AV48" s="314"/>
      <c r="AW48" s="314"/>
      <c r="AX48" s="314"/>
      <c r="AY48" s="314"/>
      <c r="AZ48" s="314"/>
    </row>
    <row r="49" spans="1:52">
      <c r="A49" s="487"/>
      <c r="B49" s="487"/>
      <c r="C49" s="487"/>
      <c r="D49" s="487"/>
      <c r="E49" s="487"/>
      <c r="F49" s="487"/>
      <c r="G49" s="487"/>
      <c r="H49" s="487"/>
      <c r="I49" s="487"/>
      <c r="J49" s="487"/>
      <c r="K49" s="487"/>
      <c r="L49" s="487"/>
      <c r="M49" s="373"/>
      <c r="N49" s="373"/>
      <c r="O49" s="373"/>
      <c r="P49" s="373"/>
      <c r="Q49" s="373"/>
      <c r="R49" s="373"/>
      <c r="S49" s="373"/>
      <c r="T49" s="373"/>
      <c r="U49" s="373"/>
      <c r="V49" s="373"/>
      <c r="W49" s="373"/>
      <c r="X49" s="373"/>
      <c r="Y49" s="373"/>
      <c r="Z49" s="373"/>
      <c r="AA49" s="373"/>
      <c r="AB49" s="373"/>
      <c r="AC49" s="373"/>
      <c r="AD49" s="373"/>
      <c r="AE49" s="314"/>
      <c r="AF49" s="314"/>
      <c r="AG49" s="314"/>
      <c r="AH49" s="314"/>
      <c r="AI49" s="314"/>
      <c r="AJ49" s="314"/>
      <c r="AK49" s="314"/>
      <c r="AL49" s="314"/>
      <c r="AM49" s="314"/>
      <c r="AN49" s="314"/>
      <c r="AO49" s="314"/>
      <c r="AP49" s="314"/>
      <c r="AQ49" s="314"/>
      <c r="AR49" s="314"/>
      <c r="AS49" s="314"/>
      <c r="AT49" s="314"/>
      <c r="AU49" s="314"/>
      <c r="AV49" s="314"/>
      <c r="AW49" s="314"/>
      <c r="AX49" s="314"/>
      <c r="AY49" s="314"/>
      <c r="AZ49" s="314"/>
    </row>
    <row r="50" spans="1:52">
      <c r="A50" s="456"/>
      <c r="B50" s="456"/>
      <c r="C50" s="456"/>
      <c r="D50" s="456"/>
      <c r="E50" s="456"/>
      <c r="F50" s="456"/>
      <c r="G50" s="456"/>
      <c r="H50" s="456"/>
      <c r="I50" s="456"/>
      <c r="J50" s="456"/>
      <c r="K50" s="456"/>
      <c r="L50" s="456"/>
      <c r="M50" s="373"/>
      <c r="N50" s="373"/>
      <c r="O50" s="373"/>
      <c r="P50" s="373"/>
      <c r="Q50" s="373"/>
      <c r="R50" s="373"/>
      <c r="S50" s="373"/>
      <c r="T50" s="373"/>
      <c r="U50" s="373"/>
      <c r="V50" s="373"/>
      <c r="W50" s="373"/>
      <c r="X50" s="373"/>
      <c r="Y50" s="373"/>
      <c r="Z50" s="373"/>
      <c r="AA50" s="373"/>
      <c r="AB50" s="373"/>
      <c r="AC50" s="373"/>
      <c r="AD50" s="373"/>
      <c r="AE50" s="314"/>
      <c r="AF50" s="314"/>
      <c r="AG50" s="314"/>
      <c r="AH50" s="314"/>
      <c r="AI50" s="314"/>
      <c r="AJ50" s="314"/>
      <c r="AK50" s="314"/>
      <c r="AL50" s="314"/>
      <c r="AM50" s="314"/>
      <c r="AN50" s="314"/>
      <c r="AO50" s="314"/>
      <c r="AP50" s="314"/>
      <c r="AQ50" s="314"/>
      <c r="AR50" s="314"/>
      <c r="AS50" s="314"/>
      <c r="AT50" s="314"/>
      <c r="AU50" s="314"/>
      <c r="AV50" s="314"/>
      <c r="AW50" s="314"/>
      <c r="AX50" s="314"/>
      <c r="AY50" s="314"/>
      <c r="AZ50" s="314"/>
    </row>
    <row r="51" spans="1:52" ht="13.9" customHeight="1">
      <c r="A51" s="456"/>
      <c r="B51" s="456"/>
      <c r="C51" s="456"/>
      <c r="D51" s="456"/>
      <c r="E51" s="456"/>
      <c r="F51" s="456"/>
      <c r="G51" s="456"/>
      <c r="H51" s="456"/>
      <c r="I51" s="456"/>
      <c r="J51" s="456"/>
      <c r="K51" s="456"/>
      <c r="L51" s="456"/>
      <c r="M51" s="373"/>
      <c r="N51" s="373"/>
      <c r="O51" s="373"/>
      <c r="P51" s="373"/>
      <c r="Q51" s="373"/>
      <c r="R51" s="373"/>
      <c r="S51" s="373"/>
      <c r="T51" s="518"/>
      <c r="U51" s="518"/>
      <c r="V51" s="373"/>
      <c r="W51" s="373"/>
      <c r="X51" s="373"/>
      <c r="Y51" s="373"/>
      <c r="Z51" s="373"/>
      <c r="AA51" s="373"/>
      <c r="AB51" s="373"/>
      <c r="AC51" s="373"/>
      <c r="AD51" s="373"/>
      <c r="AE51" s="314"/>
      <c r="AF51" s="314"/>
      <c r="AG51" s="314"/>
      <c r="AH51" s="314"/>
      <c r="AI51" s="314"/>
      <c r="AJ51" s="314"/>
      <c r="AK51" s="314"/>
      <c r="AL51" s="314"/>
      <c r="AM51" s="314"/>
      <c r="AN51" s="314"/>
      <c r="AO51" s="314"/>
      <c r="AP51" s="314"/>
      <c r="AQ51" s="314"/>
      <c r="AR51" s="314"/>
      <c r="AS51" s="314"/>
      <c r="AT51" s="314"/>
      <c r="AU51" s="314"/>
      <c r="AV51" s="314"/>
      <c r="AW51" s="314"/>
      <c r="AX51" s="314"/>
      <c r="AY51" s="314"/>
      <c r="AZ51" s="314"/>
    </row>
    <row r="52" spans="1:52">
      <c r="A52" s="456"/>
      <c r="B52" s="456"/>
      <c r="C52" s="456"/>
      <c r="D52" s="456"/>
      <c r="E52" s="456"/>
      <c r="F52" s="456"/>
      <c r="G52" s="456"/>
      <c r="H52" s="456"/>
      <c r="I52" s="456"/>
      <c r="J52" s="456"/>
      <c r="K52" s="456"/>
      <c r="L52" s="456"/>
      <c r="M52" s="373"/>
      <c r="N52" s="373"/>
      <c r="O52" s="373"/>
      <c r="P52" s="373"/>
      <c r="Q52" s="373"/>
      <c r="R52" s="373"/>
      <c r="S52" s="373"/>
      <c r="T52" s="373"/>
      <c r="U52" s="373"/>
      <c r="V52" s="373"/>
      <c r="W52" s="373"/>
      <c r="X52" s="373"/>
      <c r="Y52" s="373"/>
      <c r="Z52" s="373"/>
      <c r="AA52" s="373"/>
      <c r="AB52" s="373"/>
      <c r="AC52" s="373"/>
      <c r="AD52" s="373"/>
      <c r="AE52" s="314"/>
      <c r="AF52" s="314"/>
      <c r="AG52" s="314"/>
      <c r="AH52" s="314"/>
      <c r="AI52" s="314"/>
      <c r="AJ52" s="314"/>
      <c r="AK52" s="314"/>
      <c r="AL52" s="314"/>
      <c r="AM52" s="314"/>
      <c r="AN52" s="314"/>
      <c r="AO52" s="314"/>
      <c r="AP52" s="314"/>
      <c r="AQ52" s="314"/>
      <c r="AR52" s="314"/>
      <c r="AS52" s="314"/>
      <c r="AT52" s="314"/>
      <c r="AU52" s="314"/>
      <c r="AV52" s="314"/>
      <c r="AW52" s="314"/>
      <c r="AX52" s="314"/>
      <c r="AY52" s="314"/>
      <c r="AZ52" s="314"/>
    </row>
    <row r="53" spans="1:52" ht="15.75" customHeight="1">
      <c r="A53" s="456"/>
      <c r="B53" s="457"/>
      <c r="C53" s="456"/>
      <c r="D53" s="456"/>
      <c r="E53" s="456"/>
      <c r="F53" s="456"/>
      <c r="G53" s="456"/>
      <c r="H53" s="458"/>
      <c r="I53" s="456"/>
      <c r="J53" s="456"/>
      <c r="K53" s="456"/>
      <c r="L53" s="456"/>
      <c r="M53" s="373"/>
      <c r="N53" s="373"/>
      <c r="O53" s="373"/>
      <c r="P53" s="373"/>
      <c r="Q53" s="373"/>
      <c r="R53" s="373"/>
      <c r="S53" s="373"/>
      <c r="T53" s="373"/>
      <c r="U53" s="373"/>
      <c r="V53" s="373"/>
      <c r="W53" s="373"/>
      <c r="X53" s="373"/>
      <c r="Y53" s="373"/>
      <c r="Z53" s="410"/>
      <c r="AA53" s="373"/>
      <c r="AB53" s="373"/>
      <c r="AC53" s="373"/>
      <c r="AD53" s="373"/>
      <c r="AE53" s="314"/>
      <c r="AF53" s="314"/>
      <c r="AG53" s="314"/>
      <c r="AH53" s="314"/>
      <c r="AI53" s="314"/>
      <c r="AJ53" s="314"/>
      <c r="AK53" s="314"/>
      <c r="AL53" s="314"/>
      <c r="AM53" s="314"/>
      <c r="AN53" s="314"/>
      <c r="AO53" s="314"/>
      <c r="AP53" s="314"/>
      <c r="AQ53" s="314"/>
      <c r="AR53" s="314"/>
      <c r="AS53" s="314"/>
      <c r="AT53" s="314"/>
      <c r="AU53" s="314"/>
      <c r="AV53" s="314"/>
      <c r="AW53" s="314"/>
      <c r="AX53" s="314"/>
      <c r="AY53" s="314"/>
      <c r="AZ53" s="314"/>
    </row>
    <row r="54" spans="1:52" ht="15.6" customHeight="1">
      <c r="A54" s="459"/>
      <c r="B54" s="459"/>
      <c r="C54" s="459"/>
      <c r="D54" s="456"/>
      <c r="E54" s="456"/>
      <c r="F54" s="456"/>
      <c r="G54" s="460"/>
      <c r="H54" s="457"/>
      <c r="I54" s="456"/>
      <c r="J54" s="456"/>
      <c r="K54" s="456"/>
      <c r="L54" s="456"/>
      <c r="M54" s="373"/>
      <c r="N54" s="373"/>
      <c r="O54" s="373"/>
      <c r="P54" s="373"/>
      <c r="Q54" s="373"/>
      <c r="R54" s="373"/>
      <c r="S54" s="373"/>
      <c r="T54" s="373"/>
      <c r="U54" s="373"/>
      <c r="V54" s="373"/>
      <c r="W54" s="373"/>
      <c r="X54" s="373"/>
      <c r="Y54" s="373"/>
      <c r="Z54" s="373"/>
      <c r="AA54" s="373"/>
      <c r="AB54" s="373"/>
      <c r="AC54" s="373"/>
      <c r="AD54" s="373"/>
      <c r="AE54" s="314"/>
      <c r="AF54" s="314"/>
      <c r="AG54" s="314"/>
      <c r="AH54" s="314"/>
      <c r="AI54" s="314"/>
      <c r="AJ54" s="314"/>
      <c r="AK54" s="314"/>
      <c r="AL54" s="314"/>
      <c r="AM54" s="314"/>
      <c r="AN54" s="314"/>
      <c r="AO54" s="314"/>
      <c r="AP54" s="314"/>
      <c r="AQ54" s="314"/>
      <c r="AR54" s="314"/>
      <c r="AS54" s="314"/>
      <c r="AT54" s="314"/>
      <c r="AU54" s="314"/>
      <c r="AV54" s="314"/>
      <c r="AW54" s="314"/>
      <c r="AX54" s="314"/>
      <c r="AY54" s="314"/>
      <c r="AZ54" s="314"/>
    </row>
    <row r="55" spans="1:52" ht="15.6" customHeight="1">
      <c r="A55" s="456"/>
      <c r="B55" s="456"/>
      <c r="C55" s="456"/>
      <c r="D55" s="456"/>
      <c r="E55" s="456"/>
      <c r="F55" s="456"/>
      <c r="G55" s="456"/>
      <c r="H55" s="456"/>
      <c r="I55" s="456"/>
      <c r="J55" s="456"/>
      <c r="K55" s="456"/>
      <c r="L55" s="456"/>
      <c r="M55" s="373"/>
      <c r="N55" s="373"/>
      <c r="O55" s="373"/>
      <c r="P55" s="373"/>
      <c r="Q55" s="373"/>
      <c r="R55" s="373"/>
      <c r="S55" s="373"/>
      <c r="T55" s="373"/>
      <c r="U55" s="373"/>
      <c r="V55" s="373"/>
      <c r="W55" s="373"/>
      <c r="X55" s="373"/>
      <c r="Y55" s="373"/>
      <c r="Z55" s="410"/>
      <c r="AA55" s="373"/>
      <c r="AB55" s="373"/>
      <c r="AC55" s="373"/>
      <c r="AD55" s="373"/>
      <c r="AE55" s="314"/>
      <c r="AF55" s="314"/>
      <c r="AG55" s="314"/>
      <c r="AH55" s="314"/>
      <c r="AI55" s="314"/>
      <c r="AJ55" s="314"/>
      <c r="AK55" s="314"/>
      <c r="AL55" s="314"/>
      <c r="AM55" s="314"/>
      <c r="AN55" s="314"/>
      <c r="AO55" s="314"/>
      <c r="AP55" s="314"/>
      <c r="AQ55" s="314"/>
      <c r="AR55" s="314"/>
      <c r="AS55" s="314"/>
      <c r="AT55" s="314"/>
      <c r="AU55" s="314"/>
      <c r="AV55" s="314"/>
      <c r="AW55" s="314"/>
      <c r="AX55" s="314"/>
      <c r="AY55" s="314"/>
      <c r="AZ55" s="314"/>
    </row>
    <row r="56" spans="1:52" ht="15.75" customHeight="1">
      <c r="A56" s="456"/>
      <c r="B56" s="456"/>
      <c r="C56" s="456"/>
      <c r="D56" s="456"/>
      <c r="E56" s="456"/>
      <c r="F56" s="456"/>
      <c r="G56" s="456"/>
      <c r="H56" s="456"/>
      <c r="I56" s="456"/>
      <c r="J56" s="456"/>
      <c r="K56" s="461"/>
      <c r="L56" s="456"/>
      <c r="M56" s="373"/>
      <c r="N56" s="373"/>
      <c r="O56" s="373"/>
      <c r="P56" s="373"/>
      <c r="Q56" s="373"/>
      <c r="R56" s="373"/>
      <c r="S56" s="373"/>
      <c r="T56" s="373"/>
      <c r="U56" s="373"/>
      <c r="V56" s="373"/>
      <c r="W56" s="373"/>
      <c r="X56" s="373"/>
      <c r="Y56" s="373"/>
      <c r="Z56" s="373"/>
      <c r="AA56" s="373"/>
      <c r="AB56" s="373"/>
      <c r="AC56" s="373"/>
      <c r="AD56" s="373"/>
      <c r="AE56" s="314"/>
      <c r="AF56" s="314"/>
      <c r="AG56" s="314"/>
      <c r="AH56" s="314"/>
      <c r="AI56" s="314"/>
      <c r="AJ56" s="314"/>
      <c r="AK56" s="314"/>
      <c r="AL56" s="314"/>
      <c r="AM56" s="314"/>
      <c r="AN56" s="314"/>
      <c r="AO56" s="314"/>
      <c r="AP56" s="314"/>
      <c r="AQ56" s="314"/>
      <c r="AR56" s="314"/>
      <c r="AS56" s="314"/>
      <c r="AT56" s="314"/>
      <c r="AU56" s="314"/>
      <c r="AV56" s="314"/>
      <c r="AW56" s="314"/>
      <c r="AX56" s="314"/>
      <c r="AY56" s="314"/>
      <c r="AZ56" s="314"/>
    </row>
    <row r="57" spans="1:52" ht="15.75" customHeight="1">
      <c r="A57" s="456"/>
      <c r="B57" s="456"/>
      <c r="C57" s="456"/>
      <c r="D57" s="456"/>
      <c r="E57" s="456"/>
      <c r="F57" s="456"/>
      <c r="G57" s="456"/>
      <c r="H57" s="456"/>
      <c r="I57" s="456"/>
      <c r="J57" s="456"/>
      <c r="K57" s="456"/>
      <c r="L57" s="456"/>
      <c r="M57" s="373"/>
      <c r="N57" s="373"/>
      <c r="O57" s="373"/>
      <c r="P57" s="373"/>
      <c r="Q57" s="373"/>
      <c r="R57" s="373"/>
      <c r="S57" s="373"/>
      <c r="T57" s="373"/>
      <c r="U57" s="373"/>
      <c r="V57" s="373"/>
      <c r="W57" s="373"/>
      <c r="X57" s="373"/>
      <c r="Y57" s="373"/>
      <c r="Z57" s="373"/>
      <c r="AA57" s="373"/>
      <c r="AB57" s="408"/>
      <c r="AC57" s="373"/>
      <c r="AD57" s="373"/>
      <c r="AE57" s="314"/>
      <c r="AF57" s="314"/>
      <c r="AG57" s="314"/>
      <c r="AH57" s="314"/>
      <c r="AI57" s="314"/>
      <c r="AJ57" s="314"/>
      <c r="AK57" s="314"/>
      <c r="AL57" s="314"/>
      <c r="AM57" s="314"/>
      <c r="AN57" s="314"/>
      <c r="AO57" s="314"/>
      <c r="AP57" s="314"/>
      <c r="AQ57" s="314"/>
      <c r="AR57" s="314"/>
      <c r="AS57" s="314"/>
      <c r="AT57" s="314"/>
      <c r="AU57" s="314"/>
      <c r="AV57" s="314"/>
      <c r="AW57" s="314"/>
      <c r="AX57" s="314"/>
      <c r="AY57" s="314"/>
      <c r="AZ57" s="314"/>
    </row>
    <row r="58" spans="1:52" ht="15">
      <c r="A58" s="456"/>
      <c r="B58" s="456"/>
      <c r="C58" s="456"/>
      <c r="D58" s="456"/>
      <c r="E58" s="456"/>
      <c r="F58" s="456"/>
      <c r="G58" s="456"/>
      <c r="H58" s="456"/>
      <c r="I58" s="456"/>
      <c r="J58" s="456"/>
      <c r="K58" s="456"/>
      <c r="L58" s="456"/>
      <c r="M58" s="373"/>
      <c r="N58" s="373"/>
      <c r="O58" s="373"/>
      <c r="P58" s="373"/>
      <c r="Q58" s="373"/>
      <c r="R58" s="373"/>
      <c r="S58" s="373"/>
      <c r="T58" s="373"/>
      <c r="U58" s="373"/>
      <c r="V58" s="373"/>
      <c r="W58" s="373"/>
      <c r="X58" s="373"/>
      <c r="Y58" s="373"/>
      <c r="Z58" s="373"/>
      <c r="AA58" s="373"/>
      <c r="AB58" s="408"/>
      <c r="AC58" s="373"/>
      <c r="AD58" s="373"/>
      <c r="AE58" s="314"/>
      <c r="AF58" s="314"/>
      <c r="AG58" s="314"/>
      <c r="AH58" s="314"/>
      <c r="AI58" s="314"/>
      <c r="AJ58" s="314"/>
      <c r="AK58" s="314"/>
      <c r="AL58" s="314"/>
      <c r="AM58" s="314"/>
      <c r="AN58" s="314"/>
      <c r="AO58" s="314"/>
      <c r="AP58" s="314"/>
      <c r="AQ58" s="314"/>
      <c r="AR58" s="314"/>
      <c r="AS58" s="314"/>
      <c r="AT58" s="314"/>
      <c r="AU58" s="314"/>
      <c r="AV58" s="314"/>
      <c r="AW58" s="314"/>
      <c r="AX58" s="314"/>
      <c r="AY58" s="314"/>
      <c r="AZ58" s="314"/>
    </row>
    <row r="59" spans="1:52" ht="15.75" customHeight="1">
      <c r="A59" s="456"/>
      <c r="B59" s="456"/>
      <c r="C59" s="456"/>
      <c r="D59" s="456"/>
      <c r="E59" s="456"/>
      <c r="F59" s="456"/>
      <c r="G59" s="456"/>
      <c r="H59" s="456"/>
      <c r="I59" s="456"/>
      <c r="J59" s="456"/>
      <c r="K59" s="456"/>
      <c r="L59" s="456"/>
      <c r="M59" s="373"/>
      <c r="N59" s="373"/>
      <c r="O59" s="373"/>
      <c r="P59" s="373"/>
      <c r="Q59" s="373"/>
      <c r="R59" s="373"/>
      <c r="S59" s="373"/>
      <c r="T59" s="373"/>
      <c r="U59" s="373"/>
      <c r="V59" s="373"/>
      <c r="W59" s="373"/>
      <c r="X59" s="373"/>
      <c r="Y59" s="373"/>
      <c r="Z59" s="373"/>
      <c r="AA59" s="373"/>
      <c r="AB59" s="373"/>
      <c r="AC59" s="373"/>
      <c r="AD59" s="373"/>
      <c r="AE59" s="314"/>
      <c r="AF59" s="314"/>
      <c r="AG59" s="314"/>
      <c r="AH59" s="314"/>
      <c r="AI59" s="314"/>
      <c r="AJ59" s="314"/>
      <c r="AK59" s="314"/>
      <c r="AL59" s="314"/>
      <c r="AM59" s="314"/>
      <c r="AN59" s="314"/>
      <c r="AO59" s="314"/>
      <c r="AP59" s="314"/>
      <c r="AQ59" s="314"/>
      <c r="AR59" s="314"/>
      <c r="AS59" s="314"/>
      <c r="AT59" s="314"/>
      <c r="AU59" s="314"/>
      <c r="AV59" s="314"/>
      <c r="AW59" s="314"/>
      <c r="AX59" s="314"/>
      <c r="AY59" s="314"/>
      <c r="AZ59" s="314"/>
    </row>
    <row r="60" spans="1:52" ht="15.75" customHeight="1">
      <c r="A60" s="456"/>
      <c r="B60" s="456"/>
      <c r="C60" s="456"/>
      <c r="D60" s="456"/>
      <c r="E60" s="456"/>
      <c r="F60" s="456"/>
      <c r="G60" s="456"/>
      <c r="H60" s="456"/>
      <c r="I60" s="456"/>
      <c r="J60" s="456"/>
      <c r="K60" s="456"/>
      <c r="L60" s="456"/>
      <c r="M60" s="373"/>
      <c r="N60" s="373"/>
      <c r="O60" s="373"/>
      <c r="P60" s="373"/>
      <c r="Q60" s="373"/>
      <c r="R60" s="373"/>
      <c r="S60" s="373"/>
      <c r="T60" s="373"/>
      <c r="U60" s="373"/>
      <c r="V60" s="373"/>
      <c r="W60" s="373"/>
      <c r="X60" s="373"/>
      <c r="Y60" s="373"/>
      <c r="Z60" s="373"/>
      <c r="AA60" s="373"/>
      <c r="AB60" s="373"/>
      <c r="AC60" s="373"/>
      <c r="AD60" s="373"/>
      <c r="AE60" s="314"/>
      <c r="AF60" s="314"/>
      <c r="AG60" s="314"/>
      <c r="AH60" s="314"/>
      <c r="AI60" s="314"/>
      <c r="AJ60" s="314"/>
      <c r="AK60" s="314"/>
      <c r="AL60" s="314"/>
      <c r="AM60" s="314"/>
      <c r="AN60" s="314"/>
      <c r="AO60" s="314"/>
      <c r="AP60" s="314"/>
      <c r="AQ60" s="314"/>
      <c r="AR60" s="314"/>
      <c r="AS60" s="314"/>
      <c r="AT60" s="314"/>
      <c r="AU60" s="314"/>
      <c r="AV60" s="314"/>
      <c r="AW60" s="314"/>
      <c r="AX60" s="314"/>
      <c r="AY60" s="314"/>
      <c r="AZ60" s="314"/>
    </row>
    <row r="61" spans="1:52">
      <c r="A61" s="456"/>
      <c r="B61" s="456"/>
      <c r="C61" s="456"/>
      <c r="D61" s="456"/>
      <c r="E61" s="456"/>
      <c r="F61" s="456"/>
      <c r="G61" s="456"/>
      <c r="H61" s="456"/>
      <c r="I61" s="456"/>
      <c r="J61" s="456"/>
      <c r="K61" s="456"/>
      <c r="L61" s="456"/>
      <c r="M61" s="373"/>
      <c r="N61" s="373"/>
      <c r="O61" s="373"/>
      <c r="P61" s="373"/>
      <c r="Q61" s="373"/>
      <c r="R61" s="373"/>
      <c r="S61" s="373"/>
      <c r="T61" s="373"/>
      <c r="U61" s="373"/>
      <c r="V61" s="373"/>
      <c r="W61" s="373"/>
      <c r="X61" s="373"/>
      <c r="Y61" s="373"/>
      <c r="Z61" s="373"/>
      <c r="AA61" s="373"/>
      <c r="AB61" s="373"/>
      <c r="AC61" s="373"/>
      <c r="AD61" s="373"/>
      <c r="AE61" s="314"/>
      <c r="AF61" s="314"/>
      <c r="AG61" s="314"/>
      <c r="AH61" s="314"/>
      <c r="AI61" s="314"/>
      <c r="AJ61" s="314"/>
      <c r="AK61" s="314"/>
      <c r="AL61" s="314"/>
      <c r="AM61" s="314"/>
      <c r="AN61" s="314"/>
      <c r="AO61" s="314"/>
      <c r="AP61" s="314"/>
      <c r="AQ61" s="314"/>
      <c r="AR61" s="314"/>
      <c r="AS61" s="314"/>
      <c r="AT61" s="314"/>
      <c r="AU61" s="314"/>
      <c r="AV61" s="314"/>
      <c r="AW61" s="314"/>
      <c r="AX61" s="314"/>
      <c r="AY61" s="314"/>
      <c r="AZ61" s="314"/>
    </row>
    <row r="62" spans="1:52" ht="15.75" customHeight="1">
      <c r="A62" s="456"/>
      <c r="B62" s="456"/>
      <c r="C62" s="456"/>
      <c r="D62" s="456"/>
      <c r="E62" s="456"/>
      <c r="F62" s="456"/>
      <c r="G62" s="456"/>
      <c r="H62" s="456"/>
      <c r="I62" s="456"/>
      <c r="J62" s="456"/>
      <c r="K62" s="456"/>
      <c r="L62" s="456"/>
      <c r="M62" s="373"/>
      <c r="N62" s="373"/>
      <c r="O62" s="373"/>
      <c r="P62" s="373"/>
      <c r="Q62" s="373"/>
      <c r="R62" s="373"/>
      <c r="S62" s="373"/>
      <c r="T62" s="373"/>
      <c r="U62" s="373"/>
      <c r="V62" s="373"/>
      <c r="W62" s="373"/>
      <c r="X62" s="373"/>
      <c r="Y62" s="373"/>
      <c r="Z62" s="373"/>
      <c r="AA62" s="373"/>
      <c r="AB62" s="373"/>
      <c r="AC62" s="373"/>
      <c r="AD62" s="373"/>
      <c r="AE62" s="314"/>
      <c r="AF62" s="314"/>
      <c r="AG62" s="314"/>
      <c r="AH62" s="314"/>
      <c r="AI62" s="314"/>
      <c r="AJ62" s="314"/>
      <c r="AK62" s="314"/>
      <c r="AL62" s="314"/>
      <c r="AM62" s="314"/>
      <c r="AN62" s="314"/>
      <c r="AO62" s="314"/>
      <c r="AP62" s="314"/>
      <c r="AQ62" s="314"/>
      <c r="AR62" s="314"/>
      <c r="AS62" s="314"/>
      <c r="AT62" s="314"/>
      <c r="AU62" s="314"/>
      <c r="AV62" s="314"/>
      <c r="AW62" s="314"/>
      <c r="AX62" s="314"/>
      <c r="AY62" s="314"/>
      <c r="AZ62" s="314"/>
    </row>
    <row r="63" spans="1:52" ht="15.75" customHeight="1">
      <c r="A63" s="456"/>
      <c r="B63" s="456"/>
      <c r="C63" s="456"/>
      <c r="D63" s="456"/>
      <c r="E63" s="456"/>
      <c r="F63" s="456"/>
      <c r="G63" s="456"/>
      <c r="H63" s="456"/>
      <c r="I63" s="456"/>
      <c r="J63" s="456"/>
      <c r="K63" s="462"/>
      <c r="L63" s="456"/>
      <c r="M63" s="373"/>
      <c r="N63" s="373"/>
      <c r="O63" s="373"/>
      <c r="P63" s="373"/>
      <c r="Q63" s="373"/>
      <c r="R63" s="373"/>
      <c r="S63" s="373"/>
      <c r="T63" s="373"/>
      <c r="U63" s="373"/>
      <c r="V63" s="373"/>
      <c r="W63" s="373"/>
      <c r="X63" s="373"/>
      <c r="Y63" s="373"/>
      <c r="Z63" s="373"/>
      <c r="AA63" s="373"/>
      <c r="AB63" s="373"/>
      <c r="AC63" s="373"/>
      <c r="AD63" s="373"/>
      <c r="AE63" s="314"/>
      <c r="AF63" s="314"/>
      <c r="AG63" s="314"/>
      <c r="AH63" s="314"/>
      <c r="AI63" s="314"/>
      <c r="AJ63" s="314"/>
      <c r="AK63" s="314"/>
      <c r="AL63" s="314"/>
      <c r="AM63" s="314"/>
      <c r="AN63" s="314"/>
      <c r="AO63" s="314"/>
      <c r="AP63" s="314"/>
      <c r="AQ63" s="314"/>
      <c r="AR63" s="314"/>
      <c r="AS63" s="314"/>
      <c r="AT63" s="314"/>
      <c r="AU63" s="314"/>
      <c r="AV63" s="314"/>
      <c r="AW63" s="314"/>
      <c r="AX63" s="314"/>
      <c r="AY63" s="314"/>
      <c r="AZ63" s="314"/>
    </row>
    <row r="64" spans="1:52">
      <c r="A64" s="456"/>
      <c r="B64" s="456"/>
      <c r="C64" s="456"/>
      <c r="D64" s="456"/>
      <c r="E64" s="456"/>
      <c r="F64" s="456"/>
      <c r="G64" s="456"/>
      <c r="H64" s="456"/>
      <c r="I64" s="456"/>
      <c r="J64" s="456"/>
      <c r="K64" s="456"/>
      <c r="L64" s="456"/>
      <c r="M64" s="373"/>
      <c r="N64" s="373"/>
      <c r="O64" s="373"/>
      <c r="P64" s="373"/>
      <c r="Q64" s="373"/>
      <c r="R64" s="373"/>
      <c r="S64" s="373"/>
      <c r="T64" s="373"/>
      <c r="U64" s="373"/>
      <c r="V64" s="373"/>
      <c r="W64" s="373"/>
      <c r="X64" s="373"/>
      <c r="Y64" s="373"/>
      <c r="Z64" s="373"/>
      <c r="AA64" s="373"/>
      <c r="AB64" s="373"/>
      <c r="AC64" s="373"/>
      <c r="AD64" s="373"/>
      <c r="AE64" s="314"/>
      <c r="AF64" s="314"/>
      <c r="AG64" s="314"/>
      <c r="AH64" s="314"/>
      <c r="AI64" s="314"/>
      <c r="AJ64" s="314"/>
      <c r="AK64" s="314"/>
      <c r="AL64" s="314"/>
      <c r="AM64" s="314"/>
      <c r="AN64" s="314"/>
      <c r="AO64" s="314"/>
      <c r="AP64" s="314"/>
      <c r="AQ64" s="314"/>
      <c r="AR64" s="314"/>
      <c r="AS64" s="314"/>
      <c r="AT64" s="314"/>
      <c r="AU64" s="314"/>
      <c r="AV64" s="314"/>
      <c r="AW64" s="314"/>
      <c r="AX64" s="314"/>
      <c r="AY64" s="314"/>
      <c r="AZ64" s="314"/>
    </row>
    <row r="65" spans="1:52">
      <c r="A65" s="456"/>
      <c r="B65" s="456"/>
      <c r="C65" s="456"/>
      <c r="D65" s="456"/>
      <c r="E65" s="456"/>
      <c r="F65" s="456"/>
      <c r="G65" s="456"/>
      <c r="H65" s="456"/>
      <c r="I65" s="456"/>
      <c r="J65" s="456"/>
      <c r="K65" s="463"/>
      <c r="L65" s="456"/>
      <c r="M65" s="373"/>
      <c r="N65" s="373"/>
      <c r="O65" s="373"/>
      <c r="P65" s="373"/>
      <c r="Q65" s="373"/>
      <c r="R65" s="373"/>
      <c r="S65" s="373"/>
      <c r="T65" s="373"/>
      <c r="U65" s="373"/>
      <c r="V65" s="373"/>
      <c r="W65" s="373"/>
      <c r="X65" s="373"/>
      <c r="Y65" s="373"/>
      <c r="Z65" s="373"/>
      <c r="AA65" s="373"/>
      <c r="AB65" s="373"/>
      <c r="AC65" s="373"/>
      <c r="AD65" s="373"/>
      <c r="AE65" s="314"/>
      <c r="AF65" s="314"/>
      <c r="AG65" s="314"/>
      <c r="AH65" s="314"/>
      <c r="AI65" s="314"/>
      <c r="AJ65" s="314"/>
      <c r="AK65" s="314"/>
      <c r="AL65" s="314"/>
      <c r="AM65" s="314"/>
      <c r="AN65" s="314"/>
      <c r="AO65" s="314"/>
      <c r="AP65" s="314"/>
      <c r="AQ65" s="314"/>
      <c r="AR65" s="314"/>
      <c r="AS65" s="314"/>
      <c r="AT65" s="314"/>
      <c r="AU65" s="314"/>
      <c r="AV65" s="314"/>
      <c r="AW65" s="314"/>
      <c r="AX65" s="314"/>
      <c r="AY65" s="314"/>
      <c r="AZ65" s="314"/>
    </row>
    <row r="66" spans="1:52">
      <c r="A66" s="456"/>
      <c r="B66" s="456"/>
      <c r="C66" s="456"/>
      <c r="D66" s="456"/>
      <c r="E66" s="456"/>
      <c r="F66" s="456"/>
      <c r="G66" s="456"/>
      <c r="H66" s="456"/>
      <c r="I66" s="456"/>
      <c r="J66" s="456"/>
      <c r="K66" s="456"/>
      <c r="L66" s="456"/>
      <c r="M66" s="373"/>
      <c r="N66" s="373"/>
      <c r="O66" s="373"/>
      <c r="P66" s="373"/>
      <c r="Q66" s="373"/>
      <c r="R66" s="373"/>
      <c r="S66" s="373"/>
      <c r="T66" s="373"/>
      <c r="U66" s="392"/>
      <c r="V66" s="373"/>
      <c r="W66" s="373"/>
      <c r="X66" s="373"/>
      <c r="Y66" s="373"/>
      <c r="Z66" s="373"/>
      <c r="AA66" s="373"/>
      <c r="AB66" s="373"/>
      <c r="AC66" s="373"/>
      <c r="AD66" s="373"/>
      <c r="AE66" s="314"/>
      <c r="AF66" s="314"/>
      <c r="AG66" s="314"/>
      <c r="AH66" s="314"/>
      <c r="AI66" s="314"/>
      <c r="AJ66" s="314"/>
      <c r="AK66" s="314"/>
      <c r="AL66" s="314"/>
      <c r="AM66" s="314"/>
      <c r="AN66" s="314"/>
      <c r="AO66" s="314"/>
      <c r="AP66" s="314"/>
      <c r="AQ66" s="314"/>
      <c r="AR66" s="314"/>
      <c r="AS66" s="314"/>
      <c r="AT66" s="314"/>
      <c r="AU66" s="314"/>
      <c r="AV66" s="314"/>
      <c r="AW66" s="314"/>
      <c r="AX66" s="314"/>
      <c r="AY66" s="314"/>
      <c r="AZ66" s="314"/>
    </row>
    <row r="67" spans="1:52" ht="15.75">
      <c r="A67" s="456"/>
      <c r="B67" s="456"/>
      <c r="C67" s="456"/>
      <c r="D67" s="456"/>
      <c r="E67" s="456"/>
      <c r="F67" s="456"/>
      <c r="G67" s="456"/>
      <c r="H67" s="456"/>
      <c r="I67" s="456"/>
      <c r="J67" s="456"/>
      <c r="K67" s="456"/>
      <c r="L67" s="456"/>
      <c r="M67" s="373"/>
      <c r="N67" s="373"/>
      <c r="O67" s="373"/>
      <c r="P67" s="373"/>
      <c r="Q67" s="388"/>
      <c r="R67" s="388"/>
      <c r="S67" s="373"/>
      <c r="T67" s="373"/>
      <c r="U67" s="373"/>
      <c r="V67" s="373"/>
      <c r="W67" s="373"/>
      <c r="X67" s="373"/>
      <c r="Y67" s="373"/>
      <c r="Z67" s="373"/>
      <c r="AA67" s="373"/>
      <c r="AB67" s="373"/>
      <c r="AC67" s="373"/>
      <c r="AD67" s="373"/>
      <c r="AE67" s="314"/>
      <c r="AF67" s="314"/>
      <c r="AG67" s="314"/>
      <c r="AH67" s="314"/>
      <c r="AI67" s="314"/>
      <c r="AJ67" s="314"/>
      <c r="AK67" s="314"/>
      <c r="AL67" s="314"/>
      <c r="AM67" s="314"/>
      <c r="AN67" s="314"/>
      <c r="AO67" s="314"/>
      <c r="AP67" s="314"/>
      <c r="AQ67" s="314"/>
      <c r="AR67" s="314"/>
      <c r="AS67" s="314"/>
      <c r="AT67" s="314"/>
      <c r="AU67" s="314"/>
      <c r="AV67" s="314"/>
      <c r="AW67" s="314"/>
      <c r="AX67" s="314"/>
      <c r="AY67" s="314"/>
      <c r="AZ67" s="314"/>
    </row>
    <row r="68" spans="1:52" ht="15.75">
      <c r="A68" s="456"/>
      <c r="B68" s="456"/>
      <c r="C68" s="456"/>
      <c r="D68" s="456"/>
      <c r="E68" s="456"/>
      <c r="F68" s="456"/>
      <c r="G68" s="456"/>
      <c r="H68" s="456"/>
      <c r="I68" s="456"/>
      <c r="J68" s="456"/>
      <c r="K68" s="456"/>
      <c r="L68" s="456"/>
      <c r="M68" s="373"/>
      <c r="N68" s="373"/>
      <c r="O68" s="373"/>
      <c r="P68" s="373"/>
      <c r="Q68" s="388"/>
      <c r="R68" s="388"/>
      <c r="S68" s="373"/>
      <c r="T68" s="373"/>
      <c r="U68" s="373"/>
      <c r="V68" s="373"/>
      <c r="W68" s="373"/>
      <c r="X68" s="373"/>
      <c r="Y68" s="373"/>
      <c r="Z68" s="410"/>
      <c r="AA68" s="373"/>
      <c r="AB68" s="373"/>
      <c r="AC68" s="373"/>
      <c r="AD68" s="373"/>
      <c r="AE68" s="314"/>
      <c r="AF68" s="314"/>
      <c r="AG68" s="314"/>
      <c r="AH68" s="314"/>
      <c r="AI68" s="314"/>
      <c r="AJ68" s="314"/>
      <c r="AK68" s="314"/>
      <c r="AL68" s="314"/>
      <c r="AM68" s="314"/>
      <c r="AN68" s="314"/>
      <c r="AO68" s="314"/>
      <c r="AP68" s="314"/>
      <c r="AQ68" s="314"/>
      <c r="AR68" s="314"/>
      <c r="AS68" s="314"/>
      <c r="AT68" s="314"/>
      <c r="AU68" s="314"/>
      <c r="AV68" s="314"/>
      <c r="AW68" s="314"/>
      <c r="AX68" s="314"/>
      <c r="AY68" s="314"/>
      <c r="AZ68" s="314"/>
    </row>
    <row r="69" spans="1:52" ht="15">
      <c r="A69" s="456"/>
      <c r="B69" s="456"/>
      <c r="C69" s="456"/>
      <c r="D69" s="456"/>
      <c r="E69" s="456"/>
      <c r="F69" s="456"/>
      <c r="G69" s="456"/>
      <c r="H69" s="456"/>
      <c r="I69" s="456"/>
      <c r="J69" s="456"/>
      <c r="K69" s="456"/>
      <c r="L69" s="456"/>
      <c r="M69" s="373"/>
      <c r="N69" s="373"/>
      <c r="O69" s="373"/>
      <c r="P69" s="373"/>
      <c r="Q69" s="373"/>
      <c r="R69" s="373"/>
      <c r="S69" s="373"/>
      <c r="T69" s="373"/>
      <c r="U69" s="373"/>
      <c r="V69" s="373"/>
      <c r="W69" s="409"/>
      <c r="X69" s="373"/>
      <c r="Y69" s="373"/>
      <c r="Z69" s="373"/>
      <c r="AA69" s="373"/>
      <c r="AB69" s="373"/>
      <c r="AC69" s="373"/>
      <c r="AD69" s="373"/>
      <c r="AE69" s="314"/>
      <c r="AF69" s="314"/>
      <c r="AG69" s="314"/>
      <c r="AH69" s="314"/>
      <c r="AI69" s="314"/>
      <c r="AJ69" s="314"/>
      <c r="AK69" s="314"/>
      <c r="AL69" s="314"/>
      <c r="AM69" s="314"/>
      <c r="AN69" s="314"/>
      <c r="AO69" s="314"/>
      <c r="AP69" s="314"/>
      <c r="AQ69" s="314"/>
      <c r="AR69" s="314"/>
      <c r="AS69" s="314"/>
      <c r="AT69" s="314"/>
      <c r="AU69" s="314"/>
      <c r="AV69" s="314"/>
      <c r="AW69" s="314"/>
      <c r="AX69" s="314"/>
      <c r="AY69" s="314"/>
      <c r="AZ69" s="314"/>
    </row>
    <row r="70" spans="1:52">
      <c r="A70" s="456"/>
      <c r="B70" s="456"/>
      <c r="C70" s="456"/>
      <c r="D70" s="456"/>
      <c r="E70" s="456"/>
      <c r="F70" s="456"/>
      <c r="G70" s="456"/>
      <c r="H70" s="456"/>
      <c r="I70" s="456"/>
      <c r="J70" s="456"/>
      <c r="K70" s="456"/>
      <c r="L70" s="456"/>
      <c r="M70" s="373"/>
      <c r="N70" s="373"/>
      <c r="O70" s="373"/>
      <c r="P70" s="373"/>
      <c r="Q70" s="373"/>
      <c r="R70" s="373"/>
      <c r="S70" s="373"/>
      <c r="T70" s="373"/>
      <c r="U70" s="373"/>
      <c r="V70" s="373"/>
      <c r="W70" s="373"/>
      <c r="X70" s="373"/>
      <c r="Y70" s="373"/>
      <c r="Z70" s="373"/>
      <c r="AA70" s="373"/>
      <c r="AB70" s="373"/>
      <c r="AC70" s="373"/>
      <c r="AD70" s="373"/>
      <c r="AE70" s="314"/>
      <c r="AF70" s="314"/>
      <c r="AG70" s="314"/>
      <c r="AH70" s="314"/>
      <c r="AI70" s="314"/>
      <c r="AJ70" s="314"/>
      <c r="AK70" s="314"/>
      <c r="AL70" s="314"/>
      <c r="AM70" s="314"/>
      <c r="AN70" s="314"/>
      <c r="AO70" s="314"/>
      <c r="AP70" s="314"/>
      <c r="AQ70" s="314"/>
      <c r="AR70" s="314"/>
      <c r="AS70" s="314"/>
      <c r="AT70" s="314"/>
      <c r="AU70" s="314"/>
      <c r="AV70" s="314"/>
      <c r="AW70" s="314"/>
      <c r="AX70" s="314"/>
      <c r="AY70" s="314"/>
      <c r="AZ70" s="314"/>
    </row>
    <row r="71" spans="1:52" ht="15">
      <c r="A71" s="456"/>
      <c r="B71" s="456"/>
      <c r="C71" s="456"/>
      <c r="D71" s="456"/>
      <c r="E71" s="456"/>
      <c r="F71" s="456"/>
      <c r="G71" s="456"/>
      <c r="H71" s="456"/>
      <c r="I71" s="456"/>
      <c r="J71" s="456"/>
      <c r="K71" s="456"/>
      <c r="L71" s="456"/>
      <c r="M71" s="373"/>
      <c r="N71" s="373"/>
      <c r="O71" s="373"/>
      <c r="P71" s="373"/>
      <c r="Q71" s="373"/>
      <c r="R71" s="373"/>
      <c r="S71" s="373"/>
      <c r="T71" s="373"/>
      <c r="U71" s="373"/>
      <c r="V71" s="373"/>
      <c r="W71" s="373"/>
      <c r="X71" s="373"/>
      <c r="Y71" s="373"/>
      <c r="Z71" s="373"/>
      <c r="AA71" s="373"/>
      <c r="AB71" s="409"/>
      <c r="AC71" s="373"/>
      <c r="AD71" s="373"/>
      <c r="AE71" s="314"/>
      <c r="AF71" s="314"/>
      <c r="AG71" s="314"/>
      <c r="AH71" s="314"/>
      <c r="AI71" s="314"/>
      <c r="AJ71" s="314"/>
      <c r="AK71" s="314"/>
      <c r="AL71" s="314"/>
      <c r="AM71" s="314"/>
      <c r="AN71" s="314"/>
      <c r="AO71" s="314"/>
      <c r="AP71" s="314"/>
      <c r="AQ71" s="314"/>
      <c r="AR71" s="314"/>
      <c r="AS71" s="314"/>
      <c r="AT71" s="314"/>
      <c r="AU71" s="314"/>
      <c r="AV71" s="314"/>
      <c r="AW71" s="314"/>
      <c r="AX71" s="314"/>
      <c r="AY71" s="314"/>
      <c r="AZ71" s="314"/>
    </row>
    <row r="72" spans="1:52">
      <c r="A72" s="456"/>
      <c r="B72" s="456"/>
      <c r="C72" s="456"/>
      <c r="D72" s="456"/>
      <c r="E72" s="456"/>
      <c r="F72" s="456"/>
      <c r="G72" s="456"/>
      <c r="H72" s="456"/>
      <c r="I72" s="456"/>
      <c r="J72" s="456"/>
      <c r="K72" s="464"/>
      <c r="L72" s="456"/>
      <c r="M72" s="373"/>
      <c r="N72" s="373"/>
      <c r="O72" s="373"/>
      <c r="P72" s="373"/>
      <c r="Q72" s="373"/>
      <c r="R72" s="373"/>
      <c r="S72" s="373"/>
      <c r="T72" s="373"/>
      <c r="U72" s="373"/>
      <c r="V72" s="373"/>
      <c r="W72" s="373"/>
      <c r="X72" s="373"/>
      <c r="Y72" s="373"/>
      <c r="Z72" s="373"/>
      <c r="AA72" s="373"/>
      <c r="AB72" s="373"/>
      <c r="AC72" s="373"/>
      <c r="AD72" s="373"/>
      <c r="AE72" s="314"/>
      <c r="AF72" s="314"/>
      <c r="AG72" s="314"/>
      <c r="AH72" s="314"/>
      <c r="AI72" s="314"/>
      <c r="AJ72" s="314"/>
      <c r="AK72" s="314"/>
      <c r="AL72" s="314"/>
      <c r="AM72" s="314"/>
      <c r="AN72" s="314"/>
      <c r="AO72" s="314"/>
      <c r="AP72" s="314"/>
      <c r="AQ72" s="314"/>
      <c r="AR72" s="314"/>
      <c r="AS72" s="314"/>
      <c r="AT72" s="314"/>
      <c r="AU72" s="314"/>
      <c r="AV72" s="314"/>
      <c r="AW72" s="314"/>
      <c r="AX72" s="314"/>
      <c r="AY72" s="314"/>
      <c r="AZ72" s="314"/>
    </row>
    <row r="73" spans="1:52">
      <c r="A73" s="456"/>
      <c r="B73" s="456"/>
      <c r="C73" s="456"/>
      <c r="D73" s="456"/>
      <c r="E73" s="456"/>
      <c r="F73" s="456"/>
      <c r="G73" s="456"/>
      <c r="H73" s="456"/>
      <c r="I73" s="456"/>
      <c r="J73" s="456"/>
      <c r="K73" s="456"/>
      <c r="L73" s="456"/>
      <c r="M73" s="373"/>
      <c r="N73" s="373"/>
      <c r="O73" s="373"/>
      <c r="P73" s="373"/>
      <c r="Q73" s="373"/>
      <c r="R73" s="373"/>
      <c r="S73" s="373"/>
      <c r="T73" s="373"/>
      <c r="U73" s="373"/>
      <c r="V73" s="373"/>
      <c r="W73" s="373"/>
      <c r="X73" s="373"/>
      <c r="Y73" s="373"/>
      <c r="Z73" s="373"/>
      <c r="AA73" s="373"/>
      <c r="AB73" s="373"/>
      <c r="AC73" s="373"/>
      <c r="AD73" s="373"/>
      <c r="AE73" s="314"/>
      <c r="AF73" s="314"/>
      <c r="AG73" s="314"/>
      <c r="AH73" s="314"/>
      <c r="AI73" s="314"/>
      <c r="AJ73" s="314"/>
      <c r="AK73" s="314"/>
      <c r="AL73" s="314"/>
      <c r="AM73" s="314"/>
      <c r="AN73" s="314"/>
      <c r="AO73" s="314"/>
      <c r="AP73" s="314"/>
      <c r="AQ73" s="314"/>
      <c r="AR73" s="314"/>
      <c r="AS73" s="314"/>
      <c r="AT73" s="314"/>
      <c r="AU73" s="314"/>
      <c r="AV73" s="314"/>
      <c r="AW73" s="314"/>
      <c r="AX73" s="314"/>
      <c r="AY73" s="314"/>
      <c r="AZ73" s="314"/>
    </row>
    <row r="74" spans="1:52">
      <c r="A74" s="456"/>
      <c r="B74" s="456"/>
      <c r="C74" s="456"/>
      <c r="D74" s="456"/>
      <c r="E74" s="456"/>
      <c r="F74" s="456"/>
      <c r="G74" s="456"/>
      <c r="H74" s="456"/>
      <c r="I74" s="456"/>
      <c r="J74" s="456"/>
      <c r="K74" s="456"/>
      <c r="L74" s="456"/>
      <c r="M74" s="373"/>
      <c r="N74" s="373"/>
      <c r="O74" s="373"/>
      <c r="P74" s="373"/>
      <c r="Q74" s="373"/>
      <c r="R74" s="373"/>
      <c r="S74" s="373"/>
      <c r="T74" s="373"/>
      <c r="U74" s="373"/>
      <c r="V74" s="373"/>
      <c r="W74" s="373"/>
      <c r="X74" s="373"/>
      <c r="Y74" s="373"/>
      <c r="Z74" s="373"/>
      <c r="AA74" s="373"/>
      <c r="AB74" s="373"/>
      <c r="AC74" s="373"/>
      <c r="AD74" s="373"/>
      <c r="AE74" s="314"/>
      <c r="AF74" s="314"/>
      <c r="AG74" s="314"/>
      <c r="AH74" s="314"/>
      <c r="AI74" s="314"/>
      <c r="AJ74" s="314"/>
      <c r="AK74" s="314"/>
      <c r="AL74" s="314"/>
      <c r="AM74" s="314"/>
      <c r="AN74" s="314"/>
      <c r="AO74" s="314"/>
      <c r="AP74" s="314"/>
      <c r="AQ74" s="314"/>
      <c r="AR74" s="314"/>
      <c r="AS74" s="314"/>
      <c r="AT74" s="314"/>
      <c r="AU74" s="314"/>
      <c r="AV74" s="314"/>
      <c r="AW74" s="314"/>
      <c r="AX74" s="314"/>
      <c r="AY74" s="314"/>
      <c r="AZ74" s="314"/>
    </row>
    <row r="75" spans="1:52">
      <c r="A75" s="456"/>
      <c r="B75" s="456"/>
      <c r="C75" s="456"/>
      <c r="D75" s="456"/>
      <c r="E75" s="456"/>
      <c r="F75" s="456"/>
      <c r="G75" s="456"/>
      <c r="H75" s="456"/>
      <c r="I75" s="456"/>
      <c r="J75" s="456"/>
      <c r="K75" s="456"/>
      <c r="L75" s="456"/>
      <c r="M75" s="373"/>
      <c r="N75" s="373"/>
      <c r="O75" s="373"/>
      <c r="P75" s="373"/>
      <c r="Q75" s="373"/>
      <c r="R75" s="373"/>
      <c r="S75" s="373"/>
      <c r="T75" s="373"/>
      <c r="U75" s="373"/>
      <c r="V75" s="373"/>
      <c r="W75" s="373"/>
      <c r="X75" s="373"/>
      <c r="Y75" s="373"/>
      <c r="Z75" s="373"/>
      <c r="AA75" s="373"/>
      <c r="AB75" s="373"/>
      <c r="AC75" s="373"/>
      <c r="AD75" s="373"/>
      <c r="AE75" s="314"/>
      <c r="AF75" s="314"/>
      <c r="AG75" s="314"/>
      <c r="AH75" s="314"/>
      <c r="AI75" s="314"/>
      <c r="AJ75" s="314"/>
      <c r="AK75" s="314"/>
      <c r="AL75" s="314"/>
      <c r="AM75" s="314"/>
      <c r="AN75" s="314"/>
      <c r="AO75" s="314"/>
      <c r="AP75" s="314"/>
      <c r="AQ75" s="314"/>
      <c r="AR75" s="314"/>
      <c r="AS75" s="314"/>
      <c r="AT75" s="314"/>
      <c r="AU75" s="314"/>
      <c r="AV75" s="314"/>
      <c r="AW75" s="314"/>
      <c r="AX75" s="314"/>
      <c r="AY75" s="314"/>
      <c r="AZ75" s="314"/>
    </row>
    <row r="76" spans="1:52">
      <c r="A76" s="456"/>
      <c r="B76" s="456"/>
      <c r="C76" s="456"/>
      <c r="D76" s="456"/>
      <c r="E76" s="456"/>
      <c r="F76" s="456"/>
      <c r="G76" s="456"/>
      <c r="H76" s="456"/>
      <c r="I76" s="456"/>
      <c r="J76" s="456"/>
      <c r="K76" s="456"/>
      <c r="L76" s="456"/>
      <c r="M76" s="373"/>
      <c r="N76" s="373"/>
      <c r="O76" s="373"/>
      <c r="P76" s="373"/>
      <c r="Q76" s="373"/>
      <c r="R76" s="373"/>
      <c r="S76" s="373"/>
      <c r="T76" s="373"/>
      <c r="U76" s="373"/>
      <c r="V76" s="373"/>
      <c r="W76" s="373"/>
      <c r="X76" s="373"/>
      <c r="Y76" s="373"/>
      <c r="Z76" s="373"/>
      <c r="AA76" s="373"/>
      <c r="AB76" s="373"/>
      <c r="AC76" s="373"/>
      <c r="AD76" s="373"/>
      <c r="AE76" s="314"/>
      <c r="AF76" s="314"/>
      <c r="AG76" s="314"/>
      <c r="AH76" s="314"/>
      <c r="AI76" s="314"/>
      <c r="AJ76" s="314"/>
      <c r="AK76" s="314"/>
      <c r="AL76" s="314"/>
      <c r="AM76" s="314"/>
      <c r="AN76" s="314"/>
      <c r="AO76" s="314"/>
      <c r="AP76" s="314"/>
      <c r="AQ76" s="314"/>
      <c r="AR76" s="314"/>
      <c r="AS76" s="314"/>
      <c r="AT76" s="314"/>
      <c r="AU76" s="314"/>
      <c r="AV76" s="314"/>
      <c r="AW76" s="314"/>
      <c r="AX76" s="314"/>
      <c r="AY76" s="314"/>
      <c r="AZ76" s="314"/>
    </row>
    <row r="77" spans="1:52">
      <c r="A77" s="456"/>
      <c r="B77" s="456"/>
      <c r="C77" s="456"/>
      <c r="D77" s="456"/>
      <c r="E77" s="456"/>
      <c r="F77" s="456"/>
      <c r="G77" s="456"/>
      <c r="H77" s="456"/>
      <c r="I77" s="456"/>
      <c r="J77" s="456"/>
      <c r="K77" s="456"/>
      <c r="L77" s="456"/>
      <c r="M77" s="373"/>
      <c r="N77" s="373"/>
      <c r="O77" s="373"/>
      <c r="P77" s="373"/>
      <c r="Q77" s="373"/>
      <c r="R77" s="373"/>
      <c r="S77" s="373"/>
      <c r="T77" s="373"/>
      <c r="U77" s="373"/>
      <c r="V77" s="373"/>
      <c r="W77" s="373"/>
      <c r="X77" s="373"/>
      <c r="Y77" s="373"/>
      <c r="Z77" s="373"/>
      <c r="AA77" s="373"/>
      <c r="AB77" s="373"/>
      <c r="AC77" s="373"/>
      <c r="AD77" s="373"/>
      <c r="AE77" s="314"/>
      <c r="AF77" s="314"/>
      <c r="AG77" s="314"/>
      <c r="AH77" s="314"/>
      <c r="AI77" s="314"/>
      <c r="AJ77" s="314"/>
      <c r="AK77" s="314"/>
      <c r="AL77" s="314"/>
      <c r="AM77" s="314"/>
      <c r="AN77" s="314"/>
      <c r="AO77" s="314"/>
      <c r="AP77" s="314"/>
      <c r="AQ77" s="314"/>
      <c r="AR77" s="314"/>
      <c r="AS77" s="314"/>
      <c r="AT77" s="314"/>
      <c r="AU77" s="314"/>
      <c r="AV77" s="314"/>
      <c r="AW77" s="314"/>
      <c r="AX77" s="314"/>
      <c r="AY77" s="314"/>
      <c r="AZ77" s="314"/>
    </row>
    <row r="78" spans="1:52">
      <c r="A78" s="456"/>
      <c r="B78" s="456"/>
      <c r="C78" s="456"/>
      <c r="D78" s="456"/>
      <c r="E78" s="456"/>
      <c r="F78" s="456"/>
      <c r="G78" s="456"/>
      <c r="H78" s="456"/>
      <c r="I78" s="456"/>
      <c r="J78" s="456"/>
      <c r="K78" s="456"/>
      <c r="L78" s="456"/>
      <c r="M78" s="373"/>
      <c r="N78" s="373"/>
      <c r="O78" s="373"/>
      <c r="P78" s="373"/>
      <c r="Q78" s="373"/>
      <c r="R78" s="373"/>
      <c r="S78" s="373"/>
      <c r="T78" s="373"/>
      <c r="U78" s="373"/>
      <c r="V78" s="373"/>
      <c r="W78" s="373"/>
      <c r="X78" s="373"/>
      <c r="Y78" s="373"/>
      <c r="Z78" s="373"/>
      <c r="AA78" s="373"/>
      <c r="AB78" s="373"/>
      <c r="AC78" s="373"/>
      <c r="AD78" s="373"/>
      <c r="AE78" s="314"/>
      <c r="AF78" s="314"/>
      <c r="AG78" s="314"/>
      <c r="AH78" s="314"/>
      <c r="AI78" s="314"/>
      <c r="AJ78" s="314"/>
      <c r="AK78" s="314"/>
      <c r="AL78" s="314"/>
      <c r="AM78" s="314"/>
      <c r="AN78" s="314"/>
      <c r="AO78" s="314"/>
      <c r="AP78" s="314"/>
      <c r="AQ78" s="314"/>
      <c r="AR78" s="314"/>
      <c r="AS78" s="314"/>
      <c r="AT78" s="314"/>
      <c r="AU78" s="314"/>
      <c r="AV78" s="314"/>
      <c r="AW78" s="314"/>
      <c r="AX78" s="314"/>
      <c r="AY78" s="314"/>
      <c r="AZ78" s="314"/>
    </row>
    <row r="79" spans="1:52" ht="18.75" customHeight="1">
      <c r="A79" s="456"/>
      <c r="B79" s="456"/>
      <c r="C79" s="456"/>
      <c r="D79" s="456"/>
      <c r="E79" s="456"/>
      <c r="F79" s="456"/>
      <c r="G79" s="456"/>
      <c r="H79" s="456"/>
      <c r="I79" s="456"/>
      <c r="J79" s="456"/>
      <c r="K79" s="456"/>
      <c r="L79" s="456"/>
      <c r="M79" s="373"/>
      <c r="N79" s="373"/>
      <c r="O79" s="373"/>
      <c r="P79" s="373"/>
      <c r="Q79" s="373"/>
      <c r="R79" s="373"/>
      <c r="S79" s="373"/>
      <c r="T79" s="373"/>
      <c r="U79" s="373"/>
      <c r="V79" s="373"/>
      <c r="W79" s="373"/>
      <c r="X79" s="373"/>
      <c r="Y79" s="373"/>
      <c r="Z79" s="373"/>
      <c r="AA79" s="373"/>
      <c r="AB79" s="373"/>
      <c r="AC79" s="373"/>
      <c r="AD79" s="373"/>
      <c r="AE79" s="314"/>
      <c r="AF79" s="314"/>
      <c r="AG79" s="314"/>
      <c r="AH79" s="314"/>
      <c r="AI79" s="314"/>
      <c r="AJ79" s="314"/>
      <c r="AK79" s="314"/>
      <c r="AL79" s="314"/>
      <c r="AM79" s="314"/>
      <c r="AN79" s="314"/>
      <c r="AO79" s="314"/>
      <c r="AP79" s="314"/>
      <c r="AQ79" s="314"/>
      <c r="AR79" s="314"/>
      <c r="AS79" s="314"/>
      <c r="AT79" s="314"/>
      <c r="AU79" s="314"/>
      <c r="AV79" s="314"/>
      <c r="AW79" s="314"/>
      <c r="AX79" s="314"/>
      <c r="AY79" s="314"/>
      <c r="AZ79" s="314"/>
    </row>
    <row r="80" spans="1:52" s="416" customFormat="1" ht="13.5" customHeight="1">
      <c r="A80" s="415"/>
      <c r="B80" s="415"/>
      <c r="C80" s="415"/>
      <c r="D80" s="415"/>
      <c r="E80" s="415"/>
      <c r="F80" s="415"/>
      <c r="G80" s="415"/>
      <c r="H80" s="415"/>
      <c r="I80" s="415"/>
      <c r="J80" s="415"/>
      <c r="K80" s="415"/>
      <c r="L80" s="415"/>
      <c r="M80" s="415"/>
      <c r="N80" s="415"/>
      <c r="O80" s="415"/>
      <c r="P80" s="415"/>
      <c r="Q80" s="415"/>
      <c r="R80" s="415"/>
      <c r="S80" s="415"/>
      <c r="T80" s="415"/>
      <c r="U80" s="415"/>
      <c r="V80" s="415"/>
      <c r="W80" s="415"/>
      <c r="X80" s="415"/>
      <c r="Y80" s="415"/>
      <c r="Z80" s="415"/>
      <c r="AA80" s="415"/>
      <c r="AB80" s="415"/>
      <c r="AC80" s="415"/>
      <c r="AD80" s="415"/>
      <c r="AE80" s="415"/>
      <c r="AF80" s="415"/>
      <c r="AG80" s="415"/>
      <c r="AH80" s="415"/>
      <c r="AI80" s="415"/>
      <c r="AJ80" s="415"/>
      <c r="AK80" s="415"/>
      <c r="AL80" s="415"/>
      <c r="AM80" s="415"/>
      <c r="AN80" s="415"/>
      <c r="AO80" s="415"/>
      <c r="AP80" s="415"/>
      <c r="AQ80" s="415"/>
      <c r="AR80" s="415"/>
      <c r="AS80" s="415"/>
      <c r="AT80" s="415"/>
      <c r="AU80" s="415"/>
      <c r="AV80" s="415"/>
      <c r="AW80" s="415"/>
      <c r="AX80" s="415"/>
      <c r="AY80" s="415"/>
      <c r="AZ80" s="415"/>
    </row>
    <row r="81" spans="1:52" s="511" customFormat="1" ht="27" customHeight="1">
      <c r="A81" s="511" t="s">
        <v>4000</v>
      </c>
    </row>
    <row r="82" spans="1:52">
      <c r="A82" s="314"/>
      <c r="B82" s="314"/>
      <c r="C82" s="314"/>
      <c r="D82" s="314"/>
      <c r="E82" s="314"/>
      <c r="F82" s="314"/>
      <c r="G82" s="314"/>
      <c r="H82" s="314"/>
      <c r="I82" s="314"/>
      <c r="J82" s="314"/>
      <c r="K82" s="373"/>
      <c r="L82" s="373"/>
      <c r="M82" s="373"/>
      <c r="N82" s="373"/>
      <c r="O82" s="373"/>
      <c r="P82" s="373"/>
      <c r="Q82" s="373"/>
      <c r="R82" s="373"/>
      <c r="S82" s="373"/>
      <c r="T82" s="373"/>
      <c r="U82" s="373"/>
      <c r="V82" s="373"/>
      <c r="W82" s="373"/>
      <c r="X82" s="373"/>
      <c r="Y82" s="373"/>
      <c r="Z82" s="373"/>
      <c r="AA82" s="373"/>
      <c r="AB82" s="373"/>
      <c r="AC82" s="373"/>
      <c r="AD82" s="373"/>
      <c r="AE82" s="314"/>
      <c r="AF82" s="314"/>
      <c r="AG82" s="314"/>
      <c r="AH82" s="314"/>
      <c r="AI82" s="314"/>
      <c r="AJ82" s="314"/>
      <c r="AK82" s="314"/>
      <c r="AL82" s="314"/>
      <c r="AM82" s="314"/>
      <c r="AN82" s="314"/>
      <c r="AO82" s="314"/>
      <c r="AP82" s="314"/>
      <c r="AQ82" s="314"/>
      <c r="AR82" s="314"/>
      <c r="AS82" s="314"/>
      <c r="AT82" s="314"/>
      <c r="AU82" s="314"/>
      <c r="AV82" s="314"/>
      <c r="AW82" s="314"/>
      <c r="AX82" s="314"/>
      <c r="AY82" s="314"/>
      <c r="AZ82" s="314"/>
    </row>
    <row r="83" spans="1:52">
      <c r="A83" s="314"/>
      <c r="B83" s="314"/>
      <c r="C83" s="314"/>
      <c r="D83" s="314"/>
      <c r="E83" s="314"/>
      <c r="F83" s="314"/>
      <c r="G83" s="314"/>
      <c r="H83" s="314"/>
      <c r="I83" s="314"/>
      <c r="J83" s="314"/>
      <c r="K83" s="373"/>
      <c r="L83" s="373"/>
      <c r="M83" s="373"/>
      <c r="N83" s="373"/>
      <c r="O83" s="373"/>
      <c r="P83" s="373"/>
      <c r="Q83" s="373"/>
      <c r="R83" s="373"/>
      <c r="S83" s="373"/>
      <c r="T83" s="373"/>
      <c r="U83" s="373"/>
      <c r="V83" s="373"/>
      <c r="W83" s="373"/>
      <c r="X83" s="373"/>
      <c r="Y83" s="373"/>
      <c r="Z83" s="373"/>
      <c r="AA83" s="373"/>
      <c r="AB83" s="373"/>
      <c r="AC83" s="373"/>
      <c r="AD83" s="373"/>
      <c r="AE83" s="314"/>
      <c r="AF83" s="314"/>
      <c r="AG83" s="314"/>
      <c r="AH83" s="314"/>
      <c r="AI83" s="314"/>
      <c r="AJ83" s="314"/>
      <c r="AK83" s="314"/>
      <c r="AL83" s="314"/>
      <c r="AM83" s="314"/>
      <c r="AN83" s="314"/>
      <c r="AO83" s="314"/>
      <c r="AP83" s="314"/>
      <c r="AQ83" s="314"/>
      <c r="AR83" s="314"/>
      <c r="AS83" s="314"/>
      <c r="AT83" s="314"/>
      <c r="AU83" s="314"/>
      <c r="AV83" s="314"/>
      <c r="AW83" s="314"/>
      <c r="AX83" s="314"/>
      <c r="AY83" s="314"/>
      <c r="AZ83" s="314"/>
    </row>
    <row r="84" spans="1:52">
      <c r="A84" s="314"/>
      <c r="B84" s="314"/>
      <c r="C84" s="314"/>
      <c r="D84" s="314"/>
      <c r="E84" s="314"/>
      <c r="F84" s="314"/>
      <c r="G84" s="314"/>
      <c r="H84" s="314"/>
      <c r="I84" s="314"/>
      <c r="J84" s="314"/>
      <c r="K84" s="373"/>
      <c r="L84" s="373"/>
      <c r="M84" s="373"/>
      <c r="N84" s="373"/>
      <c r="O84" s="373"/>
      <c r="P84" s="373"/>
      <c r="Q84" s="373"/>
      <c r="R84" s="373"/>
      <c r="S84" s="373"/>
      <c r="T84" s="373"/>
      <c r="U84" s="373"/>
      <c r="V84" s="373"/>
      <c r="W84" s="373"/>
      <c r="X84" s="373"/>
      <c r="Y84" s="373"/>
      <c r="Z84" s="373"/>
      <c r="AA84" s="373"/>
      <c r="AB84" s="373"/>
      <c r="AC84" s="373"/>
      <c r="AD84" s="373"/>
      <c r="AE84" s="314"/>
      <c r="AF84" s="314"/>
      <c r="AG84" s="314"/>
      <c r="AH84" s="314"/>
      <c r="AI84" s="314"/>
      <c r="AJ84" s="314"/>
      <c r="AK84" s="314"/>
      <c r="AL84" s="314"/>
      <c r="AM84" s="314"/>
      <c r="AN84" s="314"/>
      <c r="AO84" s="314"/>
      <c r="AP84" s="314"/>
      <c r="AQ84" s="314"/>
      <c r="AR84" s="314"/>
      <c r="AS84" s="314"/>
      <c r="AT84" s="314"/>
      <c r="AU84" s="314"/>
      <c r="AV84" s="314"/>
      <c r="AW84" s="314"/>
      <c r="AX84" s="314"/>
      <c r="AY84" s="314"/>
      <c r="AZ84" s="314"/>
    </row>
    <row r="85" spans="1:52">
      <c r="A85" s="314"/>
      <c r="B85" s="314"/>
      <c r="C85" s="314"/>
      <c r="D85" s="314"/>
      <c r="E85" s="314"/>
      <c r="F85" s="314"/>
      <c r="G85" s="314"/>
      <c r="H85" s="314"/>
      <c r="I85" s="314"/>
      <c r="J85" s="314"/>
      <c r="K85" s="373"/>
      <c r="L85" s="373"/>
      <c r="M85" s="373"/>
      <c r="N85" s="373"/>
      <c r="O85" s="373"/>
      <c r="P85" s="373"/>
      <c r="Q85" s="373"/>
      <c r="R85" s="373"/>
      <c r="S85" s="373"/>
      <c r="T85" s="373"/>
      <c r="U85" s="373"/>
      <c r="V85" s="373"/>
      <c r="W85" s="373"/>
      <c r="X85" s="373"/>
      <c r="Y85" s="373"/>
      <c r="Z85" s="373"/>
      <c r="AA85" s="373"/>
      <c r="AB85" s="373"/>
      <c r="AC85" s="373"/>
      <c r="AD85" s="373"/>
      <c r="AE85" s="314"/>
      <c r="AF85" s="314"/>
      <c r="AG85" s="314"/>
      <c r="AH85" s="314"/>
      <c r="AI85" s="314"/>
      <c r="AJ85" s="314"/>
      <c r="AK85" s="314"/>
      <c r="AL85" s="314"/>
      <c r="AM85" s="314"/>
      <c r="AN85" s="314"/>
      <c r="AO85" s="314"/>
      <c r="AP85" s="314"/>
      <c r="AQ85" s="314"/>
      <c r="AR85" s="314"/>
      <c r="AS85" s="314"/>
      <c r="AT85" s="314"/>
      <c r="AU85" s="314"/>
      <c r="AV85" s="314"/>
      <c r="AW85" s="314"/>
      <c r="AX85" s="314"/>
      <c r="AY85" s="314"/>
      <c r="AZ85" s="314"/>
    </row>
    <row r="86" spans="1:52">
      <c r="A86" s="314"/>
      <c r="B86" s="314"/>
      <c r="C86" s="314"/>
      <c r="D86" s="314"/>
      <c r="E86" s="314"/>
      <c r="F86" s="314"/>
      <c r="G86" s="314"/>
      <c r="H86" s="314"/>
      <c r="I86" s="314"/>
      <c r="J86" s="314"/>
      <c r="K86" s="373"/>
      <c r="L86" s="373"/>
      <c r="M86" s="373"/>
      <c r="N86" s="373"/>
      <c r="O86" s="373"/>
      <c r="P86" s="373"/>
      <c r="Q86" s="373"/>
      <c r="R86" s="373"/>
      <c r="S86" s="373"/>
      <c r="T86" s="373"/>
      <c r="U86" s="373"/>
      <c r="V86" s="373"/>
      <c r="W86" s="373"/>
      <c r="X86" s="373"/>
      <c r="Y86" s="373"/>
      <c r="Z86" s="373"/>
      <c r="AA86" s="373"/>
      <c r="AB86" s="373"/>
      <c r="AC86" s="373"/>
      <c r="AD86" s="373"/>
      <c r="AE86" s="314"/>
      <c r="AF86" s="314"/>
      <c r="AG86" s="314"/>
      <c r="AH86" s="314"/>
      <c r="AI86" s="314"/>
      <c r="AJ86" s="314"/>
      <c r="AK86" s="314"/>
      <c r="AL86" s="314"/>
      <c r="AM86" s="314"/>
      <c r="AN86" s="314"/>
      <c r="AO86" s="314"/>
      <c r="AP86" s="314"/>
      <c r="AQ86" s="314"/>
      <c r="AR86" s="314"/>
      <c r="AS86" s="314"/>
      <c r="AT86" s="314"/>
      <c r="AU86" s="314"/>
      <c r="AV86" s="314"/>
      <c r="AW86" s="314"/>
      <c r="AX86" s="314"/>
      <c r="AY86" s="314"/>
      <c r="AZ86" s="314"/>
    </row>
    <row r="87" spans="1:52">
      <c r="A87" s="314"/>
      <c r="B87" s="314"/>
      <c r="C87" s="314"/>
      <c r="D87" s="314"/>
      <c r="E87" s="314"/>
      <c r="F87" s="314"/>
      <c r="G87" s="314"/>
      <c r="H87" s="314"/>
      <c r="I87" s="314"/>
      <c r="J87" s="314"/>
      <c r="K87" s="373"/>
      <c r="L87" s="373"/>
      <c r="M87" s="373"/>
      <c r="N87" s="373"/>
      <c r="O87" s="373"/>
      <c r="P87" s="373"/>
      <c r="Q87" s="373"/>
      <c r="R87" s="373"/>
      <c r="S87" s="373"/>
      <c r="T87" s="373"/>
      <c r="U87" s="373"/>
      <c r="V87" s="373"/>
      <c r="W87" s="373"/>
      <c r="X87" s="373"/>
      <c r="Y87" s="373"/>
      <c r="Z87" s="373"/>
      <c r="AA87" s="373"/>
      <c r="AB87" s="373"/>
      <c r="AC87" s="373"/>
      <c r="AD87" s="373"/>
      <c r="AE87" s="314"/>
      <c r="AF87" s="314"/>
      <c r="AG87" s="314"/>
      <c r="AH87" s="314"/>
      <c r="AI87" s="314"/>
      <c r="AJ87" s="314"/>
      <c r="AK87" s="314"/>
      <c r="AL87" s="314"/>
      <c r="AM87" s="314"/>
      <c r="AN87" s="314"/>
      <c r="AO87" s="314"/>
      <c r="AP87" s="314"/>
      <c r="AQ87" s="314"/>
      <c r="AR87" s="314"/>
      <c r="AS87" s="314"/>
      <c r="AT87" s="314"/>
      <c r="AU87" s="314"/>
      <c r="AV87" s="314"/>
      <c r="AW87" s="314"/>
      <c r="AX87" s="314"/>
      <c r="AY87" s="314"/>
      <c r="AZ87" s="314"/>
    </row>
    <row r="88" spans="1:52">
      <c r="A88" s="314"/>
      <c r="B88" s="314"/>
      <c r="C88" s="314"/>
      <c r="D88" s="314"/>
      <c r="E88" s="314"/>
      <c r="F88" s="314"/>
      <c r="G88" s="314"/>
      <c r="H88" s="314"/>
      <c r="I88" s="314"/>
      <c r="J88" s="314"/>
      <c r="K88" s="373"/>
      <c r="L88" s="373"/>
      <c r="M88" s="373"/>
      <c r="N88" s="373"/>
      <c r="O88" s="373"/>
      <c r="P88" s="373"/>
      <c r="Q88" s="373"/>
      <c r="R88" s="373"/>
      <c r="S88" s="373"/>
      <c r="T88" s="373"/>
      <c r="U88" s="373"/>
      <c r="V88" s="373"/>
      <c r="W88" s="373"/>
      <c r="X88" s="373"/>
      <c r="Y88" s="373"/>
      <c r="Z88" s="373"/>
      <c r="AA88" s="373"/>
      <c r="AB88" s="373"/>
      <c r="AC88" s="373"/>
      <c r="AD88" s="373"/>
      <c r="AE88" s="314"/>
      <c r="AF88" s="314"/>
      <c r="AG88" s="314"/>
      <c r="AH88" s="314"/>
      <c r="AI88" s="314"/>
      <c r="AJ88" s="314"/>
      <c r="AK88" s="314"/>
      <c r="AL88" s="314"/>
      <c r="AM88" s="314"/>
      <c r="AN88" s="314"/>
      <c r="AO88" s="314"/>
      <c r="AP88" s="314"/>
      <c r="AQ88" s="314"/>
      <c r="AR88" s="314"/>
      <c r="AS88" s="314"/>
      <c r="AT88" s="314"/>
      <c r="AU88" s="314"/>
      <c r="AV88" s="314"/>
      <c r="AW88" s="314"/>
      <c r="AX88" s="314"/>
      <c r="AY88" s="314"/>
      <c r="AZ88" s="314"/>
    </row>
    <row r="89" spans="1:52">
      <c r="A89" s="314"/>
      <c r="B89" s="321"/>
      <c r="C89" s="314"/>
      <c r="D89" s="314"/>
      <c r="E89" s="314"/>
      <c r="F89" s="314"/>
      <c r="G89" s="314"/>
      <c r="H89" s="314"/>
      <c r="I89" s="314"/>
      <c r="J89" s="314"/>
      <c r="K89" s="373"/>
      <c r="L89" s="373"/>
      <c r="M89" s="373"/>
      <c r="N89" s="373"/>
      <c r="O89" s="373"/>
      <c r="P89" s="373"/>
      <c r="Q89" s="373"/>
      <c r="R89" s="373"/>
      <c r="S89" s="373"/>
      <c r="T89" s="373"/>
      <c r="U89" s="373"/>
      <c r="V89" s="373"/>
      <c r="W89" s="373"/>
      <c r="X89" s="373"/>
      <c r="Y89" s="373"/>
      <c r="Z89" s="373"/>
      <c r="AA89" s="373"/>
      <c r="AB89" s="373"/>
      <c r="AC89" s="373"/>
      <c r="AD89" s="373"/>
      <c r="AE89" s="314"/>
      <c r="AF89" s="314"/>
      <c r="AG89" s="314"/>
      <c r="AH89" s="314"/>
      <c r="AI89" s="314"/>
      <c r="AJ89" s="314"/>
      <c r="AK89" s="314"/>
      <c r="AL89" s="314"/>
      <c r="AM89" s="314"/>
      <c r="AN89" s="314"/>
      <c r="AO89" s="314"/>
      <c r="AP89" s="314"/>
      <c r="AQ89" s="314"/>
      <c r="AR89" s="314"/>
      <c r="AS89" s="314"/>
      <c r="AT89" s="314"/>
      <c r="AU89" s="314"/>
      <c r="AV89" s="314"/>
      <c r="AW89" s="314"/>
      <c r="AX89" s="314"/>
      <c r="AY89" s="314"/>
      <c r="AZ89" s="314"/>
    </row>
    <row r="90" spans="1:52">
      <c r="A90" s="314"/>
      <c r="B90" s="314"/>
      <c r="C90" s="314"/>
      <c r="D90" s="314"/>
      <c r="E90" s="314"/>
      <c r="F90" s="314"/>
      <c r="G90" s="314"/>
      <c r="H90" s="314"/>
      <c r="I90" s="314"/>
      <c r="J90" s="314"/>
      <c r="K90" s="373"/>
      <c r="L90" s="373"/>
      <c r="M90" s="373"/>
      <c r="N90" s="373"/>
      <c r="O90" s="373"/>
      <c r="P90" s="373"/>
      <c r="Q90" s="373"/>
      <c r="R90" s="373"/>
      <c r="S90" s="373"/>
      <c r="T90" s="373"/>
      <c r="U90" s="373"/>
      <c r="V90" s="373"/>
      <c r="W90" s="373"/>
      <c r="X90" s="373"/>
      <c r="Y90" s="373"/>
      <c r="Z90" s="373"/>
      <c r="AA90" s="373"/>
      <c r="AB90" s="373"/>
      <c r="AC90" s="373"/>
      <c r="AD90" s="373"/>
      <c r="AE90" s="314"/>
      <c r="AF90" s="314"/>
      <c r="AG90" s="314"/>
      <c r="AH90" s="314"/>
      <c r="AI90" s="314"/>
      <c r="AJ90" s="314"/>
      <c r="AK90" s="314"/>
      <c r="AL90" s="314"/>
      <c r="AM90" s="314"/>
      <c r="AN90" s="314"/>
      <c r="AO90" s="314"/>
      <c r="AP90" s="314"/>
      <c r="AQ90" s="314"/>
      <c r="AR90" s="314"/>
      <c r="AS90" s="314"/>
      <c r="AT90" s="314"/>
      <c r="AU90" s="314"/>
      <c r="AV90" s="314"/>
      <c r="AW90" s="314"/>
      <c r="AX90" s="314"/>
      <c r="AY90" s="314"/>
      <c r="AZ90" s="314"/>
    </row>
    <row r="91" spans="1:52">
      <c r="A91" s="314"/>
      <c r="B91" s="314"/>
      <c r="C91" s="314"/>
      <c r="D91" s="314"/>
      <c r="E91" s="314"/>
      <c r="F91" s="314"/>
      <c r="G91" s="314"/>
      <c r="H91" s="314"/>
      <c r="I91" s="314"/>
      <c r="J91" s="314"/>
      <c r="K91" s="373"/>
      <c r="L91" s="373"/>
      <c r="M91" s="373"/>
      <c r="N91" s="373"/>
      <c r="O91" s="373"/>
      <c r="P91" s="373"/>
      <c r="Q91" s="373"/>
      <c r="R91" s="373"/>
      <c r="S91" s="373"/>
      <c r="T91" s="373"/>
      <c r="U91" s="373"/>
      <c r="V91" s="373"/>
      <c r="W91" s="373"/>
      <c r="X91" s="373"/>
      <c r="Y91" s="373"/>
      <c r="Z91" s="373"/>
      <c r="AA91" s="373"/>
      <c r="AB91" s="373"/>
      <c r="AC91" s="373"/>
      <c r="AD91" s="373"/>
      <c r="AE91" s="314"/>
      <c r="AF91" s="314"/>
      <c r="AG91" s="314"/>
      <c r="AH91" s="314"/>
      <c r="AI91" s="314"/>
      <c r="AJ91" s="314"/>
      <c r="AK91" s="314"/>
      <c r="AL91" s="314"/>
      <c r="AM91" s="314"/>
      <c r="AN91" s="314"/>
      <c r="AO91" s="314"/>
      <c r="AP91" s="314"/>
      <c r="AQ91" s="314"/>
      <c r="AR91" s="314"/>
      <c r="AS91" s="314"/>
      <c r="AT91" s="314"/>
      <c r="AU91" s="314"/>
      <c r="AV91" s="314"/>
      <c r="AW91" s="314"/>
      <c r="AX91" s="314"/>
      <c r="AY91" s="314"/>
      <c r="AZ91" s="314"/>
    </row>
    <row r="92" spans="1:52">
      <c r="A92" s="314"/>
      <c r="B92" s="314"/>
      <c r="C92" s="314"/>
      <c r="D92" s="314"/>
      <c r="E92" s="314"/>
      <c r="F92" s="314"/>
      <c r="G92" s="314"/>
      <c r="H92" s="314"/>
      <c r="I92" s="314"/>
      <c r="J92" s="314"/>
      <c r="K92" s="373"/>
      <c r="L92" s="373"/>
      <c r="M92" s="373"/>
      <c r="N92" s="373"/>
      <c r="O92" s="373"/>
      <c r="P92" s="373"/>
      <c r="Q92" s="373"/>
      <c r="R92" s="373"/>
      <c r="S92" s="373"/>
      <c r="T92" s="373"/>
      <c r="U92" s="373"/>
      <c r="V92" s="373"/>
      <c r="W92" s="373"/>
      <c r="X92" s="373"/>
      <c r="Y92" s="373"/>
      <c r="Z92" s="373"/>
      <c r="AA92" s="373"/>
      <c r="AB92" s="373"/>
      <c r="AC92" s="373"/>
      <c r="AD92" s="373"/>
      <c r="AE92" s="314"/>
      <c r="AF92" s="314"/>
      <c r="AG92" s="314"/>
      <c r="AH92" s="314"/>
      <c r="AI92" s="314"/>
      <c r="AJ92" s="314"/>
      <c r="AK92" s="314"/>
      <c r="AL92" s="314"/>
      <c r="AM92" s="314"/>
      <c r="AN92" s="314"/>
      <c r="AO92" s="314"/>
      <c r="AP92" s="314"/>
      <c r="AQ92" s="314"/>
      <c r="AR92" s="314"/>
      <c r="AS92" s="314"/>
      <c r="AT92" s="314"/>
      <c r="AU92" s="314"/>
      <c r="AV92" s="314"/>
      <c r="AW92" s="314"/>
      <c r="AX92" s="314"/>
      <c r="AY92" s="314"/>
      <c r="AZ92" s="314"/>
    </row>
    <row r="93" spans="1:52">
      <c r="A93" s="314"/>
      <c r="B93" s="314"/>
      <c r="C93" s="314"/>
      <c r="D93" s="314"/>
      <c r="E93" s="314"/>
      <c r="F93" s="314"/>
      <c r="G93" s="314"/>
      <c r="H93" s="314"/>
      <c r="I93" s="314"/>
      <c r="J93" s="314"/>
      <c r="K93" s="373"/>
      <c r="L93" s="373"/>
      <c r="M93" s="373"/>
      <c r="N93" s="373"/>
      <c r="O93" s="373"/>
      <c r="P93" s="373"/>
      <c r="Q93" s="373"/>
      <c r="R93" s="373"/>
      <c r="S93" s="373"/>
      <c r="T93" s="373"/>
      <c r="U93" s="373"/>
      <c r="V93" s="373"/>
      <c r="W93" s="373"/>
      <c r="X93" s="373"/>
      <c r="Y93" s="373"/>
      <c r="Z93" s="373"/>
      <c r="AA93" s="373"/>
      <c r="AB93" s="373"/>
      <c r="AC93" s="373"/>
      <c r="AD93" s="373"/>
      <c r="AE93" s="314"/>
      <c r="AF93" s="314"/>
      <c r="AG93" s="314"/>
      <c r="AH93" s="314"/>
      <c r="AI93" s="314"/>
      <c r="AJ93" s="314"/>
      <c r="AK93" s="314"/>
      <c r="AL93" s="314"/>
      <c r="AM93" s="314"/>
      <c r="AN93" s="314"/>
      <c r="AO93" s="314"/>
      <c r="AP93" s="314"/>
      <c r="AQ93" s="314"/>
      <c r="AR93" s="314"/>
      <c r="AS93" s="314"/>
      <c r="AT93" s="314"/>
      <c r="AU93" s="314"/>
      <c r="AV93" s="314"/>
      <c r="AW93" s="314"/>
      <c r="AX93" s="314"/>
      <c r="AY93" s="314"/>
      <c r="AZ93" s="314"/>
    </row>
    <row r="94" spans="1:52">
      <c r="A94" s="314"/>
      <c r="B94" s="314"/>
      <c r="C94" s="314"/>
      <c r="D94" s="314"/>
      <c r="E94" s="314"/>
      <c r="F94" s="314"/>
      <c r="G94" s="314"/>
      <c r="H94" s="314"/>
      <c r="I94" s="314"/>
      <c r="J94" s="314"/>
      <c r="K94" s="373"/>
      <c r="L94" s="373"/>
      <c r="M94" s="373"/>
      <c r="N94" s="373"/>
      <c r="O94" s="373"/>
      <c r="P94" s="373"/>
      <c r="Q94" s="373"/>
      <c r="R94" s="373"/>
      <c r="S94" s="373"/>
      <c r="T94" s="373"/>
      <c r="U94" s="373"/>
      <c r="V94" s="373"/>
      <c r="W94" s="373"/>
      <c r="X94" s="373"/>
      <c r="Y94" s="373"/>
      <c r="Z94" s="373"/>
      <c r="AA94" s="373"/>
      <c r="AB94" s="373"/>
      <c r="AC94" s="373"/>
      <c r="AD94" s="373"/>
      <c r="AE94" s="314"/>
      <c r="AF94" s="314"/>
      <c r="AG94" s="314"/>
      <c r="AH94" s="314"/>
      <c r="AI94" s="314"/>
      <c r="AJ94" s="314"/>
      <c r="AK94" s="314"/>
      <c r="AL94" s="314"/>
      <c r="AM94" s="314"/>
      <c r="AN94" s="314"/>
      <c r="AO94" s="314"/>
      <c r="AP94" s="314"/>
      <c r="AQ94" s="314"/>
      <c r="AR94" s="314"/>
      <c r="AS94" s="314"/>
      <c r="AT94" s="314"/>
      <c r="AU94" s="314"/>
      <c r="AV94" s="314"/>
      <c r="AW94" s="314"/>
      <c r="AX94" s="314"/>
      <c r="AY94" s="314"/>
      <c r="AZ94" s="314"/>
    </row>
    <row r="95" spans="1:52" ht="15">
      <c r="A95" s="314"/>
      <c r="B95" s="314"/>
      <c r="C95" s="314"/>
      <c r="D95" s="315"/>
      <c r="E95" s="314"/>
      <c r="F95" s="314"/>
      <c r="G95" s="314"/>
      <c r="H95" s="314"/>
      <c r="I95" s="314"/>
      <c r="J95" s="314"/>
      <c r="K95" s="373"/>
      <c r="L95" s="373"/>
      <c r="M95" s="373"/>
      <c r="N95" s="373"/>
      <c r="O95" s="373"/>
      <c r="P95" s="373"/>
      <c r="Q95" s="373"/>
      <c r="R95" s="373"/>
      <c r="S95" s="373"/>
      <c r="T95" s="373"/>
      <c r="U95" s="373"/>
      <c r="V95" s="373"/>
      <c r="W95" s="373"/>
      <c r="X95" s="373"/>
      <c r="Y95" s="373"/>
      <c r="Z95" s="373"/>
      <c r="AA95" s="373"/>
      <c r="AB95" s="373"/>
      <c r="AC95" s="373"/>
      <c r="AD95" s="373"/>
      <c r="AE95" s="314"/>
      <c r="AF95" s="314"/>
      <c r="AG95" s="314"/>
      <c r="AH95" s="314"/>
      <c r="AI95" s="314"/>
      <c r="AJ95" s="314"/>
      <c r="AK95" s="314"/>
      <c r="AL95" s="314"/>
      <c r="AM95" s="314"/>
      <c r="AN95" s="314"/>
      <c r="AO95" s="314"/>
      <c r="AP95" s="314"/>
      <c r="AQ95" s="314"/>
      <c r="AR95" s="314"/>
      <c r="AS95" s="314"/>
      <c r="AT95" s="314"/>
      <c r="AU95" s="314"/>
      <c r="AV95" s="314"/>
      <c r="AW95" s="314"/>
      <c r="AX95" s="314"/>
      <c r="AY95" s="314"/>
      <c r="AZ95" s="314"/>
    </row>
    <row r="96" spans="1:52">
      <c r="A96" s="314"/>
      <c r="B96" s="314"/>
      <c r="C96" s="314"/>
      <c r="D96" s="314"/>
      <c r="E96" s="314"/>
      <c r="F96" s="314"/>
      <c r="G96" s="314"/>
      <c r="H96" s="314"/>
      <c r="I96" s="314"/>
      <c r="J96" s="314"/>
      <c r="K96" s="373"/>
      <c r="L96" s="373"/>
      <c r="M96" s="373"/>
      <c r="N96" s="373"/>
      <c r="O96" s="373"/>
      <c r="P96" s="373"/>
      <c r="Q96" s="373"/>
      <c r="R96" s="373"/>
      <c r="S96" s="373"/>
      <c r="T96" s="373"/>
      <c r="U96" s="373"/>
      <c r="V96" s="373"/>
      <c r="W96" s="373"/>
      <c r="X96" s="373"/>
      <c r="Y96" s="373"/>
      <c r="Z96" s="373"/>
      <c r="AA96" s="373"/>
      <c r="AB96" s="373"/>
      <c r="AC96" s="373"/>
      <c r="AD96" s="373"/>
      <c r="AE96" s="314"/>
      <c r="AF96" s="314"/>
      <c r="AG96" s="314"/>
      <c r="AH96" s="314"/>
      <c r="AI96" s="314"/>
      <c r="AJ96" s="314"/>
      <c r="AK96" s="314"/>
      <c r="AL96" s="314"/>
      <c r="AM96" s="314"/>
      <c r="AN96" s="314"/>
      <c r="AO96" s="314"/>
      <c r="AP96" s="314"/>
      <c r="AQ96" s="314"/>
      <c r="AR96" s="314"/>
      <c r="AS96" s="314"/>
      <c r="AT96" s="314"/>
      <c r="AU96" s="314"/>
      <c r="AV96" s="314"/>
      <c r="AW96" s="314"/>
      <c r="AX96" s="314"/>
      <c r="AY96" s="314"/>
      <c r="AZ96" s="314"/>
    </row>
    <row r="97" spans="1:52">
      <c r="A97" s="314"/>
      <c r="B97" s="314"/>
      <c r="C97" s="314"/>
      <c r="D97" s="314"/>
      <c r="E97" s="314"/>
      <c r="F97" s="314"/>
      <c r="G97" s="314"/>
      <c r="H97" s="314"/>
      <c r="I97" s="314"/>
      <c r="J97" s="314"/>
      <c r="K97" s="373"/>
      <c r="L97" s="373"/>
      <c r="M97" s="373"/>
      <c r="N97" s="373"/>
      <c r="O97" s="373"/>
      <c r="P97" s="373"/>
      <c r="Q97" s="373"/>
      <c r="R97" s="373"/>
      <c r="S97" s="373"/>
      <c r="T97" s="373"/>
      <c r="U97" s="373"/>
      <c r="V97" s="373"/>
      <c r="W97" s="373"/>
      <c r="X97" s="373"/>
      <c r="Y97" s="373"/>
      <c r="Z97" s="373"/>
      <c r="AA97" s="373"/>
      <c r="AB97" s="373"/>
      <c r="AC97" s="373"/>
      <c r="AD97" s="373"/>
      <c r="AE97" s="314"/>
      <c r="AF97" s="314"/>
      <c r="AG97" s="314"/>
      <c r="AH97" s="314"/>
      <c r="AI97" s="314"/>
      <c r="AJ97" s="314"/>
      <c r="AK97" s="314"/>
      <c r="AL97" s="314"/>
      <c r="AM97" s="314"/>
      <c r="AN97" s="314"/>
      <c r="AO97" s="314"/>
      <c r="AP97" s="314"/>
      <c r="AQ97" s="314"/>
      <c r="AR97" s="314"/>
      <c r="AS97" s="314"/>
      <c r="AT97" s="314"/>
      <c r="AU97" s="314"/>
      <c r="AV97" s="314"/>
      <c r="AW97" s="314"/>
      <c r="AX97" s="314"/>
      <c r="AY97" s="314"/>
      <c r="AZ97" s="314"/>
    </row>
    <row r="98" spans="1:52">
      <c r="A98" s="314"/>
      <c r="B98" s="314"/>
      <c r="C98" s="314"/>
      <c r="D98" s="314"/>
      <c r="E98" s="314"/>
      <c r="F98" s="314"/>
      <c r="G98" s="314"/>
      <c r="H98" s="314"/>
      <c r="I98" s="314"/>
      <c r="J98" s="314"/>
      <c r="K98" s="373"/>
      <c r="L98" s="373"/>
      <c r="M98" s="373"/>
      <c r="N98" s="373"/>
      <c r="O98" s="373"/>
      <c r="P98" s="373"/>
      <c r="Q98" s="373"/>
      <c r="R98" s="373"/>
      <c r="S98" s="373"/>
      <c r="T98" s="373"/>
      <c r="U98" s="373"/>
      <c r="V98" s="373"/>
      <c r="W98" s="373"/>
      <c r="X98" s="373"/>
      <c r="Y98" s="373"/>
      <c r="Z98" s="373"/>
      <c r="AA98" s="373"/>
      <c r="AB98" s="373"/>
      <c r="AC98" s="373"/>
      <c r="AD98" s="373"/>
      <c r="AE98" s="314"/>
      <c r="AF98" s="314"/>
      <c r="AG98" s="314"/>
      <c r="AH98" s="314"/>
      <c r="AI98" s="314"/>
      <c r="AJ98" s="314"/>
      <c r="AK98" s="314"/>
      <c r="AL98" s="314"/>
      <c r="AM98" s="314"/>
      <c r="AN98" s="314"/>
      <c r="AO98" s="314"/>
      <c r="AP98" s="314"/>
      <c r="AQ98" s="314"/>
      <c r="AR98" s="314"/>
      <c r="AS98" s="314"/>
      <c r="AT98" s="314"/>
      <c r="AU98" s="314"/>
      <c r="AV98" s="314"/>
      <c r="AW98" s="314"/>
      <c r="AX98" s="314"/>
      <c r="AY98" s="314"/>
      <c r="AZ98" s="314"/>
    </row>
    <row r="99" spans="1:52">
      <c r="A99" s="314"/>
      <c r="B99" s="314"/>
      <c r="C99" s="314"/>
      <c r="D99" s="314"/>
      <c r="E99" s="314"/>
      <c r="F99" s="314"/>
      <c r="G99" s="314"/>
      <c r="H99" s="314"/>
      <c r="I99" s="314"/>
      <c r="J99" s="314"/>
      <c r="K99" s="373"/>
      <c r="L99" s="373"/>
      <c r="M99" s="373"/>
      <c r="N99" s="373"/>
      <c r="O99" s="373"/>
      <c r="P99" s="373"/>
      <c r="Q99" s="373"/>
      <c r="R99" s="373"/>
      <c r="S99" s="373"/>
      <c r="T99" s="373"/>
      <c r="U99" s="373"/>
      <c r="V99" s="373"/>
      <c r="W99" s="373"/>
      <c r="X99" s="373"/>
      <c r="Y99" s="373"/>
      <c r="Z99" s="373"/>
      <c r="AA99" s="373"/>
      <c r="AB99" s="373"/>
      <c r="AC99" s="373"/>
      <c r="AD99" s="373"/>
      <c r="AE99" s="314"/>
      <c r="AF99" s="314"/>
      <c r="AG99" s="314"/>
      <c r="AH99" s="314"/>
      <c r="AI99" s="314"/>
      <c r="AJ99" s="314"/>
      <c r="AK99" s="314"/>
      <c r="AL99" s="314"/>
      <c r="AM99" s="314"/>
      <c r="AN99" s="314"/>
      <c r="AO99" s="314"/>
      <c r="AP99" s="314"/>
      <c r="AQ99" s="314"/>
      <c r="AR99" s="314"/>
      <c r="AS99" s="314"/>
      <c r="AT99" s="314"/>
      <c r="AU99" s="314"/>
      <c r="AV99" s="314"/>
      <c r="AW99" s="314"/>
      <c r="AX99" s="314"/>
      <c r="AY99" s="314"/>
      <c r="AZ99" s="314"/>
    </row>
    <row r="100" spans="1:52">
      <c r="A100" s="314"/>
      <c r="B100" s="314"/>
      <c r="C100" s="314"/>
      <c r="D100" s="314"/>
      <c r="E100" s="314"/>
      <c r="F100" s="314"/>
      <c r="G100" s="314"/>
      <c r="H100" s="314"/>
      <c r="I100" s="314"/>
      <c r="J100" s="314"/>
      <c r="K100" s="373"/>
      <c r="L100" s="373"/>
      <c r="M100" s="373"/>
      <c r="N100" s="373"/>
      <c r="O100" s="373"/>
      <c r="P100" s="373"/>
      <c r="Q100" s="373"/>
      <c r="R100" s="373"/>
      <c r="S100" s="373"/>
      <c r="T100" s="373"/>
      <c r="U100" s="373"/>
      <c r="V100" s="373"/>
      <c r="W100" s="373"/>
      <c r="X100" s="373"/>
      <c r="Y100" s="373"/>
      <c r="Z100" s="373"/>
      <c r="AA100" s="373"/>
      <c r="AB100" s="373"/>
      <c r="AC100" s="373"/>
      <c r="AD100" s="373"/>
      <c r="AE100" s="314"/>
      <c r="AF100" s="314"/>
      <c r="AG100" s="314"/>
      <c r="AH100" s="314"/>
      <c r="AI100" s="314"/>
      <c r="AJ100" s="314"/>
      <c r="AK100" s="314"/>
      <c r="AL100" s="314"/>
      <c r="AM100" s="314"/>
      <c r="AN100" s="314"/>
      <c r="AO100" s="314"/>
      <c r="AP100" s="314"/>
      <c r="AQ100" s="314"/>
      <c r="AR100" s="314"/>
      <c r="AS100" s="314"/>
      <c r="AT100" s="314"/>
      <c r="AU100" s="314"/>
      <c r="AV100" s="314"/>
      <c r="AW100" s="314"/>
      <c r="AX100" s="314"/>
      <c r="AY100" s="314"/>
      <c r="AZ100" s="314"/>
    </row>
    <row r="101" spans="1:52">
      <c r="A101" s="314"/>
      <c r="B101" s="314"/>
      <c r="C101" s="314"/>
      <c r="D101" s="314"/>
      <c r="E101" s="314"/>
      <c r="F101" s="314"/>
      <c r="G101" s="314"/>
      <c r="H101" s="314"/>
      <c r="I101" s="314"/>
      <c r="J101" s="314"/>
      <c r="K101" s="373"/>
      <c r="L101" s="373"/>
      <c r="M101" s="373"/>
      <c r="N101" s="373"/>
      <c r="O101" s="373"/>
      <c r="P101" s="373"/>
      <c r="Q101" s="373"/>
      <c r="R101" s="373"/>
      <c r="S101" s="373"/>
      <c r="T101" s="373"/>
      <c r="U101" s="373"/>
      <c r="V101" s="373"/>
      <c r="W101" s="373"/>
      <c r="X101" s="373"/>
      <c r="Y101" s="373"/>
      <c r="Z101" s="373"/>
      <c r="AA101" s="373"/>
      <c r="AB101" s="373"/>
      <c r="AC101" s="373"/>
      <c r="AD101" s="373"/>
      <c r="AE101" s="314"/>
      <c r="AF101" s="314"/>
      <c r="AG101" s="314"/>
      <c r="AH101" s="314"/>
      <c r="AI101" s="314"/>
      <c r="AJ101" s="314"/>
      <c r="AK101" s="314"/>
      <c r="AL101" s="314"/>
      <c r="AM101" s="314"/>
      <c r="AN101" s="314"/>
      <c r="AO101" s="314"/>
      <c r="AP101" s="314"/>
      <c r="AQ101" s="314"/>
      <c r="AR101" s="314"/>
      <c r="AS101" s="314"/>
      <c r="AT101" s="314"/>
      <c r="AU101" s="314"/>
      <c r="AV101" s="314"/>
      <c r="AW101" s="314"/>
      <c r="AX101" s="314"/>
      <c r="AY101" s="314"/>
      <c r="AZ101" s="314"/>
    </row>
    <row r="102" spans="1:52">
      <c r="A102" s="314"/>
      <c r="B102" s="314"/>
      <c r="C102" s="314"/>
      <c r="D102" s="314"/>
      <c r="E102" s="314"/>
      <c r="F102" s="314"/>
      <c r="G102" s="314"/>
      <c r="H102" s="314"/>
      <c r="I102" s="314"/>
      <c r="J102" s="314"/>
      <c r="K102" s="373"/>
      <c r="L102" s="373"/>
      <c r="M102" s="373"/>
      <c r="N102" s="373"/>
      <c r="O102" s="373"/>
      <c r="P102" s="373"/>
      <c r="Q102" s="373"/>
      <c r="R102" s="373"/>
      <c r="S102" s="373"/>
      <c r="T102" s="373"/>
      <c r="U102" s="373"/>
      <c r="V102" s="373"/>
      <c r="W102" s="373"/>
      <c r="X102" s="373"/>
      <c r="Y102" s="373"/>
      <c r="Z102" s="373"/>
      <c r="AA102" s="373"/>
      <c r="AB102" s="373"/>
      <c r="AC102" s="373"/>
      <c r="AD102" s="373"/>
      <c r="AE102" s="314"/>
      <c r="AF102" s="314"/>
      <c r="AG102" s="314"/>
      <c r="AH102" s="314"/>
      <c r="AI102" s="314"/>
      <c r="AJ102" s="314"/>
      <c r="AK102" s="314"/>
      <c r="AL102" s="314"/>
      <c r="AM102" s="314"/>
      <c r="AN102" s="314"/>
      <c r="AO102" s="314"/>
      <c r="AP102" s="314"/>
      <c r="AQ102" s="314"/>
      <c r="AR102" s="314"/>
      <c r="AS102" s="314"/>
      <c r="AT102" s="314"/>
      <c r="AU102" s="314"/>
      <c r="AV102" s="314"/>
      <c r="AW102" s="314"/>
      <c r="AX102" s="314"/>
      <c r="AY102" s="314"/>
      <c r="AZ102" s="314"/>
    </row>
    <row r="103" spans="1:52">
      <c r="A103" s="314"/>
      <c r="B103" s="314"/>
      <c r="C103" s="314"/>
      <c r="D103" s="314"/>
      <c r="E103" s="314"/>
      <c r="F103" s="314"/>
      <c r="G103" s="314"/>
      <c r="H103" s="314"/>
      <c r="I103" s="314"/>
      <c r="J103" s="314"/>
      <c r="K103" s="373"/>
      <c r="L103" s="373"/>
      <c r="M103" s="373"/>
      <c r="N103" s="373"/>
      <c r="O103" s="373"/>
      <c r="P103" s="373"/>
      <c r="Q103" s="373"/>
      <c r="R103" s="373"/>
      <c r="S103" s="373"/>
      <c r="T103" s="373"/>
      <c r="U103" s="373"/>
      <c r="V103" s="373"/>
      <c r="W103" s="373"/>
      <c r="X103" s="373"/>
      <c r="Y103" s="373"/>
      <c r="Z103" s="373"/>
      <c r="AA103" s="373"/>
      <c r="AB103" s="373"/>
      <c r="AC103" s="373"/>
      <c r="AD103" s="373"/>
      <c r="AE103" s="314"/>
      <c r="AF103" s="314"/>
      <c r="AG103" s="314"/>
      <c r="AH103" s="314"/>
      <c r="AI103" s="314"/>
      <c r="AJ103" s="314"/>
      <c r="AK103" s="314"/>
      <c r="AL103" s="314"/>
      <c r="AM103" s="314"/>
      <c r="AN103" s="314"/>
      <c r="AO103" s="314"/>
      <c r="AP103" s="314"/>
      <c r="AQ103" s="314"/>
      <c r="AR103" s="314"/>
      <c r="AS103" s="314"/>
      <c r="AT103" s="314"/>
      <c r="AU103" s="314"/>
      <c r="AV103" s="314"/>
      <c r="AW103" s="314"/>
      <c r="AX103" s="314"/>
      <c r="AY103" s="314"/>
      <c r="AZ103" s="314"/>
    </row>
    <row r="104" spans="1:52">
      <c r="A104" s="314"/>
      <c r="B104" s="314"/>
      <c r="C104" s="314"/>
      <c r="D104" s="314"/>
      <c r="E104" s="314"/>
      <c r="F104" s="314"/>
      <c r="G104" s="314"/>
      <c r="H104" s="314"/>
      <c r="I104" s="314"/>
      <c r="J104" s="314"/>
      <c r="K104" s="373"/>
      <c r="L104" s="373"/>
      <c r="M104" s="373"/>
      <c r="N104" s="373"/>
      <c r="O104" s="373"/>
      <c r="P104" s="373"/>
      <c r="Q104" s="373"/>
      <c r="R104" s="373"/>
      <c r="S104" s="373"/>
      <c r="T104" s="373"/>
      <c r="U104" s="373"/>
      <c r="V104" s="373"/>
      <c r="W104" s="373"/>
      <c r="X104" s="373"/>
      <c r="Y104" s="373"/>
      <c r="Z104" s="373"/>
      <c r="AA104" s="373"/>
      <c r="AB104" s="373"/>
      <c r="AC104" s="373"/>
      <c r="AD104" s="373"/>
      <c r="AE104" s="314"/>
      <c r="AF104" s="314"/>
      <c r="AG104" s="314"/>
      <c r="AH104" s="314"/>
      <c r="AI104" s="314"/>
      <c r="AJ104" s="314"/>
      <c r="AK104" s="314"/>
      <c r="AL104" s="314"/>
      <c r="AM104" s="314"/>
      <c r="AN104" s="314"/>
      <c r="AO104" s="314"/>
      <c r="AP104" s="314"/>
      <c r="AQ104" s="314"/>
      <c r="AR104" s="314"/>
      <c r="AS104" s="314"/>
      <c r="AT104" s="314"/>
      <c r="AU104" s="314"/>
      <c r="AV104" s="314"/>
      <c r="AW104" s="314"/>
      <c r="AX104" s="314"/>
      <c r="AY104" s="314"/>
      <c r="AZ104" s="314"/>
    </row>
    <row r="105" spans="1:52">
      <c r="A105" s="314"/>
      <c r="B105" s="314"/>
      <c r="C105" s="314"/>
      <c r="D105" s="314"/>
      <c r="E105" s="314"/>
      <c r="F105" s="314"/>
      <c r="G105" s="314"/>
      <c r="H105" s="314"/>
      <c r="I105" s="314"/>
      <c r="J105" s="314"/>
      <c r="K105" s="373"/>
      <c r="L105" s="373"/>
      <c r="M105" s="373"/>
      <c r="N105" s="373"/>
      <c r="O105" s="373"/>
      <c r="P105" s="373"/>
      <c r="Q105" s="373"/>
      <c r="R105" s="373"/>
      <c r="S105" s="373"/>
      <c r="T105" s="373"/>
      <c r="U105" s="373"/>
      <c r="V105" s="373"/>
      <c r="W105" s="373"/>
      <c r="X105" s="373"/>
      <c r="Y105" s="373"/>
      <c r="Z105" s="373"/>
      <c r="AA105" s="373"/>
      <c r="AB105" s="373"/>
      <c r="AC105" s="373"/>
      <c r="AD105" s="373"/>
      <c r="AE105" s="314"/>
      <c r="AF105" s="314"/>
      <c r="AG105" s="314"/>
      <c r="AH105" s="314"/>
      <c r="AI105" s="314"/>
      <c r="AJ105" s="314"/>
      <c r="AK105" s="314"/>
      <c r="AL105" s="314"/>
      <c r="AM105" s="314"/>
      <c r="AN105" s="314"/>
      <c r="AO105" s="314"/>
      <c r="AP105" s="314"/>
      <c r="AQ105" s="314"/>
      <c r="AR105" s="314"/>
      <c r="AS105" s="314"/>
      <c r="AT105" s="314"/>
      <c r="AU105" s="314"/>
      <c r="AV105" s="314"/>
      <c r="AW105" s="314"/>
      <c r="AX105" s="314"/>
      <c r="AY105" s="314"/>
      <c r="AZ105" s="314"/>
    </row>
    <row r="106" spans="1:52">
      <c r="A106" s="314"/>
      <c r="B106" s="314"/>
      <c r="C106" s="314"/>
      <c r="D106" s="314"/>
      <c r="E106" s="314"/>
      <c r="F106" s="314"/>
      <c r="G106" s="314"/>
      <c r="H106" s="314"/>
      <c r="I106" s="314"/>
      <c r="J106" s="314"/>
      <c r="K106" s="373"/>
      <c r="L106" s="373"/>
      <c r="M106" s="373"/>
      <c r="N106" s="373"/>
      <c r="O106" s="373"/>
      <c r="P106" s="373"/>
      <c r="Q106" s="373"/>
      <c r="R106" s="373"/>
      <c r="S106" s="373"/>
      <c r="T106" s="373"/>
      <c r="U106" s="373"/>
      <c r="V106" s="373"/>
      <c r="W106" s="373"/>
      <c r="X106" s="373"/>
      <c r="Y106" s="373"/>
      <c r="Z106" s="373"/>
      <c r="AA106" s="373"/>
      <c r="AB106" s="373"/>
      <c r="AC106" s="373"/>
      <c r="AD106" s="373"/>
      <c r="AE106" s="314"/>
      <c r="AF106" s="314"/>
      <c r="AG106" s="314"/>
      <c r="AH106" s="314"/>
      <c r="AI106" s="314"/>
      <c r="AJ106" s="314"/>
      <c r="AK106" s="314"/>
      <c r="AL106" s="314"/>
      <c r="AM106" s="314"/>
      <c r="AN106" s="314"/>
      <c r="AO106" s="314"/>
      <c r="AP106" s="314"/>
      <c r="AQ106" s="314"/>
      <c r="AR106" s="314"/>
      <c r="AS106" s="314"/>
      <c r="AT106" s="314"/>
      <c r="AU106" s="314"/>
      <c r="AV106" s="314"/>
      <c r="AW106" s="314"/>
      <c r="AX106" s="314"/>
      <c r="AY106" s="314"/>
      <c r="AZ106" s="314"/>
    </row>
    <row r="107" spans="1:52">
      <c r="A107" s="314"/>
      <c r="B107" s="314"/>
      <c r="C107" s="314"/>
      <c r="D107" s="314"/>
      <c r="E107" s="314"/>
      <c r="F107" s="314"/>
      <c r="G107" s="314"/>
      <c r="H107" s="314"/>
      <c r="I107" s="314"/>
      <c r="J107" s="314"/>
      <c r="K107" s="373"/>
      <c r="L107" s="373"/>
      <c r="M107" s="373"/>
      <c r="N107" s="373"/>
      <c r="O107" s="373"/>
      <c r="P107" s="373"/>
      <c r="Q107" s="373"/>
      <c r="R107" s="373"/>
      <c r="S107" s="373"/>
      <c r="T107" s="373"/>
      <c r="U107" s="373"/>
      <c r="V107" s="373"/>
      <c r="W107" s="373"/>
      <c r="X107" s="373"/>
      <c r="Y107" s="373"/>
      <c r="Z107" s="373"/>
      <c r="AA107" s="373"/>
      <c r="AB107" s="373"/>
      <c r="AC107" s="373"/>
      <c r="AD107" s="373"/>
      <c r="AE107" s="314"/>
      <c r="AF107" s="314"/>
      <c r="AG107" s="314"/>
      <c r="AH107" s="314"/>
      <c r="AI107" s="314"/>
      <c r="AJ107" s="314"/>
      <c r="AK107" s="314"/>
      <c r="AL107" s="314"/>
      <c r="AM107" s="314"/>
      <c r="AN107" s="314"/>
      <c r="AO107" s="314"/>
      <c r="AP107" s="314"/>
      <c r="AQ107" s="314"/>
      <c r="AR107" s="314"/>
      <c r="AS107" s="314"/>
      <c r="AT107" s="314"/>
      <c r="AU107" s="314"/>
      <c r="AV107" s="314"/>
      <c r="AW107" s="314"/>
      <c r="AX107" s="314"/>
      <c r="AY107" s="314"/>
      <c r="AZ107" s="314"/>
    </row>
    <row r="108" spans="1:52">
      <c r="A108" s="314"/>
      <c r="B108" s="314"/>
      <c r="C108" s="314"/>
      <c r="D108" s="314"/>
      <c r="E108" s="314"/>
      <c r="F108" s="314"/>
      <c r="G108" s="314"/>
      <c r="H108" s="314"/>
      <c r="I108" s="314"/>
      <c r="J108" s="314"/>
      <c r="K108" s="373"/>
      <c r="L108" s="373"/>
      <c r="M108" s="373"/>
      <c r="N108" s="373"/>
      <c r="O108" s="373"/>
      <c r="P108" s="373"/>
      <c r="Q108" s="373"/>
      <c r="R108" s="373"/>
      <c r="S108" s="373"/>
      <c r="T108" s="373"/>
      <c r="U108" s="373"/>
      <c r="V108" s="373"/>
      <c r="W108" s="373"/>
      <c r="X108" s="373"/>
      <c r="Y108" s="373"/>
      <c r="Z108" s="373"/>
      <c r="AA108" s="373"/>
      <c r="AB108" s="373"/>
      <c r="AC108" s="373"/>
      <c r="AD108" s="373"/>
      <c r="AE108" s="314"/>
      <c r="AF108" s="314"/>
      <c r="AG108" s="314"/>
      <c r="AH108" s="314"/>
      <c r="AI108" s="314"/>
      <c r="AJ108" s="314"/>
      <c r="AK108" s="314"/>
      <c r="AL108" s="314"/>
      <c r="AM108" s="314"/>
      <c r="AN108" s="314"/>
      <c r="AO108" s="314"/>
      <c r="AP108" s="314"/>
      <c r="AQ108" s="314"/>
      <c r="AR108" s="314"/>
      <c r="AS108" s="314"/>
      <c r="AT108" s="314"/>
      <c r="AU108" s="314"/>
      <c r="AV108" s="314"/>
      <c r="AW108" s="314"/>
      <c r="AX108" s="314"/>
      <c r="AY108" s="314"/>
      <c r="AZ108" s="314"/>
    </row>
    <row r="109" spans="1:52">
      <c r="A109" s="314"/>
      <c r="B109" s="314"/>
      <c r="C109" s="314"/>
      <c r="D109" s="314"/>
      <c r="E109" s="314"/>
      <c r="F109" s="314"/>
      <c r="G109" s="314"/>
      <c r="H109" s="314"/>
      <c r="I109" s="314"/>
      <c r="J109" s="314"/>
      <c r="K109" s="373"/>
      <c r="L109" s="373"/>
      <c r="M109" s="373"/>
      <c r="N109" s="373"/>
      <c r="O109" s="373"/>
      <c r="P109" s="373"/>
      <c r="Q109" s="373"/>
      <c r="R109" s="373"/>
      <c r="S109" s="373"/>
      <c r="T109" s="373"/>
      <c r="U109" s="373"/>
      <c r="V109" s="373"/>
      <c r="W109" s="373"/>
      <c r="X109" s="373"/>
      <c r="Y109" s="373"/>
      <c r="Z109" s="373"/>
      <c r="AA109" s="373"/>
      <c r="AB109" s="373"/>
      <c r="AC109" s="373"/>
      <c r="AD109" s="373"/>
      <c r="AE109" s="314"/>
      <c r="AF109" s="314"/>
      <c r="AG109" s="314"/>
      <c r="AH109" s="314"/>
      <c r="AI109" s="314"/>
      <c r="AJ109" s="314"/>
      <c r="AK109" s="314"/>
      <c r="AL109" s="314"/>
      <c r="AM109" s="314"/>
      <c r="AN109" s="314"/>
      <c r="AO109" s="314"/>
      <c r="AP109" s="314"/>
      <c r="AQ109" s="314"/>
      <c r="AR109" s="314"/>
      <c r="AS109" s="314"/>
      <c r="AT109" s="314"/>
      <c r="AU109" s="314"/>
      <c r="AV109" s="314"/>
      <c r="AW109" s="314"/>
      <c r="AX109" s="314"/>
      <c r="AY109" s="314"/>
      <c r="AZ109" s="314"/>
    </row>
    <row r="110" spans="1:52">
      <c r="A110" s="314"/>
      <c r="B110" s="314"/>
      <c r="C110" s="314"/>
      <c r="D110" s="314"/>
      <c r="E110" s="314"/>
      <c r="F110" s="314"/>
      <c r="G110" s="314"/>
      <c r="H110" s="314"/>
      <c r="I110" s="314"/>
      <c r="J110" s="314"/>
      <c r="K110" s="373"/>
      <c r="L110" s="373"/>
      <c r="M110" s="373"/>
      <c r="N110" s="373"/>
      <c r="O110" s="373"/>
      <c r="P110" s="373"/>
      <c r="Q110" s="373"/>
      <c r="R110" s="373"/>
      <c r="S110" s="373"/>
      <c r="T110" s="373"/>
      <c r="U110" s="373"/>
      <c r="V110" s="373"/>
      <c r="W110" s="373"/>
      <c r="X110" s="373"/>
      <c r="Y110" s="373"/>
      <c r="Z110" s="373"/>
      <c r="AA110" s="373"/>
      <c r="AB110" s="373"/>
      <c r="AC110" s="373"/>
      <c r="AD110" s="373"/>
      <c r="AE110" s="314"/>
      <c r="AF110" s="314"/>
      <c r="AG110" s="314"/>
      <c r="AH110" s="314"/>
      <c r="AI110" s="314"/>
      <c r="AJ110" s="314"/>
      <c r="AK110" s="314"/>
      <c r="AL110" s="314"/>
      <c r="AM110" s="314"/>
      <c r="AN110" s="314"/>
      <c r="AO110" s="314"/>
      <c r="AP110" s="314"/>
      <c r="AQ110" s="314"/>
      <c r="AR110" s="314"/>
      <c r="AS110" s="314"/>
      <c r="AT110" s="314"/>
      <c r="AU110" s="314"/>
      <c r="AV110" s="314"/>
      <c r="AW110" s="314"/>
      <c r="AX110" s="314"/>
      <c r="AY110" s="314"/>
      <c r="AZ110" s="314"/>
    </row>
    <row r="111" spans="1:52">
      <c r="A111" s="314"/>
      <c r="B111" s="314"/>
      <c r="C111" s="314"/>
      <c r="D111" s="314"/>
      <c r="E111" s="314"/>
      <c r="F111" s="314"/>
      <c r="G111" s="314"/>
      <c r="H111" s="314"/>
      <c r="I111" s="314"/>
      <c r="J111" s="314"/>
      <c r="K111" s="373"/>
      <c r="L111" s="373"/>
      <c r="M111" s="373"/>
      <c r="N111" s="373"/>
      <c r="O111" s="373"/>
      <c r="P111" s="373"/>
      <c r="Q111" s="373"/>
      <c r="R111" s="373"/>
      <c r="S111" s="373"/>
      <c r="T111" s="373"/>
      <c r="U111" s="373"/>
      <c r="V111" s="373"/>
      <c r="W111" s="373"/>
      <c r="X111" s="373"/>
      <c r="Y111" s="373"/>
      <c r="Z111" s="373"/>
      <c r="AA111" s="373"/>
      <c r="AB111" s="373"/>
      <c r="AC111" s="373"/>
      <c r="AD111" s="373"/>
      <c r="AE111" s="314"/>
      <c r="AF111" s="314"/>
      <c r="AG111" s="314"/>
      <c r="AH111" s="314"/>
      <c r="AI111" s="314"/>
      <c r="AJ111" s="314"/>
      <c r="AK111" s="314"/>
      <c r="AL111" s="314"/>
      <c r="AM111" s="314"/>
      <c r="AN111" s="314"/>
      <c r="AO111" s="314"/>
      <c r="AP111" s="314"/>
      <c r="AQ111" s="314"/>
      <c r="AR111" s="314"/>
      <c r="AS111" s="314"/>
      <c r="AT111" s="314"/>
      <c r="AU111" s="314"/>
      <c r="AV111" s="314"/>
      <c r="AW111" s="314"/>
      <c r="AX111" s="314"/>
      <c r="AY111" s="314"/>
      <c r="AZ111" s="314"/>
    </row>
    <row r="112" spans="1:52">
      <c r="A112" s="314"/>
      <c r="B112" s="314"/>
      <c r="C112" s="314"/>
      <c r="D112" s="314"/>
      <c r="E112" s="314"/>
      <c r="F112" s="314"/>
      <c r="G112" s="314"/>
      <c r="H112" s="314"/>
      <c r="I112" s="314"/>
      <c r="J112" s="314"/>
      <c r="K112" s="373"/>
      <c r="L112" s="373"/>
      <c r="M112" s="373"/>
      <c r="N112" s="373"/>
      <c r="O112" s="373"/>
      <c r="P112" s="373"/>
      <c r="Q112" s="373"/>
      <c r="R112" s="373"/>
      <c r="S112" s="373"/>
      <c r="T112" s="373"/>
      <c r="U112" s="373"/>
      <c r="V112" s="373"/>
      <c r="W112" s="373"/>
      <c r="X112" s="373"/>
      <c r="Y112" s="373"/>
      <c r="Z112" s="373"/>
      <c r="AA112" s="373"/>
      <c r="AB112" s="373"/>
      <c r="AC112" s="373"/>
      <c r="AD112" s="373"/>
      <c r="AE112" s="314"/>
      <c r="AF112" s="314"/>
      <c r="AG112" s="314"/>
      <c r="AH112" s="314"/>
      <c r="AI112" s="314"/>
      <c r="AJ112" s="314"/>
      <c r="AK112" s="314"/>
      <c r="AL112" s="314"/>
      <c r="AM112" s="314"/>
      <c r="AN112" s="314"/>
      <c r="AO112" s="314"/>
      <c r="AP112" s="314"/>
      <c r="AQ112" s="314"/>
      <c r="AR112" s="314"/>
      <c r="AS112" s="314"/>
      <c r="AT112" s="314"/>
      <c r="AU112" s="314"/>
      <c r="AV112" s="314"/>
      <c r="AW112" s="314"/>
      <c r="AX112" s="314"/>
      <c r="AY112" s="314"/>
      <c r="AZ112" s="314"/>
    </row>
    <row r="113" spans="1:52">
      <c r="A113" s="314"/>
      <c r="B113" s="314"/>
      <c r="C113" s="314"/>
      <c r="D113" s="314"/>
      <c r="E113" s="314"/>
      <c r="F113" s="314"/>
      <c r="G113" s="314"/>
      <c r="H113" s="314"/>
      <c r="I113" s="314"/>
      <c r="J113" s="314"/>
      <c r="K113" s="373"/>
      <c r="L113" s="373"/>
      <c r="M113" s="373"/>
      <c r="N113" s="373"/>
      <c r="O113" s="373"/>
      <c r="P113" s="373"/>
      <c r="Q113" s="373"/>
      <c r="R113" s="373"/>
      <c r="S113" s="373"/>
      <c r="T113" s="373"/>
      <c r="U113" s="373"/>
      <c r="V113" s="373"/>
      <c r="W113" s="373"/>
      <c r="X113" s="373"/>
      <c r="Y113" s="373"/>
      <c r="Z113" s="373"/>
      <c r="AA113" s="373"/>
      <c r="AB113" s="373"/>
      <c r="AC113" s="373"/>
      <c r="AD113" s="373"/>
      <c r="AE113" s="314"/>
      <c r="AF113" s="314"/>
      <c r="AG113" s="314"/>
      <c r="AH113" s="314"/>
      <c r="AI113" s="314"/>
      <c r="AJ113" s="314"/>
      <c r="AK113" s="314"/>
      <c r="AL113" s="314"/>
      <c r="AM113" s="314"/>
      <c r="AN113" s="314"/>
      <c r="AO113" s="314"/>
      <c r="AP113" s="314"/>
      <c r="AQ113" s="314"/>
      <c r="AR113" s="314"/>
      <c r="AS113" s="314"/>
      <c r="AT113" s="314"/>
      <c r="AU113" s="314"/>
      <c r="AV113" s="314"/>
      <c r="AW113" s="314"/>
      <c r="AX113" s="314"/>
      <c r="AY113" s="314"/>
      <c r="AZ113" s="314"/>
    </row>
    <row r="114" spans="1:52">
      <c r="A114" s="314"/>
      <c r="B114" s="314"/>
      <c r="C114" s="314"/>
      <c r="D114" s="314"/>
      <c r="E114" s="314"/>
      <c r="F114" s="314"/>
      <c r="G114" s="314"/>
      <c r="H114" s="314"/>
      <c r="I114" s="314"/>
      <c r="J114" s="314"/>
      <c r="K114" s="373"/>
      <c r="L114" s="373"/>
      <c r="M114" s="373"/>
      <c r="N114" s="373"/>
      <c r="O114" s="373"/>
      <c r="P114" s="373"/>
      <c r="Q114" s="373"/>
      <c r="R114" s="373"/>
      <c r="S114" s="373"/>
      <c r="T114" s="373"/>
      <c r="U114" s="373"/>
      <c r="V114" s="373"/>
      <c r="W114" s="373"/>
      <c r="X114" s="373"/>
      <c r="Y114" s="373"/>
      <c r="Z114" s="373"/>
      <c r="AA114" s="373"/>
      <c r="AB114" s="373"/>
      <c r="AC114" s="373"/>
      <c r="AD114" s="373"/>
      <c r="AE114" s="314"/>
      <c r="AF114" s="314"/>
      <c r="AG114" s="314"/>
      <c r="AH114" s="314"/>
      <c r="AI114" s="314"/>
      <c r="AJ114" s="314"/>
      <c r="AK114" s="314"/>
      <c r="AL114" s="314"/>
      <c r="AM114" s="314"/>
      <c r="AN114" s="314"/>
      <c r="AO114" s="314"/>
      <c r="AP114" s="314"/>
      <c r="AQ114" s="314"/>
      <c r="AR114" s="314"/>
      <c r="AS114" s="314"/>
      <c r="AT114" s="314"/>
      <c r="AU114" s="314"/>
      <c r="AV114" s="314"/>
      <c r="AW114" s="314"/>
      <c r="AX114" s="314"/>
      <c r="AY114" s="314"/>
      <c r="AZ114" s="314"/>
    </row>
    <row r="115" spans="1:52">
      <c r="A115" s="314"/>
      <c r="B115" s="314"/>
      <c r="C115" s="314"/>
      <c r="D115" s="314"/>
      <c r="E115" s="314"/>
      <c r="F115" s="314"/>
      <c r="G115" s="314"/>
      <c r="H115" s="314"/>
      <c r="I115" s="314"/>
      <c r="J115" s="314"/>
      <c r="K115" s="373"/>
      <c r="L115" s="373"/>
      <c r="M115" s="373"/>
      <c r="N115" s="373"/>
      <c r="O115" s="373"/>
      <c r="P115" s="373"/>
      <c r="Q115" s="373"/>
      <c r="R115" s="373"/>
      <c r="S115" s="373"/>
      <c r="T115" s="373"/>
      <c r="U115" s="373"/>
      <c r="V115" s="373"/>
      <c r="W115" s="373"/>
      <c r="X115" s="373"/>
      <c r="Y115" s="373"/>
      <c r="Z115" s="373"/>
      <c r="AA115" s="373"/>
      <c r="AB115" s="373"/>
      <c r="AC115" s="373"/>
      <c r="AD115" s="373"/>
      <c r="AE115" s="314"/>
      <c r="AF115" s="314"/>
      <c r="AG115" s="314"/>
      <c r="AH115" s="314"/>
      <c r="AI115" s="314"/>
      <c r="AJ115" s="314"/>
      <c r="AK115" s="314"/>
      <c r="AL115" s="314"/>
      <c r="AM115" s="314"/>
      <c r="AN115" s="314"/>
      <c r="AO115" s="314"/>
      <c r="AP115" s="314"/>
      <c r="AQ115" s="314"/>
      <c r="AR115" s="314"/>
      <c r="AS115" s="314"/>
      <c r="AT115" s="314"/>
      <c r="AU115" s="314"/>
      <c r="AV115" s="314"/>
      <c r="AW115" s="314"/>
      <c r="AX115" s="314"/>
      <c r="AY115" s="314"/>
      <c r="AZ115" s="314"/>
    </row>
    <row r="116" spans="1:52">
      <c r="A116" s="314"/>
      <c r="B116" s="314"/>
      <c r="C116" s="314"/>
      <c r="D116" s="314"/>
      <c r="E116" s="314"/>
      <c r="F116" s="314"/>
      <c r="G116" s="314"/>
      <c r="H116" s="314"/>
      <c r="I116" s="314"/>
      <c r="J116" s="314"/>
      <c r="K116" s="373"/>
      <c r="L116" s="373"/>
      <c r="M116" s="373"/>
      <c r="N116" s="373"/>
      <c r="O116" s="373"/>
      <c r="P116" s="373"/>
      <c r="Q116" s="373"/>
      <c r="R116" s="373"/>
      <c r="S116" s="373"/>
      <c r="T116" s="373"/>
      <c r="U116" s="373"/>
      <c r="V116" s="373"/>
      <c r="W116" s="373"/>
      <c r="X116" s="373"/>
      <c r="Y116" s="373"/>
      <c r="Z116" s="373"/>
      <c r="AA116" s="373"/>
      <c r="AB116" s="373"/>
      <c r="AC116" s="373"/>
      <c r="AD116" s="373"/>
      <c r="AE116" s="314"/>
      <c r="AF116" s="314"/>
      <c r="AG116" s="314"/>
      <c r="AH116" s="314"/>
      <c r="AI116" s="314"/>
      <c r="AJ116" s="314"/>
      <c r="AK116" s="314"/>
      <c r="AL116" s="314"/>
      <c r="AM116" s="314"/>
      <c r="AN116" s="314"/>
      <c r="AO116" s="314"/>
      <c r="AP116" s="314"/>
      <c r="AQ116" s="314"/>
      <c r="AR116" s="314"/>
      <c r="AS116" s="314"/>
      <c r="AT116" s="314"/>
      <c r="AU116" s="314"/>
      <c r="AV116" s="314"/>
      <c r="AW116" s="314"/>
      <c r="AX116" s="314"/>
      <c r="AY116" s="314"/>
      <c r="AZ116" s="314"/>
    </row>
    <row r="117" spans="1:52">
      <c r="A117" s="314"/>
      <c r="B117" s="314"/>
      <c r="C117" s="314"/>
      <c r="D117" s="314"/>
      <c r="E117" s="314"/>
      <c r="F117" s="314"/>
      <c r="G117" s="314"/>
      <c r="H117" s="314"/>
      <c r="I117" s="314"/>
      <c r="J117" s="314"/>
      <c r="K117" s="373"/>
      <c r="L117" s="373"/>
      <c r="M117" s="373"/>
      <c r="N117" s="373"/>
      <c r="O117" s="373"/>
      <c r="P117" s="373"/>
      <c r="Q117" s="373"/>
      <c r="R117" s="373"/>
      <c r="S117" s="373"/>
      <c r="T117" s="373"/>
      <c r="U117" s="373"/>
      <c r="V117" s="373"/>
      <c r="W117" s="373"/>
      <c r="X117" s="373"/>
      <c r="Y117" s="373"/>
      <c r="Z117" s="373"/>
      <c r="AA117" s="373"/>
      <c r="AB117" s="373"/>
      <c r="AC117" s="373"/>
      <c r="AD117" s="373"/>
      <c r="AE117" s="314"/>
      <c r="AF117" s="314"/>
      <c r="AG117" s="314"/>
      <c r="AH117" s="314"/>
      <c r="AI117" s="314"/>
      <c r="AJ117" s="314"/>
      <c r="AK117" s="314"/>
      <c r="AL117" s="314"/>
      <c r="AM117" s="314"/>
      <c r="AN117" s="314"/>
      <c r="AO117" s="314"/>
      <c r="AP117" s="314"/>
      <c r="AQ117" s="314"/>
      <c r="AR117" s="314"/>
      <c r="AS117" s="314"/>
      <c r="AT117" s="314"/>
      <c r="AU117" s="314"/>
      <c r="AV117" s="314"/>
      <c r="AW117" s="314"/>
      <c r="AX117" s="314"/>
      <c r="AY117" s="314"/>
      <c r="AZ117" s="314"/>
    </row>
    <row r="118" spans="1:52">
      <c r="A118" s="314"/>
      <c r="B118" s="314"/>
      <c r="C118" s="314"/>
      <c r="D118" s="314"/>
      <c r="E118" s="314"/>
      <c r="F118" s="314"/>
      <c r="G118" s="314"/>
      <c r="H118" s="314"/>
      <c r="I118" s="314"/>
      <c r="J118" s="314"/>
      <c r="K118" s="373"/>
      <c r="L118" s="373"/>
      <c r="M118" s="373"/>
      <c r="N118" s="373"/>
      <c r="O118" s="373"/>
      <c r="P118" s="373"/>
      <c r="Q118" s="373"/>
      <c r="R118" s="373"/>
      <c r="S118" s="373"/>
      <c r="T118" s="373"/>
      <c r="U118" s="373"/>
      <c r="V118" s="373"/>
      <c r="W118" s="373"/>
      <c r="X118" s="373"/>
      <c r="Y118" s="373"/>
      <c r="Z118" s="373"/>
      <c r="AA118" s="373"/>
      <c r="AB118" s="373"/>
      <c r="AC118" s="373"/>
      <c r="AD118" s="373"/>
      <c r="AE118" s="314"/>
      <c r="AF118" s="314"/>
      <c r="AG118" s="314"/>
      <c r="AH118" s="314"/>
      <c r="AI118" s="314"/>
      <c r="AJ118" s="314"/>
      <c r="AK118" s="314"/>
      <c r="AL118" s="314"/>
      <c r="AM118" s="314"/>
      <c r="AN118" s="314"/>
      <c r="AO118" s="314"/>
      <c r="AP118" s="314"/>
      <c r="AQ118" s="314"/>
      <c r="AR118" s="314"/>
      <c r="AS118" s="314"/>
      <c r="AT118" s="314"/>
      <c r="AU118" s="314"/>
      <c r="AV118" s="314"/>
      <c r="AW118" s="314"/>
      <c r="AX118" s="314"/>
      <c r="AY118" s="314"/>
      <c r="AZ118" s="314"/>
    </row>
    <row r="119" spans="1:52">
      <c r="A119" s="314"/>
      <c r="B119" s="314"/>
      <c r="C119" s="314"/>
      <c r="D119" s="314"/>
      <c r="E119" s="314"/>
      <c r="F119" s="314"/>
      <c r="G119" s="314"/>
      <c r="H119" s="314"/>
      <c r="I119" s="314"/>
      <c r="J119" s="314"/>
      <c r="K119" s="373"/>
      <c r="L119" s="373"/>
      <c r="M119" s="373"/>
      <c r="N119" s="373"/>
      <c r="O119" s="373"/>
      <c r="P119" s="373"/>
      <c r="Q119" s="373"/>
      <c r="R119" s="373"/>
      <c r="S119" s="373"/>
      <c r="T119" s="373"/>
      <c r="U119" s="373"/>
      <c r="V119" s="373"/>
      <c r="W119" s="373"/>
      <c r="X119" s="373"/>
      <c r="Y119" s="373"/>
      <c r="Z119" s="373"/>
      <c r="AA119" s="373"/>
      <c r="AB119" s="373"/>
      <c r="AC119" s="373"/>
      <c r="AD119" s="373"/>
      <c r="AE119" s="314"/>
      <c r="AF119" s="314"/>
      <c r="AG119" s="314"/>
      <c r="AH119" s="314"/>
      <c r="AI119" s="314"/>
      <c r="AJ119" s="314"/>
      <c r="AK119" s="314"/>
      <c r="AL119" s="314"/>
      <c r="AM119" s="314"/>
      <c r="AN119" s="314"/>
      <c r="AO119" s="314"/>
      <c r="AP119" s="314"/>
      <c r="AQ119" s="314"/>
      <c r="AR119" s="314"/>
      <c r="AS119" s="314"/>
      <c r="AT119" s="314"/>
      <c r="AU119" s="314"/>
      <c r="AV119" s="314"/>
      <c r="AW119" s="314"/>
      <c r="AX119" s="314"/>
      <c r="AY119" s="314"/>
      <c r="AZ119" s="314"/>
    </row>
    <row r="120" spans="1:52">
      <c r="A120" s="314"/>
      <c r="B120" s="314"/>
      <c r="C120" s="314"/>
      <c r="D120" s="314"/>
      <c r="E120" s="314"/>
      <c r="F120" s="314"/>
      <c r="G120" s="314"/>
      <c r="H120" s="314"/>
      <c r="I120" s="314"/>
      <c r="J120" s="314"/>
      <c r="K120" s="373"/>
      <c r="L120" s="373"/>
      <c r="M120" s="373"/>
      <c r="N120" s="373"/>
      <c r="O120" s="373"/>
      <c r="P120" s="373"/>
      <c r="Q120" s="373"/>
      <c r="R120" s="373"/>
      <c r="S120" s="373"/>
      <c r="T120" s="373"/>
      <c r="U120" s="373"/>
      <c r="V120" s="373"/>
      <c r="W120" s="373"/>
      <c r="X120" s="373"/>
      <c r="Y120" s="373"/>
      <c r="Z120" s="373"/>
      <c r="AA120" s="373"/>
      <c r="AB120" s="373"/>
      <c r="AC120" s="373"/>
      <c r="AD120" s="373"/>
      <c r="AE120" s="314"/>
      <c r="AF120" s="314"/>
      <c r="AG120" s="314"/>
      <c r="AH120" s="314"/>
      <c r="AI120" s="314"/>
      <c r="AJ120" s="314"/>
      <c r="AK120" s="314"/>
      <c r="AL120" s="314"/>
      <c r="AM120" s="314"/>
      <c r="AN120" s="314"/>
      <c r="AO120" s="314"/>
      <c r="AP120" s="314"/>
      <c r="AQ120" s="314"/>
      <c r="AR120" s="314"/>
      <c r="AS120" s="314"/>
      <c r="AT120" s="314"/>
      <c r="AU120" s="314"/>
      <c r="AV120" s="314"/>
      <c r="AW120" s="314"/>
      <c r="AX120" s="314"/>
      <c r="AY120" s="314"/>
      <c r="AZ120" s="314"/>
    </row>
    <row r="121" spans="1:52">
      <c r="A121" s="314"/>
      <c r="B121" s="314"/>
      <c r="C121" s="314"/>
      <c r="D121" s="314"/>
      <c r="E121" s="314"/>
      <c r="F121" s="314"/>
      <c r="G121" s="314"/>
      <c r="H121" s="314"/>
      <c r="I121" s="314"/>
      <c r="J121" s="314"/>
      <c r="K121" s="314"/>
      <c r="L121" s="314"/>
      <c r="M121" s="314"/>
      <c r="N121" s="314"/>
      <c r="O121" s="314"/>
      <c r="P121" s="314"/>
      <c r="Q121" s="314"/>
      <c r="R121" s="314"/>
      <c r="S121" s="314"/>
      <c r="T121" s="314"/>
      <c r="U121" s="314"/>
      <c r="V121" s="314"/>
      <c r="W121" s="314"/>
      <c r="X121" s="314"/>
      <c r="Y121" s="314"/>
      <c r="Z121" s="314"/>
      <c r="AA121" s="314"/>
      <c r="AB121" s="314"/>
      <c r="AC121" s="314"/>
      <c r="AD121" s="314"/>
      <c r="AE121" s="314"/>
      <c r="AF121" s="314"/>
      <c r="AG121" s="314"/>
      <c r="AH121" s="314"/>
      <c r="AI121" s="314"/>
      <c r="AJ121" s="314"/>
      <c r="AK121" s="314"/>
      <c r="AL121" s="314"/>
      <c r="AM121" s="314"/>
      <c r="AN121" s="314"/>
      <c r="AO121" s="314"/>
      <c r="AP121" s="314"/>
      <c r="AQ121" s="314"/>
      <c r="AR121" s="314"/>
      <c r="AS121" s="314"/>
      <c r="AT121" s="314"/>
      <c r="AU121" s="314"/>
      <c r="AV121" s="314"/>
      <c r="AW121" s="314"/>
      <c r="AX121" s="314"/>
      <c r="AY121" s="314"/>
      <c r="AZ121" s="314"/>
    </row>
    <row r="122" spans="1:52">
      <c r="A122" s="314"/>
      <c r="B122" s="314"/>
      <c r="C122" s="314"/>
      <c r="D122" s="314"/>
      <c r="E122" s="314"/>
      <c r="F122" s="314"/>
      <c r="G122" s="314"/>
      <c r="H122" s="314"/>
      <c r="I122" s="314"/>
      <c r="J122" s="314"/>
      <c r="K122" s="314"/>
      <c r="L122" s="314"/>
      <c r="M122" s="314"/>
      <c r="N122" s="314"/>
      <c r="O122" s="314"/>
      <c r="P122" s="314"/>
      <c r="Q122" s="314"/>
      <c r="R122" s="314"/>
      <c r="S122" s="314"/>
      <c r="T122" s="314"/>
      <c r="U122" s="314"/>
      <c r="V122" s="314"/>
      <c r="W122" s="314"/>
      <c r="X122" s="314"/>
      <c r="Y122" s="314"/>
      <c r="Z122" s="314"/>
      <c r="AA122" s="314"/>
      <c r="AB122" s="314"/>
      <c r="AC122" s="314"/>
      <c r="AD122" s="314"/>
      <c r="AE122" s="314"/>
      <c r="AF122" s="314"/>
      <c r="AG122" s="314"/>
      <c r="AH122" s="314"/>
      <c r="AI122" s="314"/>
      <c r="AJ122" s="314"/>
      <c r="AK122" s="314"/>
      <c r="AL122" s="314"/>
      <c r="AM122" s="314"/>
      <c r="AN122" s="314"/>
      <c r="AO122" s="314"/>
      <c r="AP122" s="314"/>
      <c r="AQ122" s="314"/>
      <c r="AR122" s="314"/>
      <c r="AS122" s="314"/>
      <c r="AT122" s="314"/>
      <c r="AU122" s="314"/>
      <c r="AV122" s="314"/>
      <c r="AW122" s="314"/>
      <c r="AX122" s="314"/>
      <c r="AY122" s="314"/>
      <c r="AZ122" s="314"/>
    </row>
    <row r="123" spans="1:52">
      <c r="A123" s="314"/>
      <c r="B123" s="314"/>
      <c r="C123" s="314"/>
      <c r="D123" s="314"/>
      <c r="E123" s="314"/>
      <c r="F123" s="314"/>
      <c r="G123" s="314"/>
      <c r="H123" s="314"/>
      <c r="I123" s="314"/>
      <c r="J123" s="314"/>
      <c r="K123" s="314"/>
      <c r="L123" s="314"/>
      <c r="M123" s="314"/>
      <c r="N123" s="314"/>
      <c r="O123" s="314"/>
      <c r="P123" s="314"/>
      <c r="Q123" s="314"/>
      <c r="R123" s="314"/>
      <c r="S123" s="314"/>
      <c r="T123" s="314"/>
      <c r="U123" s="314"/>
      <c r="V123" s="314"/>
      <c r="W123" s="314"/>
      <c r="X123" s="314"/>
      <c r="Y123" s="314"/>
      <c r="Z123" s="314"/>
      <c r="AA123" s="314"/>
      <c r="AB123" s="314"/>
      <c r="AC123" s="314"/>
      <c r="AD123" s="314"/>
      <c r="AE123" s="314"/>
      <c r="AF123" s="314"/>
      <c r="AG123" s="314"/>
      <c r="AH123" s="314"/>
      <c r="AI123" s="314"/>
      <c r="AJ123" s="314"/>
      <c r="AK123" s="314"/>
      <c r="AL123" s="314"/>
      <c r="AM123" s="314"/>
      <c r="AN123" s="314"/>
      <c r="AO123" s="314"/>
      <c r="AP123" s="314"/>
      <c r="AQ123" s="314"/>
      <c r="AR123" s="314"/>
      <c r="AS123" s="314"/>
      <c r="AT123" s="314"/>
      <c r="AU123" s="314"/>
      <c r="AV123" s="314"/>
      <c r="AW123" s="314"/>
      <c r="AX123" s="314"/>
      <c r="AY123" s="314"/>
      <c r="AZ123" s="314"/>
    </row>
    <row r="124" spans="1:52">
      <c r="A124" s="314"/>
      <c r="B124" s="314"/>
      <c r="C124" s="314"/>
      <c r="D124" s="314"/>
      <c r="E124" s="314"/>
      <c r="F124" s="314"/>
      <c r="G124" s="314"/>
      <c r="H124" s="314"/>
      <c r="I124" s="314"/>
      <c r="J124" s="314"/>
      <c r="K124" s="314"/>
      <c r="L124" s="314"/>
      <c r="M124" s="314"/>
      <c r="N124" s="314"/>
      <c r="O124" s="314"/>
      <c r="P124" s="314"/>
      <c r="Q124" s="314"/>
      <c r="R124" s="314"/>
      <c r="S124" s="314"/>
      <c r="T124" s="314"/>
      <c r="U124" s="314"/>
      <c r="V124" s="314"/>
      <c r="W124" s="314"/>
      <c r="X124" s="314"/>
      <c r="Y124" s="314"/>
      <c r="Z124" s="314"/>
      <c r="AA124" s="314"/>
      <c r="AB124" s="314"/>
      <c r="AC124" s="314"/>
      <c r="AD124" s="314"/>
      <c r="AE124" s="314"/>
      <c r="AF124" s="314"/>
      <c r="AG124" s="314"/>
      <c r="AH124" s="314"/>
      <c r="AI124" s="314"/>
      <c r="AJ124" s="314"/>
      <c r="AK124" s="314"/>
      <c r="AL124" s="314"/>
      <c r="AM124" s="314"/>
      <c r="AN124" s="314"/>
      <c r="AO124" s="314"/>
      <c r="AP124" s="314"/>
      <c r="AQ124" s="314"/>
      <c r="AR124" s="314"/>
      <c r="AS124" s="314"/>
      <c r="AT124" s="314"/>
      <c r="AU124" s="314"/>
      <c r="AV124" s="314"/>
      <c r="AW124" s="314"/>
      <c r="AX124" s="314"/>
      <c r="AY124" s="314"/>
      <c r="AZ124" s="314"/>
    </row>
    <row r="125" spans="1:52">
      <c r="A125" s="314"/>
      <c r="B125" s="314"/>
      <c r="C125" s="314"/>
      <c r="D125" s="314"/>
      <c r="E125" s="314"/>
      <c r="F125" s="314"/>
      <c r="G125" s="314"/>
      <c r="H125" s="314"/>
      <c r="I125" s="314"/>
      <c r="J125" s="314"/>
      <c r="K125" s="314"/>
      <c r="L125" s="314"/>
      <c r="M125" s="314"/>
      <c r="N125" s="314"/>
      <c r="O125" s="314"/>
      <c r="P125" s="314"/>
      <c r="Q125" s="314"/>
      <c r="R125" s="314"/>
      <c r="S125" s="314"/>
      <c r="T125" s="314"/>
      <c r="U125" s="314"/>
      <c r="V125" s="314"/>
      <c r="W125" s="314"/>
      <c r="X125" s="314"/>
      <c r="Y125" s="314"/>
      <c r="Z125" s="314"/>
      <c r="AA125" s="314"/>
      <c r="AB125" s="314"/>
      <c r="AC125" s="314"/>
      <c r="AD125" s="314"/>
      <c r="AE125" s="314"/>
      <c r="AF125" s="314"/>
      <c r="AG125" s="314"/>
      <c r="AH125" s="314"/>
      <c r="AI125" s="314"/>
      <c r="AJ125" s="314"/>
      <c r="AK125" s="314"/>
      <c r="AL125" s="314"/>
      <c r="AM125" s="314"/>
      <c r="AN125" s="314"/>
      <c r="AO125" s="314"/>
      <c r="AP125" s="314"/>
      <c r="AQ125" s="314"/>
      <c r="AR125" s="314"/>
      <c r="AS125" s="314"/>
      <c r="AT125" s="314"/>
      <c r="AU125" s="314"/>
      <c r="AV125" s="314"/>
      <c r="AW125" s="314"/>
      <c r="AX125" s="314"/>
      <c r="AY125" s="314"/>
      <c r="AZ125" s="314"/>
    </row>
    <row r="126" spans="1:52">
      <c r="A126" s="314"/>
      <c r="B126" s="314"/>
      <c r="C126" s="314"/>
      <c r="D126" s="314"/>
      <c r="E126" s="314"/>
      <c r="F126" s="314"/>
      <c r="G126" s="314"/>
      <c r="H126" s="314"/>
      <c r="I126" s="314"/>
      <c r="J126" s="314"/>
      <c r="K126" s="314"/>
      <c r="L126" s="314"/>
      <c r="M126" s="314"/>
      <c r="N126" s="314"/>
      <c r="O126" s="314"/>
      <c r="P126" s="314"/>
      <c r="Q126" s="314"/>
      <c r="R126" s="314"/>
      <c r="S126" s="314"/>
      <c r="T126" s="314"/>
      <c r="U126" s="314"/>
      <c r="V126" s="314"/>
      <c r="W126" s="314"/>
      <c r="X126" s="314"/>
      <c r="Y126" s="314"/>
      <c r="Z126" s="314"/>
      <c r="AA126" s="314"/>
      <c r="AB126" s="314"/>
      <c r="AC126" s="314"/>
      <c r="AD126" s="314"/>
      <c r="AE126" s="314"/>
      <c r="AF126" s="314"/>
      <c r="AG126" s="314"/>
      <c r="AH126" s="314"/>
      <c r="AI126" s="314"/>
      <c r="AJ126" s="314"/>
      <c r="AK126" s="314"/>
      <c r="AL126" s="314"/>
      <c r="AM126" s="314"/>
      <c r="AN126" s="314"/>
      <c r="AO126" s="314"/>
      <c r="AP126" s="314"/>
      <c r="AQ126" s="314"/>
      <c r="AR126" s="314"/>
      <c r="AS126" s="314"/>
      <c r="AT126" s="314"/>
      <c r="AU126" s="314"/>
      <c r="AV126" s="314"/>
      <c r="AW126" s="314"/>
      <c r="AX126" s="314"/>
      <c r="AY126" s="314"/>
      <c r="AZ126" s="314"/>
    </row>
    <row r="127" spans="1:52">
      <c r="A127" s="314"/>
      <c r="B127" s="314"/>
      <c r="C127" s="314"/>
      <c r="D127" s="314"/>
      <c r="E127" s="314"/>
      <c r="F127" s="314"/>
      <c r="G127" s="314"/>
      <c r="H127" s="314"/>
      <c r="I127" s="314"/>
      <c r="J127" s="314"/>
      <c r="K127" s="314"/>
      <c r="L127" s="314"/>
      <c r="M127" s="314"/>
      <c r="N127" s="314"/>
      <c r="O127" s="314"/>
      <c r="P127" s="314"/>
      <c r="Q127" s="314"/>
      <c r="R127" s="314"/>
      <c r="S127" s="314"/>
      <c r="T127" s="314"/>
      <c r="U127" s="314"/>
      <c r="V127" s="314"/>
      <c r="W127" s="314"/>
      <c r="X127" s="314"/>
      <c r="Y127" s="314"/>
      <c r="Z127" s="314"/>
      <c r="AA127" s="314"/>
      <c r="AB127" s="314"/>
      <c r="AC127" s="314"/>
      <c r="AD127" s="314"/>
      <c r="AE127" s="314"/>
      <c r="AF127" s="314"/>
      <c r="AG127" s="314"/>
      <c r="AH127" s="314"/>
      <c r="AI127" s="314"/>
      <c r="AJ127" s="314"/>
      <c r="AK127" s="314"/>
      <c r="AL127" s="314"/>
      <c r="AM127" s="314"/>
      <c r="AN127" s="314"/>
      <c r="AO127" s="314"/>
      <c r="AP127" s="314"/>
      <c r="AQ127" s="314"/>
      <c r="AR127" s="314"/>
      <c r="AS127" s="314"/>
      <c r="AT127" s="314"/>
      <c r="AU127" s="314"/>
      <c r="AV127" s="314"/>
      <c r="AW127" s="314"/>
      <c r="AX127" s="314"/>
      <c r="AY127" s="314"/>
      <c r="AZ127" s="314"/>
    </row>
    <row r="189" spans="1:52">
      <c r="A189" s="314"/>
      <c r="B189" s="314"/>
      <c r="C189" s="314"/>
      <c r="D189" s="314"/>
      <c r="E189" s="314"/>
      <c r="F189" s="314"/>
      <c r="G189" s="314"/>
      <c r="H189" s="314"/>
      <c r="I189" s="314"/>
      <c r="J189" s="314"/>
      <c r="K189" s="314"/>
      <c r="L189" s="314"/>
      <c r="M189" s="314"/>
      <c r="N189" s="314"/>
      <c r="O189" s="314"/>
      <c r="P189" s="314"/>
      <c r="Q189" s="314"/>
      <c r="R189" s="314"/>
      <c r="S189" s="314"/>
      <c r="T189" s="314"/>
      <c r="U189" s="314"/>
      <c r="V189" s="314"/>
      <c r="W189" s="314"/>
      <c r="X189" s="314"/>
      <c r="Y189" s="314"/>
      <c r="Z189" s="314"/>
      <c r="AA189" s="314"/>
      <c r="AB189" s="314"/>
      <c r="AC189" s="314"/>
      <c r="AD189" s="314"/>
      <c r="AE189" s="314"/>
      <c r="AF189" s="314"/>
      <c r="AG189" s="314"/>
      <c r="AH189" s="314"/>
      <c r="AI189" s="314"/>
      <c r="AJ189" s="314"/>
      <c r="AK189" s="314"/>
      <c r="AL189" s="314"/>
      <c r="AM189" s="314"/>
      <c r="AN189" s="314"/>
      <c r="AO189" s="314"/>
      <c r="AP189" s="314"/>
      <c r="AQ189" s="314"/>
      <c r="AR189" s="314"/>
      <c r="AS189" s="314"/>
      <c r="AT189" s="314"/>
      <c r="AU189" s="314"/>
      <c r="AV189" s="314"/>
      <c r="AW189" s="314"/>
      <c r="AX189" s="314"/>
      <c r="AY189" s="314"/>
      <c r="AZ189" s="314"/>
    </row>
    <row r="190" spans="1:52" s="511" customFormat="1" ht="27" customHeight="1">
      <c r="A190" s="511" t="s">
        <v>4000</v>
      </c>
    </row>
    <row r="193" spans="1:52">
      <c r="A193" s="318" t="s">
        <v>767</v>
      </c>
      <c r="B193" s="314"/>
      <c r="C193" s="314"/>
      <c r="D193" s="314"/>
      <c r="E193" s="314"/>
      <c r="F193" s="314"/>
      <c r="G193" s="314"/>
      <c r="H193" s="314"/>
      <c r="I193" s="314"/>
      <c r="J193" s="314"/>
      <c r="K193" s="314"/>
      <c r="L193" s="314"/>
      <c r="M193" s="314"/>
      <c r="N193" s="314"/>
      <c r="O193" s="314"/>
      <c r="P193" s="314"/>
      <c r="Q193" s="314"/>
      <c r="R193" s="314"/>
      <c r="S193" s="314"/>
      <c r="T193" s="314"/>
      <c r="U193" s="314"/>
      <c r="V193" s="314"/>
      <c r="W193" s="314"/>
      <c r="X193" s="314"/>
      <c r="Y193" s="314"/>
      <c r="Z193" s="314"/>
      <c r="AA193" s="314"/>
      <c r="AB193" s="314"/>
      <c r="AC193" s="314"/>
      <c r="AD193" s="314"/>
      <c r="AE193" s="314"/>
      <c r="AF193" s="314"/>
      <c r="AG193" s="314"/>
      <c r="AH193" s="314"/>
      <c r="AI193" s="314"/>
      <c r="AJ193" s="314"/>
      <c r="AK193" s="314"/>
      <c r="AL193" s="314"/>
      <c r="AM193" s="314"/>
      <c r="AN193" s="314"/>
      <c r="AO193" s="314"/>
      <c r="AP193" s="314"/>
      <c r="AQ193" s="314"/>
      <c r="AR193" s="314"/>
      <c r="AS193" s="314"/>
      <c r="AT193" s="314"/>
      <c r="AU193" s="314"/>
      <c r="AV193" s="314"/>
      <c r="AW193" s="314"/>
      <c r="AX193" s="314"/>
      <c r="AY193" s="314"/>
      <c r="AZ193" s="314"/>
    </row>
    <row r="194" spans="1:52">
      <c r="A194" s="314" t="s">
        <v>4001</v>
      </c>
      <c r="B194" s="314"/>
      <c r="C194" s="314"/>
      <c r="D194" s="314"/>
      <c r="E194" s="314"/>
      <c r="F194" s="314"/>
      <c r="G194" s="314"/>
      <c r="H194" s="314"/>
      <c r="I194" s="314"/>
      <c r="J194" s="314"/>
      <c r="K194" s="314"/>
      <c r="L194" s="314"/>
      <c r="M194" s="314"/>
      <c r="N194" s="314"/>
      <c r="O194" s="314"/>
      <c r="P194" s="314"/>
      <c r="Q194" s="314"/>
      <c r="R194" s="314"/>
      <c r="S194" s="314"/>
      <c r="T194" s="314"/>
      <c r="U194" s="314"/>
      <c r="V194" s="314"/>
      <c r="W194" s="314"/>
      <c r="X194" s="314"/>
      <c r="Y194" s="314"/>
      <c r="Z194" s="314"/>
      <c r="AA194" s="314"/>
      <c r="AB194" s="314"/>
      <c r="AC194" s="314"/>
      <c r="AD194" s="314"/>
      <c r="AE194" s="314"/>
      <c r="AF194" s="314"/>
      <c r="AG194" s="314"/>
      <c r="AH194" s="314"/>
      <c r="AI194" s="314"/>
      <c r="AJ194" s="314"/>
      <c r="AK194" s="314"/>
      <c r="AL194" s="314"/>
      <c r="AM194" s="314"/>
      <c r="AN194" s="314"/>
      <c r="AO194" s="314"/>
      <c r="AP194" s="314"/>
      <c r="AQ194" s="314"/>
      <c r="AR194" s="314"/>
      <c r="AS194" s="314"/>
      <c r="AT194" s="314"/>
      <c r="AU194" s="314"/>
      <c r="AV194" s="314"/>
      <c r="AW194" s="314"/>
      <c r="AX194" s="314"/>
      <c r="AY194" s="314"/>
      <c r="AZ194" s="314"/>
    </row>
    <row r="195" spans="1:52">
      <c r="A195" s="314"/>
      <c r="B195" s="314"/>
      <c r="C195" s="314"/>
      <c r="D195" s="314"/>
      <c r="E195" s="314"/>
      <c r="F195" s="314"/>
      <c r="G195" s="314"/>
      <c r="H195" s="314"/>
      <c r="I195" s="314"/>
      <c r="J195" s="314"/>
      <c r="K195" s="314"/>
      <c r="L195" s="314"/>
      <c r="M195" s="314"/>
      <c r="N195" s="314"/>
      <c r="O195" s="314"/>
      <c r="P195" s="314"/>
      <c r="Q195" s="314"/>
      <c r="R195" s="314"/>
      <c r="S195" s="314"/>
      <c r="T195" s="314"/>
      <c r="U195" s="314"/>
      <c r="V195" s="314"/>
      <c r="W195" s="314"/>
      <c r="X195" s="314"/>
      <c r="Y195" s="314"/>
      <c r="Z195" s="314"/>
      <c r="AA195" s="314"/>
      <c r="AB195" s="314"/>
      <c r="AC195" s="314"/>
      <c r="AD195" s="314"/>
      <c r="AE195" s="314"/>
      <c r="AF195" s="314"/>
      <c r="AG195" s="314"/>
      <c r="AH195" s="314"/>
      <c r="AI195" s="314"/>
      <c r="AJ195" s="314"/>
      <c r="AK195" s="314"/>
      <c r="AL195" s="314"/>
      <c r="AM195" s="314"/>
      <c r="AN195" s="314"/>
      <c r="AO195" s="314"/>
      <c r="AP195" s="314"/>
      <c r="AQ195" s="314"/>
      <c r="AR195" s="314"/>
      <c r="AS195" s="314"/>
      <c r="AT195" s="314"/>
      <c r="AU195" s="314"/>
      <c r="AV195" s="314"/>
      <c r="AW195" s="314"/>
      <c r="AX195" s="314"/>
      <c r="AY195" s="314"/>
      <c r="AZ195" s="314"/>
    </row>
    <row r="196" spans="1:52">
      <c r="A196" s="314" t="s">
        <v>4002</v>
      </c>
      <c r="B196" s="314" t="s">
        <v>4003</v>
      </c>
      <c r="C196" s="314" t="s">
        <v>511</v>
      </c>
      <c r="D196" s="314"/>
      <c r="E196" s="314"/>
      <c r="F196" s="314"/>
      <c r="G196" s="314"/>
      <c r="H196" s="314"/>
      <c r="I196" s="314"/>
      <c r="J196" s="314"/>
      <c r="K196" s="314"/>
      <c r="L196" s="314"/>
      <c r="M196" s="314"/>
      <c r="N196" s="314"/>
      <c r="O196" s="314"/>
      <c r="P196" s="314"/>
      <c r="Q196" s="314"/>
      <c r="R196" s="314"/>
      <c r="S196" s="314"/>
      <c r="T196" s="314"/>
      <c r="U196" s="314"/>
      <c r="V196" s="314"/>
      <c r="W196" s="314"/>
      <c r="X196" s="314"/>
      <c r="Y196" s="314"/>
      <c r="Z196" s="314"/>
      <c r="AA196" s="314"/>
      <c r="AB196" s="314"/>
      <c r="AC196" s="314"/>
      <c r="AD196" s="314"/>
      <c r="AE196" s="314"/>
      <c r="AF196" s="314"/>
      <c r="AG196" s="314"/>
      <c r="AH196" s="314"/>
      <c r="AI196" s="314"/>
      <c r="AJ196" s="314"/>
      <c r="AK196" s="314"/>
      <c r="AL196" s="314"/>
      <c r="AM196" s="314"/>
      <c r="AN196" s="314"/>
      <c r="AO196" s="314"/>
      <c r="AP196" s="314"/>
      <c r="AQ196" s="314"/>
      <c r="AR196" s="314"/>
      <c r="AS196" s="314"/>
      <c r="AT196" s="314"/>
      <c r="AU196" s="314"/>
      <c r="AV196" s="314"/>
      <c r="AW196" s="314"/>
      <c r="AX196" s="314"/>
      <c r="AY196" s="314"/>
      <c r="AZ196" s="314"/>
    </row>
    <row r="197" spans="1:52">
      <c r="A197" s="314"/>
      <c r="B197" s="314"/>
      <c r="C197" s="314"/>
      <c r="D197" s="314"/>
      <c r="E197" s="314"/>
      <c r="F197" s="314"/>
      <c r="G197" s="314"/>
      <c r="H197" s="314"/>
      <c r="I197" s="314"/>
      <c r="J197" s="314"/>
      <c r="K197" s="314"/>
      <c r="L197" s="314"/>
      <c r="M197" s="314"/>
      <c r="N197" s="314"/>
      <c r="O197" s="314"/>
      <c r="P197" s="314"/>
      <c r="Q197" s="314"/>
      <c r="R197" s="314"/>
      <c r="S197" s="314"/>
      <c r="T197" s="314"/>
      <c r="U197" s="314"/>
      <c r="V197" s="314"/>
      <c r="W197" s="314"/>
      <c r="X197" s="314"/>
      <c r="Y197" s="314"/>
      <c r="Z197" s="314"/>
      <c r="AA197" s="314"/>
      <c r="AB197" s="314"/>
      <c r="AC197" s="314"/>
      <c r="AD197" s="314"/>
      <c r="AE197" s="314"/>
      <c r="AF197" s="314"/>
      <c r="AG197" s="314"/>
      <c r="AH197" s="314"/>
      <c r="AI197" s="314"/>
      <c r="AJ197" s="314"/>
      <c r="AK197" s="314"/>
      <c r="AL197" s="314"/>
      <c r="AM197" s="314"/>
      <c r="AN197" s="314"/>
      <c r="AO197" s="314"/>
      <c r="AP197" s="314"/>
      <c r="AQ197" s="314"/>
      <c r="AR197" s="314"/>
      <c r="AS197" s="314"/>
      <c r="AT197" s="314"/>
      <c r="AU197" s="314"/>
      <c r="AV197" s="314"/>
      <c r="AW197" s="314"/>
      <c r="AX197" s="314"/>
      <c r="AY197" s="314"/>
      <c r="AZ197" s="314"/>
    </row>
    <row r="198" spans="1:52">
      <c r="A198" s="314" t="s">
        <v>4004</v>
      </c>
      <c r="B198" s="314" t="s">
        <v>4005</v>
      </c>
      <c r="C198" s="314"/>
      <c r="D198" s="314"/>
      <c r="E198" s="314"/>
      <c r="F198" s="314"/>
      <c r="G198" s="314"/>
      <c r="H198" s="314"/>
      <c r="I198" s="314"/>
      <c r="J198" s="314"/>
      <c r="K198" s="314"/>
      <c r="L198" s="314"/>
      <c r="M198" s="314"/>
      <c r="N198" s="314"/>
      <c r="O198" s="314"/>
      <c r="P198" s="314"/>
      <c r="Q198" s="314"/>
      <c r="R198" s="314"/>
      <c r="S198" s="314"/>
      <c r="T198" s="314"/>
      <c r="U198" s="314"/>
      <c r="V198" s="314"/>
      <c r="W198" s="314"/>
      <c r="X198" s="314"/>
      <c r="Y198" s="314"/>
      <c r="Z198" s="314"/>
      <c r="AA198" s="314"/>
      <c r="AB198" s="314"/>
      <c r="AC198" s="314"/>
      <c r="AD198" s="314"/>
      <c r="AE198" s="314"/>
      <c r="AF198" s="314"/>
      <c r="AG198" s="314"/>
      <c r="AH198" s="314"/>
      <c r="AI198" s="314"/>
      <c r="AJ198" s="314"/>
      <c r="AK198" s="314"/>
      <c r="AL198" s="314"/>
      <c r="AM198" s="314"/>
      <c r="AN198" s="314"/>
      <c r="AO198" s="314"/>
      <c r="AP198" s="314"/>
      <c r="AQ198" s="314"/>
      <c r="AR198" s="314"/>
      <c r="AS198" s="314"/>
      <c r="AT198" s="314"/>
      <c r="AU198" s="314"/>
      <c r="AV198" s="314"/>
      <c r="AW198" s="314"/>
      <c r="AX198" s="314"/>
      <c r="AY198" s="314"/>
      <c r="AZ198" s="314"/>
    </row>
    <row r="199" spans="1:52">
      <c r="A199" s="318" t="s">
        <v>1130</v>
      </c>
      <c r="B199" s="321" t="s">
        <v>4006</v>
      </c>
      <c r="C199" s="314"/>
      <c r="D199" s="314"/>
      <c r="E199" s="314"/>
      <c r="F199" s="314"/>
      <c r="G199" s="314"/>
      <c r="H199" s="314"/>
      <c r="I199" s="314"/>
      <c r="J199" s="314"/>
      <c r="K199" s="314"/>
      <c r="L199" s="314"/>
      <c r="M199" s="314"/>
      <c r="N199" s="314"/>
      <c r="O199" s="314"/>
      <c r="P199" s="314"/>
      <c r="Q199" s="314"/>
      <c r="R199" s="314"/>
      <c r="S199" s="314"/>
      <c r="T199" s="314"/>
      <c r="U199" s="314"/>
      <c r="V199" s="314"/>
      <c r="W199" s="314"/>
      <c r="X199" s="314"/>
      <c r="Y199" s="314"/>
      <c r="Z199" s="314"/>
      <c r="AA199" s="314"/>
      <c r="AB199" s="314"/>
      <c r="AC199" s="314"/>
      <c r="AD199" s="314"/>
      <c r="AE199" s="314"/>
      <c r="AF199" s="314"/>
      <c r="AG199" s="314"/>
      <c r="AH199" s="314"/>
      <c r="AI199" s="314"/>
      <c r="AJ199" s="314"/>
      <c r="AK199" s="314"/>
      <c r="AL199" s="314"/>
      <c r="AM199" s="314"/>
      <c r="AN199" s="314"/>
      <c r="AO199" s="314"/>
      <c r="AP199" s="314"/>
      <c r="AQ199" s="314"/>
      <c r="AR199" s="314"/>
      <c r="AS199" s="314"/>
      <c r="AT199" s="314"/>
      <c r="AU199" s="314"/>
      <c r="AV199" s="314"/>
      <c r="AW199" s="314"/>
      <c r="AX199" s="314"/>
      <c r="AY199" s="314"/>
      <c r="AZ199" s="314"/>
    </row>
    <row r="200" spans="1:52">
      <c r="A200" s="314" t="s">
        <v>4007</v>
      </c>
      <c r="B200" s="314" t="s">
        <v>511</v>
      </c>
      <c r="C200" s="314"/>
      <c r="D200" s="314"/>
      <c r="E200" s="314"/>
      <c r="F200" s="314"/>
      <c r="G200" s="314"/>
      <c r="H200" s="314"/>
      <c r="I200" s="314"/>
      <c r="J200" s="314"/>
      <c r="K200" s="314"/>
      <c r="L200" s="314"/>
      <c r="M200" s="314"/>
      <c r="N200" s="314"/>
      <c r="O200" s="314"/>
      <c r="P200" s="314"/>
      <c r="Q200" s="314"/>
      <c r="R200" s="314"/>
      <c r="S200" s="314"/>
      <c r="T200" s="314"/>
      <c r="U200" s="314"/>
      <c r="V200" s="314"/>
      <c r="W200" s="314"/>
      <c r="X200" s="314"/>
      <c r="Y200" s="314"/>
      <c r="Z200" s="314"/>
      <c r="AA200" s="314"/>
      <c r="AB200" s="314"/>
      <c r="AC200" s="314"/>
      <c r="AD200" s="314"/>
      <c r="AE200" s="314"/>
      <c r="AF200" s="314"/>
      <c r="AG200" s="314"/>
      <c r="AH200" s="314"/>
      <c r="AI200" s="314"/>
      <c r="AJ200" s="314"/>
      <c r="AK200" s="314"/>
      <c r="AL200" s="314"/>
      <c r="AM200" s="314"/>
      <c r="AN200" s="314"/>
      <c r="AO200" s="314"/>
      <c r="AP200" s="314"/>
      <c r="AQ200" s="314"/>
      <c r="AR200" s="314"/>
      <c r="AS200" s="314"/>
      <c r="AT200" s="314"/>
      <c r="AU200" s="314"/>
      <c r="AV200" s="314"/>
      <c r="AW200" s="314"/>
      <c r="AX200" s="314"/>
      <c r="AY200" s="314"/>
      <c r="AZ200" s="314"/>
    </row>
    <row r="201" spans="1:52">
      <c r="A201" s="314"/>
      <c r="B201" s="314"/>
      <c r="C201" s="314"/>
      <c r="D201" s="314"/>
      <c r="E201" s="314"/>
      <c r="F201" s="314"/>
      <c r="G201" s="314"/>
      <c r="H201" s="314"/>
      <c r="I201" s="314"/>
      <c r="J201" s="314"/>
      <c r="K201" s="314"/>
      <c r="L201" s="314"/>
      <c r="M201" s="314"/>
      <c r="N201" s="314"/>
      <c r="O201" s="314"/>
      <c r="P201" s="314"/>
      <c r="Q201" s="314"/>
      <c r="R201" s="314"/>
      <c r="S201" s="314"/>
      <c r="T201" s="314"/>
      <c r="U201" s="314"/>
      <c r="V201" s="314"/>
      <c r="W201" s="314"/>
      <c r="X201" s="314"/>
      <c r="Y201" s="314"/>
      <c r="Z201" s="314"/>
      <c r="AA201" s="314"/>
      <c r="AB201" s="314"/>
      <c r="AC201" s="314"/>
      <c r="AD201" s="314"/>
      <c r="AE201" s="314"/>
      <c r="AF201" s="314"/>
      <c r="AG201" s="314"/>
      <c r="AH201" s="314"/>
      <c r="AI201" s="314"/>
      <c r="AJ201" s="314"/>
      <c r="AK201" s="314"/>
      <c r="AL201" s="314"/>
      <c r="AM201" s="314"/>
      <c r="AN201" s="314"/>
      <c r="AO201" s="314"/>
      <c r="AP201" s="314"/>
      <c r="AQ201" s="314"/>
      <c r="AR201" s="314"/>
      <c r="AS201" s="314"/>
      <c r="AT201" s="314"/>
      <c r="AU201" s="314"/>
      <c r="AV201" s="314"/>
      <c r="AW201" s="314"/>
      <c r="AX201" s="314"/>
      <c r="AY201" s="314"/>
      <c r="AZ201" s="314"/>
    </row>
    <row r="202" spans="1:52">
      <c r="A202" s="314" t="s">
        <v>4008</v>
      </c>
      <c r="B202" s="314" t="s">
        <v>4009</v>
      </c>
      <c r="C202" s="314" t="s">
        <v>4010</v>
      </c>
      <c r="D202" s="314" t="s">
        <v>4011</v>
      </c>
      <c r="E202" s="314" t="s">
        <v>4012</v>
      </c>
      <c r="F202" s="314" t="s">
        <v>511</v>
      </c>
      <c r="G202" s="314"/>
      <c r="H202" s="314"/>
      <c r="I202" s="314"/>
      <c r="J202" s="314"/>
      <c r="K202" s="314"/>
      <c r="L202" s="314"/>
      <c r="M202" s="314"/>
      <c r="N202" s="314"/>
      <c r="O202" s="314"/>
      <c r="P202" s="314"/>
      <c r="Q202" s="314"/>
      <c r="R202" s="314"/>
      <c r="S202" s="314"/>
      <c r="T202" s="314"/>
      <c r="U202" s="314"/>
      <c r="V202" s="314"/>
      <c r="W202" s="314"/>
      <c r="X202" s="314"/>
      <c r="Y202" s="314"/>
      <c r="Z202" s="314"/>
      <c r="AA202" s="314"/>
      <c r="AB202" s="314"/>
      <c r="AC202" s="314"/>
      <c r="AD202" s="314"/>
      <c r="AE202" s="314"/>
      <c r="AF202" s="314"/>
      <c r="AG202" s="314"/>
      <c r="AH202" s="314"/>
      <c r="AI202" s="314"/>
      <c r="AJ202" s="314"/>
      <c r="AK202" s="314"/>
      <c r="AL202" s="314"/>
      <c r="AM202" s="314"/>
      <c r="AN202" s="314"/>
      <c r="AO202" s="314"/>
      <c r="AP202" s="314"/>
      <c r="AQ202" s="314"/>
      <c r="AR202" s="314"/>
      <c r="AS202" s="314"/>
      <c r="AT202" s="314"/>
      <c r="AU202" s="314"/>
      <c r="AV202" s="314"/>
      <c r="AW202" s="314"/>
      <c r="AX202" s="314"/>
      <c r="AY202" s="314"/>
      <c r="AZ202" s="314"/>
    </row>
    <row r="203" spans="1:52">
      <c r="A203" s="314"/>
      <c r="B203" s="314"/>
      <c r="C203" s="314"/>
      <c r="D203" s="314"/>
      <c r="E203" s="314"/>
      <c r="F203" s="314"/>
      <c r="G203" s="314"/>
      <c r="H203" s="314"/>
      <c r="I203" s="314"/>
      <c r="J203" s="314"/>
      <c r="K203" s="314"/>
      <c r="L203" s="314"/>
      <c r="M203" s="314"/>
      <c r="N203" s="314"/>
      <c r="O203" s="314"/>
      <c r="P203" s="314"/>
      <c r="Q203" s="314"/>
      <c r="R203" s="314"/>
      <c r="S203" s="314"/>
      <c r="T203" s="314"/>
      <c r="U203" s="314"/>
      <c r="V203" s="314"/>
      <c r="W203" s="314"/>
      <c r="X203" s="314"/>
      <c r="Y203" s="314"/>
      <c r="Z203" s="314"/>
      <c r="AA203" s="314"/>
      <c r="AB203" s="314"/>
      <c r="AC203" s="314"/>
      <c r="AD203" s="314"/>
      <c r="AE203" s="314"/>
      <c r="AF203" s="314"/>
      <c r="AG203" s="314"/>
      <c r="AH203" s="314"/>
      <c r="AI203" s="314"/>
      <c r="AJ203" s="314"/>
      <c r="AK203" s="314"/>
      <c r="AL203" s="314"/>
      <c r="AM203" s="314"/>
      <c r="AN203" s="314"/>
      <c r="AO203" s="314"/>
      <c r="AP203" s="314"/>
      <c r="AQ203" s="314"/>
      <c r="AR203" s="314"/>
      <c r="AS203" s="314"/>
      <c r="AT203" s="314"/>
      <c r="AU203" s="314"/>
      <c r="AV203" s="314"/>
      <c r="AW203" s="314"/>
      <c r="AX203" s="314"/>
      <c r="AY203" s="314"/>
      <c r="AZ203" s="314"/>
    </row>
    <row r="204" spans="1:52">
      <c r="A204" s="314" t="s">
        <v>1497</v>
      </c>
      <c r="B204" s="314" t="s">
        <v>1499</v>
      </c>
      <c r="C204" s="314" t="s">
        <v>4013</v>
      </c>
      <c r="D204" s="314" t="s">
        <v>4014</v>
      </c>
      <c r="E204" s="314" t="s">
        <v>511</v>
      </c>
      <c r="F204" s="314"/>
      <c r="G204" s="314"/>
      <c r="H204" s="314"/>
      <c r="I204" s="314"/>
      <c r="J204" s="314"/>
      <c r="K204" s="314"/>
      <c r="L204" s="314"/>
      <c r="M204" s="314"/>
      <c r="N204" s="314"/>
      <c r="O204" s="314"/>
      <c r="P204" s="314"/>
      <c r="Q204" s="314"/>
      <c r="R204" s="314"/>
      <c r="S204" s="314"/>
      <c r="T204" s="314"/>
      <c r="U204" s="314"/>
      <c r="V204" s="314"/>
      <c r="W204" s="314"/>
      <c r="X204" s="314"/>
      <c r="Y204" s="314"/>
      <c r="Z204" s="314"/>
      <c r="AA204" s="314"/>
      <c r="AB204" s="314"/>
      <c r="AC204" s="314"/>
      <c r="AD204" s="314"/>
      <c r="AE204" s="314"/>
      <c r="AF204" s="314"/>
      <c r="AG204" s="314"/>
      <c r="AH204" s="314"/>
      <c r="AI204" s="314"/>
      <c r="AJ204" s="314"/>
      <c r="AK204" s="314"/>
      <c r="AL204" s="314"/>
      <c r="AM204" s="314"/>
      <c r="AN204" s="314"/>
      <c r="AO204" s="314"/>
      <c r="AP204" s="314"/>
      <c r="AQ204" s="314"/>
      <c r="AR204" s="314"/>
      <c r="AS204" s="314"/>
      <c r="AT204" s="314"/>
      <c r="AU204" s="314"/>
      <c r="AV204" s="314"/>
      <c r="AW204" s="314"/>
      <c r="AX204" s="314"/>
      <c r="AY204" s="314"/>
      <c r="AZ204" s="314"/>
    </row>
    <row r="205" spans="1:52" ht="15">
      <c r="A205" s="314" t="s">
        <v>4014</v>
      </c>
      <c r="B205" s="314" t="s">
        <v>4015</v>
      </c>
      <c r="C205" s="314" t="s">
        <v>4016</v>
      </c>
      <c r="D205" s="315" t="s">
        <v>4017</v>
      </c>
      <c r="E205" s="314" t="s">
        <v>511</v>
      </c>
      <c r="F205" s="314"/>
      <c r="G205" s="314"/>
      <c r="H205" s="314"/>
      <c r="I205" s="314"/>
      <c r="J205" s="314"/>
      <c r="K205" s="314"/>
      <c r="L205" s="314"/>
      <c r="M205" s="314"/>
      <c r="N205" s="314"/>
      <c r="O205" s="314"/>
      <c r="P205" s="314"/>
      <c r="Q205" s="314"/>
      <c r="R205" s="314"/>
      <c r="S205" s="314"/>
      <c r="T205" s="314"/>
      <c r="U205" s="314"/>
      <c r="V205" s="314"/>
      <c r="W205" s="314"/>
      <c r="X205" s="314"/>
      <c r="Y205" s="314"/>
      <c r="Z205" s="314"/>
      <c r="AA205" s="314"/>
      <c r="AB205" s="314"/>
      <c r="AC205" s="314"/>
      <c r="AD205" s="314"/>
      <c r="AE205" s="314"/>
      <c r="AF205" s="314"/>
      <c r="AG205" s="314"/>
      <c r="AH205" s="314"/>
      <c r="AI205" s="314"/>
      <c r="AJ205" s="314"/>
      <c r="AK205" s="314"/>
      <c r="AL205" s="314"/>
      <c r="AM205" s="314"/>
      <c r="AN205" s="314"/>
      <c r="AO205" s="314"/>
      <c r="AP205" s="314"/>
      <c r="AQ205" s="314"/>
      <c r="AR205" s="314"/>
      <c r="AS205" s="314"/>
      <c r="AT205" s="314"/>
      <c r="AU205" s="314"/>
      <c r="AV205" s="314"/>
      <c r="AW205" s="314"/>
      <c r="AX205" s="314"/>
      <c r="AY205" s="314"/>
      <c r="AZ205" s="314"/>
    </row>
    <row r="206" spans="1:52">
      <c r="A206" s="314" t="s">
        <v>4018</v>
      </c>
      <c r="B206" s="314" t="s">
        <v>511</v>
      </c>
      <c r="C206" s="314"/>
      <c r="D206" s="314"/>
      <c r="E206" s="314"/>
      <c r="F206" s="314"/>
      <c r="G206" s="314"/>
      <c r="H206" s="314"/>
      <c r="I206" s="314"/>
      <c r="J206" s="314"/>
      <c r="K206" s="314"/>
      <c r="L206" s="314"/>
      <c r="M206" s="314"/>
      <c r="N206" s="314"/>
      <c r="O206" s="314"/>
      <c r="P206" s="314"/>
      <c r="Q206" s="314"/>
      <c r="R206" s="314"/>
      <c r="S206" s="314"/>
      <c r="T206" s="314"/>
      <c r="U206" s="314"/>
      <c r="V206" s="314"/>
      <c r="W206" s="314"/>
      <c r="X206" s="314"/>
      <c r="Y206" s="314"/>
      <c r="Z206" s="314"/>
      <c r="AA206" s="314"/>
      <c r="AB206" s="314"/>
      <c r="AC206" s="314"/>
      <c r="AD206" s="314"/>
      <c r="AE206" s="314"/>
      <c r="AF206" s="314"/>
      <c r="AG206" s="314"/>
      <c r="AH206" s="314"/>
      <c r="AI206" s="314"/>
      <c r="AJ206" s="314"/>
      <c r="AK206" s="314"/>
      <c r="AL206" s="314"/>
      <c r="AM206" s="314"/>
      <c r="AN206" s="314"/>
      <c r="AO206" s="314"/>
      <c r="AP206" s="314"/>
      <c r="AQ206" s="314"/>
      <c r="AR206" s="314"/>
      <c r="AS206" s="314"/>
      <c r="AT206" s="314"/>
      <c r="AU206" s="314"/>
      <c r="AV206" s="314"/>
      <c r="AW206" s="314"/>
      <c r="AX206" s="314"/>
      <c r="AY206" s="314"/>
      <c r="AZ206" s="314"/>
    </row>
    <row r="207" spans="1:52">
      <c r="A207" s="314"/>
      <c r="B207" s="314"/>
      <c r="C207" s="314"/>
      <c r="D207" s="314"/>
      <c r="E207" s="314"/>
      <c r="F207" s="314"/>
      <c r="G207" s="314"/>
      <c r="H207" s="314"/>
      <c r="I207" s="314"/>
      <c r="J207" s="314"/>
      <c r="K207" s="314"/>
      <c r="L207" s="314"/>
      <c r="M207" s="314"/>
      <c r="N207" s="314"/>
      <c r="O207" s="314"/>
      <c r="P207" s="314"/>
      <c r="Q207" s="314"/>
      <c r="R207" s="314"/>
      <c r="S207" s="314"/>
      <c r="T207" s="314"/>
      <c r="U207" s="314"/>
      <c r="V207" s="314"/>
      <c r="W207" s="314"/>
      <c r="X207" s="314"/>
      <c r="Y207" s="314"/>
      <c r="Z207" s="314"/>
      <c r="AA207" s="314"/>
      <c r="AB207" s="314"/>
      <c r="AC207" s="314"/>
      <c r="AD207" s="314"/>
      <c r="AE207" s="314"/>
      <c r="AF207" s="314"/>
      <c r="AG207" s="314"/>
      <c r="AH207" s="314"/>
      <c r="AI207" s="314"/>
      <c r="AJ207" s="314"/>
      <c r="AK207" s="314"/>
      <c r="AL207" s="314"/>
      <c r="AM207" s="314"/>
      <c r="AN207" s="314"/>
      <c r="AO207" s="314"/>
      <c r="AP207" s="314"/>
      <c r="AQ207" s="314"/>
      <c r="AR207" s="314"/>
      <c r="AS207" s="314"/>
      <c r="AT207" s="314"/>
      <c r="AU207" s="314"/>
      <c r="AV207" s="314"/>
      <c r="AW207" s="314"/>
      <c r="AX207" s="314"/>
      <c r="AY207" s="314"/>
      <c r="AZ207" s="314"/>
    </row>
    <row r="208" spans="1:52">
      <c r="A208" s="318" t="s">
        <v>1504</v>
      </c>
      <c r="B208" s="314"/>
      <c r="C208" s="314"/>
      <c r="D208" s="314"/>
      <c r="E208" s="314"/>
      <c r="F208" s="314"/>
      <c r="G208" s="314"/>
      <c r="H208" s="314"/>
      <c r="I208" s="314"/>
      <c r="J208" s="314"/>
      <c r="K208" s="314"/>
      <c r="L208" s="314"/>
      <c r="M208" s="314"/>
      <c r="N208" s="314"/>
      <c r="O208" s="314"/>
      <c r="P208" s="314"/>
      <c r="Q208" s="314"/>
      <c r="R208" s="314"/>
      <c r="S208" s="314"/>
      <c r="T208" s="314"/>
      <c r="U208" s="314"/>
      <c r="V208" s="314"/>
      <c r="W208" s="314"/>
      <c r="X208" s="314"/>
      <c r="Y208" s="314"/>
      <c r="Z208" s="314"/>
      <c r="AA208" s="314"/>
      <c r="AB208" s="314"/>
      <c r="AC208" s="314"/>
      <c r="AD208" s="314"/>
      <c r="AE208" s="314"/>
      <c r="AF208" s="314"/>
      <c r="AG208" s="314"/>
      <c r="AH208" s="314"/>
      <c r="AI208" s="314"/>
      <c r="AJ208" s="314"/>
      <c r="AK208" s="314"/>
      <c r="AL208" s="314"/>
      <c r="AM208" s="314"/>
      <c r="AN208" s="314"/>
      <c r="AO208" s="314"/>
      <c r="AP208" s="314"/>
      <c r="AQ208" s="314"/>
      <c r="AR208" s="314"/>
      <c r="AS208" s="314"/>
      <c r="AT208" s="314"/>
      <c r="AU208" s="314"/>
      <c r="AV208" s="314"/>
      <c r="AW208" s="314"/>
      <c r="AX208" s="314"/>
      <c r="AY208" s="314"/>
      <c r="AZ208" s="314"/>
    </row>
    <row r="209" spans="1:52">
      <c r="A209" s="314" t="s">
        <v>4019</v>
      </c>
      <c r="B209" s="314" t="s">
        <v>4020</v>
      </c>
      <c r="C209" s="314" t="s">
        <v>511</v>
      </c>
      <c r="D209" s="314"/>
      <c r="E209" s="314"/>
      <c r="F209" s="314"/>
      <c r="G209" s="314"/>
      <c r="H209" s="314"/>
      <c r="I209" s="314"/>
      <c r="J209" s="314"/>
      <c r="K209" s="314"/>
      <c r="L209" s="314"/>
      <c r="M209" s="314"/>
      <c r="N209" s="314"/>
      <c r="O209" s="314"/>
      <c r="P209" s="314"/>
      <c r="Q209" s="314"/>
      <c r="R209" s="314"/>
      <c r="S209" s="314"/>
      <c r="T209" s="314"/>
      <c r="U209" s="314"/>
      <c r="V209" s="314"/>
      <c r="W209" s="314"/>
      <c r="X209" s="314"/>
      <c r="Y209" s="314"/>
      <c r="Z209" s="314"/>
      <c r="AA209" s="314"/>
      <c r="AB209" s="314"/>
      <c r="AC209" s="314"/>
      <c r="AD209" s="314"/>
      <c r="AE209" s="314"/>
      <c r="AF209" s="314"/>
      <c r="AG209" s="314"/>
      <c r="AH209" s="314"/>
      <c r="AI209" s="314"/>
      <c r="AJ209" s="314"/>
      <c r="AK209" s="314"/>
      <c r="AL209" s="314"/>
      <c r="AM209" s="314"/>
      <c r="AN209" s="314"/>
      <c r="AO209" s="314"/>
      <c r="AP209" s="314"/>
      <c r="AQ209" s="314"/>
      <c r="AR209" s="314"/>
      <c r="AS209" s="314"/>
      <c r="AT209" s="314"/>
      <c r="AU209" s="314"/>
      <c r="AV209" s="314"/>
      <c r="AW209" s="314"/>
      <c r="AX209" s="314"/>
      <c r="AY209" s="314"/>
      <c r="AZ209" s="314"/>
    </row>
    <row r="210" spans="1:52">
      <c r="A210" s="314"/>
      <c r="B210" s="314"/>
      <c r="C210" s="314"/>
      <c r="D210" s="314"/>
      <c r="E210" s="314"/>
      <c r="F210" s="314"/>
      <c r="G210" s="314"/>
      <c r="H210" s="314"/>
      <c r="I210" s="314"/>
      <c r="J210" s="314"/>
      <c r="K210" s="314"/>
      <c r="L210" s="314"/>
      <c r="M210" s="314"/>
      <c r="N210" s="314"/>
      <c r="O210" s="314"/>
      <c r="P210" s="314"/>
      <c r="Q210" s="314"/>
      <c r="R210" s="314"/>
      <c r="S210" s="314"/>
      <c r="T210" s="314"/>
      <c r="U210" s="314"/>
      <c r="V210" s="314"/>
      <c r="W210" s="314"/>
      <c r="X210" s="314"/>
      <c r="Y210" s="314"/>
      <c r="Z210" s="314"/>
      <c r="AA210" s="314"/>
      <c r="AB210" s="314"/>
      <c r="AC210" s="314"/>
      <c r="AD210" s="314"/>
      <c r="AE210" s="314"/>
      <c r="AF210" s="314"/>
      <c r="AG210" s="314"/>
      <c r="AH210" s="314"/>
      <c r="AI210" s="314"/>
      <c r="AJ210" s="314"/>
      <c r="AK210" s="314"/>
      <c r="AL210" s="314"/>
      <c r="AM210" s="314"/>
      <c r="AN210" s="314"/>
      <c r="AO210" s="314"/>
      <c r="AP210" s="314"/>
      <c r="AQ210" s="314"/>
      <c r="AR210" s="314"/>
      <c r="AS210" s="314"/>
      <c r="AT210" s="314"/>
      <c r="AU210" s="314"/>
      <c r="AV210" s="314"/>
      <c r="AW210" s="314"/>
      <c r="AX210" s="314"/>
      <c r="AY210" s="314"/>
      <c r="AZ210" s="314"/>
    </row>
    <row r="211" spans="1:52">
      <c r="A211" s="314" t="s">
        <v>2545</v>
      </c>
      <c r="B211" s="314" t="s">
        <v>4021</v>
      </c>
      <c r="C211" s="314"/>
      <c r="D211" s="314"/>
      <c r="E211" s="314"/>
      <c r="F211" s="314"/>
      <c r="G211" s="314"/>
      <c r="H211" s="314"/>
      <c r="I211" s="314"/>
      <c r="J211" s="314"/>
      <c r="K211" s="314"/>
      <c r="L211" s="314"/>
      <c r="M211" s="314"/>
      <c r="N211" s="314"/>
      <c r="O211" s="314"/>
      <c r="P211" s="314"/>
      <c r="Q211" s="314"/>
      <c r="R211" s="314"/>
      <c r="S211" s="314"/>
      <c r="T211" s="314"/>
      <c r="U211" s="314"/>
      <c r="V211" s="314"/>
      <c r="W211" s="314"/>
      <c r="X211" s="314"/>
      <c r="Y211" s="314"/>
      <c r="Z211" s="314"/>
      <c r="AA211" s="314"/>
      <c r="AB211" s="314"/>
      <c r="AC211" s="314"/>
      <c r="AD211" s="314"/>
      <c r="AE211" s="314"/>
      <c r="AF211" s="314"/>
      <c r="AG211" s="314"/>
      <c r="AH211" s="314"/>
      <c r="AI211" s="314"/>
      <c r="AJ211" s="314"/>
      <c r="AK211" s="314"/>
      <c r="AL211" s="314"/>
      <c r="AM211" s="314"/>
      <c r="AN211" s="314"/>
      <c r="AO211" s="314"/>
      <c r="AP211" s="314"/>
      <c r="AQ211" s="314"/>
      <c r="AR211" s="314"/>
      <c r="AS211" s="314"/>
      <c r="AT211" s="314"/>
      <c r="AU211" s="314"/>
      <c r="AV211" s="314"/>
      <c r="AW211" s="314"/>
      <c r="AX211" s="314"/>
      <c r="AY211" s="314"/>
      <c r="AZ211" s="314"/>
    </row>
    <row r="212" spans="1:52">
      <c r="A212" s="314"/>
      <c r="B212" s="314"/>
      <c r="C212" s="314"/>
      <c r="D212" s="314"/>
      <c r="E212" s="314"/>
      <c r="F212" s="314"/>
      <c r="G212" s="314"/>
      <c r="H212" s="314"/>
      <c r="I212" s="314"/>
      <c r="J212" s="314"/>
      <c r="K212" s="314"/>
      <c r="L212" s="314"/>
      <c r="M212" s="314"/>
      <c r="N212" s="314"/>
      <c r="O212" s="314"/>
      <c r="P212" s="314"/>
      <c r="Q212" s="314"/>
      <c r="R212" s="314"/>
      <c r="S212" s="314"/>
      <c r="T212" s="314"/>
      <c r="U212" s="314"/>
      <c r="V212" s="314"/>
      <c r="W212" s="314"/>
      <c r="X212" s="314"/>
      <c r="Y212" s="314"/>
      <c r="Z212" s="314"/>
      <c r="AA212" s="314"/>
      <c r="AB212" s="314"/>
      <c r="AC212" s="314"/>
      <c r="AD212" s="314"/>
      <c r="AE212" s="314"/>
      <c r="AF212" s="314"/>
      <c r="AG212" s="314"/>
      <c r="AH212" s="314"/>
      <c r="AI212" s="314"/>
      <c r="AJ212" s="314"/>
      <c r="AK212" s="314"/>
      <c r="AL212" s="314"/>
      <c r="AM212" s="314"/>
      <c r="AN212" s="314"/>
      <c r="AO212" s="314"/>
      <c r="AP212" s="314"/>
      <c r="AQ212" s="314"/>
      <c r="AR212" s="314"/>
      <c r="AS212" s="314"/>
      <c r="AT212" s="314"/>
      <c r="AU212" s="314"/>
      <c r="AV212" s="314"/>
      <c r="AW212" s="314"/>
      <c r="AX212" s="314"/>
      <c r="AY212" s="314"/>
      <c r="AZ212" s="314"/>
    </row>
    <row r="213" spans="1:52">
      <c r="A213" s="318" t="s">
        <v>2035</v>
      </c>
      <c r="B213" s="314"/>
      <c r="C213" s="314"/>
      <c r="D213" s="314"/>
      <c r="E213" s="314"/>
      <c r="F213" s="314"/>
      <c r="G213" s="314"/>
      <c r="H213" s="314"/>
      <c r="I213" s="314"/>
      <c r="J213" s="314"/>
      <c r="K213" s="314"/>
      <c r="L213" s="314"/>
      <c r="M213" s="314"/>
      <c r="N213" s="314"/>
      <c r="O213" s="314"/>
      <c r="P213" s="314"/>
      <c r="Q213" s="314"/>
      <c r="R213" s="314"/>
      <c r="S213" s="314"/>
      <c r="T213" s="314"/>
      <c r="U213" s="314"/>
      <c r="V213" s="314"/>
      <c r="W213" s="314"/>
      <c r="X213" s="314"/>
      <c r="Y213" s="314"/>
      <c r="Z213" s="314"/>
      <c r="AA213" s="314"/>
      <c r="AB213" s="314"/>
      <c r="AC213" s="314"/>
      <c r="AD213" s="314"/>
      <c r="AE213" s="314"/>
      <c r="AF213" s="314"/>
      <c r="AG213" s="314"/>
      <c r="AH213" s="314"/>
      <c r="AI213" s="314"/>
      <c r="AJ213" s="314"/>
      <c r="AK213" s="314"/>
      <c r="AL213" s="314"/>
      <c r="AM213" s="314"/>
      <c r="AN213" s="314"/>
      <c r="AO213" s="314"/>
      <c r="AP213" s="314"/>
      <c r="AQ213" s="314"/>
      <c r="AR213" s="314"/>
      <c r="AS213" s="314"/>
      <c r="AT213" s="314"/>
      <c r="AU213" s="314"/>
      <c r="AV213" s="314"/>
      <c r="AW213" s="314"/>
      <c r="AX213" s="314"/>
      <c r="AY213" s="314"/>
      <c r="AZ213" s="314"/>
    </row>
    <row r="214" spans="1:52">
      <c r="A214" s="314" t="s">
        <v>4022</v>
      </c>
      <c r="B214" s="314"/>
      <c r="C214" s="314"/>
      <c r="D214" s="314"/>
      <c r="E214" s="314"/>
      <c r="F214" s="314"/>
      <c r="G214" s="314"/>
      <c r="H214" s="314"/>
      <c r="I214" s="314"/>
      <c r="J214" s="314"/>
      <c r="K214" s="314"/>
      <c r="L214" s="314"/>
      <c r="M214" s="314"/>
      <c r="N214" s="314"/>
      <c r="O214" s="314"/>
      <c r="P214" s="314"/>
      <c r="Q214" s="314"/>
      <c r="R214" s="314"/>
      <c r="S214" s="314"/>
      <c r="T214" s="314"/>
      <c r="U214" s="314"/>
      <c r="V214" s="314"/>
      <c r="W214" s="314"/>
      <c r="X214" s="314"/>
      <c r="Y214" s="314"/>
      <c r="Z214" s="314"/>
      <c r="AA214" s="314"/>
      <c r="AB214" s="314"/>
      <c r="AC214" s="314"/>
      <c r="AD214" s="314"/>
      <c r="AE214" s="314"/>
      <c r="AF214" s="314"/>
      <c r="AG214" s="314"/>
      <c r="AH214" s="314"/>
      <c r="AI214" s="314"/>
      <c r="AJ214" s="314"/>
      <c r="AK214" s="314"/>
      <c r="AL214" s="314"/>
      <c r="AM214" s="314"/>
      <c r="AN214" s="314"/>
      <c r="AO214" s="314"/>
      <c r="AP214" s="314"/>
      <c r="AQ214" s="314"/>
      <c r="AR214" s="314"/>
      <c r="AS214" s="314"/>
      <c r="AT214" s="314"/>
      <c r="AU214" s="314"/>
      <c r="AV214" s="314"/>
      <c r="AW214" s="314"/>
      <c r="AX214" s="314"/>
      <c r="AY214" s="314"/>
      <c r="AZ214" s="314"/>
    </row>
    <row r="215" spans="1:52">
      <c r="A215" s="314"/>
      <c r="B215" s="314"/>
      <c r="C215" s="314"/>
      <c r="D215" s="314"/>
      <c r="E215" s="314"/>
      <c r="F215" s="314"/>
      <c r="G215" s="314"/>
      <c r="H215" s="314"/>
      <c r="I215" s="314"/>
      <c r="J215" s="314"/>
      <c r="K215" s="314"/>
      <c r="L215" s="314"/>
      <c r="M215" s="314"/>
      <c r="N215" s="314"/>
      <c r="O215" s="314"/>
      <c r="P215" s="314"/>
      <c r="Q215" s="314"/>
      <c r="R215" s="314"/>
      <c r="S215" s="314"/>
      <c r="T215" s="314"/>
      <c r="U215" s="314"/>
      <c r="V215" s="314"/>
      <c r="W215" s="314"/>
      <c r="X215" s="314"/>
      <c r="Y215" s="314"/>
      <c r="Z215" s="314"/>
      <c r="AA215" s="314"/>
      <c r="AB215" s="314"/>
      <c r="AC215" s="314"/>
      <c r="AD215" s="314"/>
      <c r="AE215" s="314"/>
      <c r="AF215" s="314"/>
      <c r="AG215" s="314"/>
      <c r="AH215" s="314"/>
      <c r="AI215" s="314"/>
      <c r="AJ215" s="314"/>
      <c r="AK215" s="314"/>
      <c r="AL215" s="314"/>
      <c r="AM215" s="314"/>
      <c r="AN215" s="314"/>
      <c r="AO215" s="314"/>
      <c r="AP215" s="314"/>
      <c r="AQ215" s="314"/>
      <c r="AR215" s="314"/>
      <c r="AS215" s="314"/>
      <c r="AT215" s="314"/>
      <c r="AU215" s="314"/>
      <c r="AV215" s="314"/>
      <c r="AW215" s="314"/>
      <c r="AX215" s="314"/>
      <c r="AY215" s="314"/>
      <c r="AZ215" s="314"/>
    </row>
    <row r="216" spans="1:52">
      <c r="A216" s="314" t="s">
        <v>4023</v>
      </c>
      <c r="B216" s="314"/>
      <c r="C216" s="314"/>
      <c r="D216" s="314"/>
      <c r="E216" s="314"/>
      <c r="F216" s="314"/>
      <c r="G216" s="314"/>
      <c r="H216" s="314"/>
      <c r="I216" s="314"/>
      <c r="J216" s="314"/>
      <c r="K216" s="314"/>
      <c r="L216" s="314"/>
      <c r="M216" s="314"/>
      <c r="N216" s="314"/>
      <c r="O216" s="314"/>
      <c r="P216" s="314"/>
      <c r="Q216" s="314"/>
      <c r="R216" s="314"/>
      <c r="S216" s="314"/>
      <c r="T216" s="314"/>
      <c r="U216" s="314"/>
      <c r="V216" s="314"/>
      <c r="W216" s="314"/>
      <c r="X216" s="314"/>
      <c r="Y216" s="314"/>
      <c r="Z216" s="314"/>
      <c r="AA216" s="314"/>
      <c r="AB216" s="314"/>
      <c r="AC216" s="314"/>
      <c r="AD216" s="314"/>
      <c r="AE216" s="314"/>
      <c r="AF216" s="314"/>
      <c r="AG216" s="314"/>
      <c r="AH216" s="314"/>
      <c r="AI216" s="314"/>
      <c r="AJ216" s="314"/>
      <c r="AK216" s="314"/>
      <c r="AL216" s="314"/>
      <c r="AM216" s="314"/>
      <c r="AN216" s="314"/>
      <c r="AO216" s="314"/>
      <c r="AP216" s="314"/>
      <c r="AQ216" s="314"/>
      <c r="AR216" s="314"/>
      <c r="AS216" s="314"/>
      <c r="AT216" s="314"/>
      <c r="AU216" s="314"/>
      <c r="AV216" s="314"/>
      <c r="AW216" s="314"/>
      <c r="AX216" s="314"/>
      <c r="AY216" s="314"/>
      <c r="AZ216" s="314"/>
    </row>
    <row r="217" spans="1:52">
      <c r="A217" s="314" t="s">
        <v>4024</v>
      </c>
      <c r="B217" s="314"/>
      <c r="C217" s="314"/>
      <c r="D217" s="314"/>
      <c r="E217" s="314"/>
      <c r="F217" s="314"/>
      <c r="G217" s="314"/>
      <c r="H217" s="314"/>
      <c r="I217" s="314"/>
      <c r="J217" s="314"/>
      <c r="K217" s="314"/>
      <c r="L217" s="314"/>
      <c r="M217" s="314"/>
      <c r="N217" s="314"/>
      <c r="O217" s="314"/>
      <c r="P217" s="314"/>
      <c r="Q217" s="314"/>
      <c r="R217" s="314"/>
      <c r="S217" s="314"/>
      <c r="T217" s="314"/>
      <c r="U217" s="314"/>
      <c r="V217" s="314"/>
      <c r="W217" s="314"/>
      <c r="X217" s="314"/>
      <c r="Y217" s="314"/>
      <c r="Z217" s="314"/>
      <c r="AA217" s="314"/>
      <c r="AB217" s="314"/>
      <c r="AC217" s="314"/>
      <c r="AD217" s="314"/>
      <c r="AE217" s="314"/>
      <c r="AF217" s="314"/>
      <c r="AG217" s="314"/>
      <c r="AH217" s="314"/>
      <c r="AI217" s="314"/>
      <c r="AJ217" s="314"/>
      <c r="AK217" s="314"/>
      <c r="AL217" s="314"/>
      <c r="AM217" s="314"/>
      <c r="AN217" s="314"/>
      <c r="AO217" s="314"/>
      <c r="AP217" s="314"/>
      <c r="AQ217" s="314"/>
      <c r="AR217" s="314"/>
      <c r="AS217" s="314"/>
      <c r="AT217" s="314"/>
      <c r="AU217" s="314"/>
      <c r="AV217" s="314"/>
      <c r="AW217" s="314"/>
      <c r="AX217" s="314"/>
      <c r="AY217" s="314"/>
      <c r="AZ217" s="314"/>
    </row>
    <row r="218" spans="1:52">
      <c r="A218" s="318" t="s">
        <v>2361</v>
      </c>
      <c r="B218" s="314"/>
      <c r="C218" s="314"/>
      <c r="D218" s="314"/>
      <c r="E218" s="314"/>
      <c r="F218" s="314"/>
      <c r="G218" s="314"/>
      <c r="H218" s="314"/>
      <c r="I218" s="314"/>
      <c r="J218" s="314"/>
      <c r="K218" s="314"/>
      <c r="L218" s="314"/>
      <c r="M218" s="314"/>
      <c r="N218" s="314"/>
      <c r="O218" s="314"/>
      <c r="P218" s="314"/>
      <c r="Q218" s="314"/>
      <c r="R218" s="314"/>
      <c r="S218" s="314"/>
      <c r="T218" s="314"/>
      <c r="U218" s="314"/>
      <c r="V218" s="314"/>
      <c r="W218" s="314"/>
      <c r="X218" s="314"/>
      <c r="Y218" s="314"/>
      <c r="Z218" s="314"/>
      <c r="AA218" s="314"/>
      <c r="AB218" s="314"/>
      <c r="AC218" s="314"/>
      <c r="AD218" s="314"/>
      <c r="AE218" s="314"/>
      <c r="AF218" s="314"/>
      <c r="AG218" s="314"/>
      <c r="AH218" s="314"/>
      <c r="AI218" s="314"/>
      <c r="AJ218" s="314"/>
      <c r="AK218" s="314"/>
      <c r="AL218" s="314"/>
      <c r="AM218" s="314"/>
      <c r="AN218" s="314"/>
      <c r="AO218" s="314"/>
      <c r="AP218" s="314"/>
      <c r="AQ218" s="314"/>
      <c r="AR218" s="314"/>
      <c r="AS218" s="314"/>
      <c r="AT218" s="314"/>
      <c r="AU218" s="314"/>
      <c r="AV218" s="314"/>
      <c r="AW218" s="314"/>
      <c r="AX218" s="314"/>
      <c r="AY218" s="314"/>
      <c r="AZ218" s="314"/>
    </row>
    <row r="219" spans="1:52">
      <c r="A219" s="314" t="s">
        <v>4025</v>
      </c>
      <c r="B219" s="314"/>
      <c r="C219" s="314"/>
      <c r="D219" s="314"/>
      <c r="E219" s="314"/>
      <c r="F219" s="314"/>
      <c r="G219" s="314"/>
      <c r="H219" s="314"/>
      <c r="I219" s="314"/>
      <c r="J219" s="314"/>
      <c r="K219" s="314"/>
      <c r="L219" s="314"/>
      <c r="M219" s="314"/>
      <c r="N219" s="314"/>
      <c r="O219" s="314"/>
      <c r="P219" s="314"/>
      <c r="Q219" s="314"/>
      <c r="R219" s="314"/>
      <c r="S219" s="314"/>
      <c r="T219" s="314"/>
      <c r="U219" s="314"/>
      <c r="V219" s="314"/>
      <c r="W219" s="314"/>
      <c r="X219" s="314"/>
      <c r="Y219" s="314"/>
      <c r="Z219" s="314"/>
      <c r="AA219" s="314"/>
      <c r="AB219" s="314"/>
      <c r="AC219" s="314"/>
      <c r="AD219" s="314"/>
      <c r="AE219" s="314"/>
      <c r="AF219" s="314"/>
      <c r="AG219" s="314"/>
      <c r="AH219" s="314"/>
      <c r="AI219" s="314"/>
      <c r="AJ219" s="314"/>
      <c r="AK219" s="314"/>
      <c r="AL219" s="314"/>
      <c r="AM219" s="314"/>
      <c r="AN219" s="314"/>
      <c r="AO219" s="314"/>
      <c r="AP219" s="314"/>
      <c r="AQ219" s="314"/>
      <c r="AR219" s="314"/>
      <c r="AS219" s="314"/>
      <c r="AT219" s="314"/>
      <c r="AU219" s="314"/>
      <c r="AV219" s="314"/>
      <c r="AW219" s="314"/>
      <c r="AX219" s="314"/>
      <c r="AY219" s="314"/>
      <c r="AZ219" s="314"/>
    </row>
    <row r="220" spans="1:52">
      <c r="A220" s="314" t="s">
        <v>4026</v>
      </c>
      <c r="B220" s="314"/>
      <c r="C220" s="314"/>
      <c r="D220" s="314"/>
      <c r="E220" s="314"/>
      <c r="F220" s="314"/>
      <c r="G220" s="314"/>
      <c r="H220" s="314"/>
      <c r="I220" s="314"/>
      <c r="J220" s="314"/>
      <c r="K220" s="314"/>
      <c r="L220" s="314"/>
      <c r="M220" s="314"/>
      <c r="N220" s="314"/>
      <c r="O220" s="314"/>
      <c r="P220" s="314"/>
      <c r="Q220" s="314"/>
      <c r="R220" s="314"/>
      <c r="S220" s="314"/>
      <c r="T220" s="314"/>
      <c r="U220" s="314"/>
      <c r="V220" s="314"/>
      <c r="W220" s="314"/>
      <c r="X220" s="314"/>
      <c r="Y220" s="314"/>
      <c r="Z220" s="314"/>
      <c r="AA220" s="314"/>
      <c r="AB220" s="314"/>
      <c r="AC220" s="314"/>
      <c r="AD220" s="314"/>
      <c r="AE220" s="314"/>
      <c r="AF220" s="314"/>
      <c r="AG220" s="314"/>
      <c r="AH220" s="314"/>
      <c r="AI220" s="314"/>
      <c r="AJ220" s="314"/>
      <c r="AK220" s="314"/>
      <c r="AL220" s="314"/>
      <c r="AM220" s="314"/>
      <c r="AN220" s="314"/>
      <c r="AO220" s="314"/>
      <c r="AP220" s="314"/>
      <c r="AQ220" s="314"/>
      <c r="AR220" s="314"/>
      <c r="AS220" s="314"/>
      <c r="AT220" s="314"/>
      <c r="AU220" s="314"/>
      <c r="AV220" s="314"/>
      <c r="AW220" s="314"/>
      <c r="AX220" s="314"/>
      <c r="AY220" s="314"/>
      <c r="AZ220" s="314"/>
    </row>
    <row r="221" spans="1:52">
      <c r="A221" s="314" t="s">
        <v>4027</v>
      </c>
      <c r="B221" s="314"/>
      <c r="C221" s="314"/>
      <c r="D221" s="314"/>
      <c r="E221" s="314"/>
      <c r="F221" s="314"/>
      <c r="G221" s="314"/>
      <c r="H221" s="314"/>
      <c r="I221" s="314"/>
      <c r="J221" s="314"/>
      <c r="K221" s="314"/>
      <c r="L221" s="314"/>
      <c r="M221" s="314"/>
      <c r="N221" s="314"/>
      <c r="O221" s="314"/>
      <c r="P221" s="314"/>
      <c r="Q221" s="314"/>
      <c r="R221" s="314"/>
      <c r="S221" s="314"/>
      <c r="T221" s="314"/>
      <c r="U221" s="314"/>
      <c r="V221" s="314"/>
      <c r="W221" s="314"/>
      <c r="X221" s="314"/>
      <c r="Y221" s="314"/>
      <c r="Z221" s="314"/>
      <c r="AA221" s="314"/>
      <c r="AB221" s="314"/>
      <c r="AC221" s="314"/>
      <c r="AD221" s="314"/>
      <c r="AE221" s="314"/>
      <c r="AF221" s="314"/>
      <c r="AG221" s="314"/>
      <c r="AH221" s="314"/>
      <c r="AI221" s="314"/>
      <c r="AJ221" s="314"/>
      <c r="AK221" s="314"/>
      <c r="AL221" s="314"/>
      <c r="AM221" s="314"/>
      <c r="AN221" s="314"/>
      <c r="AO221" s="314"/>
      <c r="AP221" s="314"/>
      <c r="AQ221" s="314"/>
      <c r="AR221" s="314"/>
      <c r="AS221" s="314"/>
      <c r="AT221" s="314"/>
      <c r="AU221" s="314"/>
      <c r="AV221" s="314"/>
      <c r="AW221" s="314"/>
      <c r="AX221" s="314"/>
      <c r="AY221" s="314"/>
      <c r="AZ221" s="314"/>
    </row>
    <row r="222" spans="1:52">
      <c r="A222" s="314" t="s">
        <v>4028</v>
      </c>
      <c r="B222" s="314"/>
      <c r="C222" s="314"/>
      <c r="D222" s="314"/>
      <c r="E222" s="314"/>
      <c r="F222" s="314"/>
      <c r="G222" s="314"/>
      <c r="H222" s="314"/>
      <c r="I222" s="314"/>
      <c r="J222" s="314"/>
      <c r="K222" s="314"/>
      <c r="L222" s="314"/>
      <c r="M222" s="314"/>
      <c r="N222" s="314"/>
      <c r="O222" s="314"/>
      <c r="P222" s="314"/>
      <c r="Q222" s="314"/>
      <c r="R222" s="314"/>
      <c r="S222" s="314"/>
      <c r="T222" s="314"/>
      <c r="U222" s="314"/>
      <c r="V222" s="314"/>
      <c r="W222" s="314"/>
      <c r="X222" s="314"/>
      <c r="Y222" s="314"/>
      <c r="Z222" s="314"/>
      <c r="AA222" s="314"/>
      <c r="AB222" s="314"/>
      <c r="AC222" s="314"/>
      <c r="AD222" s="314"/>
      <c r="AE222" s="314"/>
      <c r="AF222" s="314"/>
      <c r="AG222" s="314"/>
      <c r="AH222" s="314"/>
      <c r="AI222" s="314"/>
      <c r="AJ222" s="314"/>
      <c r="AK222" s="314"/>
      <c r="AL222" s="314"/>
      <c r="AM222" s="314"/>
      <c r="AN222" s="314"/>
      <c r="AO222" s="314"/>
      <c r="AP222" s="314"/>
      <c r="AQ222" s="314"/>
      <c r="AR222" s="314"/>
      <c r="AS222" s="314"/>
      <c r="AT222" s="314"/>
      <c r="AU222" s="314"/>
      <c r="AV222" s="314"/>
      <c r="AW222" s="314"/>
      <c r="AX222" s="314"/>
      <c r="AY222" s="314"/>
      <c r="AZ222" s="314"/>
    </row>
    <row r="223" spans="1:52">
      <c r="A223" s="314"/>
      <c r="B223" s="314"/>
      <c r="C223" s="314"/>
      <c r="D223" s="314"/>
      <c r="E223" s="314"/>
      <c r="F223" s="314"/>
      <c r="G223" s="314"/>
      <c r="H223" s="314"/>
      <c r="I223" s="314"/>
      <c r="J223" s="314"/>
      <c r="K223" s="314"/>
      <c r="L223" s="314"/>
      <c r="M223" s="314"/>
      <c r="N223" s="314"/>
      <c r="O223" s="314"/>
      <c r="P223" s="314"/>
      <c r="Q223" s="314"/>
      <c r="R223" s="314"/>
      <c r="S223" s="314"/>
      <c r="T223" s="314"/>
      <c r="U223" s="314"/>
      <c r="V223" s="314"/>
      <c r="W223" s="314"/>
      <c r="X223" s="314"/>
      <c r="Y223" s="314"/>
      <c r="Z223" s="314"/>
      <c r="AA223" s="314"/>
      <c r="AB223" s="314"/>
      <c r="AC223" s="314"/>
      <c r="AD223" s="314"/>
      <c r="AE223" s="314"/>
      <c r="AF223" s="314"/>
      <c r="AG223" s="314"/>
      <c r="AH223" s="314"/>
      <c r="AI223" s="314"/>
      <c r="AJ223" s="314"/>
      <c r="AK223" s="314"/>
      <c r="AL223" s="314"/>
      <c r="AM223" s="314"/>
      <c r="AN223" s="314"/>
      <c r="AO223" s="314"/>
      <c r="AP223" s="314"/>
      <c r="AQ223" s="314"/>
      <c r="AR223" s="314"/>
      <c r="AS223" s="314"/>
      <c r="AT223" s="314"/>
      <c r="AU223" s="314"/>
      <c r="AV223" s="314"/>
      <c r="AW223" s="314"/>
      <c r="AX223" s="314"/>
      <c r="AY223" s="314"/>
      <c r="AZ223" s="314"/>
    </row>
    <row r="224" spans="1:52">
      <c r="A224" s="314" t="s">
        <v>4029</v>
      </c>
      <c r="B224" s="314"/>
      <c r="C224" s="314"/>
      <c r="D224" s="314"/>
      <c r="E224" s="314"/>
      <c r="F224" s="314"/>
      <c r="G224" s="314"/>
      <c r="H224" s="314"/>
      <c r="I224" s="314"/>
      <c r="J224" s="314"/>
      <c r="K224" s="314"/>
      <c r="L224" s="314"/>
      <c r="M224" s="314"/>
      <c r="N224" s="314"/>
      <c r="O224" s="314"/>
      <c r="P224" s="314"/>
      <c r="Q224" s="314"/>
      <c r="R224" s="314"/>
      <c r="S224" s="314"/>
      <c r="T224" s="314"/>
      <c r="U224" s="314"/>
      <c r="V224" s="314"/>
      <c r="W224" s="314"/>
      <c r="X224" s="314"/>
      <c r="Y224" s="314"/>
      <c r="Z224" s="314"/>
      <c r="AA224" s="314"/>
      <c r="AB224" s="314"/>
      <c r="AC224" s="314"/>
      <c r="AD224" s="314"/>
      <c r="AE224" s="314"/>
      <c r="AF224" s="314"/>
      <c r="AG224" s="314"/>
      <c r="AH224" s="314"/>
      <c r="AI224" s="314"/>
      <c r="AJ224" s="314"/>
      <c r="AK224" s="314"/>
      <c r="AL224" s="314"/>
      <c r="AM224" s="314"/>
      <c r="AN224" s="314"/>
      <c r="AO224" s="314"/>
      <c r="AP224" s="314"/>
      <c r="AQ224" s="314"/>
      <c r="AR224" s="314"/>
      <c r="AS224" s="314"/>
      <c r="AT224" s="314"/>
      <c r="AU224" s="314"/>
      <c r="AV224" s="314"/>
      <c r="AW224" s="314"/>
      <c r="AX224" s="314"/>
      <c r="AY224" s="314"/>
      <c r="AZ224" s="314"/>
    </row>
    <row r="225" spans="1:52">
      <c r="A225" s="314" t="s">
        <v>4030</v>
      </c>
      <c r="B225" s="314"/>
      <c r="C225" s="314"/>
      <c r="D225" s="314"/>
      <c r="E225" s="314"/>
      <c r="F225" s="314"/>
      <c r="G225" s="314"/>
      <c r="H225" s="314"/>
      <c r="I225" s="314"/>
      <c r="J225" s="314"/>
      <c r="K225" s="314"/>
      <c r="L225" s="314"/>
      <c r="M225" s="314"/>
      <c r="N225" s="314"/>
      <c r="O225" s="314"/>
      <c r="P225" s="314"/>
      <c r="Q225" s="314"/>
      <c r="R225" s="314"/>
      <c r="S225" s="314"/>
      <c r="T225" s="314"/>
      <c r="U225" s="314"/>
      <c r="V225" s="314"/>
      <c r="W225" s="314"/>
      <c r="X225" s="314"/>
      <c r="Y225" s="314"/>
      <c r="Z225" s="314"/>
      <c r="AA225" s="314"/>
      <c r="AB225" s="314"/>
      <c r="AC225" s="314"/>
      <c r="AD225" s="314"/>
      <c r="AE225" s="314"/>
      <c r="AF225" s="314"/>
      <c r="AG225" s="314"/>
      <c r="AH225" s="314"/>
      <c r="AI225" s="314"/>
      <c r="AJ225" s="314"/>
      <c r="AK225" s="314"/>
      <c r="AL225" s="314"/>
      <c r="AM225" s="314"/>
      <c r="AN225" s="314"/>
      <c r="AO225" s="314"/>
      <c r="AP225" s="314"/>
      <c r="AQ225" s="314"/>
      <c r="AR225" s="314"/>
      <c r="AS225" s="314"/>
      <c r="AT225" s="314"/>
      <c r="AU225" s="314"/>
      <c r="AV225" s="314"/>
      <c r="AW225" s="314"/>
      <c r="AX225" s="314"/>
      <c r="AY225" s="314"/>
      <c r="AZ225" s="314"/>
    </row>
    <row r="226" spans="1:52">
      <c r="A226" s="314" t="s">
        <v>4031</v>
      </c>
      <c r="B226" s="314"/>
      <c r="C226" s="314"/>
      <c r="D226" s="314"/>
      <c r="E226" s="314"/>
      <c r="F226" s="314"/>
      <c r="G226" s="314"/>
      <c r="H226" s="314"/>
      <c r="I226" s="314"/>
      <c r="J226" s="314"/>
      <c r="K226" s="314"/>
      <c r="L226" s="314"/>
      <c r="M226" s="314"/>
      <c r="N226" s="314"/>
      <c r="O226" s="314"/>
      <c r="P226" s="314"/>
      <c r="Q226" s="314"/>
      <c r="R226" s="314"/>
      <c r="S226" s="314"/>
      <c r="T226" s="314"/>
      <c r="U226" s="314"/>
      <c r="V226" s="314"/>
      <c r="W226" s="314"/>
      <c r="X226" s="314"/>
      <c r="Y226" s="314"/>
      <c r="Z226" s="314"/>
      <c r="AA226" s="314"/>
      <c r="AB226" s="314"/>
      <c r="AC226" s="314"/>
      <c r="AD226" s="314"/>
      <c r="AE226" s="314"/>
      <c r="AF226" s="314"/>
      <c r="AG226" s="314"/>
      <c r="AH226" s="314"/>
      <c r="AI226" s="314"/>
      <c r="AJ226" s="314"/>
      <c r="AK226" s="314"/>
      <c r="AL226" s="314"/>
      <c r="AM226" s="314"/>
      <c r="AN226" s="314"/>
      <c r="AO226" s="314"/>
      <c r="AP226" s="314"/>
      <c r="AQ226" s="314"/>
      <c r="AR226" s="314"/>
      <c r="AS226" s="314"/>
      <c r="AT226" s="314"/>
      <c r="AU226" s="314"/>
      <c r="AV226" s="314"/>
      <c r="AW226" s="314"/>
      <c r="AX226" s="314"/>
      <c r="AY226" s="314"/>
      <c r="AZ226" s="314"/>
    </row>
    <row r="227" spans="1:52">
      <c r="A227" s="314" t="s">
        <v>4032</v>
      </c>
      <c r="B227" s="314"/>
      <c r="C227" s="314"/>
      <c r="D227" s="314"/>
      <c r="E227" s="314"/>
      <c r="F227" s="314"/>
      <c r="G227" s="314"/>
      <c r="H227" s="314"/>
      <c r="I227" s="314"/>
      <c r="J227" s="314"/>
      <c r="K227" s="314"/>
      <c r="L227" s="314"/>
      <c r="M227" s="314"/>
      <c r="N227" s="314"/>
      <c r="O227" s="314"/>
      <c r="P227" s="314"/>
      <c r="Q227" s="314"/>
      <c r="R227" s="314"/>
      <c r="S227" s="314"/>
      <c r="T227" s="314"/>
      <c r="U227" s="314"/>
      <c r="V227" s="314"/>
      <c r="W227" s="314"/>
      <c r="X227" s="314"/>
      <c r="Y227" s="314"/>
      <c r="Z227" s="314"/>
      <c r="AA227" s="314"/>
      <c r="AB227" s="314"/>
      <c r="AC227" s="314"/>
      <c r="AD227" s="314"/>
      <c r="AE227" s="314"/>
      <c r="AF227" s="314"/>
      <c r="AG227" s="314"/>
      <c r="AH227" s="314"/>
      <c r="AI227" s="314"/>
      <c r="AJ227" s="314"/>
      <c r="AK227" s="314"/>
      <c r="AL227" s="314"/>
      <c r="AM227" s="314"/>
      <c r="AN227" s="314"/>
      <c r="AO227" s="314"/>
      <c r="AP227" s="314"/>
      <c r="AQ227" s="314"/>
      <c r="AR227" s="314"/>
      <c r="AS227" s="314"/>
      <c r="AT227" s="314"/>
      <c r="AU227" s="314"/>
      <c r="AV227" s="314"/>
      <c r="AW227" s="314"/>
      <c r="AX227" s="314"/>
      <c r="AY227" s="314"/>
      <c r="AZ227" s="314"/>
    </row>
    <row r="228" spans="1:52">
      <c r="A228" s="314"/>
      <c r="B228" s="314"/>
      <c r="C228" s="314"/>
      <c r="D228" s="314"/>
      <c r="E228" s="314"/>
      <c r="F228" s="314"/>
      <c r="G228" s="314"/>
      <c r="H228" s="314"/>
      <c r="I228" s="314"/>
      <c r="J228" s="314"/>
      <c r="K228" s="314"/>
      <c r="L228" s="314"/>
      <c r="M228" s="314"/>
      <c r="N228" s="314"/>
      <c r="O228" s="314"/>
      <c r="P228" s="314"/>
      <c r="Q228" s="314"/>
      <c r="R228" s="314"/>
      <c r="S228" s="314"/>
      <c r="T228" s="314"/>
      <c r="U228" s="314"/>
      <c r="V228" s="314"/>
      <c r="W228" s="314"/>
      <c r="X228" s="314"/>
      <c r="Y228" s="314"/>
      <c r="Z228" s="314"/>
      <c r="AA228" s="314"/>
      <c r="AB228" s="314"/>
      <c r="AC228" s="314"/>
      <c r="AD228" s="314"/>
      <c r="AE228" s="314"/>
      <c r="AF228" s="314"/>
      <c r="AG228" s="314"/>
      <c r="AH228" s="314"/>
      <c r="AI228" s="314"/>
      <c r="AJ228" s="314"/>
      <c r="AK228" s="314"/>
      <c r="AL228" s="314"/>
      <c r="AM228" s="314"/>
      <c r="AN228" s="314"/>
      <c r="AO228" s="314"/>
      <c r="AP228" s="314"/>
      <c r="AQ228" s="314"/>
      <c r="AR228" s="314"/>
      <c r="AS228" s="314"/>
      <c r="AT228" s="314"/>
      <c r="AU228" s="314"/>
      <c r="AV228" s="314"/>
      <c r="AW228" s="314"/>
      <c r="AX228" s="314"/>
      <c r="AY228" s="314"/>
      <c r="AZ228" s="314"/>
    </row>
    <row r="229" spans="1:52">
      <c r="A229" s="318" t="s">
        <v>2715</v>
      </c>
      <c r="B229" s="314"/>
      <c r="C229" s="314"/>
      <c r="D229" s="314"/>
      <c r="E229" s="314"/>
      <c r="F229" s="314"/>
      <c r="G229" s="314"/>
      <c r="H229" s="314"/>
      <c r="I229" s="314"/>
      <c r="J229" s="314"/>
      <c r="K229" s="314"/>
      <c r="L229" s="314"/>
      <c r="M229" s="314"/>
      <c r="N229" s="314"/>
      <c r="O229" s="314"/>
      <c r="P229" s="314"/>
      <c r="Q229" s="314"/>
      <c r="R229" s="314"/>
      <c r="S229" s="314"/>
      <c r="T229" s="314"/>
      <c r="U229" s="314"/>
      <c r="V229" s="314"/>
      <c r="W229" s="314"/>
      <c r="X229" s="314"/>
      <c r="Y229" s="314"/>
      <c r="Z229" s="314"/>
      <c r="AA229" s="314"/>
      <c r="AB229" s="314"/>
      <c r="AC229" s="314"/>
      <c r="AD229" s="314"/>
      <c r="AE229" s="314"/>
      <c r="AF229" s="314"/>
      <c r="AG229" s="314"/>
      <c r="AH229" s="314"/>
      <c r="AI229" s="314"/>
      <c r="AJ229" s="314"/>
      <c r="AK229" s="314"/>
      <c r="AL229" s="314"/>
      <c r="AM229" s="314"/>
      <c r="AN229" s="314"/>
      <c r="AO229" s="314"/>
      <c r="AP229" s="314"/>
      <c r="AQ229" s="314"/>
      <c r="AR229" s="314"/>
      <c r="AS229" s="314"/>
      <c r="AT229" s="314"/>
      <c r="AU229" s="314"/>
      <c r="AV229" s="314"/>
      <c r="AW229" s="314"/>
      <c r="AX229" s="314"/>
      <c r="AY229" s="314"/>
      <c r="AZ229" s="314"/>
    </row>
    <row r="230" spans="1:52">
      <c r="A230" s="314"/>
      <c r="B230" s="314"/>
      <c r="C230" s="314"/>
      <c r="D230" s="314"/>
      <c r="E230" s="314"/>
      <c r="F230" s="314"/>
      <c r="G230" s="314"/>
      <c r="H230" s="314"/>
      <c r="I230" s="314"/>
      <c r="J230" s="314"/>
      <c r="K230" s="314"/>
      <c r="L230" s="314"/>
      <c r="M230" s="314"/>
      <c r="N230" s="314"/>
      <c r="O230" s="314"/>
      <c r="P230" s="314"/>
      <c r="Q230" s="314"/>
      <c r="R230" s="314"/>
      <c r="S230" s="314"/>
      <c r="T230" s="314"/>
      <c r="U230" s="314"/>
      <c r="V230" s="314"/>
      <c r="W230" s="314"/>
      <c r="X230" s="314"/>
      <c r="Y230" s="314"/>
      <c r="Z230" s="314"/>
      <c r="AA230" s="314"/>
      <c r="AB230" s="314"/>
      <c r="AC230" s="314"/>
      <c r="AD230" s="314"/>
      <c r="AE230" s="314"/>
      <c r="AF230" s="314"/>
      <c r="AG230" s="314"/>
      <c r="AH230" s="314"/>
      <c r="AI230" s="314"/>
      <c r="AJ230" s="314"/>
      <c r="AK230" s="314"/>
      <c r="AL230" s="314"/>
      <c r="AM230" s="314"/>
      <c r="AN230" s="314"/>
      <c r="AO230" s="314"/>
      <c r="AP230" s="314"/>
      <c r="AQ230" s="314"/>
      <c r="AR230" s="314"/>
      <c r="AS230" s="314"/>
      <c r="AT230" s="314"/>
      <c r="AU230" s="314"/>
      <c r="AV230" s="314"/>
      <c r="AW230" s="314"/>
      <c r="AX230" s="314"/>
      <c r="AY230" s="314"/>
      <c r="AZ230" s="314"/>
    </row>
    <row r="231" spans="1:52">
      <c r="A231" s="314"/>
      <c r="B231" s="314"/>
      <c r="C231" s="314"/>
      <c r="D231" s="314"/>
      <c r="E231" s="314"/>
      <c r="F231" s="314"/>
      <c r="G231" s="314"/>
      <c r="H231" s="314"/>
      <c r="I231" s="314"/>
      <c r="J231" s="314"/>
      <c r="K231" s="314"/>
      <c r="L231" s="314"/>
      <c r="M231" s="314"/>
      <c r="N231" s="314"/>
      <c r="O231" s="314"/>
      <c r="P231" s="314"/>
      <c r="Q231" s="314"/>
      <c r="R231" s="314"/>
      <c r="S231" s="314"/>
      <c r="T231" s="314"/>
      <c r="U231" s="314"/>
      <c r="V231" s="314"/>
      <c r="W231" s="314"/>
      <c r="X231" s="314"/>
      <c r="Y231" s="314"/>
      <c r="Z231" s="314"/>
      <c r="AA231" s="314"/>
      <c r="AB231" s="314"/>
      <c r="AC231" s="314"/>
      <c r="AD231" s="314"/>
      <c r="AE231" s="314"/>
      <c r="AF231" s="314"/>
      <c r="AG231" s="314"/>
      <c r="AH231" s="314"/>
      <c r="AI231" s="314"/>
      <c r="AJ231" s="314"/>
      <c r="AK231" s="314"/>
      <c r="AL231" s="314"/>
      <c r="AM231" s="314"/>
      <c r="AN231" s="314"/>
      <c r="AO231" s="314"/>
      <c r="AP231" s="314"/>
      <c r="AQ231" s="314"/>
      <c r="AR231" s="314"/>
      <c r="AS231" s="314"/>
      <c r="AT231" s="314"/>
      <c r="AU231" s="314"/>
      <c r="AV231" s="314"/>
      <c r="AW231" s="314"/>
      <c r="AX231" s="314"/>
      <c r="AY231" s="314"/>
      <c r="AZ231" s="314"/>
    </row>
    <row r="232" spans="1:52">
      <c r="A232" s="314"/>
      <c r="B232" s="314"/>
      <c r="C232" s="314"/>
      <c r="D232" s="314"/>
      <c r="E232" s="314"/>
      <c r="F232" s="314"/>
      <c r="G232" s="314"/>
      <c r="H232" s="314"/>
      <c r="I232" s="314"/>
      <c r="J232" s="314"/>
      <c r="K232" s="314"/>
      <c r="L232" s="314"/>
      <c r="M232" s="314"/>
      <c r="N232" s="314"/>
      <c r="O232" s="314"/>
      <c r="P232" s="314"/>
      <c r="Q232" s="314"/>
      <c r="R232" s="314"/>
      <c r="S232" s="314"/>
      <c r="T232" s="314"/>
      <c r="U232" s="314"/>
      <c r="V232" s="314"/>
      <c r="W232" s="314"/>
      <c r="X232" s="314"/>
      <c r="Y232" s="314"/>
      <c r="Z232" s="314"/>
      <c r="AA232" s="314"/>
      <c r="AB232" s="314"/>
      <c r="AC232" s="314"/>
      <c r="AD232" s="314"/>
      <c r="AE232" s="314"/>
      <c r="AF232" s="314"/>
      <c r="AG232" s="314"/>
      <c r="AH232" s="314"/>
      <c r="AI232" s="314"/>
      <c r="AJ232" s="314"/>
      <c r="AK232" s="314"/>
      <c r="AL232" s="314"/>
      <c r="AM232" s="314"/>
      <c r="AN232" s="314"/>
      <c r="AO232" s="314"/>
      <c r="AP232" s="314"/>
      <c r="AQ232" s="314"/>
      <c r="AR232" s="314"/>
      <c r="AS232" s="314"/>
      <c r="AT232" s="314"/>
      <c r="AU232" s="314"/>
      <c r="AV232" s="314"/>
      <c r="AW232" s="314"/>
      <c r="AX232" s="314"/>
      <c r="AY232" s="314"/>
      <c r="AZ232" s="314"/>
    </row>
    <row r="233" spans="1:52">
      <c r="A233" s="314"/>
      <c r="B233" s="314"/>
      <c r="C233" s="314"/>
      <c r="D233" s="314"/>
      <c r="E233" s="314"/>
      <c r="F233" s="314"/>
      <c r="G233" s="314"/>
      <c r="H233" s="314"/>
      <c r="I233" s="314"/>
      <c r="J233" s="314"/>
      <c r="K233" s="314"/>
      <c r="L233" s="314"/>
      <c r="M233" s="314"/>
      <c r="N233" s="314"/>
      <c r="O233" s="314"/>
      <c r="P233" s="314"/>
      <c r="Q233" s="314"/>
      <c r="R233" s="314"/>
      <c r="S233" s="314"/>
      <c r="T233" s="314"/>
      <c r="U233" s="314"/>
      <c r="V233" s="314"/>
      <c r="W233" s="314"/>
      <c r="X233" s="314"/>
      <c r="Y233" s="314"/>
      <c r="Z233" s="314"/>
      <c r="AA233" s="314"/>
      <c r="AB233" s="314"/>
      <c r="AC233" s="314"/>
      <c r="AD233" s="314"/>
      <c r="AE233" s="314"/>
      <c r="AF233" s="314"/>
      <c r="AG233" s="314"/>
      <c r="AH233" s="314"/>
      <c r="AI233" s="314"/>
      <c r="AJ233" s="314"/>
      <c r="AK233" s="314"/>
      <c r="AL233" s="314"/>
      <c r="AM233" s="314"/>
      <c r="AN233" s="314"/>
      <c r="AO233" s="314"/>
      <c r="AP233" s="314"/>
      <c r="AQ233" s="314"/>
      <c r="AR233" s="314"/>
      <c r="AS233" s="314"/>
      <c r="AT233" s="314"/>
      <c r="AU233" s="314"/>
      <c r="AV233" s="314"/>
      <c r="AW233" s="314"/>
      <c r="AX233" s="314"/>
      <c r="AY233" s="314"/>
      <c r="AZ233" s="314"/>
    </row>
    <row r="234" spans="1:52">
      <c r="A234" s="314"/>
      <c r="B234" s="314"/>
      <c r="C234" s="314"/>
      <c r="D234" s="314"/>
      <c r="E234" s="314"/>
      <c r="F234" s="314"/>
      <c r="G234" s="314"/>
      <c r="H234" s="314"/>
      <c r="I234" s="314"/>
      <c r="J234" s="314"/>
      <c r="K234" s="314"/>
      <c r="L234" s="314"/>
      <c r="M234" s="314"/>
      <c r="N234" s="314"/>
      <c r="O234" s="314"/>
      <c r="P234" s="314"/>
      <c r="Q234" s="314"/>
      <c r="R234" s="314"/>
      <c r="S234" s="314"/>
      <c r="T234" s="314"/>
      <c r="U234" s="314"/>
      <c r="V234" s="314"/>
      <c r="W234" s="314"/>
      <c r="X234" s="314"/>
      <c r="Y234" s="314"/>
      <c r="Z234" s="314"/>
      <c r="AA234" s="314"/>
      <c r="AB234" s="314"/>
      <c r="AC234" s="314"/>
      <c r="AD234" s="314"/>
      <c r="AE234" s="314"/>
      <c r="AF234" s="314"/>
      <c r="AG234" s="314"/>
      <c r="AH234" s="314"/>
      <c r="AI234" s="314"/>
      <c r="AJ234" s="314"/>
      <c r="AK234" s="314"/>
      <c r="AL234" s="314"/>
      <c r="AM234" s="314"/>
      <c r="AN234" s="314"/>
      <c r="AO234" s="314"/>
      <c r="AP234" s="314"/>
      <c r="AQ234" s="314"/>
      <c r="AR234" s="314"/>
      <c r="AS234" s="314"/>
      <c r="AT234" s="314"/>
      <c r="AU234" s="314"/>
      <c r="AV234" s="314"/>
      <c r="AW234" s="314"/>
      <c r="AX234" s="314"/>
      <c r="AY234" s="314"/>
      <c r="AZ234" s="314"/>
    </row>
    <row r="235" spans="1:52">
      <c r="A235" s="314"/>
      <c r="B235" s="314"/>
      <c r="C235" s="314"/>
      <c r="D235" s="314"/>
      <c r="E235" s="314"/>
      <c r="F235" s="314"/>
      <c r="G235" s="314"/>
      <c r="H235" s="314"/>
      <c r="I235" s="314"/>
      <c r="J235" s="314"/>
      <c r="K235" s="314"/>
      <c r="L235" s="314"/>
      <c r="M235" s="314"/>
      <c r="N235" s="314"/>
      <c r="O235" s="314"/>
      <c r="P235" s="314"/>
      <c r="Q235" s="314"/>
      <c r="R235" s="314"/>
      <c r="S235" s="314"/>
      <c r="T235" s="314"/>
      <c r="U235" s="314"/>
      <c r="V235" s="314"/>
      <c r="W235" s="314"/>
      <c r="X235" s="314"/>
      <c r="Y235" s="314"/>
      <c r="Z235" s="314"/>
      <c r="AA235" s="314"/>
      <c r="AB235" s="314"/>
      <c r="AC235" s="314"/>
      <c r="AD235" s="314"/>
      <c r="AE235" s="314"/>
      <c r="AF235" s="314"/>
      <c r="AG235" s="314"/>
      <c r="AH235" s="314"/>
      <c r="AI235" s="314"/>
      <c r="AJ235" s="314"/>
      <c r="AK235" s="314"/>
      <c r="AL235" s="314"/>
      <c r="AM235" s="314"/>
      <c r="AN235" s="314"/>
      <c r="AO235" s="314"/>
      <c r="AP235" s="314"/>
      <c r="AQ235" s="314"/>
      <c r="AR235" s="314"/>
      <c r="AS235" s="314"/>
      <c r="AT235" s="314"/>
      <c r="AU235" s="314"/>
      <c r="AV235" s="314"/>
      <c r="AW235" s="314"/>
      <c r="AX235" s="314"/>
      <c r="AY235" s="314"/>
      <c r="AZ235" s="314"/>
    </row>
    <row r="236" spans="1:52">
      <c r="A236" s="314"/>
      <c r="B236" s="314"/>
      <c r="C236" s="314"/>
      <c r="D236" s="314"/>
      <c r="E236" s="314"/>
      <c r="F236" s="314"/>
      <c r="G236" s="314"/>
      <c r="H236" s="314"/>
      <c r="I236" s="314"/>
      <c r="J236" s="314"/>
      <c r="K236" s="314"/>
      <c r="L236" s="314"/>
      <c r="M236" s="314"/>
      <c r="N236" s="314"/>
      <c r="O236" s="314"/>
      <c r="P236" s="314"/>
      <c r="Q236" s="314"/>
      <c r="R236" s="314"/>
      <c r="S236" s="314"/>
      <c r="T236" s="314"/>
      <c r="U236" s="314"/>
      <c r="V236" s="314"/>
      <c r="W236" s="314"/>
      <c r="X236" s="314"/>
      <c r="Y236" s="314"/>
      <c r="Z236" s="314"/>
      <c r="AA236" s="314"/>
      <c r="AB236" s="314"/>
      <c r="AC236" s="314"/>
      <c r="AD236" s="314"/>
      <c r="AE236" s="314"/>
      <c r="AF236" s="314"/>
      <c r="AG236" s="314"/>
      <c r="AH236" s="314"/>
      <c r="AI236" s="314"/>
      <c r="AJ236" s="314"/>
      <c r="AK236" s="314"/>
      <c r="AL236" s="314"/>
      <c r="AM236" s="314"/>
      <c r="AN236" s="314"/>
      <c r="AO236" s="314"/>
      <c r="AP236" s="314"/>
      <c r="AQ236" s="314"/>
      <c r="AR236" s="314"/>
      <c r="AS236" s="314"/>
      <c r="AT236" s="314"/>
      <c r="AU236" s="314"/>
      <c r="AV236" s="314"/>
      <c r="AW236" s="314"/>
      <c r="AX236" s="314"/>
      <c r="AY236" s="314"/>
      <c r="AZ236" s="314"/>
    </row>
    <row r="237" spans="1:52">
      <c r="A237" s="314"/>
      <c r="B237" s="314"/>
      <c r="C237" s="314"/>
      <c r="D237" s="314"/>
      <c r="E237" s="314"/>
      <c r="F237" s="314"/>
      <c r="G237" s="314"/>
      <c r="H237" s="314"/>
      <c r="I237" s="314"/>
      <c r="J237" s="314"/>
      <c r="K237" s="314"/>
      <c r="L237" s="314"/>
      <c r="M237" s="314"/>
      <c r="N237" s="314"/>
      <c r="O237" s="314"/>
      <c r="P237" s="314"/>
      <c r="Q237" s="314"/>
      <c r="R237" s="314"/>
      <c r="S237" s="314"/>
      <c r="T237" s="314"/>
      <c r="U237" s="314"/>
      <c r="V237" s="314"/>
      <c r="W237" s="314"/>
      <c r="X237" s="314"/>
      <c r="Y237" s="314"/>
      <c r="Z237" s="314"/>
      <c r="AA237" s="314"/>
      <c r="AB237" s="314"/>
      <c r="AC237" s="314"/>
      <c r="AD237" s="314"/>
      <c r="AE237" s="314"/>
      <c r="AF237" s="314"/>
      <c r="AG237" s="314"/>
      <c r="AH237" s="314"/>
      <c r="AI237" s="314"/>
      <c r="AJ237" s="314"/>
      <c r="AK237" s="314"/>
      <c r="AL237" s="314"/>
      <c r="AM237" s="314"/>
      <c r="AN237" s="314"/>
      <c r="AO237" s="314"/>
      <c r="AP237" s="314"/>
      <c r="AQ237" s="314"/>
      <c r="AR237" s="314"/>
      <c r="AS237" s="314"/>
      <c r="AT237" s="314"/>
      <c r="AU237" s="314"/>
      <c r="AV237" s="314"/>
      <c r="AW237" s="314"/>
      <c r="AX237" s="314"/>
      <c r="AY237" s="314"/>
      <c r="AZ237" s="314"/>
    </row>
    <row r="238" spans="1:52">
      <c r="A238" s="314"/>
      <c r="B238" s="314"/>
      <c r="C238" s="314"/>
      <c r="D238" s="314"/>
      <c r="E238" s="314"/>
      <c r="F238" s="314"/>
      <c r="G238" s="314"/>
      <c r="H238" s="314"/>
      <c r="I238" s="314"/>
      <c r="J238" s="314"/>
      <c r="K238" s="314"/>
      <c r="L238" s="314"/>
      <c r="M238" s="314"/>
      <c r="N238" s="314"/>
      <c r="O238" s="314"/>
      <c r="P238" s="314"/>
      <c r="Q238" s="314"/>
      <c r="R238" s="314"/>
      <c r="S238" s="314"/>
      <c r="T238" s="314"/>
      <c r="U238" s="314"/>
      <c r="V238" s="314"/>
      <c r="W238" s="314"/>
      <c r="X238" s="314"/>
      <c r="Y238" s="314"/>
      <c r="Z238" s="314"/>
      <c r="AA238" s="314"/>
      <c r="AB238" s="314"/>
      <c r="AC238" s="314"/>
      <c r="AD238" s="314"/>
      <c r="AE238" s="314"/>
      <c r="AF238" s="314"/>
      <c r="AG238" s="314"/>
      <c r="AH238" s="314"/>
      <c r="AI238" s="314"/>
      <c r="AJ238" s="314"/>
      <c r="AK238" s="314"/>
      <c r="AL238" s="314"/>
      <c r="AM238" s="314"/>
      <c r="AN238" s="314"/>
      <c r="AO238" s="314"/>
      <c r="AP238" s="314"/>
      <c r="AQ238" s="314"/>
      <c r="AR238" s="314"/>
      <c r="AS238" s="314"/>
      <c r="AT238" s="314"/>
      <c r="AU238" s="314"/>
      <c r="AV238" s="314"/>
      <c r="AW238" s="314"/>
      <c r="AX238" s="314"/>
      <c r="AY238" s="314"/>
      <c r="AZ238" s="314"/>
    </row>
    <row r="239" spans="1:52">
      <c r="A239" s="314"/>
      <c r="B239" s="314"/>
      <c r="C239" s="314"/>
      <c r="D239" s="314"/>
      <c r="E239" s="314"/>
      <c r="F239" s="314"/>
      <c r="G239" s="314"/>
      <c r="H239" s="314"/>
      <c r="I239" s="314"/>
      <c r="J239" s="314"/>
      <c r="K239" s="314"/>
      <c r="L239" s="314"/>
      <c r="M239" s="314"/>
      <c r="N239" s="314"/>
      <c r="O239" s="314"/>
      <c r="P239" s="314"/>
      <c r="Q239" s="314"/>
      <c r="R239" s="314"/>
      <c r="S239" s="314"/>
      <c r="T239" s="314"/>
      <c r="U239" s="314"/>
      <c r="V239" s="314"/>
      <c r="W239" s="314"/>
      <c r="X239" s="314"/>
      <c r="Y239" s="314"/>
      <c r="Z239" s="314"/>
      <c r="AA239" s="314"/>
      <c r="AB239" s="314"/>
      <c r="AC239" s="314"/>
      <c r="AD239" s="314"/>
      <c r="AE239" s="314"/>
      <c r="AF239" s="314"/>
      <c r="AG239" s="314"/>
      <c r="AH239" s="314"/>
      <c r="AI239" s="314"/>
      <c r="AJ239" s="314"/>
      <c r="AK239" s="314"/>
      <c r="AL239" s="314"/>
      <c r="AM239" s="314"/>
      <c r="AN239" s="314"/>
      <c r="AO239" s="314"/>
      <c r="AP239" s="314"/>
      <c r="AQ239" s="314"/>
      <c r="AR239" s="314"/>
      <c r="AS239" s="314"/>
      <c r="AT239" s="314"/>
      <c r="AU239" s="314"/>
      <c r="AV239" s="314"/>
      <c r="AW239" s="314"/>
      <c r="AX239" s="314"/>
      <c r="AY239" s="314"/>
      <c r="AZ239" s="314"/>
    </row>
    <row r="240" spans="1:52">
      <c r="A240" s="314"/>
      <c r="B240" s="314"/>
      <c r="C240" s="314"/>
      <c r="D240" s="314"/>
      <c r="E240" s="314"/>
      <c r="F240" s="314"/>
      <c r="G240" s="314"/>
      <c r="H240" s="314"/>
      <c r="I240" s="314"/>
      <c r="J240" s="314"/>
      <c r="K240" s="314"/>
      <c r="L240" s="314"/>
      <c r="M240" s="314"/>
      <c r="N240" s="314"/>
      <c r="O240" s="314"/>
      <c r="P240" s="314"/>
      <c r="Q240" s="314"/>
      <c r="R240" s="314"/>
      <c r="S240" s="314"/>
      <c r="T240" s="314"/>
      <c r="U240" s="314"/>
      <c r="V240" s="314"/>
      <c r="W240" s="314"/>
      <c r="X240" s="314"/>
      <c r="Y240" s="314"/>
      <c r="Z240" s="314"/>
      <c r="AA240" s="314"/>
      <c r="AB240" s="314"/>
      <c r="AC240" s="314"/>
      <c r="AD240" s="314"/>
      <c r="AE240" s="314"/>
      <c r="AF240" s="314"/>
      <c r="AG240" s="314"/>
      <c r="AH240" s="314"/>
      <c r="AI240" s="314"/>
      <c r="AJ240" s="314"/>
      <c r="AK240" s="314"/>
      <c r="AL240" s="314"/>
      <c r="AM240" s="314"/>
      <c r="AN240" s="314"/>
      <c r="AO240" s="314"/>
      <c r="AP240" s="314"/>
      <c r="AQ240" s="314"/>
      <c r="AR240" s="314"/>
      <c r="AS240" s="314"/>
      <c r="AT240" s="314"/>
      <c r="AU240" s="314"/>
      <c r="AV240" s="314"/>
      <c r="AW240" s="314"/>
      <c r="AX240" s="314"/>
      <c r="AY240" s="314"/>
      <c r="AZ240" s="314"/>
    </row>
  </sheetData>
  <autoFilter ref="AE5:AL5" xr:uid="{E777D4D9-A99C-4E98-BC4F-6DBCB8280C93}"/>
  <sortState xmlns:xlrd2="http://schemas.microsoft.com/office/spreadsheetml/2017/richdata2" ref="A6:J12">
    <sortCondition ref="A6:A12"/>
  </sortState>
  <mergeCells count="6">
    <mergeCell ref="A190:XFD190"/>
    <mergeCell ref="A1:XFD2"/>
    <mergeCell ref="A3:A4"/>
    <mergeCell ref="A81:XFD81"/>
    <mergeCell ref="T51:U51"/>
    <mergeCell ref="A20:XFD21"/>
  </mergeCells>
  <conditionalFormatting sqref="G6:G16">
    <cfRule type="cellIs" dxfId="109" priority="18" operator="greaterThan">
      <formula>0.6</formula>
    </cfRule>
  </conditionalFormatting>
  <conditionalFormatting sqref="H6:H16">
    <cfRule type="cellIs" dxfId="108" priority="19" operator="greaterThan">
      <formula>$E6</formula>
    </cfRule>
  </conditionalFormatting>
  <conditionalFormatting sqref="I6:I16">
    <cfRule type="cellIs" dxfId="107" priority="20" operator="greaterThan">
      <formula>$F6</formula>
    </cfRule>
  </conditionalFormatting>
  <conditionalFormatting sqref="J6:J16">
    <cfRule type="cellIs" dxfId="106" priority="11" operator="greaterThan">
      <formula>$G6</formula>
    </cfRule>
  </conditionalFormatting>
  <conditionalFormatting sqref="E6:E16">
    <cfRule type="cellIs" dxfId="105" priority="4" operator="greaterThan">
      <formula>$H6</formula>
    </cfRule>
  </conditionalFormatting>
  <conditionalFormatting sqref="AS6:AS16">
    <cfRule type="cellIs" dxfId="104" priority="3" operator="greaterThan">
      <formula>$H6</formula>
    </cfRule>
  </conditionalFormatting>
  <conditionalFormatting sqref="AX6:AX16">
    <cfRule type="cellIs" dxfId="103" priority="1" operator="greaterThan">
      <formula>$E6</formula>
    </cfRule>
  </conditionalFormatting>
  <dataValidations count="1">
    <dataValidation type="list" allowBlank="1" showInputMessage="1" showErrorMessage="1" sqref="A3:A4" xr:uid="{48EDFBA2-E91F-4D06-9483-0F44E0FE6536}">
      <formula1>"OCT.22,NOV.22,DEC.22,JAN,FEB,MAR,MAR.II,APR,MAY,JUN,JUL,AUG,SEP,OCT,NOV,DEC"</formula1>
    </dataValidation>
  </dataValidations>
  <pageMargins left="0.7" right="0.7" top="0.75" bottom="0.75" header="0.3" footer="0.3"/>
  <pageSetup paperSize="9" orientation="portrait" r:id="rId1"/>
  <drawing r:id="rId2"/>
  <tableParts count="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C397"/>
  <sheetViews>
    <sheetView workbookViewId="0">
      <pane xSplit="6" ySplit="2" topLeftCell="Z304" activePane="bottomRight" state="frozen"/>
      <selection pane="bottomRight" activeCell="A319" sqref="A319"/>
      <selection pane="bottomLeft" activeCell="A3" sqref="A3"/>
      <selection pane="topRight" activeCell="G1" sqref="G1"/>
    </sheetView>
  </sheetViews>
  <sheetFormatPr defaultColWidth="12.5703125" defaultRowHeight="15.75" customHeight="1"/>
  <cols>
    <col min="1" max="1" width="12.85546875" customWidth="1"/>
    <col min="2" max="2" width="6.85546875" customWidth="1"/>
    <col min="3" max="3" width="6.5703125" customWidth="1"/>
    <col min="4" max="4" width="15.28515625" customWidth="1"/>
    <col min="5" max="5" width="9.7109375" customWidth="1"/>
    <col min="6" max="6" width="18.85546875" customWidth="1"/>
    <col min="7" max="7" width="4.140625" customWidth="1"/>
    <col min="8" max="8" width="3.85546875" customWidth="1"/>
    <col min="9" max="9" width="4" customWidth="1"/>
    <col min="10" max="11" width="6.42578125" customWidth="1"/>
    <col min="12" max="14" width="4" customWidth="1"/>
    <col min="15" max="15" width="7.85546875" customWidth="1"/>
    <col min="16" max="18" width="4.28515625" customWidth="1"/>
    <col min="19" max="19" width="4.42578125" customWidth="1"/>
    <col min="20" max="20" width="6.5703125" customWidth="1"/>
    <col min="21" max="23" width="6.140625" customWidth="1"/>
    <col min="24" max="24" width="26.5703125" customWidth="1"/>
    <col min="25" max="25" width="28.28515625" customWidth="1"/>
    <col min="26" max="26" width="27.5703125" customWidth="1"/>
    <col min="27" max="27" width="8.7109375" customWidth="1"/>
    <col min="28" max="28" width="20.42578125" customWidth="1"/>
    <col min="30" max="32" width="19.42578125" customWidth="1"/>
    <col min="33" max="33" width="17.7109375" customWidth="1"/>
    <col min="34" max="34" width="25.42578125" customWidth="1"/>
    <col min="35" max="35" width="21.85546875" customWidth="1"/>
    <col min="36" max="36" width="18.42578125" customWidth="1"/>
    <col min="37" max="39" width="19.42578125" customWidth="1"/>
    <col min="40" max="40" width="4.7109375" customWidth="1"/>
    <col min="41" max="41" width="25.28515625" bestFit="1" customWidth="1"/>
    <col min="46" max="46" width="5.7109375" customWidth="1"/>
    <col min="47" max="47" width="37.5703125" customWidth="1"/>
    <col min="48" max="48" width="32.42578125" customWidth="1"/>
    <col min="49" max="49" width="29.5703125" customWidth="1"/>
    <col min="50" max="50" width="43.7109375" customWidth="1"/>
    <col min="51" max="51" width="45.7109375" customWidth="1"/>
    <col min="52" max="52" width="47.140625" customWidth="1"/>
  </cols>
  <sheetData>
    <row r="1" spans="1:52" s="324" customFormat="1" ht="15.75" customHeight="1">
      <c r="A1" s="520" t="s">
        <v>664</v>
      </c>
      <c r="B1" s="521"/>
      <c r="C1" s="521"/>
      <c r="D1" s="521"/>
      <c r="E1" s="521"/>
      <c r="F1" s="325" t="s">
        <v>4033</v>
      </c>
      <c r="G1" s="523" t="s">
        <v>2</v>
      </c>
      <c r="H1" s="529"/>
      <c r="I1" s="530"/>
      <c r="J1" s="323" t="s">
        <v>3</v>
      </c>
      <c r="K1" s="323" t="s">
        <v>4034</v>
      </c>
      <c r="L1" s="522" t="s">
        <v>4</v>
      </c>
      <c r="M1" s="529"/>
      <c r="N1" s="530"/>
      <c r="O1" s="523" t="s">
        <v>5</v>
      </c>
      <c r="P1" s="529"/>
      <c r="Q1" s="529"/>
      <c r="R1" s="529"/>
      <c r="S1" s="529"/>
      <c r="T1" s="529"/>
      <c r="U1" s="529"/>
      <c r="V1" s="529"/>
      <c r="W1" s="530"/>
      <c r="X1" s="523" t="s">
        <v>6</v>
      </c>
      <c r="Y1" s="529"/>
      <c r="Z1" s="530"/>
      <c r="AA1" s="524" t="s">
        <v>7</v>
      </c>
      <c r="AB1" s="529"/>
      <c r="AC1" s="529"/>
      <c r="AD1" s="529"/>
      <c r="AE1" s="529"/>
      <c r="AF1" s="529"/>
      <c r="AG1" s="529"/>
      <c r="AH1" s="529"/>
      <c r="AI1" s="529"/>
      <c r="AJ1" s="529"/>
      <c r="AK1" s="529"/>
      <c r="AL1" s="529"/>
      <c r="AM1" s="529"/>
      <c r="AN1" s="529"/>
      <c r="AO1" s="529"/>
      <c r="AP1" s="530"/>
      <c r="AQ1" s="522" t="s">
        <v>8</v>
      </c>
      <c r="AR1" s="529"/>
      <c r="AS1" s="529"/>
      <c r="AT1" s="530"/>
      <c r="AU1" s="522" t="s">
        <v>9</v>
      </c>
      <c r="AV1" s="529"/>
      <c r="AW1" s="530"/>
      <c r="AX1" s="523" t="s">
        <v>11</v>
      </c>
      <c r="AY1" s="529"/>
      <c r="AZ1" s="530"/>
    </row>
    <row r="2" spans="1:52" ht="12.75">
      <c r="A2" s="1" t="s">
        <v>4035</v>
      </c>
      <c r="B2" s="1" t="s">
        <v>4036</v>
      </c>
      <c r="C2" s="1" t="s">
        <v>16</v>
      </c>
      <c r="D2" s="1" t="s">
        <v>17</v>
      </c>
      <c r="E2" s="1" t="s">
        <v>18</v>
      </c>
      <c r="F2" s="2" t="s">
        <v>19</v>
      </c>
      <c r="G2" s="1" t="s">
        <v>4037</v>
      </c>
      <c r="H2" s="1" t="s">
        <v>4038</v>
      </c>
      <c r="I2" s="1" t="s">
        <v>4039</v>
      </c>
      <c r="J2" s="3" t="s">
        <v>3</v>
      </c>
      <c r="K2" s="3" t="s">
        <v>4040</v>
      </c>
      <c r="L2" s="1" t="s">
        <v>23</v>
      </c>
      <c r="M2" s="1" t="s">
        <v>24</v>
      </c>
      <c r="N2" s="1" t="s">
        <v>25</v>
      </c>
      <c r="O2" s="4" t="s">
        <v>26</v>
      </c>
      <c r="P2" s="4" t="s">
        <v>26</v>
      </c>
      <c r="Q2" s="4" t="s">
        <v>28</v>
      </c>
      <c r="R2" s="4" t="s">
        <v>4041</v>
      </c>
      <c r="S2" s="4" t="s">
        <v>4042</v>
      </c>
      <c r="T2" s="5" t="s">
        <v>31</v>
      </c>
      <c r="U2" s="4" t="s">
        <v>32</v>
      </c>
      <c r="V2" s="4" t="s">
        <v>33</v>
      </c>
      <c r="W2" s="4" t="s">
        <v>34</v>
      </c>
      <c r="X2" s="1" t="s">
        <v>35</v>
      </c>
      <c r="Y2" s="1" t="s">
        <v>36</v>
      </c>
      <c r="Z2" s="1" t="s">
        <v>37</v>
      </c>
      <c r="AA2" s="7" t="s">
        <v>4043</v>
      </c>
      <c r="AB2" s="1" t="s">
        <v>39</v>
      </c>
      <c r="AC2" s="81" t="s">
        <v>40</v>
      </c>
      <c r="AD2" s="1" t="s">
        <v>41</v>
      </c>
      <c r="AE2" s="1" t="s">
        <v>42</v>
      </c>
      <c r="AF2" s="1" t="s">
        <v>43</v>
      </c>
      <c r="AG2" s="81" t="s">
        <v>44</v>
      </c>
      <c r="AH2" s="82" t="s">
        <v>45</v>
      </c>
      <c r="AI2" s="82" t="s">
        <v>46</v>
      </c>
      <c r="AJ2" s="82" t="s">
        <v>47</v>
      </c>
      <c r="AK2" s="1" t="s">
        <v>48</v>
      </c>
      <c r="AL2" s="1" t="s">
        <v>49</v>
      </c>
      <c r="AM2" s="1" t="s">
        <v>50</v>
      </c>
      <c r="AN2" s="1" t="s">
        <v>51</v>
      </c>
      <c r="AO2" s="1" t="s">
        <v>4044</v>
      </c>
      <c r="AP2" s="7" t="s">
        <v>53</v>
      </c>
      <c r="AQ2" s="1" t="s">
        <v>54</v>
      </c>
      <c r="AR2" s="1" t="s">
        <v>55</v>
      </c>
      <c r="AS2" s="8" t="s">
        <v>56</v>
      </c>
      <c r="AT2" s="9" t="s">
        <v>57</v>
      </c>
      <c r="AU2" s="1" t="s">
        <v>58</v>
      </c>
      <c r="AV2" s="1" t="s">
        <v>59</v>
      </c>
      <c r="AW2" s="1" t="s">
        <v>60</v>
      </c>
      <c r="AX2" s="1" t="s">
        <v>58</v>
      </c>
      <c r="AY2" s="1" t="s">
        <v>59</v>
      </c>
      <c r="AZ2" s="10" t="s">
        <v>60</v>
      </c>
    </row>
    <row r="3" spans="1:52" ht="12.75">
      <c r="A3" s="83">
        <v>44764</v>
      </c>
      <c r="B3" s="84"/>
      <c r="C3" s="84"/>
      <c r="D3" s="84"/>
      <c r="E3" s="84"/>
      <c r="F3" s="85"/>
      <c r="G3" s="84"/>
      <c r="H3" s="84"/>
      <c r="I3" s="84"/>
      <c r="J3" s="85"/>
      <c r="K3" s="85"/>
      <c r="L3" s="84"/>
      <c r="M3" s="84"/>
      <c r="N3" s="84"/>
      <c r="O3" s="85"/>
      <c r="P3" s="85"/>
      <c r="Q3" s="85"/>
      <c r="R3" s="85"/>
      <c r="S3" s="85"/>
      <c r="T3" s="85"/>
      <c r="U3" s="85"/>
      <c r="V3" s="85"/>
      <c r="W3" s="85"/>
      <c r="X3" s="84"/>
      <c r="Y3" s="84"/>
      <c r="Z3" s="84"/>
      <c r="AA3" s="86"/>
      <c r="AB3" s="84"/>
      <c r="AC3" s="84"/>
      <c r="AD3" s="84"/>
      <c r="AE3" s="84"/>
      <c r="AF3" s="84"/>
      <c r="AG3" s="84"/>
      <c r="AH3" s="84"/>
      <c r="AI3" s="87"/>
      <c r="AJ3" s="85"/>
      <c r="AK3" s="84"/>
      <c r="AL3" s="84"/>
      <c r="AM3" s="84"/>
      <c r="AN3" s="84"/>
      <c r="AO3" s="84"/>
      <c r="AP3" s="86"/>
      <c r="AQ3" s="84"/>
      <c r="AR3" s="88"/>
      <c r="AS3" s="89"/>
      <c r="AT3" s="90"/>
      <c r="AU3" s="84"/>
      <c r="AV3" s="84"/>
      <c r="AW3" s="84"/>
      <c r="AX3" s="84"/>
      <c r="AY3" s="84"/>
      <c r="AZ3" s="84"/>
    </row>
    <row r="4" spans="1:52" ht="12.75">
      <c r="A4" s="12">
        <v>44769</v>
      </c>
      <c r="B4" s="13"/>
      <c r="C4" s="13" t="s">
        <v>133</v>
      </c>
      <c r="D4" s="17" t="s">
        <v>4045</v>
      </c>
      <c r="E4" s="13" t="s">
        <v>4046</v>
      </c>
      <c r="F4" s="14" t="s">
        <v>4047</v>
      </c>
      <c r="G4" s="13"/>
      <c r="H4" s="13"/>
      <c r="I4" s="13">
        <v>1</v>
      </c>
      <c r="J4" s="14"/>
      <c r="K4" s="14"/>
      <c r="L4" s="13">
        <v>3</v>
      </c>
      <c r="M4" s="13"/>
      <c r="N4" s="13">
        <v>1</v>
      </c>
      <c r="O4" s="14" t="s">
        <v>76</v>
      </c>
      <c r="P4" s="14" t="s">
        <v>119</v>
      </c>
      <c r="Q4" s="14"/>
      <c r="R4" s="14">
        <v>1</v>
      </c>
      <c r="S4" s="14">
        <v>1</v>
      </c>
      <c r="T4" s="14"/>
      <c r="U4" s="14" t="s">
        <v>78</v>
      </c>
      <c r="V4" s="14">
        <f t="shared" ref="V4:V12" si="0">IF(ISBLANK(O4),,(IF(O4=UPPER("IB"),0.005,0.01)))</f>
        <v>0.01</v>
      </c>
      <c r="W4" s="14">
        <f t="shared" ref="W4:W12" si="1">IF(ISBLANK(O4),,IF(O4=UPPER("IB"),8.63*200,16.65*100))</f>
        <v>1664.9999999999998</v>
      </c>
      <c r="X4" s="13" t="s">
        <v>4048</v>
      </c>
      <c r="Y4" s="17"/>
      <c r="Z4" s="17"/>
      <c r="AA4" s="18">
        <v>96.47</v>
      </c>
      <c r="AB4" s="13"/>
      <c r="AC4" s="13"/>
      <c r="AD4" s="13"/>
      <c r="AE4" s="13" t="s">
        <v>4049</v>
      </c>
      <c r="AF4" s="13"/>
      <c r="AG4" s="13"/>
      <c r="AH4" s="13"/>
      <c r="AI4" s="19"/>
      <c r="AJ4" s="14"/>
      <c r="AK4" s="13"/>
      <c r="AL4" s="13"/>
      <c r="AM4" s="13" t="s">
        <v>154</v>
      </c>
      <c r="AN4" s="13"/>
      <c r="AO4" s="13"/>
      <c r="AP4" s="20">
        <v>96.47</v>
      </c>
      <c r="AQ4" s="20">
        <f t="shared" ref="AQ4:AQ12" si="2">IF(ISBLANK(AP4),,IF(U4="S",AA4-AP4,AP4-AA4))</f>
        <v>0</v>
      </c>
      <c r="AR4" s="79"/>
      <c r="AS4" s="21">
        <f t="shared" ref="AS4:AS12" si="3">IF(ISBLANK(AP4),,(AQ4*W4))</f>
        <v>0</v>
      </c>
      <c r="AT4" s="22"/>
      <c r="AU4" s="13" t="s">
        <v>4050</v>
      </c>
      <c r="AV4" s="13"/>
      <c r="AW4" s="13"/>
      <c r="AX4" s="13"/>
      <c r="AY4" s="13"/>
      <c r="AZ4" s="13"/>
    </row>
    <row r="5" spans="1:52" ht="12.75">
      <c r="A5" s="12">
        <v>44769</v>
      </c>
      <c r="B5" s="13"/>
      <c r="C5" s="13" t="s">
        <v>133</v>
      </c>
      <c r="D5" s="17" t="s">
        <v>4045</v>
      </c>
      <c r="E5" s="13" t="s">
        <v>4046</v>
      </c>
      <c r="F5" s="14" t="s">
        <v>4051</v>
      </c>
      <c r="G5" s="13"/>
      <c r="H5" s="13"/>
      <c r="I5" s="13">
        <v>1</v>
      </c>
      <c r="J5" s="14"/>
      <c r="K5" s="14"/>
      <c r="L5" s="13">
        <v>3</v>
      </c>
      <c r="M5" s="13"/>
      <c r="N5" s="13">
        <v>1</v>
      </c>
      <c r="O5" s="14" t="s">
        <v>76</v>
      </c>
      <c r="P5" s="14" t="s">
        <v>77</v>
      </c>
      <c r="Q5" s="14"/>
      <c r="R5" s="14">
        <v>1</v>
      </c>
      <c r="S5" s="14">
        <v>0</v>
      </c>
      <c r="T5" s="14"/>
      <c r="U5" s="14" t="s">
        <v>22</v>
      </c>
      <c r="V5" s="14">
        <f t="shared" si="0"/>
        <v>0.01</v>
      </c>
      <c r="W5" s="14">
        <f t="shared" si="1"/>
        <v>1664.9999999999998</v>
      </c>
      <c r="X5" s="13" t="s">
        <v>4052</v>
      </c>
      <c r="Y5" s="17"/>
      <c r="Z5" s="17"/>
      <c r="AA5" s="18">
        <v>96.38</v>
      </c>
      <c r="AB5" s="13"/>
      <c r="AC5" s="13"/>
      <c r="AD5" s="13"/>
      <c r="AE5" s="13"/>
      <c r="AF5" s="13"/>
      <c r="AG5" s="13"/>
      <c r="AH5" s="13"/>
      <c r="AI5" s="19"/>
      <c r="AJ5" s="14"/>
      <c r="AK5" s="13"/>
      <c r="AL5" s="13"/>
      <c r="AM5" s="13"/>
      <c r="AN5" s="13"/>
      <c r="AO5" s="13"/>
      <c r="AP5" s="20"/>
      <c r="AQ5" s="13">
        <f t="shared" si="2"/>
        <v>0</v>
      </c>
      <c r="AR5" s="79"/>
      <c r="AS5" s="21">
        <f t="shared" si="3"/>
        <v>0</v>
      </c>
      <c r="AT5" s="22"/>
      <c r="AU5" s="13" t="s">
        <v>4053</v>
      </c>
      <c r="AV5" s="13"/>
      <c r="AW5" s="13"/>
      <c r="AX5" s="13"/>
      <c r="AY5" s="13"/>
      <c r="AZ5" s="13"/>
    </row>
    <row r="6" spans="1:52" ht="12.75">
      <c r="A6" s="12">
        <v>44769</v>
      </c>
      <c r="B6" s="13"/>
      <c r="C6" s="13" t="s">
        <v>133</v>
      </c>
      <c r="D6" s="17" t="s">
        <v>4045</v>
      </c>
      <c r="E6" s="13" t="s">
        <v>4046</v>
      </c>
      <c r="F6" s="14" t="s">
        <v>4054</v>
      </c>
      <c r="G6" s="13"/>
      <c r="H6" s="13"/>
      <c r="I6" s="13">
        <v>1</v>
      </c>
      <c r="J6" s="14"/>
      <c r="K6" s="14"/>
      <c r="L6" s="13">
        <v>3</v>
      </c>
      <c r="M6" s="13"/>
      <c r="N6" s="13">
        <v>1</v>
      </c>
      <c r="O6" s="14" t="s">
        <v>76</v>
      </c>
      <c r="P6" s="14" t="s">
        <v>77</v>
      </c>
      <c r="Q6" s="14"/>
      <c r="R6" s="14">
        <v>2</v>
      </c>
      <c r="S6" s="14">
        <v>0</v>
      </c>
      <c r="T6" s="14"/>
      <c r="U6" s="14" t="s">
        <v>22</v>
      </c>
      <c r="V6" s="14">
        <f t="shared" si="0"/>
        <v>0.01</v>
      </c>
      <c r="W6" s="14">
        <f t="shared" si="1"/>
        <v>1664.9999999999998</v>
      </c>
      <c r="X6" s="13" t="s">
        <v>4055</v>
      </c>
      <c r="Y6" s="17"/>
      <c r="Z6" s="17"/>
      <c r="AA6" s="18">
        <v>96.32</v>
      </c>
      <c r="AB6" s="13"/>
      <c r="AC6" s="13"/>
      <c r="AD6" s="13"/>
      <c r="AE6" s="13"/>
      <c r="AF6" s="13"/>
      <c r="AG6" s="13"/>
      <c r="AH6" s="13"/>
      <c r="AI6" s="19"/>
      <c r="AJ6" s="14"/>
      <c r="AK6" s="13"/>
      <c r="AL6" s="13"/>
      <c r="AM6" s="13"/>
      <c r="AN6" s="13"/>
      <c r="AO6" s="13"/>
      <c r="AP6" s="20"/>
      <c r="AQ6" s="13">
        <f t="shared" si="2"/>
        <v>0</v>
      </c>
      <c r="AR6" s="79"/>
      <c r="AS6" s="21">
        <f t="shared" si="3"/>
        <v>0</v>
      </c>
      <c r="AT6" s="22"/>
      <c r="AU6" s="13"/>
      <c r="AV6" s="13"/>
      <c r="AW6" s="13"/>
      <c r="AX6" s="13"/>
      <c r="AY6" s="13"/>
      <c r="AZ6" s="13"/>
    </row>
    <row r="7" spans="1:52" ht="12.75">
      <c r="A7" s="12">
        <v>44769</v>
      </c>
      <c r="B7" s="13"/>
      <c r="C7" s="13" t="s">
        <v>133</v>
      </c>
      <c r="D7" s="17" t="s">
        <v>4045</v>
      </c>
      <c r="E7" s="13" t="s">
        <v>4046</v>
      </c>
      <c r="F7" s="14" t="s">
        <v>4056</v>
      </c>
      <c r="G7" s="13"/>
      <c r="H7" s="13"/>
      <c r="I7" s="13">
        <v>1</v>
      </c>
      <c r="J7" s="14"/>
      <c r="K7" s="14"/>
      <c r="L7" s="13">
        <v>3</v>
      </c>
      <c r="M7" s="13"/>
      <c r="N7" s="13">
        <v>1</v>
      </c>
      <c r="O7" s="14" t="s">
        <v>76</v>
      </c>
      <c r="P7" s="14" t="s">
        <v>77</v>
      </c>
      <c r="Q7" s="14"/>
      <c r="R7" s="14">
        <v>5</v>
      </c>
      <c r="S7" s="14">
        <v>2</v>
      </c>
      <c r="T7" s="14"/>
      <c r="U7" s="14" t="s">
        <v>22</v>
      </c>
      <c r="V7" s="14">
        <f t="shared" si="0"/>
        <v>0.01</v>
      </c>
      <c r="W7" s="14">
        <f t="shared" si="1"/>
        <v>1664.9999999999998</v>
      </c>
      <c r="X7" s="13" t="s">
        <v>4055</v>
      </c>
      <c r="Y7" s="17"/>
      <c r="Z7" s="17"/>
      <c r="AA7" s="18">
        <v>96.424000000000007</v>
      </c>
      <c r="AB7" s="13"/>
      <c r="AC7" s="13"/>
      <c r="AD7" s="13"/>
      <c r="AE7" s="13"/>
      <c r="AF7" s="13"/>
      <c r="AG7" s="13"/>
      <c r="AH7" s="13"/>
      <c r="AI7" s="19"/>
      <c r="AJ7" s="14"/>
      <c r="AK7" s="13"/>
      <c r="AL7" s="13"/>
      <c r="AM7" s="13"/>
      <c r="AN7" s="13"/>
      <c r="AO7" s="13"/>
      <c r="AP7" s="20"/>
      <c r="AQ7" s="13">
        <f t="shared" si="2"/>
        <v>0</v>
      </c>
      <c r="AR7" s="79"/>
      <c r="AS7" s="21">
        <f t="shared" si="3"/>
        <v>0</v>
      </c>
      <c r="AT7" s="22"/>
      <c r="AU7" s="13"/>
      <c r="AV7" s="13"/>
      <c r="AW7" s="13"/>
      <c r="AX7" s="13"/>
      <c r="AY7" s="13"/>
      <c r="AZ7" s="13"/>
    </row>
    <row r="8" spans="1:52" ht="12.75">
      <c r="A8" s="12">
        <v>44769</v>
      </c>
      <c r="B8" s="13"/>
      <c r="C8" s="13" t="s">
        <v>133</v>
      </c>
      <c r="D8" s="17" t="s">
        <v>4045</v>
      </c>
      <c r="E8" s="13" t="s">
        <v>4046</v>
      </c>
      <c r="F8" s="14" t="s">
        <v>4057</v>
      </c>
      <c r="G8" s="13"/>
      <c r="H8" s="13"/>
      <c r="I8" s="13">
        <v>1</v>
      </c>
      <c r="J8" s="14"/>
      <c r="K8" s="14"/>
      <c r="L8" s="13">
        <v>3</v>
      </c>
      <c r="M8" s="13"/>
      <c r="N8" s="13">
        <v>1</v>
      </c>
      <c r="O8" s="14" t="s">
        <v>76</v>
      </c>
      <c r="P8" s="14" t="s">
        <v>77</v>
      </c>
      <c r="Q8" s="14"/>
      <c r="R8" s="14">
        <v>6</v>
      </c>
      <c r="S8" s="14">
        <v>3</v>
      </c>
      <c r="T8" s="14"/>
      <c r="U8" s="14" t="s">
        <v>22</v>
      </c>
      <c r="V8" s="14">
        <f t="shared" si="0"/>
        <v>0.01</v>
      </c>
      <c r="W8" s="14">
        <f t="shared" si="1"/>
        <v>1664.9999999999998</v>
      </c>
      <c r="X8" s="13" t="s">
        <v>4055</v>
      </c>
      <c r="Y8" s="17"/>
      <c r="Z8" s="17"/>
      <c r="AA8" s="18">
        <v>97.143000000000001</v>
      </c>
      <c r="AB8" s="13"/>
      <c r="AC8" s="13"/>
      <c r="AD8" s="13"/>
      <c r="AE8" s="13"/>
      <c r="AF8" s="13"/>
      <c r="AG8" s="13"/>
      <c r="AH8" s="13"/>
      <c r="AI8" s="19"/>
      <c r="AJ8" s="14"/>
      <c r="AK8" s="13"/>
      <c r="AL8" s="13"/>
      <c r="AM8" s="13"/>
      <c r="AN8" s="13"/>
      <c r="AO8" s="13"/>
      <c r="AP8" s="20"/>
      <c r="AQ8" s="13">
        <f t="shared" si="2"/>
        <v>0</v>
      </c>
      <c r="AR8" s="79"/>
      <c r="AS8" s="21">
        <f t="shared" si="3"/>
        <v>0</v>
      </c>
      <c r="AT8" s="22"/>
      <c r="AU8" s="13"/>
      <c r="AV8" s="13"/>
      <c r="AW8" s="13"/>
      <c r="AX8" s="13"/>
      <c r="AY8" s="13"/>
      <c r="AZ8" s="13"/>
    </row>
    <row r="9" spans="1:52" ht="12.75">
      <c r="A9" s="12">
        <v>44769</v>
      </c>
      <c r="B9" s="13"/>
      <c r="C9" s="13" t="s">
        <v>133</v>
      </c>
      <c r="D9" s="17" t="s">
        <v>4045</v>
      </c>
      <c r="E9" s="13" t="s">
        <v>4046</v>
      </c>
      <c r="F9" s="14" t="s">
        <v>4058</v>
      </c>
      <c r="G9" s="13"/>
      <c r="H9" s="13"/>
      <c r="I9" s="13">
        <v>1</v>
      </c>
      <c r="J9" s="14"/>
      <c r="K9" s="14"/>
      <c r="L9" s="13">
        <v>3</v>
      </c>
      <c r="M9" s="13"/>
      <c r="N9" s="13">
        <v>1</v>
      </c>
      <c r="O9" s="14" t="s">
        <v>76</v>
      </c>
      <c r="P9" s="14" t="s">
        <v>119</v>
      </c>
      <c r="Q9" s="14"/>
      <c r="R9" s="14">
        <v>1</v>
      </c>
      <c r="S9" s="14">
        <v>1</v>
      </c>
      <c r="T9" s="14"/>
      <c r="U9" s="14" t="s">
        <v>22</v>
      </c>
      <c r="V9" s="14">
        <f t="shared" si="0"/>
        <v>0.01</v>
      </c>
      <c r="W9" s="14">
        <f t="shared" si="1"/>
        <v>1664.9999999999998</v>
      </c>
      <c r="X9" s="17" t="s">
        <v>4059</v>
      </c>
      <c r="Y9" s="17"/>
      <c r="Z9" s="17"/>
      <c r="AA9" s="18">
        <v>96.56</v>
      </c>
      <c r="AB9" s="13"/>
      <c r="AC9" s="13"/>
      <c r="AD9" s="13"/>
      <c r="AE9" s="13" t="s">
        <v>4060</v>
      </c>
      <c r="AF9" s="13"/>
      <c r="AG9" s="13"/>
      <c r="AH9" s="13"/>
      <c r="AI9" s="19"/>
      <c r="AJ9" s="14"/>
      <c r="AK9" s="13"/>
      <c r="AL9" s="13"/>
      <c r="AM9" s="13" t="s">
        <v>4061</v>
      </c>
      <c r="AN9" s="12"/>
      <c r="AO9" s="12">
        <v>44769</v>
      </c>
      <c r="AP9" s="20">
        <v>96.58</v>
      </c>
      <c r="AQ9" s="20">
        <f t="shared" si="2"/>
        <v>1.9999999999996021E-2</v>
      </c>
      <c r="AR9" s="79"/>
      <c r="AS9" s="21">
        <f t="shared" si="3"/>
        <v>33.299999999993368</v>
      </c>
      <c r="AT9" s="22"/>
      <c r="AU9" s="13" t="s">
        <v>4062</v>
      </c>
      <c r="AV9" s="13"/>
      <c r="AW9" s="13"/>
      <c r="AX9" s="13"/>
      <c r="AY9" s="13"/>
      <c r="AZ9" s="13"/>
    </row>
    <row r="10" spans="1:52" ht="12.75">
      <c r="A10" s="12">
        <v>44770</v>
      </c>
      <c r="B10" s="13"/>
      <c r="C10" s="13" t="s">
        <v>74</v>
      </c>
      <c r="D10" s="17" t="s">
        <v>4063</v>
      </c>
      <c r="E10" s="13" t="s">
        <v>4046</v>
      </c>
      <c r="F10" s="14"/>
      <c r="G10" s="13"/>
      <c r="H10" s="13"/>
      <c r="I10" s="13">
        <v>1</v>
      </c>
      <c r="J10" s="14"/>
      <c r="K10" s="14"/>
      <c r="L10" s="13">
        <v>3</v>
      </c>
      <c r="M10" s="13"/>
      <c r="N10" s="13">
        <v>1</v>
      </c>
      <c r="O10" s="14"/>
      <c r="P10" s="14"/>
      <c r="Q10" s="14"/>
      <c r="R10" s="14"/>
      <c r="S10" s="14"/>
      <c r="T10" s="14"/>
      <c r="U10" s="14"/>
      <c r="V10" s="14">
        <f t="shared" si="0"/>
        <v>0</v>
      </c>
      <c r="W10" s="14">
        <f t="shared" si="1"/>
        <v>0</v>
      </c>
      <c r="X10" s="17" t="s">
        <v>4064</v>
      </c>
      <c r="Y10" s="17"/>
      <c r="Z10" s="17"/>
      <c r="AA10" s="18"/>
      <c r="AB10" s="13"/>
      <c r="AC10" s="13"/>
      <c r="AD10" s="13"/>
      <c r="AE10" s="13"/>
      <c r="AF10" s="13"/>
      <c r="AG10" s="13"/>
      <c r="AH10" s="13"/>
      <c r="AI10" s="19"/>
      <c r="AJ10" s="14"/>
      <c r="AK10" s="13"/>
      <c r="AL10" s="13"/>
      <c r="AM10" s="13"/>
      <c r="AN10" s="13"/>
      <c r="AO10" s="13"/>
      <c r="AP10" s="20"/>
      <c r="AQ10" s="13">
        <f t="shared" si="2"/>
        <v>0</v>
      </c>
      <c r="AR10" s="79"/>
      <c r="AS10" s="21">
        <f t="shared" si="3"/>
        <v>0</v>
      </c>
      <c r="AT10" s="22"/>
      <c r="AU10" s="13"/>
      <c r="AV10" s="13" t="s">
        <v>4065</v>
      </c>
      <c r="AW10" s="13" t="s">
        <v>4066</v>
      </c>
      <c r="AX10" s="13"/>
      <c r="AY10" s="13"/>
      <c r="AZ10" s="13"/>
    </row>
    <row r="11" spans="1:52" ht="12.75">
      <c r="A11" s="12">
        <v>44771</v>
      </c>
      <c r="B11" s="13"/>
      <c r="C11" s="13" t="s">
        <v>93</v>
      </c>
      <c r="D11" s="17" t="s">
        <v>4067</v>
      </c>
      <c r="E11" s="13" t="s">
        <v>4068</v>
      </c>
      <c r="F11" s="14"/>
      <c r="G11" s="13"/>
      <c r="H11" s="13">
        <v>1</v>
      </c>
      <c r="I11" s="13"/>
      <c r="J11" s="14"/>
      <c r="K11" s="14"/>
      <c r="L11" s="13"/>
      <c r="M11" s="13"/>
      <c r="N11" s="13"/>
      <c r="O11" s="14"/>
      <c r="P11" s="14"/>
      <c r="Q11" s="14"/>
      <c r="R11" s="14"/>
      <c r="S11" s="14"/>
      <c r="T11" s="14"/>
      <c r="U11" s="14"/>
      <c r="V11" s="14">
        <f t="shared" si="0"/>
        <v>0</v>
      </c>
      <c r="W11" s="14">
        <f t="shared" si="1"/>
        <v>0</v>
      </c>
      <c r="X11" s="13" t="s">
        <v>4069</v>
      </c>
      <c r="Y11" s="17"/>
      <c r="Z11" s="17"/>
      <c r="AA11" s="18"/>
      <c r="AB11" s="13"/>
      <c r="AC11" s="13"/>
      <c r="AD11" s="13"/>
      <c r="AE11" s="13"/>
      <c r="AF11" s="13"/>
      <c r="AG11" s="13"/>
      <c r="AH11" s="13"/>
      <c r="AI11" s="19"/>
      <c r="AJ11" s="14"/>
      <c r="AK11" s="13"/>
      <c r="AL11" s="13"/>
      <c r="AM11" s="13"/>
      <c r="AN11" s="13"/>
      <c r="AO11" s="13"/>
      <c r="AP11" s="20"/>
      <c r="AQ11" s="13">
        <f t="shared" si="2"/>
        <v>0</v>
      </c>
      <c r="AR11" s="79"/>
      <c r="AS11" s="21">
        <f t="shared" si="3"/>
        <v>0</v>
      </c>
      <c r="AT11" s="22"/>
      <c r="AU11" s="13"/>
      <c r="AV11" s="13"/>
      <c r="AW11" s="13"/>
      <c r="AX11" s="13"/>
      <c r="AY11" s="13"/>
      <c r="AZ11" s="13"/>
    </row>
    <row r="12" spans="1:52" ht="12.75">
      <c r="A12" s="12">
        <v>44771</v>
      </c>
      <c r="B12" s="13"/>
      <c r="C12" s="13" t="s">
        <v>93</v>
      </c>
      <c r="D12" s="17" t="s">
        <v>4070</v>
      </c>
      <c r="E12" s="13" t="s">
        <v>4068</v>
      </c>
      <c r="F12" s="14"/>
      <c r="G12" s="13"/>
      <c r="H12" s="13"/>
      <c r="I12" s="13"/>
      <c r="J12" s="14"/>
      <c r="K12" s="14"/>
      <c r="L12" s="13"/>
      <c r="M12" s="13"/>
      <c r="N12" s="13"/>
      <c r="O12" s="14"/>
      <c r="P12" s="14"/>
      <c r="Q12" s="14"/>
      <c r="R12" s="14"/>
      <c r="S12" s="14"/>
      <c r="T12" s="14"/>
      <c r="U12" s="14"/>
      <c r="V12" s="14">
        <f t="shared" si="0"/>
        <v>0</v>
      </c>
      <c r="W12" s="14">
        <f t="shared" si="1"/>
        <v>0</v>
      </c>
      <c r="X12" s="17"/>
      <c r="Y12" s="17"/>
      <c r="Z12" s="17"/>
      <c r="AA12" s="18"/>
      <c r="AB12" s="13"/>
      <c r="AC12" s="13"/>
      <c r="AD12" s="13"/>
      <c r="AE12" s="13"/>
      <c r="AF12" s="13"/>
      <c r="AG12" s="13"/>
      <c r="AH12" s="13"/>
      <c r="AI12" s="19"/>
      <c r="AJ12" s="14"/>
      <c r="AK12" s="13"/>
      <c r="AL12" s="13"/>
      <c r="AM12" s="13"/>
      <c r="AN12" s="13"/>
      <c r="AO12" s="13"/>
      <c r="AP12" s="20"/>
      <c r="AQ12" s="13">
        <f t="shared" si="2"/>
        <v>0</v>
      </c>
      <c r="AR12" s="79"/>
      <c r="AS12" s="21">
        <f t="shared" si="3"/>
        <v>0</v>
      </c>
      <c r="AT12" s="22"/>
      <c r="AU12" s="13"/>
      <c r="AV12" s="13"/>
      <c r="AW12" s="13"/>
      <c r="AX12" s="13"/>
      <c r="AY12" s="13"/>
      <c r="AZ12" s="13"/>
    </row>
    <row r="13" spans="1:52" ht="12.75">
      <c r="A13" s="12"/>
      <c r="B13" s="13"/>
      <c r="C13" s="13"/>
      <c r="D13" s="17"/>
      <c r="E13" s="13"/>
      <c r="F13" s="14"/>
      <c r="G13" s="13"/>
      <c r="H13" s="13"/>
      <c r="I13" s="13"/>
      <c r="J13" s="14"/>
      <c r="K13" s="14"/>
      <c r="L13" s="13"/>
      <c r="M13" s="13"/>
      <c r="N13" s="13"/>
      <c r="O13" s="14"/>
      <c r="P13" s="14"/>
      <c r="Q13" s="14"/>
      <c r="R13" s="14"/>
      <c r="S13" s="14"/>
      <c r="T13" s="14"/>
      <c r="U13" s="14"/>
      <c r="V13" s="14"/>
      <c r="W13" s="14"/>
      <c r="X13" s="17"/>
      <c r="Y13" s="17"/>
      <c r="Z13" s="17"/>
      <c r="AA13" s="18"/>
      <c r="AB13" s="13"/>
      <c r="AC13" s="13"/>
      <c r="AD13" s="13"/>
      <c r="AE13" s="13"/>
      <c r="AF13" s="13"/>
      <c r="AG13" s="13"/>
      <c r="AH13" s="13"/>
      <c r="AI13" s="19"/>
      <c r="AJ13" s="14"/>
      <c r="AK13" s="13"/>
      <c r="AL13" s="13"/>
      <c r="AM13" s="13"/>
      <c r="AN13" s="13"/>
      <c r="AO13" s="13"/>
      <c r="AP13" s="20"/>
      <c r="AQ13" s="13"/>
      <c r="AR13" s="91"/>
      <c r="AS13" s="21"/>
      <c r="AT13" s="22"/>
      <c r="AU13" s="13"/>
      <c r="AV13" s="13"/>
      <c r="AW13" s="13"/>
      <c r="AX13" s="13"/>
      <c r="AY13" s="13"/>
      <c r="AZ13" s="13"/>
    </row>
    <row r="14" spans="1:52" ht="12.75">
      <c r="A14" s="83">
        <v>44795</v>
      </c>
      <c r="B14" s="84"/>
      <c r="C14" s="84"/>
      <c r="D14" s="84"/>
      <c r="E14" s="84"/>
      <c r="F14" s="85"/>
      <c r="G14" s="84"/>
      <c r="H14" s="84"/>
      <c r="I14" s="84"/>
      <c r="J14" s="84"/>
      <c r="K14" s="84"/>
      <c r="L14" s="84"/>
      <c r="M14" s="84"/>
      <c r="N14" s="84"/>
      <c r="O14" s="85"/>
      <c r="P14" s="85"/>
      <c r="Q14" s="85"/>
      <c r="R14" s="85"/>
      <c r="S14" s="85"/>
      <c r="T14" s="85"/>
      <c r="U14" s="85"/>
      <c r="V14" s="85"/>
      <c r="W14" s="85"/>
      <c r="X14" s="84"/>
      <c r="Y14" s="84"/>
      <c r="Z14" s="84"/>
      <c r="AA14" s="86"/>
      <c r="AB14" s="84"/>
      <c r="AC14" s="84"/>
      <c r="AD14" s="84"/>
      <c r="AE14" s="84"/>
      <c r="AF14" s="84"/>
      <c r="AG14" s="84"/>
      <c r="AH14" s="84"/>
      <c r="AI14" s="87"/>
      <c r="AJ14" s="85"/>
      <c r="AK14" s="84"/>
      <c r="AL14" s="84"/>
      <c r="AM14" s="84"/>
      <c r="AN14" s="84"/>
      <c r="AO14" s="84"/>
      <c r="AP14" s="86"/>
      <c r="AQ14" s="84"/>
      <c r="AR14" s="88"/>
      <c r="AS14" s="92"/>
      <c r="AT14" s="93"/>
      <c r="AU14" s="84"/>
      <c r="AV14" s="84"/>
      <c r="AW14" s="84"/>
      <c r="AX14" s="84"/>
      <c r="AY14" s="84"/>
      <c r="AZ14" s="84"/>
    </row>
    <row r="15" spans="1:52" ht="12.75">
      <c r="A15" s="12">
        <v>44774</v>
      </c>
      <c r="B15" s="13"/>
      <c r="C15" s="13" t="s">
        <v>114</v>
      </c>
      <c r="D15" s="17"/>
      <c r="E15" s="13"/>
      <c r="F15" s="14" t="s">
        <v>4071</v>
      </c>
      <c r="G15" s="13"/>
      <c r="H15" s="13"/>
      <c r="I15" s="13"/>
      <c r="J15" s="14"/>
      <c r="K15" s="14"/>
      <c r="L15" s="13">
        <v>3</v>
      </c>
      <c r="M15" s="13"/>
      <c r="N15" s="13"/>
      <c r="O15" s="14" t="s">
        <v>76</v>
      </c>
      <c r="P15" s="14" t="s">
        <v>77</v>
      </c>
      <c r="Q15" s="14" t="s">
        <v>666</v>
      </c>
      <c r="R15" s="14">
        <v>4</v>
      </c>
      <c r="S15" s="14">
        <v>4</v>
      </c>
      <c r="T15" s="14"/>
      <c r="U15" s="14" t="s">
        <v>22</v>
      </c>
      <c r="V15" s="14">
        <f t="shared" ref="V15:V45" si="4">IF(ISBLANK(O15),,(IF(O15=UPPER("IB"),0.005,0.01)))</f>
        <v>0.01</v>
      </c>
      <c r="W15" s="14">
        <f t="shared" ref="W15:W45" si="5">IF(ISBLANK(O15),,IF(O15=UPPER("IB"),8.63*200,16.65*100))</f>
        <v>1664.9999999999998</v>
      </c>
      <c r="X15" s="13" t="s">
        <v>4072</v>
      </c>
      <c r="Y15" s="17"/>
      <c r="Z15" s="17"/>
      <c r="AA15" s="18">
        <v>96.438000000000002</v>
      </c>
      <c r="AB15" s="13"/>
      <c r="AC15" s="13" t="s">
        <v>4073</v>
      </c>
      <c r="AD15" s="13"/>
      <c r="AE15" s="13" t="s">
        <v>4074</v>
      </c>
      <c r="AF15" s="13"/>
      <c r="AG15" s="13"/>
      <c r="AH15" s="13"/>
      <c r="AI15" s="19"/>
      <c r="AJ15" s="14"/>
      <c r="AK15" s="13"/>
      <c r="AL15" s="13"/>
      <c r="AM15" s="13" t="s">
        <v>4075</v>
      </c>
      <c r="AN15" s="13" t="s">
        <v>97</v>
      </c>
      <c r="AO15" s="26">
        <v>44774</v>
      </c>
      <c r="AP15" s="20">
        <v>96.626999999999995</v>
      </c>
      <c r="AQ15" s="20">
        <f t="shared" ref="AQ15:AQ22" si="6">IF(ISBLANK(AP15),,IF(U15="S",AA15-AP15,AP15-AA15))</f>
        <v>0.18899999999999295</v>
      </c>
      <c r="AR15" s="94">
        <f t="shared" ref="AR15:AR22" si="7">AS15*R15</f>
        <v>1258.7399999999529</v>
      </c>
      <c r="AS15" s="21">
        <f t="shared" ref="AS15:AS22" si="8">IF(ISBLANK(AP15),,(AQ15*W15))</f>
        <v>314.68499999998824</v>
      </c>
      <c r="AT15" s="22" t="s">
        <v>77</v>
      </c>
      <c r="AU15" s="13" t="s">
        <v>4062</v>
      </c>
      <c r="AV15" s="13" t="s">
        <v>4076</v>
      </c>
      <c r="AW15" s="13" t="s">
        <v>4077</v>
      </c>
      <c r="AX15" s="13"/>
      <c r="AY15" s="13"/>
      <c r="AZ15" s="13"/>
    </row>
    <row r="16" spans="1:52" ht="12.75">
      <c r="A16" s="12">
        <v>44774</v>
      </c>
      <c r="B16" s="13"/>
      <c r="C16" s="13" t="s">
        <v>114</v>
      </c>
      <c r="D16" s="17"/>
      <c r="E16" s="13"/>
      <c r="F16" s="14" t="s">
        <v>4078</v>
      </c>
      <c r="G16" s="13"/>
      <c r="H16" s="13"/>
      <c r="I16" s="13"/>
      <c r="J16" s="14"/>
      <c r="K16" s="14"/>
      <c r="L16" s="13">
        <v>3</v>
      </c>
      <c r="M16" s="13"/>
      <c r="N16" s="13"/>
      <c r="O16" s="14" t="s">
        <v>76</v>
      </c>
      <c r="P16" s="14" t="s">
        <v>77</v>
      </c>
      <c r="Q16" s="14" t="s">
        <v>666</v>
      </c>
      <c r="R16" s="14">
        <v>3</v>
      </c>
      <c r="S16" s="14">
        <v>3</v>
      </c>
      <c r="T16" s="14"/>
      <c r="U16" s="14" t="s">
        <v>22</v>
      </c>
      <c r="V16" s="14">
        <f t="shared" si="4"/>
        <v>0.01</v>
      </c>
      <c r="W16" s="14">
        <f t="shared" si="5"/>
        <v>1664.9999999999998</v>
      </c>
      <c r="X16" s="13" t="s">
        <v>4072</v>
      </c>
      <c r="Y16" s="17"/>
      <c r="Z16" s="17"/>
      <c r="AA16" s="18">
        <v>97.156999999999996</v>
      </c>
      <c r="AB16" s="13"/>
      <c r="AC16" s="13" t="s">
        <v>4073</v>
      </c>
      <c r="AD16" s="13"/>
      <c r="AE16" s="13" t="s">
        <v>4074</v>
      </c>
      <c r="AF16" s="13"/>
      <c r="AG16" s="13"/>
      <c r="AH16" s="13"/>
      <c r="AI16" s="19"/>
      <c r="AJ16" s="14"/>
      <c r="AK16" s="13"/>
      <c r="AL16" s="13"/>
      <c r="AM16" s="13" t="s">
        <v>4075</v>
      </c>
      <c r="AN16" s="13" t="s">
        <v>97</v>
      </c>
      <c r="AO16" s="26">
        <v>44774</v>
      </c>
      <c r="AP16" s="20">
        <v>97.313000000000002</v>
      </c>
      <c r="AQ16" s="20">
        <f t="shared" si="6"/>
        <v>0.15600000000000591</v>
      </c>
      <c r="AR16" s="94">
        <f t="shared" si="7"/>
        <v>779.22000000002936</v>
      </c>
      <c r="AS16" s="21">
        <f t="shared" si="8"/>
        <v>259.74000000000979</v>
      </c>
      <c r="AT16" s="22" t="s">
        <v>77</v>
      </c>
      <c r="AU16" s="13" t="s">
        <v>4062</v>
      </c>
      <c r="AV16" s="13" t="s">
        <v>4076</v>
      </c>
      <c r="AW16" s="17" t="s">
        <v>2163</v>
      </c>
      <c r="AX16" s="13"/>
      <c r="AY16" s="13"/>
      <c r="AZ16" s="13"/>
    </row>
    <row r="17" spans="1:52" ht="12.75">
      <c r="A17" s="12">
        <v>44774</v>
      </c>
      <c r="B17" s="13"/>
      <c r="C17" s="13" t="s">
        <v>114</v>
      </c>
      <c r="D17" s="17"/>
      <c r="E17" s="13"/>
      <c r="F17" s="14" t="s">
        <v>4079</v>
      </c>
      <c r="G17" s="13"/>
      <c r="H17" s="13"/>
      <c r="I17" s="13"/>
      <c r="J17" s="14"/>
      <c r="K17" s="14"/>
      <c r="L17" s="13">
        <v>3</v>
      </c>
      <c r="M17" s="13"/>
      <c r="N17" s="13"/>
      <c r="O17" s="14" t="s">
        <v>76</v>
      </c>
      <c r="P17" s="14" t="s">
        <v>77</v>
      </c>
      <c r="Q17" s="14" t="s">
        <v>666</v>
      </c>
      <c r="R17" s="14">
        <v>2</v>
      </c>
      <c r="S17" s="14">
        <v>2</v>
      </c>
      <c r="T17" s="14"/>
      <c r="U17" s="14" t="s">
        <v>22</v>
      </c>
      <c r="V17" s="14">
        <f t="shared" si="4"/>
        <v>0.01</v>
      </c>
      <c r="W17" s="14">
        <f t="shared" si="5"/>
        <v>1664.9999999999998</v>
      </c>
      <c r="X17" s="13" t="s">
        <v>4072</v>
      </c>
      <c r="Y17" s="17"/>
      <c r="Z17" s="17"/>
      <c r="AA17" s="18">
        <v>96.322999999999993</v>
      </c>
      <c r="AB17" s="13"/>
      <c r="AC17" s="13" t="s">
        <v>4073</v>
      </c>
      <c r="AD17" s="13"/>
      <c r="AE17" s="13" t="s">
        <v>4074</v>
      </c>
      <c r="AF17" s="13"/>
      <c r="AG17" s="13"/>
      <c r="AH17" s="13"/>
      <c r="AI17" s="19"/>
      <c r="AJ17" s="14"/>
      <c r="AK17" s="13"/>
      <c r="AL17" s="13"/>
      <c r="AM17" s="13" t="s">
        <v>4075</v>
      </c>
      <c r="AN17" s="13" t="s">
        <v>97</v>
      </c>
      <c r="AO17" s="26">
        <v>44774</v>
      </c>
      <c r="AP17" s="20">
        <v>96.54</v>
      </c>
      <c r="AQ17" s="20">
        <f t="shared" si="6"/>
        <v>0.21700000000001296</v>
      </c>
      <c r="AR17" s="94">
        <f t="shared" si="7"/>
        <v>722.6100000000431</v>
      </c>
      <c r="AS17" s="21">
        <f t="shared" si="8"/>
        <v>361.30500000002155</v>
      </c>
      <c r="AT17" s="22" t="s">
        <v>77</v>
      </c>
      <c r="AU17" s="13" t="s">
        <v>4062</v>
      </c>
      <c r="AV17" s="13" t="s">
        <v>4076</v>
      </c>
      <c r="AW17" s="17" t="s">
        <v>2163</v>
      </c>
      <c r="AX17" s="13"/>
      <c r="AY17" s="13"/>
      <c r="AZ17" s="13"/>
    </row>
    <row r="18" spans="1:52" ht="12.75">
      <c r="A18" s="12">
        <v>44774</v>
      </c>
      <c r="B18" s="13"/>
      <c r="C18" s="13" t="s">
        <v>114</v>
      </c>
      <c r="D18" s="17"/>
      <c r="E18" s="13"/>
      <c r="F18" s="14" t="s">
        <v>4080</v>
      </c>
      <c r="G18" s="13"/>
      <c r="H18" s="13"/>
      <c r="I18" s="13"/>
      <c r="J18" s="14"/>
      <c r="K18" s="14"/>
      <c r="L18" s="13">
        <v>3</v>
      </c>
      <c r="M18" s="13"/>
      <c r="N18" s="13"/>
      <c r="O18" s="14" t="s">
        <v>76</v>
      </c>
      <c r="P18" s="14" t="s">
        <v>77</v>
      </c>
      <c r="Q18" s="14" t="s">
        <v>666</v>
      </c>
      <c r="R18" s="14">
        <v>1</v>
      </c>
      <c r="S18" s="14">
        <v>1</v>
      </c>
      <c r="T18" s="14"/>
      <c r="U18" s="14" t="s">
        <v>22</v>
      </c>
      <c r="V18" s="14">
        <f t="shared" si="4"/>
        <v>0.01</v>
      </c>
      <c r="W18" s="14">
        <f t="shared" si="5"/>
        <v>1664.9999999999998</v>
      </c>
      <c r="X18" s="13" t="s">
        <v>4072</v>
      </c>
      <c r="Y18" s="17"/>
      <c r="Z18" s="17"/>
      <c r="AA18" s="18">
        <v>96.38</v>
      </c>
      <c r="AB18" s="13"/>
      <c r="AC18" s="13" t="s">
        <v>4073</v>
      </c>
      <c r="AD18" s="13"/>
      <c r="AE18" s="13" t="s">
        <v>4074</v>
      </c>
      <c r="AF18" s="13"/>
      <c r="AG18" s="13"/>
      <c r="AH18" s="13"/>
      <c r="AI18" s="19"/>
      <c r="AJ18" s="14"/>
      <c r="AK18" s="13"/>
      <c r="AL18" s="13"/>
      <c r="AM18" s="13" t="s">
        <v>4075</v>
      </c>
      <c r="AN18" s="13" t="s">
        <v>97</v>
      </c>
      <c r="AO18" s="26">
        <v>44774</v>
      </c>
      <c r="AP18" s="20">
        <v>96.61</v>
      </c>
      <c r="AQ18" s="20">
        <f t="shared" si="6"/>
        <v>0.23000000000000398</v>
      </c>
      <c r="AR18" s="94">
        <f t="shared" si="7"/>
        <v>382.95000000000658</v>
      </c>
      <c r="AS18" s="21">
        <f t="shared" si="8"/>
        <v>382.95000000000658</v>
      </c>
      <c r="AT18" s="22" t="s">
        <v>77</v>
      </c>
      <c r="AU18" s="13" t="s">
        <v>4062</v>
      </c>
      <c r="AV18" s="13" t="s">
        <v>4076</v>
      </c>
      <c r="AW18" s="17" t="s">
        <v>2163</v>
      </c>
      <c r="AX18" s="13"/>
      <c r="AY18" s="13"/>
      <c r="AZ18" s="13"/>
    </row>
    <row r="19" spans="1:52" ht="12.75">
      <c r="A19" s="12">
        <v>44774</v>
      </c>
      <c r="B19" s="13"/>
      <c r="C19" s="13" t="s">
        <v>114</v>
      </c>
      <c r="D19" s="17"/>
      <c r="E19" s="13"/>
      <c r="F19" s="14" t="s">
        <v>4047</v>
      </c>
      <c r="G19" s="13"/>
      <c r="H19" s="13"/>
      <c r="I19" s="13"/>
      <c r="J19" s="14"/>
      <c r="K19" s="14"/>
      <c r="L19" s="13"/>
      <c r="M19" s="13"/>
      <c r="N19" s="13">
        <v>3</v>
      </c>
      <c r="O19" s="14" t="s">
        <v>76</v>
      </c>
      <c r="P19" s="14" t="s">
        <v>119</v>
      </c>
      <c r="Q19" s="14" t="s">
        <v>666</v>
      </c>
      <c r="R19" s="14">
        <v>2</v>
      </c>
      <c r="S19" s="14">
        <v>2</v>
      </c>
      <c r="T19" s="14"/>
      <c r="U19" s="14" t="s">
        <v>78</v>
      </c>
      <c r="V19" s="14">
        <f t="shared" si="4"/>
        <v>0.01</v>
      </c>
      <c r="W19" s="14">
        <f t="shared" si="5"/>
        <v>1664.9999999999998</v>
      </c>
      <c r="X19" s="13" t="s">
        <v>4081</v>
      </c>
      <c r="Y19" s="17" t="s">
        <v>4082</v>
      </c>
      <c r="Z19" s="17"/>
      <c r="AA19" s="18">
        <v>96.775000000000006</v>
      </c>
      <c r="AB19" s="13"/>
      <c r="AC19" s="13"/>
      <c r="AD19" s="13"/>
      <c r="AE19" s="13" t="s">
        <v>511</v>
      </c>
      <c r="AF19" s="13"/>
      <c r="AG19" s="13"/>
      <c r="AH19" s="13"/>
      <c r="AI19" s="19"/>
      <c r="AJ19" s="14"/>
      <c r="AK19" s="13"/>
      <c r="AL19" s="13"/>
      <c r="AM19" s="13">
        <v>1</v>
      </c>
      <c r="AN19" s="13" t="s">
        <v>97</v>
      </c>
      <c r="AO19" s="13"/>
      <c r="AP19" s="20">
        <v>96.7</v>
      </c>
      <c r="AQ19" s="20">
        <f t="shared" si="6"/>
        <v>7.5000000000002842E-2</v>
      </c>
      <c r="AR19" s="94">
        <f t="shared" si="7"/>
        <v>249.75000000000944</v>
      </c>
      <c r="AS19" s="21">
        <f t="shared" si="8"/>
        <v>124.87500000000472</v>
      </c>
      <c r="AT19" s="22" t="s">
        <v>77</v>
      </c>
      <c r="AU19" s="13" t="s">
        <v>4083</v>
      </c>
      <c r="AV19" s="13" t="s">
        <v>4084</v>
      </c>
      <c r="AW19" s="13" t="s">
        <v>4085</v>
      </c>
      <c r="AX19" s="13" t="s">
        <v>4086</v>
      </c>
      <c r="AY19" s="17" t="s">
        <v>922</v>
      </c>
      <c r="AZ19" s="13"/>
    </row>
    <row r="20" spans="1:52" ht="12.75">
      <c r="A20" s="12">
        <v>44774</v>
      </c>
      <c r="B20" s="13"/>
      <c r="C20" s="13" t="s">
        <v>114</v>
      </c>
      <c r="D20" s="17"/>
      <c r="E20" s="13"/>
      <c r="F20" s="14" t="s">
        <v>4080</v>
      </c>
      <c r="G20" s="13"/>
      <c r="H20" s="13"/>
      <c r="I20" s="13"/>
      <c r="J20" s="14"/>
      <c r="K20" s="14"/>
      <c r="L20" s="13"/>
      <c r="M20" s="13"/>
      <c r="N20" s="13">
        <v>3</v>
      </c>
      <c r="O20" s="14" t="s">
        <v>76</v>
      </c>
      <c r="P20" s="14" t="s">
        <v>77</v>
      </c>
      <c r="Q20" s="14"/>
      <c r="R20" s="14">
        <v>2</v>
      </c>
      <c r="S20" s="14">
        <v>2</v>
      </c>
      <c r="T20" s="14"/>
      <c r="U20" s="14" t="s">
        <v>78</v>
      </c>
      <c r="V20" s="14">
        <f t="shared" si="4"/>
        <v>0.01</v>
      </c>
      <c r="W20" s="14">
        <f t="shared" si="5"/>
        <v>1664.9999999999998</v>
      </c>
      <c r="X20" s="13" t="s">
        <v>4081</v>
      </c>
      <c r="Y20" s="17" t="s">
        <v>4082</v>
      </c>
      <c r="Z20" s="17"/>
      <c r="AA20" s="18">
        <v>96.65</v>
      </c>
      <c r="AB20" s="13"/>
      <c r="AC20" s="13"/>
      <c r="AD20" s="13"/>
      <c r="AE20" s="13" t="s">
        <v>4087</v>
      </c>
      <c r="AF20" s="13"/>
      <c r="AG20" s="13"/>
      <c r="AH20" s="13"/>
      <c r="AI20" s="19"/>
      <c r="AJ20" s="14"/>
      <c r="AK20" s="13"/>
      <c r="AL20" s="13"/>
      <c r="AM20" s="13">
        <v>1</v>
      </c>
      <c r="AN20" s="13"/>
      <c r="AO20" s="13"/>
      <c r="AP20" s="20">
        <v>96.65</v>
      </c>
      <c r="AQ20" s="20">
        <f t="shared" si="6"/>
        <v>0</v>
      </c>
      <c r="AR20" s="94">
        <f t="shared" si="7"/>
        <v>0</v>
      </c>
      <c r="AS20" s="21">
        <f t="shared" si="8"/>
        <v>0</v>
      </c>
      <c r="AT20" s="22"/>
      <c r="AU20" s="13" t="s">
        <v>4088</v>
      </c>
      <c r="AV20" s="13"/>
      <c r="AW20" s="13" t="s">
        <v>4085</v>
      </c>
      <c r="AX20" s="13" t="s">
        <v>4089</v>
      </c>
      <c r="AY20" s="17" t="s">
        <v>922</v>
      </c>
      <c r="AZ20" s="13"/>
    </row>
    <row r="21" spans="1:52" ht="12.75">
      <c r="A21" s="12">
        <v>44775</v>
      </c>
      <c r="B21" s="13"/>
      <c r="C21" s="13" t="s">
        <v>128</v>
      </c>
      <c r="D21" s="17" t="s">
        <v>4090</v>
      </c>
      <c r="E21" s="13" t="s">
        <v>4091</v>
      </c>
      <c r="F21" s="14" t="s">
        <v>4078</v>
      </c>
      <c r="G21" s="13"/>
      <c r="H21" s="13">
        <v>1</v>
      </c>
      <c r="I21" s="13"/>
      <c r="J21" s="14"/>
      <c r="K21" s="14"/>
      <c r="L21" s="13"/>
      <c r="M21" s="13">
        <v>3</v>
      </c>
      <c r="N21" s="13"/>
      <c r="O21" s="14" t="s">
        <v>76</v>
      </c>
      <c r="P21" s="14" t="s">
        <v>77</v>
      </c>
      <c r="Q21" s="14" t="s">
        <v>666</v>
      </c>
      <c r="R21" s="14">
        <v>2</v>
      </c>
      <c r="S21" s="14">
        <v>2</v>
      </c>
      <c r="T21" s="14"/>
      <c r="U21" s="14" t="s">
        <v>22</v>
      </c>
      <c r="V21" s="14">
        <f t="shared" si="4"/>
        <v>0.01</v>
      </c>
      <c r="W21" s="14">
        <f t="shared" si="5"/>
        <v>1664.9999999999998</v>
      </c>
      <c r="X21" s="17"/>
      <c r="Y21" s="17" t="s">
        <v>4092</v>
      </c>
      <c r="Z21" s="17"/>
      <c r="AA21" s="18">
        <v>97.33</v>
      </c>
      <c r="AB21" s="95"/>
      <c r="AC21" s="95" t="s">
        <v>4093</v>
      </c>
      <c r="AD21" s="13"/>
      <c r="AE21" s="13" t="s">
        <v>4094</v>
      </c>
      <c r="AF21" s="13"/>
      <c r="AG21" s="13"/>
      <c r="AH21" s="13"/>
      <c r="AI21" s="19"/>
      <c r="AJ21" s="14"/>
      <c r="AK21" s="13"/>
      <c r="AL21" s="13"/>
      <c r="AM21" s="13">
        <v>1</v>
      </c>
      <c r="AN21" s="13" t="s">
        <v>97</v>
      </c>
      <c r="AO21" s="13"/>
      <c r="AP21" s="20">
        <v>97.3</v>
      </c>
      <c r="AQ21" s="20">
        <f t="shared" si="6"/>
        <v>-3.0000000000001137E-2</v>
      </c>
      <c r="AR21" s="94">
        <f t="shared" si="7"/>
        <v>-99.900000000003772</v>
      </c>
      <c r="AS21" s="21">
        <f t="shared" si="8"/>
        <v>-49.950000000001886</v>
      </c>
      <c r="AT21" s="22" t="s">
        <v>211</v>
      </c>
      <c r="AU21" s="17" t="s">
        <v>4095</v>
      </c>
      <c r="AV21" s="17" t="s">
        <v>4096</v>
      </c>
      <c r="AW21" s="17" t="s">
        <v>4097</v>
      </c>
      <c r="AX21" s="17" t="s">
        <v>4098</v>
      </c>
      <c r="AY21" s="13" t="s">
        <v>4099</v>
      </c>
      <c r="AZ21" s="17" t="s">
        <v>4100</v>
      </c>
    </row>
    <row r="22" spans="1:52" ht="12.75">
      <c r="A22" s="12">
        <v>44781</v>
      </c>
      <c r="B22" s="13"/>
      <c r="C22" s="13" t="s">
        <v>114</v>
      </c>
      <c r="D22" s="17"/>
      <c r="E22" s="13"/>
      <c r="F22" s="14" t="s">
        <v>4071</v>
      </c>
      <c r="G22" s="13"/>
      <c r="H22" s="13"/>
      <c r="I22" s="13"/>
      <c r="J22" s="14"/>
      <c r="K22" s="14"/>
      <c r="L22" s="13">
        <v>2</v>
      </c>
      <c r="M22" s="13"/>
      <c r="N22" s="13">
        <v>3</v>
      </c>
      <c r="O22" s="14" t="s">
        <v>76</v>
      </c>
      <c r="P22" s="14" t="s">
        <v>77</v>
      </c>
      <c r="Q22" s="14" t="s">
        <v>666</v>
      </c>
      <c r="R22" s="14">
        <v>6</v>
      </c>
      <c r="S22" s="14">
        <v>6</v>
      </c>
      <c r="T22" s="14"/>
      <c r="U22" s="14" t="s">
        <v>78</v>
      </c>
      <c r="V22" s="14">
        <f t="shared" si="4"/>
        <v>0.01</v>
      </c>
      <c r="W22" s="14">
        <f t="shared" si="5"/>
        <v>1664.9999999999998</v>
      </c>
      <c r="X22" s="13" t="s">
        <v>4101</v>
      </c>
      <c r="Y22" s="17"/>
      <c r="Z22" s="17"/>
      <c r="AA22" s="18">
        <v>96.433000000000007</v>
      </c>
      <c r="AB22" s="13"/>
      <c r="AC22" s="13" t="s">
        <v>4102</v>
      </c>
      <c r="AD22" s="13" t="s">
        <v>4103</v>
      </c>
      <c r="AE22" s="13" t="s">
        <v>4104</v>
      </c>
      <c r="AF22" s="13"/>
      <c r="AG22" s="13"/>
      <c r="AH22" s="13"/>
      <c r="AI22" s="19"/>
      <c r="AJ22" s="14"/>
      <c r="AK22" s="13"/>
      <c r="AL22" s="13"/>
      <c r="AM22" s="13"/>
      <c r="AN22" s="13" t="s">
        <v>97</v>
      </c>
      <c r="AO22" s="13"/>
      <c r="AP22" s="20">
        <v>96.47</v>
      </c>
      <c r="AQ22" s="20">
        <f t="shared" si="6"/>
        <v>-3.6999999999991928E-2</v>
      </c>
      <c r="AR22" s="94">
        <f t="shared" si="7"/>
        <v>-369.62999999991933</v>
      </c>
      <c r="AS22" s="21">
        <f t="shared" si="8"/>
        <v>-61.604999999986553</v>
      </c>
      <c r="AT22" s="22" t="s">
        <v>211</v>
      </c>
      <c r="AU22" s="17" t="s">
        <v>4105</v>
      </c>
      <c r="AV22" s="13" t="s">
        <v>4106</v>
      </c>
      <c r="AW22" s="17" t="s">
        <v>4107</v>
      </c>
      <c r="AX22" s="17" t="s">
        <v>4098</v>
      </c>
      <c r="AY22" s="17" t="s">
        <v>4108</v>
      </c>
      <c r="AZ22" s="13"/>
    </row>
    <row r="23" spans="1:52" ht="12.75">
      <c r="A23" s="12">
        <v>44782</v>
      </c>
      <c r="B23" s="13"/>
      <c r="C23" s="13" t="s">
        <v>128</v>
      </c>
      <c r="D23" s="17" t="s">
        <v>4109</v>
      </c>
      <c r="E23" s="13" t="s">
        <v>4110</v>
      </c>
      <c r="F23" s="14"/>
      <c r="G23" s="13"/>
      <c r="H23" s="13">
        <v>1</v>
      </c>
      <c r="I23" s="13"/>
      <c r="J23" s="14"/>
      <c r="K23" s="14"/>
      <c r="L23" s="13"/>
      <c r="M23" s="13"/>
      <c r="N23" s="13"/>
      <c r="O23" s="14"/>
      <c r="P23" s="14"/>
      <c r="Q23" s="14"/>
      <c r="R23" s="14"/>
      <c r="S23" s="14"/>
      <c r="T23" s="14"/>
      <c r="U23" s="14"/>
      <c r="V23" s="14">
        <f t="shared" si="4"/>
        <v>0</v>
      </c>
      <c r="W23" s="14">
        <f t="shared" si="5"/>
        <v>0</v>
      </c>
      <c r="X23" s="17"/>
      <c r="Y23" s="17"/>
      <c r="Z23" s="17"/>
      <c r="AA23" s="18"/>
      <c r="AB23" s="13"/>
      <c r="AC23" s="13"/>
      <c r="AD23" s="13"/>
      <c r="AE23" s="13"/>
      <c r="AF23" s="13"/>
      <c r="AG23" s="13"/>
      <c r="AH23" s="13"/>
      <c r="AI23" s="19"/>
      <c r="AJ23" s="14"/>
      <c r="AK23" s="13"/>
      <c r="AL23" s="13"/>
      <c r="AM23" s="13"/>
      <c r="AN23" s="13"/>
      <c r="AO23" s="13"/>
      <c r="AP23" s="20"/>
      <c r="AQ23" s="13"/>
      <c r="AR23" s="94"/>
      <c r="AS23" s="21"/>
      <c r="AT23" s="22"/>
      <c r="AU23" s="13"/>
      <c r="AV23" s="13"/>
      <c r="AW23" s="13"/>
      <c r="AX23" s="13"/>
      <c r="AY23" s="13"/>
      <c r="AZ23" s="13"/>
    </row>
    <row r="24" spans="1:52" ht="12.75">
      <c r="A24" s="12">
        <v>44783</v>
      </c>
      <c r="B24" s="13"/>
      <c r="C24" s="13" t="s">
        <v>133</v>
      </c>
      <c r="D24" s="17"/>
      <c r="E24" s="13"/>
      <c r="F24" s="14" t="s">
        <v>4080</v>
      </c>
      <c r="G24" s="13"/>
      <c r="H24" s="13"/>
      <c r="I24" s="13"/>
      <c r="J24" s="14"/>
      <c r="K24" s="14"/>
      <c r="L24" s="13"/>
      <c r="M24" s="13">
        <v>3</v>
      </c>
      <c r="N24" s="13"/>
      <c r="O24" s="14" t="s">
        <v>76</v>
      </c>
      <c r="P24" s="14" t="s">
        <v>77</v>
      </c>
      <c r="Q24" s="14" t="s">
        <v>666</v>
      </c>
      <c r="R24" s="14">
        <v>2</v>
      </c>
      <c r="S24" s="14">
        <v>2</v>
      </c>
      <c r="T24" s="14"/>
      <c r="U24" s="14" t="s">
        <v>22</v>
      </c>
      <c r="V24" s="14">
        <f t="shared" si="4"/>
        <v>0.01</v>
      </c>
      <c r="W24" s="14">
        <f t="shared" si="5"/>
        <v>1664.9999999999998</v>
      </c>
      <c r="X24" s="17"/>
      <c r="Y24" s="17" t="s">
        <v>4111</v>
      </c>
      <c r="Z24" s="17"/>
      <c r="AA24" s="18">
        <v>96.265000000000001</v>
      </c>
      <c r="AB24" s="95"/>
      <c r="AC24" s="95" t="s">
        <v>4112</v>
      </c>
      <c r="AD24" s="13" t="s">
        <v>4113</v>
      </c>
      <c r="AE24" s="13" t="s">
        <v>4114</v>
      </c>
      <c r="AF24" s="13"/>
      <c r="AG24" s="13"/>
      <c r="AH24" s="13"/>
      <c r="AI24" s="19"/>
      <c r="AJ24" s="14"/>
      <c r="AK24" s="13"/>
      <c r="AL24" s="13"/>
      <c r="AM24" s="13"/>
      <c r="AN24" s="13" t="s">
        <v>97</v>
      </c>
      <c r="AO24" s="13"/>
      <c r="AP24" s="20">
        <v>96.21</v>
      </c>
      <c r="AQ24" s="20">
        <f>IF(ISBLANK(AP24),,IF(U24="S",AA24-AP24,AP24-AA24))</f>
        <v>-5.5000000000006821E-2</v>
      </c>
      <c r="AR24" s="94">
        <f>AS24*R24</f>
        <v>-183.15000000002269</v>
      </c>
      <c r="AS24" s="21">
        <f>IF(ISBLANK(AP24),,(AQ24*W24))</f>
        <v>-91.575000000011343</v>
      </c>
      <c r="AT24" s="22" t="s">
        <v>211</v>
      </c>
      <c r="AU24" s="13" t="s">
        <v>4115</v>
      </c>
      <c r="AV24" s="13" t="s">
        <v>4116</v>
      </c>
      <c r="AW24" s="17" t="s">
        <v>4117</v>
      </c>
      <c r="AX24" s="13"/>
      <c r="AY24" s="13"/>
      <c r="AZ24" s="13"/>
    </row>
    <row r="25" spans="1:52" ht="12.75">
      <c r="A25" s="12">
        <v>44783</v>
      </c>
      <c r="B25" s="13"/>
      <c r="C25" s="13" t="s">
        <v>133</v>
      </c>
      <c r="D25" s="17"/>
      <c r="E25" s="13"/>
      <c r="F25" s="14" t="s">
        <v>4078</v>
      </c>
      <c r="G25" s="13"/>
      <c r="H25" s="13"/>
      <c r="I25" s="13"/>
      <c r="J25" s="14"/>
      <c r="K25" s="14"/>
      <c r="L25" s="13"/>
      <c r="M25" s="13">
        <v>2</v>
      </c>
      <c r="N25" s="13"/>
      <c r="O25" s="14" t="s">
        <v>76</v>
      </c>
      <c r="P25" s="14" t="s">
        <v>77</v>
      </c>
      <c r="Q25" s="14"/>
      <c r="R25" s="14">
        <v>1</v>
      </c>
      <c r="S25" s="14"/>
      <c r="T25" s="14"/>
      <c r="U25" s="14" t="s">
        <v>22</v>
      </c>
      <c r="V25" s="14">
        <f t="shared" si="4"/>
        <v>0.01</v>
      </c>
      <c r="W25" s="14">
        <f t="shared" si="5"/>
        <v>1664.9999999999998</v>
      </c>
      <c r="X25" s="17"/>
      <c r="Y25" s="17" t="s">
        <v>4118</v>
      </c>
      <c r="Z25" s="17"/>
      <c r="AA25" s="18">
        <v>96.31</v>
      </c>
      <c r="AB25" s="13"/>
      <c r="AC25" s="13" t="s">
        <v>4119</v>
      </c>
      <c r="AD25" s="13" t="s">
        <v>4120</v>
      </c>
      <c r="AE25" s="13" t="s">
        <v>4121</v>
      </c>
      <c r="AF25" s="13" t="s">
        <v>4122</v>
      </c>
      <c r="AG25" s="13"/>
      <c r="AH25" s="13"/>
      <c r="AI25" s="19"/>
      <c r="AJ25" s="14"/>
      <c r="AK25" s="13"/>
      <c r="AL25" s="13"/>
      <c r="AM25" s="13"/>
      <c r="AN25" s="13"/>
      <c r="AO25" s="13"/>
      <c r="AP25" s="20"/>
      <c r="AQ25" s="13"/>
      <c r="AR25" s="94"/>
      <c r="AS25" s="21"/>
      <c r="AT25" s="22"/>
      <c r="AU25" s="61"/>
      <c r="AV25" s="13"/>
      <c r="AW25" s="13"/>
      <c r="AX25" s="13"/>
      <c r="AY25" s="13"/>
      <c r="AZ25" s="13"/>
    </row>
    <row r="26" spans="1:52" ht="12.75">
      <c r="A26" s="12">
        <v>44783</v>
      </c>
      <c r="B26" s="13"/>
      <c r="C26" s="13" t="s">
        <v>133</v>
      </c>
      <c r="D26" s="17"/>
      <c r="E26" s="13"/>
      <c r="F26" s="14" t="s">
        <v>4071</v>
      </c>
      <c r="G26" s="13"/>
      <c r="H26" s="13"/>
      <c r="I26" s="13"/>
      <c r="J26" s="14"/>
      <c r="K26" s="14"/>
      <c r="L26" s="13"/>
      <c r="M26" s="13">
        <v>2</v>
      </c>
      <c r="N26" s="13"/>
      <c r="O26" s="14" t="s">
        <v>76</v>
      </c>
      <c r="P26" s="14" t="s">
        <v>77</v>
      </c>
      <c r="Q26" s="14"/>
      <c r="R26" s="14"/>
      <c r="S26" s="14">
        <v>1</v>
      </c>
      <c r="T26" s="14"/>
      <c r="U26" s="14" t="s">
        <v>78</v>
      </c>
      <c r="V26" s="14">
        <f t="shared" si="4"/>
        <v>0.01</v>
      </c>
      <c r="W26" s="14">
        <f t="shared" si="5"/>
        <v>1664.9999999999998</v>
      </c>
      <c r="X26" s="17"/>
      <c r="Y26" s="17" t="s">
        <v>4123</v>
      </c>
      <c r="Z26" s="17"/>
      <c r="AA26" s="18">
        <v>96.41</v>
      </c>
      <c r="AB26" s="13"/>
      <c r="AC26" s="13" t="s">
        <v>4124</v>
      </c>
      <c r="AD26" s="17" t="s">
        <v>4125</v>
      </c>
      <c r="AE26" s="13" t="s">
        <v>4126</v>
      </c>
      <c r="AF26" s="13" t="s">
        <v>4127</v>
      </c>
      <c r="AG26" s="13"/>
      <c r="AH26" s="13"/>
      <c r="AI26" s="19"/>
      <c r="AJ26" s="14"/>
      <c r="AK26" s="13"/>
      <c r="AL26" s="13"/>
      <c r="AM26" s="13"/>
      <c r="AN26" s="13"/>
      <c r="AO26" s="13"/>
      <c r="AP26" s="20"/>
      <c r="AQ26" s="13"/>
      <c r="AR26" s="94"/>
      <c r="AS26" s="21"/>
      <c r="AT26" s="22"/>
      <c r="AU26" s="17" t="s">
        <v>4128</v>
      </c>
      <c r="AV26" s="13"/>
      <c r="AW26" s="13"/>
      <c r="AX26" s="13"/>
      <c r="AY26" s="13"/>
      <c r="AZ26" s="13"/>
    </row>
    <row r="27" spans="1:52" ht="12.75">
      <c r="A27" s="12">
        <v>44783</v>
      </c>
      <c r="B27" s="13"/>
      <c r="C27" s="13" t="s">
        <v>133</v>
      </c>
      <c r="D27" s="17"/>
      <c r="E27" s="13"/>
      <c r="F27" s="14" t="s">
        <v>4079</v>
      </c>
      <c r="G27" s="13"/>
      <c r="H27" s="13"/>
      <c r="I27" s="13"/>
      <c r="J27" s="14"/>
      <c r="K27" s="14"/>
      <c r="L27" s="13"/>
      <c r="M27" s="13">
        <v>2</v>
      </c>
      <c r="N27" s="13"/>
      <c r="O27" s="14" t="s">
        <v>76</v>
      </c>
      <c r="P27" s="14" t="s">
        <v>77</v>
      </c>
      <c r="Q27" s="14"/>
      <c r="R27" s="14"/>
      <c r="S27" s="14">
        <v>1</v>
      </c>
      <c r="T27" s="14"/>
      <c r="U27" s="14" t="s">
        <v>78</v>
      </c>
      <c r="V27" s="14">
        <f t="shared" si="4"/>
        <v>0.01</v>
      </c>
      <c r="W27" s="14">
        <f t="shared" si="5"/>
        <v>1664.9999999999998</v>
      </c>
      <c r="X27" s="17"/>
      <c r="Y27" s="17" t="s">
        <v>4129</v>
      </c>
      <c r="Z27" s="17"/>
      <c r="AA27" s="18">
        <v>96.21</v>
      </c>
      <c r="AB27" s="13"/>
      <c r="AC27" s="13" t="s">
        <v>4130</v>
      </c>
      <c r="AD27" s="13" t="s">
        <v>4131</v>
      </c>
      <c r="AE27" s="13" t="s">
        <v>4132</v>
      </c>
      <c r="AF27" s="13" t="s">
        <v>4133</v>
      </c>
      <c r="AG27" s="13"/>
      <c r="AH27" s="13"/>
      <c r="AI27" s="19"/>
      <c r="AJ27" s="14"/>
      <c r="AK27" s="13"/>
      <c r="AL27" s="13"/>
      <c r="AM27" s="13"/>
      <c r="AN27" s="13"/>
      <c r="AO27" s="13"/>
      <c r="AP27" s="20"/>
      <c r="AQ27" s="13"/>
      <c r="AR27" s="94"/>
      <c r="AS27" s="21"/>
      <c r="AT27" s="22"/>
      <c r="AU27" s="13" t="s">
        <v>4134</v>
      </c>
      <c r="AV27" s="13"/>
      <c r="AW27" s="13"/>
      <c r="AX27" s="13"/>
      <c r="AY27" s="13"/>
      <c r="AZ27" s="13"/>
    </row>
    <row r="28" spans="1:52" ht="12.75">
      <c r="A28" s="12">
        <v>44783</v>
      </c>
      <c r="B28" s="13"/>
      <c r="C28" s="13" t="s">
        <v>133</v>
      </c>
      <c r="D28" s="17"/>
      <c r="E28" s="13"/>
      <c r="F28" s="14" t="s">
        <v>4078</v>
      </c>
      <c r="G28" s="13"/>
      <c r="H28" s="13"/>
      <c r="I28" s="13"/>
      <c r="J28" s="14"/>
      <c r="K28" s="14"/>
      <c r="L28" s="13"/>
      <c r="M28" s="13">
        <v>2</v>
      </c>
      <c r="N28" s="13"/>
      <c r="O28" s="14" t="s">
        <v>76</v>
      </c>
      <c r="P28" s="14" t="s">
        <v>77</v>
      </c>
      <c r="Q28" s="14"/>
      <c r="R28" s="14">
        <v>1</v>
      </c>
      <c r="S28" s="14"/>
      <c r="T28" s="14"/>
      <c r="U28" s="14" t="s">
        <v>22</v>
      </c>
      <c r="V28" s="14">
        <f t="shared" si="4"/>
        <v>0.01</v>
      </c>
      <c r="W28" s="14">
        <f t="shared" si="5"/>
        <v>1664.9999999999998</v>
      </c>
      <c r="X28" s="17"/>
      <c r="Y28" s="17" t="s">
        <v>4135</v>
      </c>
      <c r="Z28" s="17"/>
      <c r="AA28" s="18">
        <v>96.3</v>
      </c>
      <c r="AB28" s="13"/>
      <c r="AC28" s="13" t="s">
        <v>4136</v>
      </c>
      <c r="AD28" s="13" t="s">
        <v>4137</v>
      </c>
      <c r="AE28" s="13" t="s">
        <v>4138</v>
      </c>
      <c r="AF28" s="13" t="s">
        <v>4122</v>
      </c>
      <c r="AG28" s="13"/>
      <c r="AH28" s="13"/>
      <c r="AI28" s="19"/>
      <c r="AJ28" s="14"/>
      <c r="AK28" s="13"/>
      <c r="AL28" s="13"/>
      <c r="AM28" s="13"/>
      <c r="AN28" s="13"/>
      <c r="AO28" s="13"/>
      <c r="AP28" s="20"/>
      <c r="AQ28" s="13"/>
      <c r="AR28" s="94"/>
      <c r="AS28" s="21"/>
      <c r="AT28" s="22"/>
      <c r="AU28" s="13"/>
      <c r="AV28" s="13"/>
      <c r="AW28" s="13"/>
      <c r="AX28" s="13"/>
      <c r="AY28" s="13"/>
      <c r="AZ28" s="13"/>
    </row>
    <row r="29" spans="1:52" ht="12.75">
      <c r="A29" s="12">
        <v>44783</v>
      </c>
      <c r="B29" s="13"/>
      <c r="C29" s="13" t="s">
        <v>133</v>
      </c>
      <c r="D29" s="17" t="s">
        <v>4139</v>
      </c>
      <c r="E29" s="13" t="s">
        <v>4140</v>
      </c>
      <c r="F29" s="14" t="s">
        <v>4078</v>
      </c>
      <c r="G29" s="13"/>
      <c r="H29" s="13"/>
      <c r="I29" s="13">
        <v>1</v>
      </c>
      <c r="J29" s="14"/>
      <c r="K29" s="14"/>
      <c r="L29" s="13">
        <v>3</v>
      </c>
      <c r="M29" s="13"/>
      <c r="N29" s="13"/>
      <c r="O29" s="14" t="s">
        <v>76</v>
      </c>
      <c r="P29" s="14" t="s">
        <v>77</v>
      </c>
      <c r="Q29" s="14" t="s">
        <v>666</v>
      </c>
      <c r="R29" s="14">
        <v>8</v>
      </c>
      <c r="S29" s="14">
        <v>8</v>
      </c>
      <c r="T29" s="34">
        <v>5</v>
      </c>
      <c r="U29" s="14" t="s">
        <v>22</v>
      </c>
      <c r="V29" s="14">
        <f t="shared" si="4"/>
        <v>0.01</v>
      </c>
      <c r="W29" s="14">
        <f t="shared" si="5"/>
        <v>1664.9999999999998</v>
      </c>
      <c r="X29" s="17" t="s">
        <v>4059</v>
      </c>
      <c r="Y29" s="17"/>
      <c r="Z29" s="17"/>
      <c r="AA29" s="18">
        <v>97.373000000000005</v>
      </c>
      <c r="AB29" s="13"/>
      <c r="AC29" s="13"/>
      <c r="AD29" s="13"/>
      <c r="AE29" s="13"/>
      <c r="AF29" s="13"/>
      <c r="AG29" s="13"/>
      <c r="AH29" s="13"/>
      <c r="AI29" s="19"/>
      <c r="AJ29" s="14"/>
      <c r="AK29" s="13"/>
      <c r="AL29" s="37"/>
      <c r="AM29" s="37" t="s">
        <v>4141</v>
      </c>
      <c r="AN29" s="13" t="s">
        <v>376</v>
      </c>
      <c r="AO29" s="35">
        <v>44783</v>
      </c>
      <c r="AP29" s="20">
        <v>97.394000000000005</v>
      </c>
      <c r="AQ29" s="20">
        <f t="shared" ref="AQ29:AQ42" si="9">IF(ISBLANK(AP29),,IF(U29="S",AA29-AP29,AP29-AA29))</f>
        <v>2.1000000000000796E-2</v>
      </c>
      <c r="AR29" s="94">
        <f t="shared" ref="AR29:AR42" si="10">AS29*R29</f>
        <v>279.72000000001054</v>
      </c>
      <c r="AS29" s="21">
        <f t="shared" ref="AS29:AS42" si="11">IF(ISBLANK(AP29),,(AQ29*W29))</f>
        <v>34.965000000001318</v>
      </c>
      <c r="AT29" s="22" t="s">
        <v>77</v>
      </c>
      <c r="AU29" s="17" t="s">
        <v>4142</v>
      </c>
      <c r="AV29" s="96" t="s">
        <v>4143</v>
      </c>
      <c r="AW29" s="61" t="s">
        <v>4144</v>
      </c>
      <c r="AX29" s="13" t="s">
        <v>4145</v>
      </c>
      <c r="AY29" s="13"/>
      <c r="AZ29" s="13"/>
    </row>
    <row r="30" spans="1:52" ht="12.75">
      <c r="A30" s="12">
        <v>44783</v>
      </c>
      <c r="B30" s="13"/>
      <c r="C30" s="13" t="s">
        <v>133</v>
      </c>
      <c r="D30" s="17" t="s">
        <v>4139</v>
      </c>
      <c r="E30" s="13" t="s">
        <v>4140</v>
      </c>
      <c r="F30" s="14" t="s">
        <v>4071</v>
      </c>
      <c r="G30" s="13"/>
      <c r="H30" s="13"/>
      <c r="I30" s="13">
        <v>1</v>
      </c>
      <c r="J30" s="14"/>
      <c r="K30" s="14"/>
      <c r="L30" s="13">
        <v>3</v>
      </c>
      <c r="M30" s="13"/>
      <c r="N30" s="13"/>
      <c r="O30" s="14" t="s">
        <v>76</v>
      </c>
      <c r="P30" s="14" t="s">
        <v>77</v>
      </c>
      <c r="Q30" s="14" t="s">
        <v>666</v>
      </c>
      <c r="R30" s="14">
        <v>9</v>
      </c>
      <c r="S30" s="14">
        <v>9</v>
      </c>
      <c r="T30" s="34">
        <v>5</v>
      </c>
      <c r="U30" s="14" t="s">
        <v>22</v>
      </c>
      <c r="V30" s="14">
        <f t="shared" si="4"/>
        <v>0.01</v>
      </c>
      <c r="W30" s="14">
        <f t="shared" si="5"/>
        <v>1664.9999999999998</v>
      </c>
      <c r="X30" s="17" t="s">
        <v>4059</v>
      </c>
      <c r="Y30" s="17"/>
      <c r="Z30" s="17"/>
      <c r="AA30" s="18">
        <v>96.521000000000001</v>
      </c>
      <c r="AB30" s="13"/>
      <c r="AC30" s="13"/>
      <c r="AD30" s="13"/>
      <c r="AE30" s="13"/>
      <c r="AF30" s="13"/>
      <c r="AG30" s="13"/>
      <c r="AH30" s="13"/>
      <c r="AI30" s="19"/>
      <c r="AJ30" s="14"/>
      <c r="AK30" s="13"/>
      <c r="AL30" s="37"/>
      <c r="AM30" s="37" t="s">
        <v>4141</v>
      </c>
      <c r="AN30" s="13" t="s">
        <v>376</v>
      </c>
      <c r="AO30" s="35">
        <v>44783</v>
      </c>
      <c r="AP30" s="20">
        <v>96.546000000000006</v>
      </c>
      <c r="AQ30" s="20">
        <f t="shared" si="9"/>
        <v>2.5000000000005684E-2</v>
      </c>
      <c r="AR30" s="94">
        <f t="shared" si="10"/>
        <v>374.62500000008509</v>
      </c>
      <c r="AS30" s="21">
        <f t="shared" si="11"/>
        <v>41.625000000009457</v>
      </c>
      <c r="AT30" s="22" t="s">
        <v>77</v>
      </c>
      <c r="AU30" s="17" t="s">
        <v>4142</v>
      </c>
      <c r="AV30" s="17" t="s">
        <v>4146</v>
      </c>
      <c r="AW30" s="13"/>
      <c r="AX30" s="13"/>
      <c r="AY30" s="13"/>
      <c r="AZ30" s="13"/>
    </row>
    <row r="31" spans="1:52" ht="12.75">
      <c r="A31" s="12">
        <v>44783</v>
      </c>
      <c r="B31" s="13"/>
      <c r="C31" s="13" t="s">
        <v>133</v>
      </c>
      <c r="D31" s="17" t="s">
        <v>4139</v>
      </c>
      <c r="E31" s="13" t="s">
        <v>4140</v>
      </c>
      <c r="F31" s="14" t="s">
        <v>4079</v>
      </c>
      <c r="G31" s="13"/>
      <c r="H31" s="13"/>
      <c r="I31" s="13">
        <v>1</v>
      </c>
      <c r="J31" s="14"/>
      <c r="K31" s="14"/>
      <c r="L31" s="13">
        <v>3</v>
      </c>
      <c r="M31" s="13"/>
      <c r="N31" s="13"/>
      <c r="O31" s="14" t="s">
        <v>76</v>
      </c>
      <c r="P31" s="14" t="s">
        <v>77</v>
      </c>
      <c r="Q31" s="14" t="s">
        <v>666</v>
      </c>
      <c r="R31" s="14">
        <v>8</v>
      </c>
      <c r="S31" s="14">
        <v>8</v>
      </c>
      <c r="T31" s="34">
        <v>5</v>
      </c>
      <c r="U31" s="14" t="s">
        <v>22</v>
      </c>
      <c r="V31" s="14">
        <f t="shared" si="4"/>
        <v>0.01</v>
      </c>
      <c r="W31" s="14">
        <f t="shared" si="5"/>
        <v>1664.9999999999998</v>
      </c>
      <c r="X31" s="17" t="s">
        <v>4059</v>
      </c>
      <c r="Y31" s="17"/>
      <c r="Z31" s="17"/>
      <c r="AA31" s="18">
        <v>96.325999999999993</v>
      </c>
      <c r="AB31" s="13"/>
      <c r="AC31" s="13"/>
      <c r="AD31" s="13"/>
      <c r="AE31" s="13"/>
      <c r="AF31" s="13"/>
      <c r="AG31" s="13"/>
      <c r="AH31" s="13"/>
      <c r="AI31" s="19"/>
      <c r="AJ31" s="14"/>
      <c r="AK31" s="13"/>
      <c r="AL31" s="37"/>
      <c r="AM31" s="37" t="s">
        <v>4141</v>
      </c>
      <c r="AN31" s="13" t="s">
        <v>376</v>
      </c>
      <c r="AO31" s="35">
        <v>44783</v>
      </c>
      <c r="AP31" s="20">
        <v>96.334999999999994</v>
      </c>
      <c r="AQ31" s="20">
        <f t="shared" si="9"/>
        <v>9.0000000000003411E-3</v>
      </c>
      <c r="AR31" s="94">
        <f t="shared" si="10"/>
        <v>119.88000000000453</v>
      </c>
      <c r="AS31" s="21">
        <f t="shared" si="11"/>
        <v>14.985000000000566</v>
      </c>
      <c r="AT31" s="22" t="s">
        <v>77</v>
      </c>
      <c r="AU31" s="17" t="s">
        <v>4142</v>
      </c>
      <c r="AV31" s="17" t="s">
        <v>4146</v>
      </c>
      <c r="AW31" s="13"/>
      <c r="AX31" s="13"/>
      <c r="AY31" s="13"/>
      <c r="AZ31" s="13"/>
    </row>
    <row r="32" spans="1:52" ht="12.75">
      <c r="A32" s="12">
        <v>44783</v>
      </c>
      <c r="B32" s="13"/>
      <c r="C32" s="13" t="s">
        <v>133</v>
      </c>
      <c r="D32" s="17" t="s">
        <v>4139</v>
      </c>
      <c r="E32" s="13" t="s">
        <v>4140</v>
      </c>
      <c r="F32" s="14" t="s">
        <v>4080</v>
      </c>
      <c r="G32" s="13"/>
      <c r="H32" s="13"/>
      <c r="I32" s="13">
        <v>1</v>
      </c>
      <c r="J32" s="14"/>
      <c r="K32" s="14"/>
      <c r="L32" s="13">
        <v>3</v>
      </c>
      <c r="M32" s="13"/>
      <c r="N32" s="13"/>
      <c r="O32" s="14" t="s">
        <v>76</v>
      </c>
      <c r="P32" s="14" t="s">
        <v>77</v>
      </c>
      <c r="Q32" s="14" t="s">
        <v>666</v>
      </c>
      <c r="R32" s="14">
        <v>3</v>
      </c>
      <c r="S32" s="14">
        <v>3</v>
      </c>
      <c r="T32" s="34">
        <v>1</v>
      </c>
      <c r="U32" s="14" t="s">
        <v>22</v>
      </c>
      <c r="V32" s="14">
        <f t="shared" si="4"/>
        <v>0.01</v>
      </c>
      <c r="W32" s="14">
        <f t="shared" si="5"/>
        <v>1664.9999999999998</v>
      </c>
      <c r="X32" s="17" t="s">
        <v>4059</v>
      </c>
      <c r="Y32" s="17"/>
      <c r="Z32" s="17"/>
      <c r="AA32" s="18">
        <v>96.29</v>
      </c>
      <c r="AB32" s="13"/>
      <c r="AC32" s="13"/>
      <c r="AD32" s="13"/>
      <c r="AE32" s="13"/>
      <c r="AF32" s="13"/>
      <c r="AG32" s="13"/>
      <c r="AH32" s="13"/>
      <c r="AI32" s="19"/>
      <c r="AJ32" s="14"/>
      <c r="AK32" s="13"/>
      <c r="AL32" s="37"/>
      <c r="AM32" s="37" t="s">
        <v>4141</v>
      </c>
      <c r="AN32" s="13" t="s">
        <v>376</v>
      </c>
      <c r="AO32" s="35">
        <v>44783</v>
      </c>
      <c r="AP32" s="20">
        <v>96.272000000000006</v>
      </c>
      <c r="AQ32" s="20">
        <f t="shared" si="9"/>
        <v>-1.8000000000000682E-2</v>
      </c>
      <c r="AR32" s="94">
        <f t="shared" si="10"/>
        <v>-89.910000000003393</v>
      </c>
      <c r="AS32" s="21">
        <f t="shared" si="11"/>
        <v>-29.970000000001132</v>
      </c>
      <c r="AT32" s="22" t="s">
        <v>211</v>
      </c>
      <c r="AU32" s="17" t="s">
        <v>4142</v>
      </c>
      <c r="AV32" s="13" t="s">
        <v>4147</v>
      </c>
      <c r="AW32" s="13"/>
      <c r="AX32" s="13"/>
      <c r="AY32" s="13"/>
      <c r="AZ32" s="13"/>
    </row>
    <row r="33" spans="1:52" ht="12.75">
      <c r="A33" s="12">
        <v>44783</v>
      </c>
      <c r="B33" s="13"/>
      <c r="C33" s="13" t="s">
        <v>133</v>
      </c>
      <c r="D33" s="17" t="s">
        <v>4139</v>
      </c>
      <c r="E33" s="13" t="s">
        <v>4140</v>
      </c>
      <c r="F33" s="14" t="s">
        <v>3319</v>
      </c>
      <c r="G33" s="13"/>
      <c r="H33" s="13"/>
      <c r="I33" s="13">
        <v>1</v>
      </c>
      <c r="J33" s="14"/>
      <c r="K33" s="14"/>
      <c r="L33" s="13">
        <v>3</v>
      </c>
      <c r="M33" s="13"/>
      <c r="N33" s="13"/>
      <c r="O33" s="14" t="s">
        <v>76</v>
      </c>
      <c r="P33" s="14" t="s">
        <v>119</v>
      </c>
      <c r="Q33" s="14" t="s">
        <v>666</v>
      </c>
      <c r="R33" s="14">
        <v>4</v>
      </c>
      <c r="S33" s="14">
        <v>4</v>
      </c>
      <c r="T33" s="34">
        <v>2</v>
      </c>
      <c r="U33" s="14" t="s">
        <v>22</v>
      </c>
      <c r="V33" s="14">
        <f t="shared" si="4"/>
        <v>0.01</v>
      </c>
      <c r="W33" s="14">
        <f t="shared" si="5"/>
        <v>1664.9999999999998</v>
      </c>
      <c r="X33" s="17" t="s">
        <v>4059</v>
      </c>
      <c r="Y33" s="17"/>
      <c r="Z33" s="17"/>
      <c r="AA33" s="18">
        <v>96.41</v>
      </c>
      <c r="AB33" s="13"/>
      <c r="AC33" s="13"/>
      <c r="AD33" s="13"/>
      <c r="AE33" s="13"/>
      <c r="AF33" s="13"/>
      <c r="AG33" s="13"/>
      <c r="AH33" s="13"/>
      <c r="AI33" s="19"/>
      <c r="AJ33" s="14"/>
      <c r="AK33" s="13"/>
      <c r="AL33" s="37"/>
      <c r="AM33" s="37" t="s">
        <v>4141</v>
      </c>
      <c r="AN33" s="13" t="s">
        <v>376</v>
      </c>
      <c r="AO33" s="35">
        <v>44783</v>
      </c>
      <c r="AP33" s="20">
        <v>96.421999999999997</v>
      </c>
      <c r="AQ33" s="20">
        <f t="shared" si="9"/>
        <v>1.2000000000000455E-2</v>
      </c>
      <c r="AR33" s="94">
        <f t="shared" si="10"/>
        <v>79.920000000003014</v>
      </c>
      <c r="AS33" s="21">
        <f t="shared" si="11"/>
        <v>19.980000000000754</v>
      </c>
      <c r="AT33" s="22" t="s">
        <v>77</v>
      </c>
      <c r="AU33" s="17" t="s">
        <v>4142</v>
      </c>
      <c r="AV33" s="13"/>
      <c r="AW33" s="13"/>
      <c r="AX33" s="13"/>
      <c r="AY33" s="13"/>
      <c r="AZ33" s="13"/>
    </row>
    <row r="34" spans="1:52" ht="12.75">
      <c r="A34" s="12">
        <v>44784</v>
      </c>
      <c r="B34" s="13"/>
      <c r="C34" s="13" t="s">
        <v>74</v>
      </c>
      <c r="D34" s="17"/>
      <c r="E34" s="13"/>
      <c r="F34" s="14" t="s">
        <v>4079</v>
      </c>
      <c r="G34" s="13"/>
      <c r="H34" s="13"/>
      <c r="I34" s="13"/>
      <c r="J34" s="14"/>
      <c r="K34" s="14"/>
      <c r="L34" s="13"/>
      <c r="M34" s="13">
        <v>3</v>
      </c>
      <c r="N34" s="13"/>
      <c r="O34" s="14" t="s">
        <v>76</v>
      </c>
      <c r="P34" s="14" t="s">
        <v>77</v>
      </c>
      <c r="Q34" s="14" t="s">
        <v>666</v>
      </c>
      <c r="R34" s="14">
        <v>10</v>
      </c>
      <c r="S34" s="14">
        <v>10</v>
      </c>
      <c r="T34" s="34">
        <v>4</v>
      </c>
      <c r="U34" s="14" t="s">
        <v>22</v>
      </c>
      <c r="V34" s="14">
        <f t="shared" si="4"/>
        <v>0.01</v>
      </c>
      <c r="W34" s="14">
        <f t="shared" si="5"/>
        <v>1664.9999999999998</v>
      </c>
      <c r="X34" s="13" t="s">
        <v>4148</v>
      </c>
      <c r="Y34" s="17"/>
      <c r="Z34" s="17"/>
      <c r="AA34" s="18">
        <v>96.299000000000007</v>
      </c>
      <c r="AB34" s="13"/>
      <c r="AC34" s="13"/>
      <c r="AD34" s="13"/>
      <c r="AE34" s="13"/>
      <c r="AF34" s="13" t="s">
        <v>4149</v>
      </c>
      <c r="AG34" s="13"/>
      <c r="AH34" s="13"/>
      <c r="AI34" s="19"/>
      <c r="AJ34" s="14"/>
      <c r="AK34" s="13" t="s">
        <v>4150</v>
      </c>
      <c r="AL34" s="13"/>
      <c r="AM34" s="13" t="s">
        <v>4151</v>
      </c>
      <c r="AN34" s="13" t="s">
        <v>87</v>
      </c>
      <c r="AO34" s="13"/>
      <c r="AP34" s="20">
        <v>96.24</v>
      </c>
      <c r="AQ34" s="20">
        <f t="shared" si="9"/>
        <v>-5.900000000001171E-2</v>
      </c>
      <c r="AR34" s="94">
        <f t="shared" si="10"/>
        <v>-982.35000000019477</v>
      </c>
      <c r="AS34" s="21">
        <f t="shared" si="11"/>
        <v>-98.235000000019483</v>
      </c>
      <c r="AT34" s="22" t="s">
        <v>211</v>
      </c>
      <c r="AU34" s="17" t="s">
        <v>4152</v>
      </c>
      <c r="AV34" s="17" t="s">
        <v>4153</v>
      </c>
      <c r="AW34" s="96" t="s">
        <v>4154</v>
      </c>
      <c r="AX34" s="13"/>
      <c r="AY34" s="13"/>
      <c r="AZ34" s="13"/>
    </row>
    <row r="35" spans="1:52" ht="12.75">
      <c r="A35" s="12">
        <v>44784</v>
      </c>
      <c r="B35" s="13"/>
      <c r="C35" s="13" t="s">
        <v>74</v>
      </c>
      <c r="D35" s="17"/>
      <c r="E35" s="13"/>
      <c r="F35" s="14" t="s">
        <v>4078</v>
      </c>
      <c r="G35" s="13"/>
      <c r="H35" s="13"/>
      <c r="I35" s="13"/>
      <c r="J35" s="14"/>
      <c r="K35" s="14"/>
      <c r="L35" s="13"/>
      <c r="M35" s="13">
        <v>3</v>
      </c>
      <c r="N35" s="13"/>
      <c r="O35" s="14" t="s">
        <v>76</v>
      </c>
      <c r="P35" s="14" t="s">
        <v>77</v>
      </c>
      <c r="Q35" s="14" t="s">
        <v>666</v>
      </c>
      <c r="R35" s="14">
        <v>2</v>
      </c>
      <c r="S35" s="14">
        <v>2</v>
      </c>
      <c r="T35" s="34">
        <v>1</v>
      </c>
      <c r="U35" s="14" t="s">
        <v>22</v>
      </c>
      <c r="V35" s="14">
        <f t="shared" si="4"/>
        <v>0.01</v>
      </c>
      <c r="W35" s="14">
        <f t="shared" si="5"/>
        <v>1664.9999999999998</v>
      </c>
      <c r="X35" s="13" t="s">
        <v>4148</v>
      </c>
      <c r="Y35" s="17"/>
      <c r="Z35" s="17"/>
      <c r="AA35" s="18">
        <v>97.38</v>
      </c>
      <c r="AB35" s="13"/>
      <c r="AC35" s="13"/>
      <c r="AD35" s="13"/>
      <c r="AE35" s="13"/>
      <c r="AF35" s="13" t="s">
        <v>4149</v>
      </c>
      <c r="AG35" s="13"/>
      <c r="AH35" s="13"/>
      <c r="AI35" s="19"/>
      <c r="AJ35" s="14"/>
      <c r="AK35" s="13" t="s">
        <v>4155</v>
      </c>
      <c r="AL35" s="13"/>
      <c r="AM35" s="13" t="s">
        <v>4151</v>
      </c>
      <c r="AN35" s="13" t="s">
        <v>87</v>
      </c>
      <c r="AO35" s="13"/>
      <c r="AP35" s="20">
        <v>97.33</v>
      </c>
      <c r="AQ35" s="20">
        <f t="shared" si="9"/>
        <v>-4.9999999999997158E-2</v>
      </c>
      <c r="AR35" s="94">
        <f t="shared" si="10"/>
        <v>-166.49999999999051</v>
      </c>
      <c r="AS35" s="21">
        <f t="shared" si="11"/>
        <v>-83.249999999995254</v>
      </c>
      <c r="AT35" s="22" t="s">
        <v>211</v>
      </c>
      <c r="AU35" s="17" t="s">
        <v>4156</v>
      </c>
      <c r="AV35" s="17" t="s">
        <v>4153</v>
      </c>
      <c r="AW35" s="13" t="s">
        <v>4157</v>
      </c>
      <c r="AX35" s="13"/>
      <c r="AY35" s="13"/>
      <c r="AZ35" s="13"/>
    </row>
    <row r="36" spans="1:52" ht="12.75">
      <c r="A36" s="12">
        <v>44784</v>
      </c>
      <c r="B36" s="13"/>
      <c r="C36" s="13" t="s">
        <v>74</v>
      </c>
      <c r="D36" s="17"/>
      <c r="E36" s="13"/>
      <c r="F36" s="14" t="s">
        <v>4080</v>
      </c>
      <c r="G36" s="13"/>
      <c r="H36" s="13"/>
      <c r="I36" s="13"/>
      <c r="J36" s="14"/>
      <c r="K36" s="14"/>
      <c r="L36" s="13"/>
      <c r="M36" s="13">
        <v>3</v>
      </c>
      <c r="N36" s="13"/>
      <c r="O36" s="14" t="s">
        <v>76</v>
      </c>
      <c r="P36" s="14" t="s">
        <v>77</v>
      </c>
      <c r="Q36" s="14" t="s">
        <v>666</v>
      </c>
      <c r="R36" s="14">
        <v>10</v>
      </c>
      <c r="S36" s="14">
        <v>10</v>
      </c>
      <c r="T36" s="34">
        <v>3</v>
      </c>
      <c r="U36" s="14" t="s">
        <v>22</v>
      </c>
      <c r="V36" s="14">
        <f t="shared" si="4"/>
        <v>0.01</v>
      </c>
      <c r="W36" s="14">
        <f t="shared" si="5"/>
        <v>1664.9999999999998</v>
      </c>
      <c r="X36" s="13" t="s">
        <v>4148</v>
      </c>
      <c r="Y36" s="17"/>
      <c r="Z36" s="17"/>
      <c r="AA36" s="18">
        <v>96.284999999999997</v>
      </c>
      <c r="AB36" s="13"/>
      <c r="AC36" s="13"/>
      <c r="AD36" s="13"/>
      <c r="AE36" s="13"/>
      <c r="AF36" s="13">
        <v>96.33</v>
      </c>
      <c r="AG36" s="13"/>
      <c r="AH36" s="13"/>
      <c r="AI36" s="19"/>
      <c r="AJ36" s="14"/>
      <c r="AK36" s="13" t="s">
        <v>4158</v>
      </c>
      <c r="AL36" s="13"/>
      <c r="AM36" s="13" t="s">
        <v>4151</v>
      </c>
      <c r="AN36" s="13" t="s">
        <v>87</v>
      </c>
      <c r="AO36" s="13"/>
      <c r="AP36" s="20">
        <v>96.21</v>
      </c>
      <c r="AQ36" s="20">
        <f t="shared" si="9"/>
        <v>-7.5000000000002842E-2</v>
      </c>
      <c r="AR36" s="94">
        <f t="shared" si="10"/>
        <v>-1248.7500000000473</v>
      </c>
      <c r="AS36" s="21">
        <f t="shared" si="11"/>
        <v>-124.87500000000472</v>
      </c>
      <c r="AT36" s="22" t="s">
        <v>211</v>
      </c>
      <c r="AU36" s="17" t="s">
        <v>4159</v>
      </c>
      <c r="AV36" s="95" t="s">
        <v>4153</v>
      </c>
      <c r="AW36" s="13"/>
      <c r="AX36" s="13"/>
      <c r="AY36" s="13"/>
      <c r="AZ36" s="13"/>
    </row>
    <row r="37" spans="1:52" ht="12.75">
      <c r="A37" s="12">
        <v>44784</v>
      </c>
      <c r="B37" s="13"/>
      <c r="C37" s="13" t="s">
        <v>74</v>
      </c>
      <c r="D37" s="17"/>
      <c r="E37" s="13"/>
      <c r="F37" s="14" t="s">
        <v>4071</v>
      </c>
      <c r="G37" s="13"/>
      <c r="H37" s="13"/>
      <c r="I37" s="13"/>
      <c r="J37" s="14"/>
      <c r="K37" s="14"/>
      <c r="L37" s="13"/>
      <c r="M37" s="13">
        <v>3</v>
      </c>
      <c r="N37" s="13"/>
      <c r="O37" s="14" t="s">
        <v>76</v>
      </c>
      <c r="P37" s="14" t="s">
        <v>77</v>
      </c>
      <c r="Q37" s="14" t="s">
        <v>666</v>
      </c>
      <c r="R37" s="14">
        <v>3</v>
      </c>
      <c r="S37" s="14">
        <v>3</v>
      </c>
      <c r="T37" s="34">
        <v>1</v>
      </c>
      <c r="U37" s="14" t="s">
        <v>22</v>
      </c>
      <c r="V37" s="14">
        <f t="shared" si="4"/>
        <v>0.01</v>
      </c>
      <c r="W37" s="14">
        <f t="shared" si="5"/>
        <v>1664.9999999999998</v>
      </c>
      <c r="X37" s="13" t="s">
        <v>4148</v>
      </c>
      <c r="Y37" s="17"/>
      <c r="Z37" s="17"/>
      <c r="AA37" s="18">
        <v>96.53</v>
      </c>
      <c r="AB37" s="13"/>
      <c r="AC37" s="13"/>
      <c r="AD37" s="13"/>
      <c r="AE37" s="13"/>
      <c r="AF37" s="13" t="s">
        <v>4149</v>
      </c>
      <c r="AG37" s="13"/>
      <c r="AH37" s="13"/>
      <c r="AI37" s="19"/>
      <c r="AJ37" s="14"/>
      <c r="AK37" s="13" t="s">
        <v>4160</v>
      </c>
      <c r="AL37" s="13"/>
      <c r="AM37" s="13" t="s">
        <v>4151</v>
      </c>
      <c r="AN37" s="13" t="s">
        <v>87</v>
      </c>
      <c r="AO37" s="13"/>
      <c r="AP37" s="20">
        <v>96.44</v>
      </c>
      <c r="AQ37" s="20">
        <f t="shared" si="9"/>
        <v>-9.0000000000003411E-2</v>
      </c>
      <c r="AR37" s="94">
        <f t="shared" si="10"/>
        <v>-449.55000000001695</v>
      </c>
      <c r="AS37" s="21">
        <f t="shared" si="11"/>
        <v>-149.85000000000565</v>
      </c>
      <c r="AT37" s="22" t="s">
        <v>211</v>
      </c>
      <c r="AU37" s="17" t="s">
        <v>4159</v>
      </c>
      <c r="AV37" s="95" t="s">
        <v>4153</v>
      </c>
      <c r="AW37" s="13"/>
      <c r="AX37" s="13"/>
      <c r="AY37" s="13"/>
      <c r="AZ37" s="13"/>
    </row>
    <row r="38" spans="1:52" ht="12.75">
      <c r="A38" s="12">
        <v>44784</v>
      </c>
      <c r="B38" s="13"/>
      <c r="C38" s="13" t="s">
        <v>74</v>
      </c>
      <c r="D38" s="17"/>
      <c r="E38" s="13"/>
      <c r="F38" s="14" t="s">
        <v>4079</v>
      </c>
      <c r="G38" s="13"/>
      <c r="H38" s="13"/>
      <c r="I38" s="13"/>
      <c r="J38" s="14"/>
      <c r="K38" s="14"/>
      <c r="L38" s="13"/>
      <c r="M38" s="13"/>
      <c r="N38" s="13"/>
      <c r="O38" s="14" t="s">
        <v>76</v>
      </c>
      <c r="P38" s="14" t="s">
        <v>77</v>
      </c>
      <c r="Q38" s="14" t="s">
        <v>666</v>
      </c>
      <c r="R38" s="14">
        <v>10</v>
      </c>
      <c r="S38" s="14">
        <v>10</v>
      </c>
      <c r="T38" s="14">
        <v>10</v>
      </c>
      <c r="U38" s="14" t="s">
        <v>22</v>
      </c>
      <c r="V38" s="14">
        <f t="shared" si="4"/>
        <v>0.01</v>
      </c>
      <c r="W38" s="14">
        <f t="shared" si="5"/>
        <v>1664.9999999999998</v>
      </c>
      <c r="X38" s="17"/>
      <c r="Y38" s="17" t="s">
        <v>4161</v>
      </c>
      <c r="Z38" s="17"/>
      <c r="AA38" s="18">
        <v>96.24</v>
      </c>
      <c r="AB38" s="95"/>
      <c r="AC38" s="95" t="s">
        <v>4162</v>
      </c>
      <c r="AD38" s="13"/>
      <c r="AE38" s="13"/>
      <c r="AF38" s="13">
        <v>96.3</v>
      </c>
      <c r="AG38" s="13"/>
      <c r="AH38" s="13"/>
      <c r="AI38" s="19"/>
      <c r="AJ38" s="14"/>
      <c r="AK38" s="13"/>
      <c r="AL38" s="13"/>
      <c r="AM38" s="13"/>
      <c r="AN38" s="13"/>
      <c r="AO38" s="13"/>
      <c r="AP38" s="20">
        <v>96.19</v>
      </c>
      <c r="AQ38" s="20">
        <f t="shared" si="9"/>
        <v>-4.9999999999997158E-2</v>
      </c>
      <c r="AR38" s="94">
        <f t="shared" si="10"/>
        <v>-832.49999999995248</v>
      </c>
      <c r="AS38" s="21">
        <f t="shared" si="11"/>
        <v>-83.249999999995254</v>
      </c>
      <c r="AT38" s="22" t="s">
        <v>211</v>
      </c>
      <c r="AU38" s="17" t="s">
        <v>4117</v>
      </c>
      <c r="AV38" s="13"/>
      <c r="AW38" s="13"/>
      <c r="AX38" s="13"/>
      <c r="AY38" s="13"/>
      <c r="AZ38" s="13"/>
    </row>
    <row r="39" spans="1:52" ht="12.75">
      <c r="A39" s="12">
        <v>44784</v>
      </c>
      <c r="B39" s="13"/>
      <c r="C39" s="13" t="s">
        <v>74</v>
      </c>
      <c r="D39" s="17"/>
      <c r="E39" s="13"/>
      <c r="F39" s="14" t="s">
        <v>4080</v>
      </c>
      <c r="G39" s="13"/>
      <c r="H39" s="13"/>
      <c r="I39" s="13"/>
      <c r="J39" s="14"/>
      <c r="K39" s="14"/>
      <c r="L39" s="13"/>
      <c r="M39" s="13">
        <v>2</v>
      </c>
      <c r="N39" s="13"/>
      <c r="O39" s="14" t="s">
        <v>76</v>
      </c>
      <c r="P39" s="14" t="s">
        <v>77</v>
      </c>
      <c r="Q39" s="14" t="s">
        <v>666</v>
      </c>
      <c r="R39" s="14">
        <v>10</v>
      </c>
      <c r="S39" s="14"/>
      <c r="T39" s="14">
        <v>10</v>
      </c>
      <c r="U39" s="14" t="s">
        <v>22</v>
      </c>
      <c r="V39" s="14">
        <f t="shared" si="4"/>
        <v>0.01</v>
      </c>
      <c r="W39" s="14">
        <f t="shared" si="5"/>
        <v>1664.9999999999998</v>
      </c>
      <c r="X39" s="17"/>
      <c r="Y39" s="17" t="s">
        <v>4161</v>
      </c>
      <c r="Z39" s="17"/>
      <c r="AA39" s="18">
        <v>96.21</v>
      </c>
      <c r="AB39" s="13"/>
      <c r="AC39" s="13" t="s">
        <v>4163</v>
      </c>
      <c r="AD39" s="13"/>
      <c r="AE39" s="13">
        <v>96.45</v>
      </c>
      <c r="AF39" s="13">
        <v>96.33</v>
      </c>
      <c r="AG39" s="13"/>
      <c r="AH39" s="13"/>
      <c r="AI39" s="19"/>
      <c r="AJ39" s="14"/>
      <c r="AK39" s="13"/>
      <c r="AL39" s="13"/>
      <c r="AM39" s="13"/>
      <c r="AN39" s="13"/>
      <c r="AO39" s="13"/>
      <c r="AP39" s="20">
        <v>96.15</v>
      </c>
      <c r="AQ39" s="20">
        <f t="shared" si="9"/>
        <v>-5.9999999999988063E-2</v>
      </c>
      <c r="AR39" s="94">
        <f t="shared" si="10"/>
        <v>-998.99999999980105</v>
      </c>
      <c r="AS39" s="21">
        <f t="shared" si="11"/>
        <v>-99.89999999998011</v>
      </c>
      <c r="AT39" s="22" t="s">
        <v>211</v>
      </c>
      <c r="AU39" s="17" t="s">
        <v>4117</v>
      </c>
      <c r="AV39" s="17" t="s">
        <v>4164</v>
      </c>
      <c r="AW39" s="13"/>
      <c r="AX39" s="13"/>
      <c r="AY39" s="13"/>
      <c r="AZ39" s="13"/>
    </row>
    <row r="40" spans="1:52" ht="12.75">
      <c r="A40" s="12">
        <v>44784</v>
      </c>
      <c r="B40" s="13"/>
      <c r="C40" s="13" t="s">
        <v>74</v>
      </c>
      <c r="D40" s="17"/>
      <c r="E40" s="13"/>
      <c r="F40" s="14" t="s">
        <v>4079</v>
      </c>
      <c r="G40" s="13"/>
      <c r="H40" s="13"/>
      <c r="I40" s="13"/>
      <c r="J40" s="14"/>
      <c r="K40" s="14"/>
      <c r="L40" s="13"/>
      <c r="M40" s="13"/>
      <c r="N40" s="13">
        <v>2</v>
      </c>
      <c r="O40" s="14" t="s">
        <v>76</v>
      </c>
      <c r="P40" s="14" t="s">
        <v>77</v>
      </c>
      <c r="Q40" s="14" t="s">
        <v>666</v>
      </c>
      <c r="R40" s="14">
        <v>1</v>
      </c>
      <c r="S40" s="14">
        <v>1</v>
      </c>
      <c r="T40" s="14">
        <v>1</v>
      </c>
      <c r="U40" s="14" t="s">
        <v>78</v>
      </c>
      <c r="V40" s="14">
        <f t="shared" si="4"/>
        <v>0.01</v>
      </c>
      <c r="W40" s="14">
        <f t="shared" si="5"/>
        <v>1664.9999999999998</v>
      </c>
      <c r="X40" s="13" t="s">
        <v>4165</v>
      </c>
      <c r="Y40" s="17"/>
      <c r="Z40" s="17"/>
      <c r="AA40" s="18">
        <v>96.22</v>
      </c>
      <c r="AB40" s="95"/>
      <c r="AC40" s="95" t="s">
        <v>4166</v>
      </c>
      <c r="AD40" s="13"/>
      <c r="AE40" s="13">
        <v>96.2</v>
      </c>
      <c r="AF40" s="13" t="s">
        <v>4167</v>
      </c>
      <c r="AG40" s="13"/>
      <c r="AH40" s="13"/>
      <c r="AI40" s="19"/>
      <c r="AJ40" s="14"/>
      <c r="AK40" s="13"/>
      <c r="AL40" s="13"/>
      <c r="AM40" s="13" t="s">
        <v>4168</v>
      </c>
      <c r="AN40" s="13" t="s">
        <v>87</v>
      </c>
      <c r="AO40" s="13"/>
      <c r="AP40" s="20">
        <v>96.24</v>
      </c>
      <c r="AQ40" s="20">
        <f t="shared" si="9"/>
        <v>-1.9999999999996021E-2</v>
      </c>
      <c r="AR40" s="94">
        <f t="shared" si="10"/>
        <v>-33.299999999993368</v>
      </c>
      <c r="AS40" s="21">
        <f t="shared" si="11"/>
        <v>-33.299999999993368</v>
      </c>
      <c r="AT40" s="22" t="s">
        <v>211</v>
      </c>
      <c r="AU40" s="17" t="s">
        <v>4169</v>
      </c>
      <c r="AV40" s="17" t="s">
        <v>4170</v>
      </c>
      <c r="AW40" s="13"/>
      <c r="AX40" s="13"/>
      <c r="AY40" s="13"/>
      <c r="AZ40" s="13"/>
    </row>
    <row r="41" spans="1:52" ht="12.75">
      <c r="A41" s="12">
        <v>44784</v>
      </c>
      <c r="B41" s="13"/>
      <c r="C41" s="13" t="s">
        <v>74</v>
      </c>
      <c r="D41" s="17"/>
      <c r="E41" s="13"/>
      <c r="F41" s="34" t="s">
        <v>4171</v>
      </c>
      <c r="G41" s="13"/>
      <c r="H41" s="13"/>
      <c r="I41" s="13"/>
      <c r="J41" s="14"/>
      <c r="K41" s="14"/>
      <c r="L41" s="13"/>
      <c r="M41" s="13">
        <v>2</v>
      </c>
      <c r="N41" s="13"/>
      <c r="O41" s="14" t="s">
        <v>76</v>
      </c>
      <c r="P41" s="14"/>
      <c r="Q41" s="14"/>
      <c r="R41" s="14">
        <v>4</v>
      </c>
      <c r="S41" s="14">
        <v>4</v>
      </c>
      <c r="T41" s="14"/>
      <c r="U41" s="14" t="s">
        <v>78</v>
      </c>
      <c r="V41" s="14">
        <f t="shared" si="4"/>
        <v>0.01</v>
      </c>
      <c r="W41" s="14">
        <f t="shared" si="5"/>
        <v>1664.9999999999998</v>
      </c>
      <c r="X41" s="17" t="s">
        <v>4172</v>
      </c>
      <c r="Y41" s="17"/>
      <c r="Z41" s="17"/>
      <c r="AA41" s="18">
        <v>-0.05</v>
      </c>
      <c r="AB41" s="13"/>
      <c r="AC41" s="13"/>
      <c r="AD41" s="13"/>
      <c r="AE41" s="13" t="s">
        <v>4173</v>
      </c>
      <c r="AF41" s="13"/>
      <c r="AG41" s="13"/>
      <c r="AH41" s="13"/>
      <c r="AI41" s="19"/>
      <c r="AJ41" s="14"/>
      <c r="AK41" s="13" t="s">
        <v>4174</v>
      </c>
      <c r="AL41" s="13"/>
      <c r="AM41" s="13"/>
      <c r="AN41" s="13"/>
      <c r="AO41" s="13"/>
      <c r="AP41" s="20"/>
      <c r="AQ41" s="13">
        <f t="shared" si="9"/>
        <v>0</v>
      </c>
      <c r="AR41" s="94">
        <f t="shared" si="10"/>
        <v>0</v>
      </c>
      <c r="AS41" s="21">
        <f t="shared" si="11"/>
        <v>0</v>
      </c>
      <c r="AT41" s="22"/>
      <c r="AU41" s="13" t="s">
        <v>4175</v>
      </c>
      <c r="AV41" s="13"/>
      <c r="AW41" s="13"/>
      <c r="AX41" s="13"/>
      <c r="AY41" s="13"/>
      <c r="AZ41" s="13"/>
    </row>
    <row r="42" spans="1:52" ht="12.75">
      <c r="A42" s="12"/>
      <c r="B42" s="13"/>
      <c r="C42" s="13"/>
      <c r="D42" s="17"/>
      <c r="E42" s="13"/>
      <c r="F42" s="97">
        <v>44643</v>
      </c>
      <c r="G42" s="13"/>
      <c r="H42" s="13"/>
      <c r="I42" s="13"/>
      <c r="J42" s="14"/>
      <c r="K42" s="14"/>
      <c r="L42" s="13"/>
      <c r="M42" s="13"/>
      <c r="N42" s="13"/>
      <c r="O42" s="14" t="s">
        <v>76</v>
      </c>
      <c r="P42" s="14" t="s">
        <v>77</v>
      </c>
      <c r="Q42" s="14" t="s">
        <v>666</v>
      </c>
      <c r="R42" s="14">
        <v>2</v>
      </c>
      <c r="S42" s="14">
        <v>2</v>
      </c>
      <c r="T42" s="14"/>
      <c r="U42" s="14" t="s">
        <v>78</v>
      </c>
      <c r="V42" s="14">
        <f t="shared" si="4"/>
        <v>0.01</v>
      </c>
      <c r="W42" s="14">
        <f t="shared" si="5"/>
        <v>1664.9999999999998</v>
      </c>
      <c r="X42" s="17"/>
      <c r="Y42" s="17"/>
      <c r="Z42" s="17"/>
      <c r="AA42" s="18">
        <v>96.24</v>
      </c>
      <c r="AB42" s="13"/>
      <c r="AC42" s="13" t="s">
        <v>4176</v>
      </c>
      <c r="AD42" s="13"/>
      <c r="AE42" s="13"/>
      <c r="AF42" s="13"/>
      <c r="AG42" s="13"/>
      <c r="AH42" s="13"/>
      <c r="AI42" s="19"/>
      <c r="AJ42" s="14"/>
      <c r="AK42" s="13"/>
      <c r="AL42" s="13"/>
      <c r="AM42" s="13" t="s">
        <v>4177</v>
      </c>
      <c r="AN42" s="13" t="s">
        <v>77</v>
      </c>
      <c r="AO42" s="35">
        <v>44790</v>
      </c>
      <c r="AP42" s="20">
        <v>96.29</v>
      </c>
      <c r="AQ42" s="20">
        <f t="shared" si="9"/>
        <v>-5.0000000000011369E-2</v>
      </c>
      <c r="AR42" s="94">
        <f t="shared" si="10"/>
        <v>-166.50000000003783</v>
      </c>
      <c r="AS42" s="21">
        <f t="shared" si="11"/>
        <v>-83.250000000018915</v>
      </c>
      <c r="AT42" s="22" t="s">
        <v>211</v>
      </c>
      <c r="AU42" s="13"/>
      <c r="AV42" s="13"/>
      <c r="AW42" s="13"/>
      <c r="AX42" s="13"/>
      <c r="AY42" s="13"/>
      <c r="AZ42" s="13"/>
    </row>
    <row r="43" spans="1:52" ht="12.75">
      <c r="A43" s="12"/>
      <c r="B43" s="13"/>
      <c r="C43" s="13"/>
      <c r="D43" s="17"/>
      <c r="E43" s="13"/>
      <c r="F43" s="97">
        <v>44827</v>
      </c>
      <c r="G43" s="13"/>
      <c r="H43" s="13"/>
      <c r="I43" s="13"/>
      <c r="J43" s="14"/>
      <c r="K43" s="14"/>
      <c r="L43" s="13"/>
      <c r="M43" s="13"/>
      <c r="N43" s="13"/>
      <c r="O43" s="14" t="s">
        <v>76</v>
      </c>
      <c r="P43" s="14"/>
      <c r="Q43" s="14"/>
      <c r="R43" s="14">
        <v>2</v>
      </c>
      <c r="S43" s="14">
        <v>2</v>
      </c>
      <c r="T43" s="14"/>
      <c r="U43" s="14"/>
      <c r="V43" s="14">
        <f t="shared" si="4"/>
        <v>0.01</v>
      </c>
      <c r="W43" s="14">
        <f t="shared" si="5"/>
        <v>1664.9999999999998</v>
      </c>
      <c r="X43" s="17"/>
      <c r="Y43" s="17"/>
      <c r="Z43" s="17"/>
      <c r="AA43" s="18">
        <v>96.29</v>
      </c>
      <c r="AB43" s="13"/>
      <c r="AC43" s="13"/>
      <c r="AD43" s="13"/>
      <c r="AE43" s="13"/>
      <c r="AF43" s="13"/>
      <c r="AG43" s="13"/>
      <c r="AH43" s="13"/>
      <c r="AI43" s="19"/>
      <c r="AJ43" s="14"/>
      <c r="AK43" s="13"/>
      <c r="AL43" s="13"/>
      <c r="AM43" s="13"/>
      <c r="AN43" s="13"/>
      <c r="AO43" s="13"/>
      <c r="AP43" s="20"/>
      <c r="AQ43" s="13"/>
      <c r="AR43" s="94"/>
      <c r="AS43" s="21"/>
      <c r="AT43" s="22"/>
      <c r="AU43" s="13"/>
      <c r="AV43" s="13"/>
      <c r="AW43" s="13"/>
      <c r="AX43" s="13"/>
      <c r="AY43" s="13"/>
      <c r="AZ43" s="13"/>
    </row>
    <row r="44" spans="1:52" ht="12.75">
      <c r="A44" s="12">
        <v>44785</v>
      </c>
      <c r="B44" s="13"/>
      <c r="C44" s="13" t="s">
        <v>93</v>
      </c>
      <c r="D44" s="17"/>
      <c r="E44" s="13"/>
      <c r="F44" s="14" t="s">
        <v>4178</v>
      </c>
      <c r="G44" s="13"/>
      <c r="H44" s="13"/>
      <c r="I44" s="13"/>
      <c r="J44" s="14"/>
      <c r="K44" s="14"/>
      <c r="L44" s="13">
        <v>1</v>
      </c>
      <c r="M44" s="13"/>
      <c r="N44" s="13">
        <v>3</v>
      </c>
      <c r="O44" s="14" t="s">
        <v>76</v>
      </c>
      <c r="P44" s="14" t="s">
        <v>119</v>
      </c>
      <c r="Q44" s="14" t="s">
        <v>666</v>
      </c>
      <c r="R44" s="14">
        <v>3</v>
      </c>
      <c r="S44" s="14">
        <v>3</v>
      </c>
      <c r="T44" s="14">
        <v>2</v>
      </c>
      <c r="U44" s="14" t="s">
        <v>78</v>
      </c>
      <c r="V44" s="14">
        <f t="shared" si="4"/>
        <v>0.01</v>
      </c>
      <c r="W44" s="14">
        <f t="shared" si="5"/>
        <v>1664.9999999999998</v>
      </c>
      <c r="X44" s="13" t="s">
        <v>4179</v>
      </c>
      <c r="Y44" s="17"/>
      <c r="Z44" s="17"/>
      <c r="AA44" s="18">
        <v>96.3</v>
      </c>
      <c r="AB44" s="13"/>
      <c r="AC44" s="13" t="s">
        <v>4180</v>
      </c>
      <c r="AD44" s="13"/>
      <c r="AE44" s="13">
        <v>96.25</v>
      </c>
      <c r="AF44" s="13"/>
      <c r="AG44" s="13"/>
      <c r="AH44" s="13"/>
      <c r="AI44" s="19"/>
      <c r="AJ44" s="14"/>
      <c r="AK44" s="13" t="s">
        <v>4151</v>
      </c>
      <c r="AL44" s="13"/>
      <c r="AM44" s="13"/>
      <c r="AN44" s="13" t="s">
        <v>87</v>
      </c>
      <c r="AO44" s="13"/>
      <c r="AP44" s="20">
        <v>96.32</v>
      </c>
      <c r="AQ44" s="20">
        <f t="shared" ref="AQ44:AQ45" si="12">IF(ISBLANK(AP44),,IF(U44="S",AA44-AP44,AP44-AA44))</f>
        <v>-1.9999999999996021E-2</v>
      </c>
      <c r="AR44" s="94">
        <f t="shared" ref="AR44:AR45" si="13">AS44*R44</f>
        <v>-99.89999999998011</v>
      </c>
      <c r="AS44" s="21">
        <f t="shared" ref="AS44:AS45" si="14">IF(ISBLANK(AP44),,(AQ44*W44))</f>
        <v>-33.299999999993368</v>
      </c>
      <c r="AT44" s="22" t="s">
        <v>211</v>
      </c>
      <c r="AU44" s="13" t="s">
        <v>4181</v>
      </c>
      <c r="AV44" s="13" t="s">
        <v>4182</v>
      </c>
      <c r="AW44" s="13" t="s">
        <v>4183</v>
      </c>
      <c r="AX44" s="13"/>
      <c r="AY44" s="13"/>
      <c r="AZ44" s="13"/>
    </row>
    <row r="45" spans="1:52" ht="12.75">
      <c r="A45" s="12">
        <v>44785</v>
      </c>
      <c r="B45" s="13"/>
      <c r="C45" s="13" t="s">
        <v>93</v>
      </c>
      <c r="D45" s="17"/>
      <c r="E45" s="13"/>
      <c r="F45" s="14" t="s">
        <v>4080</v>
      </c>
      <c r="G45" s="13"/>
      <c r="H45" s="13"/>
      <c r="I45" s="13"/>
      <c r="J45" s="14"/>
      <c r="K45" s="14"/>
      <c r="L45" s="13">
        <v>1</v>
      </c>
      <c r="M45" s="13"/>
      <c r="N45" s="13">
        <v>3</v>
      </c>
      <c r="O45" s="14" t="s">
        <v>76</v>
      </c>
      <c r="P45" s="14" t="s">
        <v>77</v>
      </c>
      <c r="Q45" s="14" t="s">
        <v>666</v>
      </c>
      <c r="R45" s="14">
        <v>3</v>
      </c>
      <c r="S45" s="14">
        <v>3</v>
      </c>
      <c r="T45" s="14">
        <v>1</v>
      </c>
      <c r="U45" s="14" t="s">
        <v>78</v>
      </c>
      <c r="V45" s="14">
        <f t="shared" si="4"/>
        <v>0.01</v>
      </c>
      <c r="W45" s="14">
        <f t="shared" si="5"/>
        <v>1664.9999999999998</v>
      </c>
      <c r="X45" s="13" t="s">
        <v>4179</v>
      </c>
      <c r="Y45" s="17"/>
      <c r="Z45" s="17"/>
      <c r="AA45" s="18">
        <v>96.12</v>
      </c>
      <c r="AB45" s="13"/>
      <c r="AC45" s="13" t="s">
        <v>4184</v>
      </c>
      <c r="AD45" s="13"/>
      <c r="AE45" s="13">
        <v>96.09</v>
      </c>
      <c r="AF45" s="13"/>
      <c r="AG45" s="13"/>
      <c r="AH45" s="13"/>
      <c r="AI45" s="19"/>
      <c r="AJ45" s="14"/>
      <c r="AK45" s="13" t="s">
        <v>4151</v>
      </c>
      <c r="AL45" s="13"/>
      <c r="AM45" s="13"/>
      <c r="AN45" s="13" t="s">
        <v>87</v>
      </c>
      <c r="AO45" s="13"/>
      <c r="AP45" s="20">
        <v>96.16</v>
      </c>
      <c r="AQ45" s="20">
        <f t="shared" si="12"/>
        <v>-3.9999999999992042E-2</v>
      </c>
      <c r="AR45" s="94">
        <f t="shared" si="13"/>
        <v>-199.79999999996022</v>
      </c>
      <c r="AS45" s="21">
        <f t="shared" si="14"/>
        <v>-66.599999999986736</v>
      </c>
      <c r="AT45" s="22" t="s">
        <v>211</v>
      </c>
      <c r="AU45" s="13" t="s">
        <v>4181</v>
      </c>
      <c r="AV45" s="13" t="s">
        <v>4117</v>
      </c>
      <c r="AW45" s="13" t="s">
        <v>4183</v>
      </c>
      <c r="AX45" s="13"/>
      <c r="AY45" s="13"/>
      <c r="AZ45" s="13"/>
    </row>
    <row r="46" spans="1:52" ht="12.75">
      <c r="A46" s="12">
        <v>44785</v>
      </c>
      <c r="B46" s="13"/>
      <c r="C46" s="13" t="s">
        <v>93</v>
      </c>
      <c r="D46" s="17"/>
      <c r="E46" s="13"/>
      <c r="F46" s="14"/>
      <c r="G46" s="13"/>
      <c r="H46" s="13"/>
      <c r="I46" s="13"/>
      <c r="J46" s="13"/>
      <c r="K46" s="13"/>
      <c r="L46" s="13"/>
      <c r="M46" s="13"/>
      <c r="N46" s="13"/>
      <c r="O46" s="14"/>
      <c r="P46" s="14"/>
      <c r="Q46" s="14"/>
      <c r="R46" s="14"/>
      <c r="S46" s="14"/>
      <c r="T46" s="14"/>
      <c r="U46" s="14"/>
      <c r="V46" s="14"/>
      <c r="W46" s="14"/>
      <c r="X46" s="17"/>
      <c r="Y46" s="17"/>
      <c r="Z46" s="17"/>
      <c r="AA46" s="18"/>
      <c r="AB46" s="13"/>
      <c r="AC46" s="13"/>
      <c r="AD46" s="13"/>
      <c r="AE46" s="13"/>
      <c r="AF46" s="13"/>
      <c r="AG46" s="13"/>
      <c r="AH46" s="13"/>
      <c r="AI46" s="19"/>
      <c r="AJ46" s="14"/>
      <c r="AK46" s="13"/>
      <c r="AL46" s="13"/>
      <c r="AM46" s="13"/>
      <c r="AN46" s="13"/>
      <c r="AO46" s="13"/>
      <c r="AP46" s="20"/>
      <c r="AQ46" s="13"/>
      <c r="AR46" s="13"/>
      <c r="AS46" s="21"/>
      <c r="AT46" s="22"/>
      <c r="AU46" s="13" t="s">
        <v>4185</v>
      </c>
      <c r="AV46" s="13"/>
      <c r="AW46" s="13"/>
      <c r="AX46" s="13"/>
      <c r="AY46" s="13"/>
      <c r="AZ46" s="13"/>
    </row>
    <row r="47" spans="1:52" ht="12.75">
      <c r="A47" s="12">
        <v>44785</v>
      </c>
      <c r="B47" s="13"/>
      <c r="C47" s="13" t="s">
        <v>93</v>
      </c>
      <c r="D47" s="17"/>
      <c r="E47" s="13"/>
      <c r="F47" s="34" t="s">
        <v>4186</v>
      </c>
      <c r="G47" s="13"/>
      <c r="H47" s="13"/>
      <c r="I47" s="13"/>
      <c r="J47" s="14"/>
      <c r="K47" s="14"/>
      <c r="L47" s="13"/>
      <c r="M47" s="13"/>
      <c r="N47" s="13"/>
      <c r="O47" s="14"/>
      <c r="P47" s="14"/>
      <c r="Q47" s="14"/>
      <c r="R47" s="14">
        <v>4</v>
      </c>
      <c r="S47" s="14"/>
      <c r="T47" s="14"/>
      <c r="U47" s="14"/>
      <c r="V47" s="14">
        <f t="shared" ref="V47:V58" si="15">IF(ISBLANK(O47),,(IF(O47=UPPER("IB"),0.005,0.01)))</f>
        <v>0</v>
      </c>
      <c r="W47" s="14">
        <f t="shared" ref="W47:W58" si="16">IF(ISBLANK(O47),,IF(O47=UPPER("IB"),8.63*200,16.65*100))</f>
        <v>0</v>
      </c>
      <c r="X47" s="17" t="s">
        <v>4172</v>
      </c>
      <c r="Y47" s="17"/>
      <c r="Z47" s="17" t="s">
        <v>4172</v>
      </c>
      <c r="AA47" s="18">
        <v>0.5</v>
      </c>
      <c r="AB47" s="13"/>
      <c r="AC47" s="13"/>
      <c r="AD47" s="13"/>
      <c r="AE47" s="17">
        <v>0.6</v>
      </c>
      <c r="AF47" s="13"/>
      <c r="AG47" s="13"/>
      <c r="AH47" s="13"/>
      <c r="AI47" s="19"/>
      <c r="AJ47" s="14"/>
      <c r="AK47" s="13" t="s">
        <v>410</v>
      </c>
      <c r="AL47" s="13"/>
      <c r="AM47" s="13"/>
      <c r="AN47" s="13"/>
      <c r="AO47" s="13"/>
      <c r="AP47" s="20"/>
      <c r="AQ47" s="13"/>
      <c r="AR47" s="13"/>
      <c r="AS47" s="21"/>
      <c r="AT47" s="22"/>
      <c r="AU47" s="61"/>
      <c r="AV47" s="13"/>
      <c r="AW47" s="13"/>
      <c r="AX47" s="13"/>
      <c r="AY47" s="13"/>
      <c r="AZ47" s="13"/>
    </row>
    <row r="48" spans="1:52" ht="12.75">
      <c r="A48" s="12">
        <v>44785</v>
      </c>
      <c r="B48" s="13"/>
      <c r="C48" s="13" t="s">
        <v>93</v>
      </c>
      <c r="D48" s="17"/>
      <c r="E48" s="13"/>
      <c r="F48" s="97">
        <v>44917</v>
      </c>
      <c r="G48" s="13"/>
      <c r="H48" s="13"/>
      <c r="I48" s="13"/>
      <c r="J48" s="14"/>
      <c r="K48" s="14"/>
      <c r="L48" s="13">
        <v>3</v>
      </c>
      <c r="M48" s="13"/>
      <c r="N48" s="13"/>
      <c r="O48" s="14" t="s">
        <v>76</v>
      </c>
      <c r="P48" s="14" t="s">
        <v>77</v>
      </c>
      <c r="Q48" s="14" t="s">
        <v>666</v>
      </c>
      <c r="R48" s="14">
        <v>1</v>
      </c>
      <c r="S48" s="14">
        <v>1</v>
      </c>
      <c r="T48" s="14"/>
      <c r="U48" s="14" t="s">
        <v>22</v>
      </c>
      <c r="V48" s="14">
        <f t="shared" si="15"/>
        <v>0.01</v>
      </c>
      <c r="W48" s="14">
        <f t="shared" si="16"/>
        <v>1664.9999999999998</v>
      </c>
      <c r="X48" s="17" t="s">
        <v>4059</v>
      </c>
      <c r="Y48" s="17"/>
      <c r="Z48" s="17"/>
      <c r="AA48" s="18">
        <v>96.43</v>
      </c>
      <c r="AB48" s="13"/>
      <c r="AC48" s="13"/>
      <c r="AD48" s="13"/>
      <c r="AE48" s="13"/>
      <c r="AF48" s="13"/>
      <c r="AG48" s="13"/>
      <c r="AH48" s="13"/>
      <c r="AI48" s="19"/>
      <c r="AJ48" s="14"/>
      <c r="AK48" s="13"/>
      <c r="AL48" s="13"/>
      <c r="AM48" s="13" t="s">
        <v>4075</v>
      </c>
      <c r="AN48" s="13" t="s">
        <v>97</v>
      </c>
      <c r="AO48" s="35">
        <v>44790</v>
      </c>
      <c r="AP48" s="61">
        <v>96.64</v>
      </c>
      <c r="AQ48" s="20">
        <f t="shared" ref="AQ48:AQ58" si="17">IF(ISBLANK(AP48),,IF(U48="S",AA48-AP48,AP48-AA48))</f>
        <v>0.20999999999999375</v>
      </c>
      <c r="AR48" s="94">
        <f t="shared" ref="AR48:AR50" si="18">AS48*R48</f>
        <v>349.64999999998952</v>
      </c>
      <c r="AS48" s="21">
        <f t="shared" ref="AS48:AS58" si="19">IF(ISBLANK(AP48),,(AQ48*W48))</f>
        <v>349.64999999998952</v>
      </c>
      <c r="AT48" s="22" t="s">
        <v>77</v>
      </c>
      <c r="AU48" s="13" t="s">
        <v>4187</v>
      </c>
      <c r="AV48" s="13"/>
      <c r="AW48" s="13"/>
      <c r="AX48" s="13"/>
      <c r="AY48" s="13"/>
      <c r="AZ48" s="13"/>
    </row>
    <row r="49" spans="1:52" ht="12.75">
      <c r="A49" s="12"/>
      <c r="B49" s="13"/>
      <c r="C49" s="13"/>
      <c r="D49" s="17"/>
      <c r="E49" s="13"/>
      <c r="F49" s="97">
        <v>44735</v>
      </c>
      <c r="G49" s="13"/>
      <c r="H49" s="13"/>
      <c r="I49" s="13"/>
      <c r="J49" s="14"/>
      <c r="K49" s="14"/>
      <c r="L49" s="13">
        <v>3</v>
      </c>
      <c r="M49" s="13"/>
      <c r="N49" s="13"/>
      <c r="O49" s="14" t="s">
        <v>76</v>
      </c>
      <c r="P49" s="14" t="s">
        <v>77</v>
      </c>
      <c r="Q49" s="14" t="s">
        <v>666</v>
      </c>
      <c r="R49" s="14">
        <v>2</v>
      </c>
      <c r="S49" s="14">
        <v>2</v>
      </c>
      <c r="T49" s="14"/>
      <c r="U49" s="14" t="s">
        <v>78</v>
      </c>
      <c r="V49" s="14">
        <f t="shared" si="15"/>
        <v>0.01</v>
      </c>
      <c r="W49" s="14">
        <f t="shared" si="16"/>
        <v>1664.9999999999998</v>
      </c>
      <c r="X49" s="17" t="s">
        <v>4059</v>
      </c>
      <c r="Y49" s="17"/>
      <c r="Z49" s="17"/>
      <c r="AA49" s="18">
        <v>96.12</v>
      </c>
      <c r="AB49" s="13"/>
      <c r="AC49" s="13"/>
      <c r="AD49" s="13"/>
      <c r="AE49" s="13"/>
      <c r="AF49" s="13"/>
      <c r="AG49" s="13"/>
      <c r="AH49" s="13"/>
      <c r="AI49" s="19"/>
      <c r="AJ49" s="14"/>
      <c r="AK49" s="13"/>
      <c r="AL49" s="13"/>
      <c r="AM49" s="13"/>
      <c r="AN49" s="13" t="s">
        <v>97</v>
      </c>
      <c r="AO49" s="35">
        <v>44790</v>
      </c>
      <c r="AP49" s="20">
        <v>96.29</v>
      </c>
      <c r="AQ49" s="20">
        <f t="shared" si="17"/>
        <v>-0.17000000000000171</v>
      </c>
      <c r="AR49" s="94">
        <f t="shared" si="18"/>
        <v>-566.10000000000559</v>
      </c>
      <c r="AS49" s="21">
        <f t="shared" si="19"/>
        <v>-283.0500000000028</v>
      </c>
      <c r="AT49" s="22" t="s">
        <v>211</v>
      </c>
      <c r="AU49" s="13" t="s">
        <v>4187</v>
      </c>
      <c r="AV49" s="13"/>
      <c r="AW49" s="13"/>
      <c r="AX49" s="13"/>
      <c r="AY49" s="13"/>
      <c r="AZ49" s="13"/>
    </row>
    <row r="50" spans="1:52" ht="12.75">
      <c r="A50" s="12">
        <v>44785</v>
      </c>
      <c r="B50" s="13"/>
      <c r="C50" s="13" t="s">
        <v>93</v>
      </c>
      <c r="D50" s="17"/>
      <c r="E50" s="13"/>
      <c r="F50" s="97">
        <v>44918</v>
      </c>
      <c r="G50" s="13"/>
      <c r="H50" s="13"/>
      <c r="I50" s="13"/>
      <c r="J50" s="14"/>
      <c r="K50" s="14"/>
      <c r="L50" s="13">
        <v>3</v>
      </c>
      <c r="M50" s="13"/>
      <c r="N50" s="13"/>
      <c r="O50" s="14" t="s">
        <v>76</v>
      </c>
      <c r="P50" s="14" t="s">
        <v>119</v>
      </c>
      <c r="Q50" s="14" t="s">
        <v>666</v>
      </c>
      <c r="R50" s="14">
        <v>1</v>
      </c>
      <c r="S50" s="14">
        <v>1</v>
      </c>
      <c r="T50" s="14"/>
      <c r="U50" s="14" t="s">
        <v>22</v>
      </c>
      <c r="V50" s="14">
        <f t="shared" si="15"/>
        <v>0.01</v>
      </c>
      <c r="W50" s="14">
        <f t="shared" si="16"/>
        <v>1664.9999999999998</v>
      </c>
      <c r="X50" s="17" t="s">
        <v>4059</v>
      </c>
      <c r="Y50" s="17"/>
      <c r="Z50" s="17"/>
      <c r="AA50" s="18">
        <v>96.31</v>
      </c>
      <c r="AB50" s="13"/>
      <c r="AC50" s="13"/>
      <c r="AD50" s="13"/>
      <c r="AE50" s="13"/>
      <c r="AF50" s="13"/>
      <c r="AG50" s="13"/>
      <c r="AH50" s="13"/>
      <c r="AI50" s="19"/>
      <c r="AJ50" s="14"/>
      <c r="AK50" s="13"/>
      <c r="AL50" s="13"/>
      <c r="AM50" s="13"/>
      <c r="AN50" s="13" t="s">
        <v>97</v>
      </c>
      <c r="AO50" s="35">
        <v>44790</v>
      </c>
      <c r="AP50" s="20">
        <v>96.45</v>
      </c>
      <c r="AQ50" s="20">
        <f t="shared" si="17"/>
        <v>0.14000000000000057</v>
      </c>
      <c r="AR50" s="94">
        <f t="shared" si="18"/>
        <v>233.1000000000009</v>
      </c>
      <c r="AS50" s="21">
        <f t="shared" si="19"/>
        <v>233.1000000000009</v>
      </c>
      <c r="AT50" s="22" t="s">
        <v>77</v>
      </c>
      <c r="AU50" s="13" t="s">
        <v>4187</v>
      </c>
      <c r="AV50" s="13"/>
      <c r="AW50" s="13"/>
      <c r="AX50" s="13"/>
      <c r="AY50" s="13"/>
      <c r="AZ50" s="13"/>
    </row>
    <row r="51" spans="1:52" ht="12.75">
      <c r="A51" s="12"/>
      <c r="B51" s="13"/>
      <c r="C51" s="13"/>
      <c r="D51" s="17"/>
      <c r="E51" s="13"/>
      <c r="F51" s="34" t="s">
        <v>4188</v>
      </c>
      <c r="G51" s="13"/>
      <c r="H51" s="13"/>
      <c r="I51" s="13"/>
      <c r="J51" s="14"/>
      <c r="K51" s="14"/>
      <c r="L51" s="13"/>
      <c r="M51" s="13">
        <v>3</v>
      </c>
      <c r="N51" s="13"/>
      <c r="O51" s="14" t="s">
        <v>76</v>
      </c>
      <c r="P51" s="14"/>
      <c r="Q51" s="14"/>
      <c r="R51" s="14">
        <v>8</v>
      </c>
      <c r="S51" s="14">
        <v>8</v>
      </c>
      <c r="T51" s="14"/>
      <c r="U51" s="14"/>
      <c r="V51" s="14">
        <f t="shared" si="15"/>
        <v>0.01</v>
      </c>
      <c r="W51" s="14">
        <f t="shared" si="16"/>
        <v>1664.9999999999998</v>
      </c>
      <c r="X51" s="17"/>
      <c r="Y51" s="17"/>
      <c r="Z51" s="17"/>
      <c r="AA51" s="18">
        <f>AA52-AA53</f>
        <v>0.84000000000000341</v>
      </c>
      <c r="AB51" s="13"/>
      <c r="AC51" s="13"/>
      <c r="AD51" s="13"/>
      <c r="AE51" s="13" t="s">
        <v>4189</v>
      </c>
      <c r="AF51" s="13"/>
      <c r="AG51" s="13"/>
      <c r="AH51" s="13"/>
      <c r="AI51" s="19"/>
      <c r="AJ51" s="14"/>
      <c r="AK51" s="13" t="s">
        <v>430</v>
      </c>
      <c r="AL51" s="13"/>
      <c r="AM51" s="13"/>
      <c r="AN51" s="13"/>
      <c r="AO51" s="13"/>
      <c r="AP51" s="20"/>
      <c r="AQ51" s="13">
        <f t="shared" si="17"/>
        <v>0</v>
      </c>
      <c r="AR51" s="94"/>
      <c r="AS51" s="21">
        <f t="shared" si="19"/>
        <v>0</v>
      </c>
      <c r="AT51" s="22"/>
      <c r="AU51" s="13" t="s">
        <v>4190</v>
      </c>
      <c r="AV51" s="13"/>
      <c r="AW51" s="13"/>
      <c r="AX51" s="13"/>
      <c r="AY51" s="13"/>
      <c r="AZ51" s="13"/>
    </row>
    <row r="52" spans="1:52" ht="15">
      <c r="A52" s="12">
        <v>44789</v>
      </c>
      <c r="B52" s="13"/>
      <c r="C52" s="13" t="s">
        <v>128</v>
      </c>
      <c r="D52" s="17"/>
      <c r="E52" s="13"/>
      <c r="F52" s="34" t="s">
        <v>4078</v>
      </c>
      <c r="G52" s="13"/>
      <c r="H52" s="13"/>
      <c r="I52" s="13"/>
      <c r="J52" s="14" t="s">
        <v>87</v>
      </c>
      <c r="K52" s="14"/>
      <c r="L52" s="13"/>
      <c r="M52" s="13"/>
      <c r="N52" s="13"/>
      <c r="O52" s="14" t="s">
        <v>76</v>
      </c>
      <c r="P52" s="14" t="s">
        <v>77</v>
      </c>
      <c r="Q52" s="14" t="s">
        <v>666</v>
      </c>
      <c r="R52" s="14">
        <v>4</v>
      </c>
      <c r="S52" s="14">
        <v>4</v>
      </c>
      <c r="T52" s="14">
        <v>2</v>
      </c>
      <c r="U52" s="14" t="s">
        <v>78</v>
      </c>
      <c r="V52" s="14">
        <f t="shared" si="15"/>
        <v>0.01</v>
      </c>
      <c r="W52" s="14">
        <f t="shared" si="16"/>
        <v>1664.9999999999998</v>
      </c>
      <c r="X52" s="17" t="s">
        <v>4191</v>
      </c>
      <c r="Y52" s="17" t="s">
        <v>4192</v>
      </c>
      <c r="Z52" s="98" t="s">
        <v>4193</v>
      </c>
      <c r="AA52" s="18">
        <v>97.41</v>
      </c>
      <c r="AB52" s="13"/>
      <c r="AC52" s="13">
        <v>97.43</v>
      </c>
      <c r="AD52" s="13" t="s">
        <v>4194</v>
      </c>
      <c r="AE52" s="13">
        <v>97.37</v>
      </c>
      <c r="AF52" s="13" t="s">
        <v>4195</v>
      </c>
      <c r="AG52" s="13"/>
      <c r="AH52" s="13"/>
      <c r="AI52" s="19"/>
      <c r="AJ52" s="14"/>
      <c r="AK52" s="13"/>
      <c r="AL52" s="13"/>
      <c r="AM52" s="13"/>
      <c r="AN52" s="13"/>
      <c r="AO52" s="13"/>
      <c r="AP52" s="20">
        <v>97.37</v>
      </c>
      <c r="AQ52" s="20">
        <f t="shared" si="17"/>
        <v>3.9999999999992042E-2</v>
      </c>
      <c r="AR52" s="94">
        <f t="shared" ref="AR52:AR58" si="20">AS52*R52</f>
        <v>266.39999999994694</v>
      </c>
      <c r="AS52" s="21">
        <f t="shared" si="19"/>
        <v>66.599999999986736</v>
      </c>
      <c r="AT52" s="22" t="s">
        <v>77</v>
      </c>
      <c r="AU52" s="13" t="s">
        <v>4196</v>
      </c>
      <c r="AV52" s="13"/>
      <c r="AW52" s="13"/>
      <c r="AX52" s="13"/>
      <c r="AY52" s="13"/>
      <c r="AZ52" s="13"/>
    </row>
    <row r="53" spans="1:52" ht="12.75">
      <c r="A53" s="12">
        <v>44790</v>
      </c>
      <c r="B53" s="13"/>
      <c r="C53" s="13" t="s">
        <v>133</v>
      </c>
      <c r="D53" s="17"/>
      <c r="E53" s="13"/>
      <c r="F53" s="34" t="s">
        <v>4197</v>
      </c>
      <c r="G53" s="13"/>
      <c r="H53" s="13"/>
      <c r="I53" s="13"/>
      <c r="J53" s="14"/>
      <c r="K53" s="14"/>
      <c r="L53" s="13"/>
      <c r="M53" s="13">
        <v>3</v>
      </c>
      <c r="N53" s="13"/>
      <c r="O53" s="14" t="s">
        <v>76</v>
      </c>
      <c r="P53" s="14" t="s">
        <v>4198</v>
      </c>
      <c r="Q53" s="14" t="s">
        <v>666</v>
      </c>
      <c r="R53" s="14">
        <v>4</v>
      </c>
      <c r="S53" s="14">
        <v>4</v>
      </c>
      <c r="T53" s="14">
        <v>4</v>
      </c>
      <c r="U53" s="14" t="s">
        <v>22</v>
      </c>
      <c r="V53" s="14">
        <f t="shared" si="15"/>
        <v>0.01</v>
      </c>
      <c r="W53" s="14">
        <f t="shared" si="16"/>
        <v>1664.9999999999998</v>
      </c>
      <c r="X53" s="17" t="s">
        <v>4199</v>
      </c>
      <c r="Y53" s="17"/>
      <c r="Z53" s="17"/>
      <c r="AA53" s="18">
        <v>96.57</v>
      </c>
      <c r="AB53" s="13"/>
      <c r="AC53" s="13"/>
      <c r="AD53" s="13"/>
      <c r="AE53" s="13"/>
      <c r="AF53" s="13"/>
      <c r="AG53" s="13"/>
      <c r="AH53" s="13"/>
      <c r="AI53" s="19"/>
      <c r="AJ53" s="14"/>
      <c r="AK53" s="13"/>
      <c r="AL53" s="13"/>
      <c r="AM53" s="13"/>
      <c r="AN53" s="13" t="s">
        <v>87</v>
      </c>
      <c r="AO53" s="13"/>
      <c r="AP53" s="20">
        <v>96.47</v>
      </c>
      <c r="AQ53" s="20">
        <f t="shared" si="17"/>
        <v>-9.9999999999994316E-2</v>
      </c>
      <c r="AR53" s="94">
        <f t="shared" si="20"/>
        <v>-665.99999999996203</v>
      </c>
      <c r="AS53" s="21">
        <f t="shared" si="19"/>
        <v>-166.49999999999051</v>
      </c>
      <c r="AT53" s="22" t="s">
        <v>211</v>
      </c>
      <c r="AU53" s="13" t="s">
        <v>4200</v>
      </c>
      <c r="AV53" s="13"/>
      <c r="AW53" s="13"/>
      <c r="AX53" s="13"/>
      <c r="AY53" s="13"/>
      <c r="AZ53" s="13"/>
    </row>
    <row r="54" spans="1:52" ht="12.75">
      <c r="A54" s="12">
        <v>44790</v>
      </c>
      <c r="B54" s="13"/>
      <c r="C54" s="13" t="s">
        <v>133</v>
      </c>
      <c r="D54" s="17" t="s">
        <v>4201</v>
      </c>
      <c r="E54" s="13" t="s">
        <v>4202</v>
      </c>
      <c r="F54" s="34" t="s">
        <v>4079</v>
      </c>
      <c r="G54" s="13"/>
      <c r="H54" s="13">
        <v>1</v>
      </c>
      <c r="I54" s="13">
        <v>1</v>
      </c>
      <c r="J54" s="14"/>
      <c r="K54" s="14"/>
      <c r="L54" s="13">
        <v>3</v>
      </c>
      <c r="M54" s="13"/>
      <c r="N54" s="13"/>
      <c r="O54" s="14" t="s">
        <v>76</v>
      </c>
      <c r="P54" s="14" t="s">
        <v>77</v>
      </c>
      <c r="Q54" s="14" t="s">
        <v>666</v>
      </c>
      <c r="R54" s="14">
        <v>8</v>
      </c>
      <c r="S54" s="14">
        <v>8</v>
      </c>
      <c r="T54" s="14">
        <v>5</v>
      </c>
      <c r="U54" s="14" t="s">
        <v>22</v>
      </c>
      <c r="V54" s="14">
        <f t="shared" si="15"/>
        <v>0.01</v>
      </c>
      <c r="W54" s="14">
        <f t="shared" si="16"/>
        <v>1664.9999999999998</v>
      </c>
      <c r="X54" s="17" t="s">
        <v>4059</v>
      </c>
      <c r="Y54" s="17"/>
      <c r="Z54" s="17"/>
      <c r="AA54" s="18">
        <v>96.37</v>
      </c>
      <c r="AB54" s="13"/>
      <c r="AC54" s="13">
        <v>96.3</v>
      </c>
      <c r="AD54" s="13"/>
      <c r="AE54" s="13" t="s">
        <v>4203</v>
      </c>
      <c r="AF54" s="13"/>
      <c r="AG54" s="13"/>
      <c r="AH54" s="13"/>
      <c r="AI54" s="19"/>
      <c r="AJ54" s="14"/>
      <c r="AK54" s="13" t="s">
        <v>4204</v>
      </c>
      <c r="AL54" s="13"/>
      <c r="AM54" s="13"/>
      <c r="AN54" s="13" t="s">
        <v>87</v>
      </c>
      <c r="AO54" s="35">
        <v>44790</v>
      </c>
      <c r="AP54" s="20">
        <v>96.34</v>
      </c>
      <c r="AQ54" s="20">
        <f t="shared" si="17"/>
        <v>-3.0000000000001137E-2</v>
      </c>
      <c r="AR54" s="94">
        <f t="shared" si="20"/>
        <v>-399.60000000001509</v>
      </c>
      <c r="AS54" s="21">
        <f t="shared" si="19"/>
        <v>-49.950000000001886</v>
      </c>
      <c r="AT54" s="22" t="s">
        <v>211</v>
      </c>
      <c r="AU54" s="13" t="s">
        <v>4205</v>
      </c>
      <c r="AV54" s="13" t="s">
        <v>4206</v>
      </c>
      <c r="AW54" s="13"/>
      <c r="AX54" s="13"/>
      <c r="AY54" s="13"/>
      <c r="AZ54" s="13"/>
    </row>
    <row r="55" spans="1:52" ht="12.75">
      <c r="A55" s="12">
        <v>44790</v>
      </c>
      <c r="B55" s="13"/>
      <c r="C55" s="13" t="s">
        <v>133</v>
      </c>
      <c r="D55" s="17" t="s">
        <v>4201</v>
      </c>
      <c r="E55" s="13" t="s">
        <v>4202</v>
      </c>
      <c r="F55" s="14" t="s">
        <v>3319</v>
      </c>
      <c r="G55" s="13"/>
      <c r="H55" s="13">
        <v>1</v>
      </c>
      <c r="I55" s="13">
        <v>1</v>
      </c>
      <c r="J55" s="14"/>
      <c r="K55" s="14"/>
      <c r="L55" s="13">
        <v>3</v>
      </c>
      <c r="M55" s="13"/>
      <c r="N55" s="13"/>
      <c r="O55" s="14" t="s">
        <v>76</v>
      </c>
      <c r="P55" s="14" t="s">
        <v>119</v>
      </c>
      <c r="Q55" s="14" t="s">
        <v>666</v>
      </c>
      <c r="R55" s="14">
        <v>4</v>
      </c>
      <c r="S55" s="14">
        <v>4</v>
      </c>
      <c r="T55" s="14">
        <v>4</v>
      </c>
      <c r="U55" s="14" t="s">
        <v>22</v>
      </c>
      <c r="V55" s="14">
        <f t="shared" si="15"/>
        <v>0.01</v>
      </c>
      <c r="W55" s="14">
        <f t="shared" si="16"/>
        <v>1664.9999999999998</v>
      </c>
      <c r="X55" s="17" t="s">
        <v>4059</v>
      </c>
      <c r="Y55" s="17"/>
      <c r="Z55" s="17"/>
      <c r="AA55" s="18">
        <v>96.29</v>
      </c>
      <c r="AB55" s="13"/>
      <c r="AC55" s="13"/>
      <c r="AD55" s="13"/>
      <c r="AE55" s="13"/>
      <c r="AF55" s="13"/>
      <c r="AG55" s="13"/>
      <c r="AH55" s="13"/>
      <c r="AI55" s="19"/>
      <c r="AJ55" s="14"/>
      <c r="AK55" s="13" t="s">
        <v>4204</v>
      </c>
      <c r="AL55" s="13"/>
      <c r="AM55" s="13"/>
      <c r="AN55" s="13" t="s">
        <v>87</v>
      </c>
      <c r="AO55" s="35">
        <v>44790</v>
      </c>
      <c r="AP55" s="20">
        <v>96.36</v>
      </c>
      <c r="AQ55" s="20">
        <f t="shared" si="17"/>
        <v>6.9999999999993179E-2</v>
      </c>
      <c r="AR55" s="94">
        <f t="shared" si="20"/>
        <v>466.19999999995451</v>
      </c>
      <c r="AS55" s="21">
        <f t="shared" si="19"/>
        <v>116.54999999998863</v>
      </c>
      <c r="AT55" s="22" t="s">
        <v>77</v>
      </c>
      <c r="AU55" s="13" t="s">
        <v>4187</v>
      </c>
      <c r="AV55" s="13" t="s">
        <v>4206</v>
      </c>
      <c r="AW55" s="13"/>
      <c r="AX55" s="13"/>
      <c r="AY55" s="13"/>
      <c r="AZ55" s="13"/>
    </row>
    <row r="56" spans="1:52" ht="12.75">
      <c r="A56" s="12">
        <v>44790</v>
      </c>
      <c r="B56" s="13"/>
      <c r="C56" s="13" t="s">
        <v>133</v>
      </c>
      <c r="D56" s="17"/>
      <c r="E56" s="13"/>
      <c r="F56" s="14" t="s">
        <v>4079</v>
      </c>
      <c r="G56" s="13"/>
      <c r="H56" s="13"/>
      <c r="I56" s="13"/>
      <c r="J56" s="14"/>
      <c r="K56" s="14"/>
      <c r="L56" s="13">
        <v>1</v>
      </c>
      <c r="M56" s="13"/>
      <c r="N56" s="13"/>
      <c r="O56" s="14" t="s">
        <v>76</v>
      </c>
      <c r="P56" s="14" t="s">
        <v>77</v>
      </c>
      <c r="Q56" s="14" t="s">
        <v>666</v>
      </c>
      <c r="R56" s="14">
        <v>1</v>
      </c>
      <c r="S56" s="14">
        <v>1</v>
      </c>
      <c r="T56" s="14">
        <v>1</v>
      </c>
      <c r="U56" s="14" t="s">
        <v>22</v>
      </c>
      <c r="V56" s="14">
        <f t="shared" si="15"/>
        <v>0.01</v>
      </c>
      <c r="W56" s="14">
        <f t="shared" si="16"/>
        <v>1664.9999999999998</v>
      </c>
      <c r="X56" s="17" t="s">
        <v>4207</v>
      </c>
      <c r="Y56" s="17"/>
      <c r="Z56" s="17"/>
      <c r="AA56" s="18">
        <v>96.25</v>
      </c>
      <c r="AB56" s="13"/>
      <c r="AC56" s="13">
        <v>96.22</v>
      </c>
      <c r="AD56" s="13" t="s">
        <v>4208</v>
      </c>
      <c r="AE56" s="13"/>
      <c r="AF56" s="13"/>
      <c r="AG56" s="13"/>
      <c r="AH56" s="13"/>
      <c r="AI56" s="19"/>
      <c r="AJ56" s="14"/>
      <c r="AK56" s="13" t="s">
        <v>4209</v>
      </c>
      <c r="AL56" s="13"/>
      <c r="AM56" s="13"/>
      <c r="AN56" s="13" t="s">
        <v>87</v>
      </c>
      <c r="AO56" s="35">
        <v>44790</v>
      </c>
      <c r="AP56" s="20">
        <v>96.22</v>
      </c>
      <c r="AQ56" s="20">
        <f t="shared" si="17"/>
        <v>-3.0000000000001137E-2</v>
      </c>
      <c r="AR56" s="94">
        <f t="shared" si="20"/>
        <v>-49.950000000001886</v>
      </c>
      <c r="AS56" s="21">
        <f t="shared" si="19"/>
        <v>-49.950000000001886</v>
      </c>
      <c r="AT56" s="22" t="s">
        <v>211</v>
      </c>
      <c r="AU56" s="13"/>
      <c r="AV56" s="13"/>
      <c r="AW56" s="13"/>
      <c r="AX56" s="13"/>
      <c r="AY56" s="13"/>
      <c r="AZ56" s="13"/>
    </row>
    <row r="57" spans="1:52" ht="12.75">
      <c r="A57" s="12">
        <v>44790</v>
      </c>
      <c r="B57" s="13"/>
      <c r="C57" s="13" t="s">
        <v>133</v>
      </c>
      <c r="D57" s="17"/>
      <c r="E57" s="13"/>
      <c r="F57" s="14" t="s">
        <v>3319</v>
      </c>
      <c r="G57" s="13"/>
      <c r="H57" s="13"/>
      <c r="I57" s="13"/>
      <c r="J57" s="14"/>
      <c r="K57" s="14"/>
      <c r="L57" s="13">
        <v>1</v>
      </c>
      <c r="M57" s="13"/>
      <c r="N57" s="13"/>
      <c r="O57" s="14" t="s">
        <v>76</v>
      </c>
      <c r="P57" s="14" t="s">
        <v>119</v>
      </c>
      <c r="Q57" s="14" t="s">
        <v>666</v>
      </c>
      <c r="R57" s="14">
        <v>1</v>
      </c>
      <c r="S57" s="14">
        <v>1</v>
      </c>
      <c r="T57" s="14">
        <v>1</v>
      </c>
      <c r="U57" s="14" t="s">
        <v>22</v>
      </c>
      <c r="V57" s="14">
        <f t="shared" si="15"/>
        <v>0.01</v>
      </c>
      <c r="W57" s="14">
        <f t="shared" si="16"/>
        <v>1664.9999999999998</v>
      </c>
      <c r="X57" s="17" t="s">
        <v>4207</v>
      </c>
      <c r="Y57" s="17"/>
      <c r="Z57" s="17"/>
      <c r="AA57" s="18">
        <v>96.26</v>
      </c>
      <c r="AB57" s="13"/>
      <c r="AC57" s="13">
        <v>96.23</v>
      </c>
      <c r="AD57" s="13" t="s">
        <v>4208</v>
      </c>
      <c r="AE57" s="13"/>
      <c r="AF57" s="13"/>
      <c r="AG57" s="13"/>
      <c r="AH57" s="13"/>
      <c r="AI57" s="19"/>
      <c r="AJ57" s="14"/>
      <c r="AK57" s="13" t="s">
        <v>4209</v>
      </c>
      <c r="AL57" s="13"/>
      <c r="AM57" s="13"/>
      <c r="AN57" s="13" t="s">
        <v>87</v>
      </c>
      <c r="AO57" s="35">
        <v>44790</v>
      </c>
      <c r="AP57" s="20">
        <v>96.23</v>
      </c>
      <c r="AQ57" s="20">
        <f t="shared" si="17"/>
        <v>-3.0000000000001137E-2</v>
      </c>
      <c r="AR57" s="94">
        <f t="shared" si="20"/>
        <v>-49.950000000001886</v>
      </c>
      <c r="AS57" s="21">
        <f t="shared" si="19"/>
        <v>-49.950000000001886</v>
      </c>
      <c r="AT57" s="22" t="s">
        <v>211</v>
      </c>
      <c r="AU57" s="13" t="s">
        <v>4210</v>
      </c>
      <c r="AV57" s="13" t="s">
        <v>4211</v>
      </c>
      <c r="AW57" s="13"/>
      <c r="AX57" s="13"/>
      <c r="AY57" s="13"/>
      <c r="AZ57" s="13"/>
    </row>
    <row r="58" spans="1:52" ht="12.75">
      <c r="A58" s="12">
        <v>44790</v>
      </c>
      <c r="B58" s="13"/>
      <c r="C58" s="13" t="s">
        <v>133</v>
      </c>
      <c r="D58" s="17"/>
      <c r="E58" s="13"/>
      <c r="F58" s="14" t="s">
        <v>4078</v>
      </c>
      <c r="G58" s="13"/>
      <c r="H58" s="13"/>
      <c r="I58" s="13"/>
      <c r="J58" s="14"/>
      <c r="K58" s="14"/>
      <c r="L58" s="13"/>
      <c r="M58" s="13">
        <v>1</v>
      </c>
      <c r="N58" s="13"/>
      <c r="O58" s="14" t="s">
        <v>76</v>
      </c>
      <c r="P58" s="14" t="s">
        <v>77</v>
      </c>
      <c r="Q58" s="14" t="s">
        <v>666</v>
      </c>
      <c r="R58" s="14">
        <v>1</v>
      </c>
      <c r="S58" s="14">
        <v>1</v>
      </c>
      <c r="T58" s="14">
        <v>1</v>
      </c>
      <c r="U58" s="14" t="s">
        <v>78</v>
      </c>
      <c r="V58" s="14">
        <f t="shared" si="15"/>
        <v>0.01</v>
      </c>
      <c r="W58" s="14">
        <f t="shared" si="16"/>
        <v>1664.9999999999998</v>
      </c>
      <c r="X58" s="17"/>
      <c r="Y58" s="17" t="s">
        <v>4212</v>
      </c>
      <c r="Z58" s="17"/>
      <c r="AA58" s="18">
        <v>97.38</v>
      </c>
      <c r="AB58" s="13"/>
      <c r="AC58" s="13">
        <v>97.42</v>
      </c>
      <c r="AD58" s="13" t="s">
        <v>4213</v>
      </c>
      <c r="AE58" s="13">
        <v>97.37</v>
      </c>
      <c r="AF58" s="13" t="s">
        <v>4214</v>
      </c>
      <c r="AG58" s="13"/>
      <c r="AH58" s="13"/>
      <c r="AI58" s="19"/>
      <c r="AJ58" s="14"/>
      <c r="AK58" s="13"/>
      <c r="AL58" s="13"/>
      <c r="AM58" s="13"/>
      <c r="AN58" s="13" t="s">
        <v>87</v>
      </c>
      <c r="AO58" s="35">
        <v>44790</v>
      </c>
      <c r="AP58" s="20">
        <v>97.39</v>
      </c>
      <c r="AQ58" s="20">
        <f t="shared" si="17"/>
        <v>-1.0000000000005116E-2</v>
      </c>
      <c r="AR58" s="94">
        <f t="shared" si="20"/>
        <v>-16.650000000008514</v>
      </c>
      <c r="AS58" s="21">
        <f t="shared" si="19"/>
        <v>-16.650000000008514</v>
      </c>
      <c r="AT58" s="22" t="s">
        <v>211</v>
      </c>
      <c r="AU58" s="13"/>
      <c r="AV58" s="13"/>
      <c r="AW58" s="13"/>
      <c r="AX58" s="13"/>
      <c r="AY58" s="13"/>
      <c r="AZ58" s="13"/>
    </row>
    <row r="59" spans="1:52" ht="12.75">
      <c r="A59" s="12"/>
      <c r="B59" s="13"/>
      <c r="C59" s="13"/>
      <c r="D59" s="17"/>
      <c r="E59" s="13"/>
      <c r="F59" s="34" t="s">
        <v>4215</v>
      </c>
      <c r="G59" s="13"/>
      <c r="H59" s="13"/>
      <c r="I59" s="13"/>
      <c r="J59" s="14"/>
      <c r="K59" s="14"/>
      <c r="L59" s="13"/>
      <c r="M59" s="13"/>
      <c r="N59" s="13"/>
      <c r="O59" s="14"/>
      <c r="P59" s="14"/>
      <c r="Q59" s="14"/>
      <c r="R59" s="14"/>
      <c r="S59" s="14"/>
      <c r="T59" s="14"/>
      <c r="U59" s="14"/>
      <c r="V59" s="14"/>
      <c r="W59" s="14"/>
      <c r="X59" s="17"/>
      <c r="Y59" s="17"/>
      <c r="Z59" s="17"/>
      <c r="AA59" s="18"/>
      <c r="AB59" s="13"/>
      <c r="AC59" s="13"/>
      <c r="AD59" s="13"/>
      <c r="AE59" s="13"/>
      <c r="AF59" s="13"/>
      <c r="AG59" s="13"/>
      <c r="AH59" s="13"/>
      <c r="AI59" s="19"/>
      <c r="AJ59" s="14"/>
      <c r="AK59" s="13"/>
      <c r="AL59" s="13"/>
      <c r="AM59" s="13"/>
      <c r="AN59" s="13"/>
      <c r="AO59" s="13"/>
      <c r="AP59" s="20"/>
      <c r="AQ59" s="20"/>
      <c r="AR59" s="20"/>
      <c r="AS59" s="21"/>
      <c r="AT59" s="22"/>
      <c r="AU59" s="13"/>
      <c r="AV59" s="13"/>
      <c r="AW59" s="13"/>
      <c r="AX59" s="13"/>
      <c r="AY59" s="13"/>
      <c r="AZ59" s="13"/>
    </row>
    <row r="60" spans="1:52" ht="12.75">
      <c r="A60" s="12"/>
      <c r="B60" s="13"/>
      <c r="C60" s="13"/>
      <c r="D60" s="17"/>
      <c r="E60" s="13"/>
      <c r="F60" s="34" t="s">
        <v>4216</v>
      </c>
      <c r="G60" s="13"/>
      <c r="H60" s="13"/>
      <c r="I60" s="13"/>
      <c r="J60" s="14"/>
      <c r="K60" s="14"/>
      <c r="L60" s="13"/>
      <c r="M60" s="13"/>
      <c r="N60" s="13"/>
      <c r="O60" s="14"/>
      <c r="P60" s="14"/>
      <c r="Q60" s="14"/>
      <c r="R60" s="14"/>
      <c r="S60" s="14"/>
      <c r="T60" s="14"/>
      <c r="U60" s="14"/>
      <c r="V60" s="14"/>
      <c r="W60" s="14"/>
      <c r="X60" s="17"/>
      <c r="Y60" s="17"/>
      <c r="Z60" s="17"/>
      <c r="AA60" s="18"/>
      <c r="AB60" s="13"/>
      <c r="AC60" s="13"/>
      <c r="AD60" s="13"/>
      <c r="AE60" s="13"/>
      <c r="AF60" s="13"/>
      <c r="AG60" s="13"/>
      <c r="AH60" s="13"/>
      <c r="AI60" s="19"/>
      <c r="AJ60" s="14"/>
      <c r="AK60" s="13"/>
      <c r="AL60" s="13"/>
      <c r="AM60" s="13"/>
      <c r="AN60" s="13"/>
      <c r="AO60" s="13"/>
      <c r="AP60" s="20"/>
      <c r="AQ60" s="20"/>
      <c r="AR60" s="20"/>
      <c r="AS60" s="21"/>
      <c r="AT60" s="22"/>
      <c r="AU60" s="13"/>
      <c r="AV60" s="13"/>
      <c r="AW60" s="13"/>
      <c r="AX60" s="13"/>
      <c r="AY60" s="13"/>
      <c r="AZ60" s="13"/>
    </row>
    <row r="61" spans="1:52" ht="12.75">
      <c r="A61" s="12">
        <v>44790</v>
      </c>
      <c r="B61" s="13"/>
      <c r="C61" s="13" t="s">
        <v>133</v>
      </c>
      <c r="D61" s="17"/>
      <c r="E61" s="13"/>
      <c r="F61" s="14" t="s">
        <v>3319</v>
      </c>
      <c r="G61" s="13"/>
      <c r="H61" s="13"/>
      <c r="I61" s="13"/>
      <c r="J61" s="14"/>
      <c r="K61" s="14"/>
      <c r="L61" s="13">
        <v>1</v>
      </c>
      <c r="M61" s="13"/>
      <c r="N61" s="13"/>
      <c r="O61" s="14" t="s">
        <v>76</v>
      </c>
      <c r="P61" s="14" t="s">
        <v>119</v>
      </c>
      <c r="Q61" s="14" t="s">
        <v>666</v>
      </c>
      <c r="R61" s="14">
        <v>1</v>
      </c>
      <c r="S61" s="14">
        <v>1</v>
      </c>
      <c r="T61" s="14">
        <v>1</v>
      </c>
      <c r="U61" s="14" t="s">
        <v>22</v>
      </c>
      <c r="V61" s="14">
        <f t="shared" ref="V61:V105" si="21">IF(ISBLANK(O61),,(IF(O61=UPPER("IB"),0.005,0.01)))</f>
        <v>0.01</v>
      </c>
      <c r="W61" s="14">
        <f t="shared" ref="W61:W105" si="22">IF(ISBLANK(O61),,IF(O61=UPPER("IB"),8.63*200,16.65*100))</f>
        <v>1664.9999999999998</v>
      </c>
      <c r="X61" s="17" t="s">
        <v>4207</v>
      </c>
      <c r="Y61" s="17"/>
      <c r="Z61" s="17"/>
      <c r="AA61" s="18">
        <v>96.26</v>
      </c>
      <c r="AB61" s="13"/>
      <c r="AC61" s="13">
        <v>96.22</v>
      </c>
      <c r="AD61" s="13" t="s">
        <v>4217</v>
      </c>
      <c r="AE61" s="13"/>
      <c r="AF61" s="13"/>
      <c r="AG61" s="13"/>
      <c r="AH61" s="13"/>
      <c r="AI61" s="19"/>
      <c r="AJ61" s="14"/>
      <c r="AK61" s="13" t="s">
        <v>4209</v>
      </c>
      <c r="AL61" s="13"/>
      <c r="AM61" s="13"/>
      <c r="AN61" s="13" t="s">
        <v>87</v>
      </c>
      <c r="AO61" s="35">
        <v>44790</v>
      </c>
      <c r="AP61" s="20">
        <v>96.24</v>
      </c>
      <c r="AQ61" s="20">
        <f t="shared" ref="AQ61:AQ62" si="23">IF(ISBLANK(AP61),,IF(U61="S",AA61-AP61,AP61-AA61))</f>
        <v>-2.0000000000010232E-2</v>
      </c>
      <c r="AR61" s="94">
        <f t="shared" ref="AR61:AR62" si="24">AS61*R61</f>
        <v>-33.300000000017029</v>
      </c>
      <c r="AS61" s="21">
        <f t="shared" ref="AS61:AS62" si="25">IF(ISBLANK(AP61),,(AQ61*W61))</f>
        <v>-33.300000000017029</v>
      </c>
      <c r="AT61" s="22" t="s">
        <v>211</v>
      </c>
      <c r="AU61" s="13" t="s">
        <v>4218</v>
      </c>
      <c r="AV61" s="13"/>
      <c r="AW61" s="13"/>
      <c r="AX61" s="13"/>
      <c r="AY61" s="13"/>
      <c r="AZ61" s="13"/>
    </row>
    <row r="62" spans="1:52" ht="12.75">
      <c r="A62" s="12">
        <v>44790</v>
      </c>
      <c r="B62" s="13"/>
      <c r="C62" s="13" t="s">
        <v>133</v>
      </c>
      <c r="D62" s="17"/>
      <c r="E62" s="13"/>
      <c r="F62" s="14" t="s">
        <v>4197</v>
      </c>
      <c r="G62" s="13"/>
      <c r="H62" s="13"/>
      <c r="I62" s="13"/>
      <c r="J62" s="14"/>
      <c r="K62" s="14"/>
      <c r="L62" s="13"/>
      <c r="M62" s="13">
        <v>1</v>
      </c>
      <c r="N62" s="13"/>
      <c r="O62" s="14" t="s">
        <v>76</v>
      </c>
      <c r="P62" s="14" t="s">
        <v>4198</v>
      </c>
      <c r="Q62" s="14" t="s">
        <v>666</v>
      </c>
      <c r="R62" s="14">
        <v>1</v>
      </c>
      <c r="S62" s="14">
        <v>1</v>
      </c>
      <c r="T62" s="14">
        <v>1</v>
      </c>
      <c r="U62" s="14" t="s">
        <v>78</v>
      </c>
      <c r="V62" s="14">
        <f t="shared" si="21"/>
        <v>0.01</v>
      </c>
      <c r="W62" s="14">
        <f t="shared" si="22"/>
        <v>1664.9999999999998</v>
      </c>
      <c r="X62" s="17" t="s">
        <v>4219</v>
      </c>
      <c r="Y62" s="17"/>
      <c r="Z62" s="17"/>
      <c r="AA62" s="18">
        <v>96.44</v>
      </c>
      <c r="AB62" s="13"/>
      <c r="AC62" s="13">
        <v>96.47</v>
      </c>
      <c r="AD62" s="13" t="s">
        <v>4220</v>
      </c>
      <c r="AE62" s="13">
        <v>96.42</v>
      </c>
      <c r="AF62" s="13" t="s">
        <v>4221</v>
      </c>
      <c r="AG62" s="13"/>
      <c r="AH62" s="13"/>
      <c r="AI62" s="19"/>
      <c r="AJ62" s="14"/>
      <c r="AK62" s="13" t="s">
        <v>4209</v>
      </c>
      <c r="AL62" s="13"/>
      <c r="AM62" s="13"/>
      <c r="AN62" s="13" t="s">
        <v>87</v>
      </c>
      <c r="AO62" s="13"/>
      <c r="AP62" s="20">
        <v>96.47</v>
      </c>
      <c r="AQ62" s="20">
        <f t="shared" si="23"/>
        <v>-3.0000000000001137E-2</v>
      </c>
      <c r="AR62" s="94">
        <f t="shared" si="24"/>
        <v>-49.950000000001886</v>
      </c>
      <c r="AS62" s="21">
        <f t="shared" si="25"/>
        <v>-49.950000000001886</v>
      </c>
      <c r="AT62" s="22" t="s">
        <v>211</v>
      </c>
      <c r="AU62" s="13" t="s">
        <v>4222</v>
      </c>
      <c r="AV62" s="13"/>
      <c r="AW62" s="13"/>
      <c r="AX62" s="13"/>
      <c r="AY62" s="13"/>
      <c r="AZ62" s="13"/>
    </row>
    <row r="63" spans="1:52" ht="12.75">
      <c r="A63" s="12">
        <v>44791</v>
      </c>
      <c r="B63" s="13"/>
      <c r="C63" s="13" t="s">
        <v>74</v>
      </c>
      <c r="D63" s="17" t="s">
        <v>4223</v>
      </c>
      <c r="E63" s="13" t="s">
        <v>4224</v>
      </c>
      <c r="F63" s="14"/>
      <c r="G63" s="13"/>
      <c r="H63" s="13"/>
      <c r="I63" s="13">
        <v>1</v>
      </c>
      <c r="J63" s="14"/>
      <c r="K63" s="14"/>
      <c r="L63" s="13"/>
      <c r="M63" s="13"/>
      <c r="N63" s="13"/>
      <c r="O63" s="14"/>
      <c r="P63" s="14"/>
      <c r="Q63" s="14"/>
      <c r="R63" s="14"/>
      <c r="S63" s="14"/>
      <c r="T63" s="14"/>
      <c r="U63" s="14"/>
      <c r="V63" s="14">
        <f t="shared" si="21"/>
        <v>0</v>
      </c>
      <c r="W63" s="14">
        <f t="shared" si="22"/>
        <v>0</v>
      </c>
      <c r="X63" s="17"/>
      <c r="Y63" s="17"/>
      <c r="Z63" s="17"/>
      <c r="AA63" s="18"/>
      <c r="AB63" s="13"/>
      <c r="AC63" s="13"/>
      <c r="AD63" s="13"/>
      <c r="AE63" s="13"/>
      <c r="AF63" s="13"/>
      <c r="AG63" s="13"/>
      <c r="AH63" s="13"/>
      <c r="AI63" s="19"/>
      <c r="AJ63" s="14"/>
      <c r="AK63" s="13"/>
      <c r="AL63" s="13"/>
      <c r="AM63" s="13"/>
      <c r="AN63" s="13"/>
      <c r="AO63" s="13"/>
      <c r="AP63" s="20"/>
      <c r="AQ63" s="20"/>
      <c r="AR63" s="20"/>
      <c r="AS63" s="21"/>
      <c r="AT63" s="22"/>
      <c r="AU63" s="17" t="s">
        <v>4225</v>
      </c>
      <c r="AV63" s="17" t="s">
        <v>4226</v>
      </c>
      <c r="AW63" s="17" t="s">
        <v>4227</v>
      </c>
      <c r="AX63" s="13"/>
      <c r="AY63" s="13"/>
      <c r="AZ63" s="13"/>
    </row>
    <row r="64" spans="1:52" ht="12.75">
      <c r="A64" s="12">
        <v>44791</v>
      </c>
      <c r="B64" s="13"/>
      <c r="C64" s="13" t="s">
        <v>74</v>
      </c>
      <c r="D64" s="17" t="s">
        <v>4228</v>
      </c>
      <c r="E64" s="17" t="s">
        <v>4229</v>
      </c>
      <c r="F64" s="14"/>
      <c r="G64" s="13">
        <v>1</v>
      </c>
      <c r="H64" s="13"/>
      <c r="I64" s="13"/>
      <c r="J64" s="14"/>
      <c r="K64" s="14"/>
      <c r="L64" s="13"/>
      <c r="M64" s="13"/>
      <c r="N64" s="13"/>
      <c r="O64" s="14"/>
      <c r="P64" s="14"/>
      <c r="Q64" s="14"/>
      <c r="R64" s="14"/>
      <c r="S64" s="14"/>
      <c r="T64" s="14"/>
      <c r="U64" s="14"/>
      <c r="V64" s="14">
        <f t="shared" si="21"/>
        <v>0</v>
      </c>
      <c r="W64" s="14">
        <f t="shared" si="22"/>
        <v>0</v>
      </c>
      <c r="X64" s="17"/>
      <c r="Y64" s="17"/>
      <c r="Z64" s="17"/>
      <c r="AA64" s="18"/>
      <c r="AB64" s="13"/>
      <c r="AC64" s="13"/>
      <c r="AD64" s="13"/>
      <c r="AE64" s="13"/>
      <c r="AF64" s="13"/>
      <c r="AG64" s="13"/>
      <c r="AH64" s="13"/>
      <c r="AI64" s="19"/>
      <c r="AJ64" s="14"/>
      <c r="AK64" s="13"/>
      <c r="AL64" s="13"/>
      <c r="AM64" s="13"/>
      <c r="AN64" s="13"/>
      <c r="AO64" s="13"/>
      <c r="AP64" s="20"/>
      <c r="AQ64" s="20"/>
      <c r="AR64" s="20"/>
      <c r="AS64" s="21"/>
      <c r="AT64" s="22"/>
      <c r="AU64" s="13" t="s">
        <v>4230</v>
      </c>
      <c r="AV64" s="13"/>
      <c r="AW64" s="13"/>
      <c r="AX64" s="13"/>
      <c r="AY64" s="13"/>
      <c r="AZ64" s="13"/>
    </row>
    <row r="65" spans="1:52" ht="12.75">
      <c r="A65" s="12">
        <v>44791</v>
      </c>
      <c r="B65" s="13"/>
      <c r="C65" s="13" t="s">
        <v>74</v>
      </c>
      <c r="D65" s="17"/>
      <c r="E65" s="13"/>
      <c r="F65" s="14"/>
      <c r="G65" s="13"/>
      <c r="H65" s="13"/>
      <c r="I65" s="13"/>
      <c r="J65" s="14" t="s">
        <v>97</v>
      </c>
      <c r="K65" s="14"/>
      <c r="L65" s="13"/>
      <c r="M65" s="13"/>
      <c r="N65" s="13"/>
      <c r="O65" s="14"/>
      <c r="P65" s="14"/>
      <c r="Q65" s="14"/>
      <c r="R65" s="14"/>
      <c r="S65" s="14"/>
      <c r="T65" s="14"/>
      <c r="U65" s="14"/>
      <c r="V65" s="14">
        <f t="shared" si="21"/>
        <v>0</v>
      </c>
      <c r="W65" s="14">
        <f t="shared" si="22"/>
        <v>0</v>
      </c>
      <c r="X65" s="17"/>
      <c r="Y65" s="17"/>
      <c r="Z65" s="17"/>
      <c r="AA65" s="18"/>
      <c r="AB65" s="13"/>
      <c r="AC65" s="13"/>
      <c r="AD65" s="13"/>
      <c r="AE65" s="13"/>
      <c r="AF65" s="13"/>
      <c r="AG65" s="13"/>
      <c r="AH65" s="13"/>
      <c r="AI65" s="19"/>
      <c r="AJ65" s="14"/>
      <c r="AK65" s="13"/>
      <c r="AL65" s="13"/>
      <c r="AM65" s="13"/>
      <c r="AN65" s="13"/>
      <c r="AO65" s="13"/>
      <c r="AP65" s="20"/>
      <c r="AQ65" s="20"/>
      <c r="AR65" s="20"/>
      <c r="AS65" s="21"/>
      <c r="AT65" s="22"/>
      <c r="AU65" s="17" t="s">
        <v>4231</v>
      </c>
      <c r="AV65" s="17" t="s">
        <v>4232</v>
      </c>
      <c r="AW65" s="17" t="s">
        <v>4233</v>
      </c>
      <c r="AX65" s="13"/>
      <c r="AY65" s="13"/>
      <c r="AZ65" s="13"/>
    </row>
    <row r="66" spans="1:52" ht="12.75">
      <c r="A66" s="12">
        <v>44792</v>
      </c>
      <c r="B66" s="13"/>
      <c r="C66" s="13" t="s">
        <v>93</v>
      </c>
      <c r="D66" s="17"/>
      <c r="E66" s="13"/>
      <c r="F66" s="77" t="s">
        <v>4234</v>
      </c>
      <c r="G66" s="13"/>
      <c r="H66" s="13"/>
      <c r="I66" s="13"/>
      <c r="J66" s="14" t="s">
        <v>97</v>
      </c>
      <c r="K66" s="14"/>
      <c r="L66" s="13">
        <v>1</v>
      </c>
      <c r="M66" s="13">
        <v>2</v>
      </c>
      <c r="N66" s="13"/>
      <c r="O66" s="14" t="s">
        <v>76</v>
      </c>
      <c r="P66" s="14" t="s">
        <v>77</v>
      </c>
      <c r="Q66" s="14" t="s">
        <v>78</v>
      </c>
      <c r="R66" s="14">
        <v>1</v>
      </c>
      <c r="S66" s="14">
        <v>1</v>
      </c>
      <c r="T66" s="14">
        <v>1</v>
      </c>
      <c r="U66" s="14" t="s">
        <v>22</v>
      </c>
      <c r="V66" s="14">
        <f t="shared" si="21"/>
        <v>0.01</v>
      </c>
      <c r="W66" s="14">
        <f t="shared" si="22"/>
        <v>1664.9999999999998</v>
      </c>
      <c r="X66" s="17"/>
      <c r="Y66" s="17" t="s">
        <v>4235</v>
      </c>
      <c r="Z66" s="17" t="s">
        <v>4236</v>
      </c>
      <c r="AA66" s="18">
        <v>0.08</v>
      </c>
      <c r="AB66" s="13" t="s">
        <v>4237</v>
      </c>
      <c r="AC66" s="13" t="s">
        <v>4238</v>
      </c>
      <c r="AD66" s="13"/>
      <c r="AE66" s="80">
        <v>0.1</v>
      </c>
      <c r="AF66" s="13"/>
      <c r="AG66" s="13"/>
      <c r="AH66" s="13"/>
      <c r="AI66" s="19"/>
      <c r="AJ66" s="14"/>
      <c r="AK66" s="13" t="s">
        <v>4239</v>
      </c>
      <c r="AL66" s="13"/>
      <c r="AM66" s="13" t="s">
        <v>4240</v>
      </c>
      <c r="AN66" s="13" t="s">
        <v>97</v>
      </c>
      <c r="AO66" s="99">
        <v>44792</v>
      </c>
      <c r="AP66" s="20">
        <v>0.1</v>
      </c>
      <c r="AQ66" s="20">
        <f>IF(ISBLANK(AP66),,IF(U66="S",AA66-AP66,AP66-AA66))</f>
        <v>2.0000000000000004E-2</v>
      </c>
      <c r="AR66" s="94">
        <f>AS66*R66</f>
        <v>33.300000000000004</v>
      </c>
      <c r="AS66" s="21">
        <f>IF(ISBLANK(AP66),,(AQ66*W66))</f>
        <v>33.300000000000004</v>
      </c>
      <c r="AT66" s="22" t="s">
        <v>77</v>
      </c>
      <c r="AU66" s="13" t="s">
        <v>4241</v>
      </c>
      <c r="AV66" s="13" t="s">
        <v>4242</v>
      </c>
      <c r="AW66" s="13" t="s">
        <v>4243</v>
      </c>
      <c r="AX66" s="13" t="s">
        <v>4244</v>
      </c>
      <c r="AY66" s="61" t="s">
        <v>4245</v>
      </c>
      <c r="AZ66" s="13" t="s">
        <v>4246</v>
      </c>
    </row>
    <row r="67" spans="1:52" ht="12.75">
      <c r="A67" s="12"/>
      <c r="B67" s="13"/>
      <c r="C67" s="13"/>
      <c r="D67" s="17"/>
      <c r="E67" s="13"/>
      <c r="F67" s="14"/>
      <c r="G67" s="13"/>
      <c r="H67" s="13"/>
      <c r="I67" s="13"/>
      <c r="J67" s="14" t="s">
        <v>97</v>
      </c>
      <c r="K67" s="14"/>
      <c r="L67" s="13"/>
      <c r="M67" s="13"/>
      <c r="N67" s="13"/>
      <c r="O67" s="14"/>
      <c r="P67" s="14" t="s">
        <v>77</v>
      </c>
      <c r="Q67" s="14"/>
      <c r="R67" s="14">
        <v>1</v>
      </c>
      <c r="S67" s="14">
        <v>1</v>
      </c>
      <c r="T67" s="14"/>
      <c r="U67" s="14"/>
      <c r="V67" s="14">
        <f t="shared" si="21"/>
        <v>0</v>
      </c>
      <c r="W67" s="14">
        <f t="shared" si="22"/>
        <v>0</v>
      </c>
      <c r="X67" s="17"/>
      <c r="Y67" s="17"/>
      <c r="Z67" s="17"/>
      <c r="AA67" s="18">
        <v>96.35</v>
      </c>
      <c r="AB67" s="13"/>
      <c r="AC67" s="13"/>
      <c r="AD67" s="13"/>
      <c r="AE67" s="13"/>
      <c r="AF67" s="13"/>
      <c r="AG67" s="13"/>
      <c r="AH67" s="13"/>
      <c r="AI67" s="19"/>
      <c r="AJ67" s="14"/>
      <c r="AK67" s="13"/>
      <c r="AL67" s="13"/>
      <c r="AM67" s="13"/>
      <c r="AN67" s="13"/>
      <c r="AO67" s="13"/>
      <c r="AP67" s="20">
        <v>96.29</v>
      </c>
      <c r="AQ67" s="13"/>
      <c r="AR67" s="94"/>
      <c r="AS67" s="21"/>
      <c r="AT67" s="22"/>
      <c r="AU67" s="13"/>
      <c r="AV67" s="13"/>
      <c r="AW67" s="13"/>
      <c r="AX67" s="13"/>
      <c r="AY67" s="13"/>
      <c r="AZ67" s="13"/>
    </row>
    <row r="68" spans="1:52" ht="12.75">
      <c r="A68" s="12"/>
      <c r="B68" s="13"/>
      <c r="C68" s="13"/>
      <c r="D68" s="17"/>
      <c r="E68" s="13"/>
      <c r="F68" s="14"/>
      <c r="G68" s="13"/>
      <c r="H68" s="13"/>
      <c r="I68" s="13"/>
      <c r="J68" s="14"/>
      <c r="K68" s="14"/>
      <c r="L68" s="13"/>
      <c r="M68" s="13"/>
      <c r="N68" s="13"/>
      <c r="O68" s="14"/>
      <c r="P68" s="14" t="s">
        <v>77</v>
      </c>
      <c r="Q68" s="14"/>
      <c r="R68" s="14">
        <v>1</v>
      </c>
      <c r="S68" s="14">
        <v>1</v>
      </c>
      <c r="T68" s="14"/>
      <c r="U68" s="14"/>
      <c r="V68" s="14">
        <f t="shared" si="21"/>
        <v>0</v>
      </c>
      <c r="W68" s="14">
        <f t="shared" si="22"/>
        <v>0</v>
      </c>
      <c r="X68" s="17"/>
      <c r="Y68" s="17"/>
      <c r="Z68" s="17"/>
      <c r="AA68" s="18">
        <v>96.27</v>
      </c>
      <c r="AB68" s="13"/>
      <c r="AC68" s="13"/>
      <c r="AD68" s="13"/>
      <c r="AE68" s="13"/>
      <c r="AF68" s="13"/>
      <c r="AG68" s="13"/>
      <c r="AH68" s="13"/>
      <c r="AI68" s="19"/>
      <c r="AJ68" s="14"/>
      <c r="AK68" s="13"/>
      <c r="AL68" s="13"/>
      <c r="AM68" s="13"/>
      <c r="AN68" s="13"/>
      <c r="AO68" s="13"/>
      <c r="AP68" s="20">
        <v>96.19</v>
      </c>
      <c r="AQ68" s="13"/>
      <c r="AR68" s="94"/>
      <c r="AS68" s="21"/>
      <c r="AT68" s="22"/>
      <c r="AU68" s="13"/>
      <c r="AV68" s="13"/>
      <c r="AW68" s="13"/>
      <c r="AX68" s="13"/>
      <c r="AY68" s="13"/>
      <c r="AZ68" s="13"/>
    </row>
    <row r="69" spans="1:52" ht="12.75">
      <c r="A69" s="12">
        <v>44795</v>
      </c>
      <c r="B69" s="13"/>
      <c r="C69" s="13" t="s">
        <v>114</v>
      </c>
      <c r="D69" s="17"/>
      <c r="E69" s="13"/>
      <c r="F69" s="14" t="s">
        <v>558</v>
      </c>
      <c r="G69" s="13"/>
      <c r="H69" s="13"/>
      <c r="I69" s="13"/>
      <c r="J69" s="14"/>
      <c r="K69" s="14"/>
      <c r="L69" s="13">
        <v>1</v>
      </c>
      <c r="M69" s="13">
        <v>2</v>
      </c>
      <c r="N69" s="13"/>
      <c r="O69" s="14" t="s">
        <v>76</v>
      </c>
      <c r="P69" s="14" t="s">
        <v>77</v>
      </c>
      <c r="Q69" s="14"/>
      <c r="R69" s="14">
        <v>2</v>
      </c>
      <c r="S69" s="14">
        <v>2</v>
      </c>
      <c r="T69" s="14">
        <v>1</v>
      </c>
      <c r="U69" s="14"/>
      <c r="V69" s="14">
        <f t="shared" si="21"/>
        <v>0.01</v>
      </c>
      <c r="W69" s="14">
        <f t="shared" si="22"/>
        <v>1664.9999999999998</v>
      </c>
      <c r="X69" s="17"/>
      <c r="Y69" s="17" t="s">
        <v>4247</v>
      </c>
      <c r="Z69" s="17" t="s">
        <v>4236</v>
      </c>
      <c r="AA69" s="18">
        <v>5.0000000000000001E-3</v>
      </c>
      <c r="AB69" s="13"/>
      <c r="AC69" s="13">
        <v>-0.01</v>
      </c>
      <c r="AD69" s="13"/>
      <c r="AE69" s="13" t="s">
        <v>4248</v>
      </c>
      <c r="AF69" s="13"/>
      <c r="AG69" s="13"/>
      <c r="AH69" s="13"/>
      <c r="AI69" s="19"/>
      <c r="AJ69" s="14"/>
      <c r="AK69" s="13" t="s">
        <v>4249</v>
      </c>
      <c r="AL69" s="13"/>
      <c r="AM69" s="13"/>
      <c r="AN69" s="13"/>
      <c r="AO69" s="13"/>
      <c r="AP69" s="20"/>
      <c r="AQ69" s="13"/>
      <c r="AR69" s="94"/>
      <c r="AS69" s="21"/>
      <c r="AT69" s="22"/>
      <c r="AU69" s="100" t="s">
        <v>4250</v>
      </c>
      <c r="AV69" s="13" t="s">
        <v>4251</v>
      </c>
      <c r="AW69" s="13" t="s">
        <v>4252</v>
      </c>
      <c r="AX69" s="13" t="s">
        <v>4253</v>
      </c>
      <c r="AY69" s="13"/>
      <c r="AZ69" s="13"/>
    </row>
    <row r="70" spans="1:52" ht="12.75">
      <c r="A70" s="12"/>
      <c r="B70" s="13"/>
      <c r="C70" s="13"/>
      <c r="D70" s="17"/>
      <c r="E70" s="13"/>
      <c r="F70" s="14"/>
      <c r="G70" s="13"/>
      <c r="H70" s="13"/>
      <c r="I70" s="13"/>
      <c r="J70" s="14"/>
      <c r="K70" s="14"/>
      <c r="L70" s="13"/>
      <c r="M70" s="13"/>
      <c r="N70" s="13"/>
      <c r="O70" s="14" t="s">
        <v>76</v>
      </c>
      <c r="P70" s="14" t="s">
        <v>77</v>
      </c>
      <c r="Q70" s="14"/>
      <c r="R70" s="14">
        <v>2</v>
      </c>
      <c r="S70" s="14">
        <v>2</v>
      </c>
      <c r="T70" s="14">
        <v>1</v>
      </c>
      <c r="U70" s="14" t="s">
        <v>22</v>
      </c>
      <c r="V70" s="14">
        <f t="shared" si="21"/>
        <v>0.01</v>
      </c>
      <c r="W70" s="14">
        <f t="shared" si="22"/>
        <v>1664.9999999999998</v>
      </c>
      <c r="X70" s="17"/>
      <c r="Y70" s="17"/>
      <c r="Z70" s="17"/>
      <c r="AA70" s="18"/>
      <c r="AB70" s="13"/>
      <c r="AC70" s="13"/>
      <c r="AD70" s="13"/>
      <c r="AE70" s="13"/>
      <c r="AF70" s="13"/>
      <c r="AG70" s="13"/>
      <c r="AH70" s="13"/>
      <c r="AI70" s="19"/>
      <c r="AJ70" s="14"/>
      <c r="AK70" s="13"/>
      <c r="AL70" s="13"/>
      <c r="AM70" s="13"/>
      <c r="AN70" s="13"/>
      <c r="AO70" s="13"/>
      <c r="AP70" s="20"/>
      <c r="AQ70" s="13"/>
      <c r="AR70" s="94"/>
      <c r="AS70" s="21"/>
      <c r="AT70" s="22"/>
      <c r="AU70" s="13"/>
      <c r="AV70" s="61"/>
      <c r="AW70" s="13"/>
      <c r="AX70" s="13"/>
      <c r="AY70" s="13"/>
      <c r="AZ70" s="13"/>
    </row>
    <row r="71" spans="1:52" ht="12.75">
      <c r="A71" s="12">
        <v>44795</v>
      </c>
      <c r="B71" s="13"/>
      <c r="C71" s="13" t="s">
        <v>114</v>
      </c>
      <c r="D71" s="17"/>
      <c r="E71" s="13"/>
      <c r="F71" s="14" t="s">
        <v>3319</v>
      </c>
      <c r="G71" s="13"/>
      <c r="H71" s="13"/>
      <c r="I71" s="13"/>
      <c r="J71" s="14"/>
      <c r="K71" s="14"/>
      <c r="L71" s="13"/>
      <c r="M71" s="13"/>
      <c r="N71" s="13"/>
      <c r="O71" s="14" t="s">
        <v>76</v>
      </c>
      <c r="P71" s="14" t="s">
        <v>119</v>
      </c>
      <c r="Q71" s="14" t="s">
        <v>666</v>
      </c>
      <c r="R71" s="14">
        <v>2</v>
      </c>
      <c r="S71" s="14">
        <v>2</v>
      </c>
      <c r="T71" s="14">
        <v>1</v>
      </c>
      <c r="U71" s="14" t="s">
        <v>78</v>
      </c>
      <c r="V71" s="14">
        <f t="shared" si="21"/>
        <v>0.01</v>
      </c>
      <c r="W71" s="14">
        <f t="shared" si="22"/>
        <v>1664.9999999999998</v>
      </c>
      <c r="X71" s="17"/>
      <c r="Y71" s="17"/>
      <c r="Z71" s="17"/>
      <c r="AA71" s="18">
        <v>96.034999999999997</v>
      </c>
      <c r="AB71" s="13"/>
      <c r="AC71" s="13"/>
      <c r="AD71" s="13"/>
      <c r="AE71" s="13"/>
      <c r="AF71" s="13"/>
      <c r="AG71" s="13"/>
      <c r="AH71" s="13"/>
      <c r="AI71" s="19"/>
      <c r="AJ71" s="14"/>
      <c r="AK71" s="13"/>
      <c r="AL71" s="13"/>
      <c r="AM71" s="13" t="s">
        <v>140</v>
      </c>
      <c r="AN71" s="13" t="s">
        <v>87</v>
      </c>
      <c r="AO71" s="13"/>
      <c r="AP71" s="20">
        <v>96.04</v>
      </c>
      <c r="AQ71" s="20">
        <f>IF(ISBLANK(AP71),,IF(U71="S",AA71-AP71,AP71-AA71))</f>
        <v>-5.0000000000096634E-3</v>
      </c>
      <c r="AR71" s="94">
        <f>AS71*R71</f>
        <v>-16.650000000032176</v>
      </c>
      <c r="AS71" s="21">
        <f>IF(ISBLANK(AP71),,(AQ71*W71))</f>
        <v>-8.3250000000160878</v>
      </c>
      <c r="AT71" s="22" t="s">
        <v>211</v>
      </c>
      <c r="AU71" s="13" t="s">
        <v>4254</v>
      </c>
      <c r="AV71" s="13" t="s">
        <v>4255</v>
      </c>
      <c r="AW71" s="13"/>
      <c r="AX71" s="13"/>
      <c r="AY71" s="13"/>
      <c r="AZ71" s="13"/>
    </row>
    <row r="72" spans="1:52" ht="12.75">
      <c r="A72" s="12">
        <v>44795</v>
      </c>
      <c r="B72" s="13"/>
      <c r="C72" s="13" t="s">
        <v>114</v>
      </c>
      <c r="D72" s="17"/>
      <c r="E72" s="13"/>
      <c r="F72" s="14" t="s">
        <v>4079</v>
      </c>
      <c r="G72" s="13"/>
      <c r="H72" s="13"/>
      <c r="I72" s="13"/>
      <c r="J72" s="14"/>
      <c r="K72" s="14"/>
      <c r="L72" s="13"/>
      <c r="M72" s="13">
        <v>3</v>
      </c>
      <c r="N72" s="13">
        <v>3</v>
      </c>
      <c r="O72" s="14" t="s">
        <v>76</v>
      </c>
      <c r="P72" s="14" t="s">
        <v>77</v>
      </c>
      <c r="Q72" s="14"/>
      <c r="R72" s="14">
        <v>2</v>
      </c>
      <c r="S72" s="14">
        <v>2</v>
      </c>
      <c r="T72" s="14">
        <v>2</v>
      </c>
      <c r="U72" s="14" t="s">
        <v>78</v>
      </c>
      <c r="V72" s="14">
        <f t="shared" si="21"/>
        <v>0.01</v>
      </c>
      <c r="W72" s="14">
        <f t="shared" si="22"/>
        <v>1664.9999999999998</v>
      </c>
      <c r="X72" s="17"/>
      <c r="Y72" s="17"/>
      <c r="Z72" s="17"/>
      <c r="AA72" s="18"/>
      <c r="AB72" s="13"/>
      <c r="AC72" s="13"/>
      <c r="AD72" s="13"/>
      <c r="AE72" s="13"/>
      <c r="AF72" s="13"/>
      <c r="AG72" s="13"/>
      <c r="AH72" s="13"/>
      <c r="AI72" s="19"/>
      <c r="AJ72" s="14"/>
      <c r="AK72" s="13"/>
      <c r="AL72" s="13"/>
      <c r="AM72" s="13"/>
      <c r="AN72" s="13"/>
      <c r="AO72" s="13"/>
      <c r="AP72" s="20"/>
      <c r="AQ72" s="13"/>
      <c r="AR72" s="94"/>
      <c r="AS72" s="21"/>
      <c r="AT72" s="22"/>
      <c r="AU72" s="13"/>
      <c r="AV72" s="13"/>
      <c r="AW72" s="13"/>
      <c r="AX72" s="13"/>
      <c r="AY72" s="13"/>
      <c r="AZ72" s="13"/>
    </row>
    <row r="73" spans="1:52" ht="12.75">
      <c r="A73" s="12"/>
      <c r="B73" s="13"/>
      <c r="C73" s="13"/>
      <c r="D73" s="17"/>
      <c r="E73" s="13"/>
      <c r="F73" s="14" t="s">
        <v>4234</v>
      </c>
      <c r="G73" s="13"/>
      <c r="H73" s="13"/>
      <c r="I73" s="13"/>
      <c r="J73" s="14"/>
      <c r="K73" s="14"/>
      <c r="L73" s="13"/>
      <c r="M73" s="13"/>
      <c r="N73" s="13"/>
      <c r="O73" s="14" t="s">
        <v>76</v>
      </c>
      <c r="P73" s="14" t="s">
        <v>77</v>
      </c>
      <c r="Q73" s="14"/>
      <c r="R73" s="14">
        <v>2</v>
      </c>
      <c r="S73" s="14">
        <v>2</v>
      </c>
      <c r="T73" s="14">
        <v>2</v>
      </c>
      <c r="U73" s="14" t="s">
        <v>78</v>
      </c>
      <c r="V73" s="14">
        <f t="shared" si="21"/>
        <v>0.01</v>
      </c>
      <c r="W73" s="14">
        <f t="shared" si="22"/>
        <v>1664.9999999999998</v>
      </c>
      <c r="X73" s="17" t="s">
        <v>4256</v>
      </c>
      <c r="Y73" s="17" t="s">
        <v>4257</v>
      </c>
      <c r="Z73" s="17"/>
      <c r="AA73" s="18">
        <v>0.1</v>
      </c>
      <c r="AB73" s="13" t="s">
        <v>4258</v>
      </c>
      <c r="AC73" s="13"/>
      <c r="AD73" s="13"/>
      <c r="AE73" s="13" t="s">
        <v>4259</v>
      </c>
      <c r="AF73" s="13"/>
      <c r="AG73" s="13"/>
      <c r="AH73" s="13"/>
      <c r="AI73" s="19"/>
      <c r="AJ73" s="14"/>
      <c r="AK73" s="13" t="s">
        <v>4260</v>
      </c>
      <c r="AL73" s="13"/>
      <c r="AM73" s="13"/>
      <c r="AN73" s="13"/>
      <c r="AO73" s="13"/>
      <c r="AP73" s="20"/>
      <c r="AQ73" s="13"/>
      <c r="AR73" s="94"/>
      <c r="AS73" s="21"/>
      <c r="AT73" s="22"/>
      <c r="AU73" s="13"/>
      <c r="AV73" s="13"/>
      <c r="AW73" s="13"/>
      <c r="AX73" s="13"/>
      <c r="AY73" s="13"/>
      <c r="AZ73" s="13"/>
    </row>
    <row r="74" spans="1:52" ht="12.75">
      <c r="A74" s="12">
        <v>44796</v>
      </c>
      <c r="B74" s="13"/>
      <c r="C74" s="13" t="s">
        <v>128</v>
      </c>
      <c r="D74" s="17"/>
      <c r="E74" s="13"/>
      <c r="F74" s="14" t="s">
        <v>4234</v>
      </c>
      <c r="G74" s="13"/>
      <c r="H74" s="13"/>
      <c r="I74" s="13"/>
      <c r="J74" s="14"/>
      <c r="K74" s="14"/>
      <c r="L74" s="13"/>
      <c r="M74" s="13">
        <v>3</v>
      </c>
      <c r="N74" s="13">
        <v>2</v>
      </c>
      <c r="O74" s="14" t="s">
        <v>76</v>
      </c>
      <c r="P74" s="14" t="s">
        <v>77</v>
      </c>
      <c r="Q74" s="14"/>
      <c r="R74" s="14">
        <v>4</v>
      </c>
      <c r="S74" s="14">
        <v>4</v>
      </c>
      <c r="T74" s="14">
        <v>2</v>
      </c>
      <c r="U74" s="14" t="s">
        <v>78</v>
      </c>
      <c r="V74" s="14">
        <f t="shared" si="21"/>
        <v>0.01</v>
      </c>
      <c r="W74" s="14">
        <f t="shared" si="22"/>
        <v>1664.9999999999998</v>
      </c>
      <c r="X74" s="17" t="s">
        <v>4261</v>
      </c>
      <c r="Y74" s="17" t="s">
        <v>4262</v>
      </c>
      <c r="Z74" s="17"/>
      <c r="AA74" s="18">
        <v>0.12</v>
      </c>
      <c r="AB74" s="13" t="s">
        <v>4263</v>
      </c>
      <c r="AC74" s="13">
        <v>0.14000000000000001</v>
      </c>
      <c r="AD74" s="13"/>
      <c r="AE74" s="13" t="s">
        <v>4264</v>
      </c>
      <c r="AF74" s="13" t="s">
        <v>4265</v>
      </c>
      <c r="AG74" s="13"/>
      <c r="AH74" s="13"/>
      <c r="AI74" s="19"/>
      <c r="AJ74" s="14"/>
      <c r="AK74" s="13" t="s">
        <v>4266</v>
      </c>
      <c r="AL74" s="13" t="s">
        <v>4267</v>
      </c>
      <c r="AM74" s="13"/>
      <c r="AN74" s="13"/>
      <c r="AO74" s="13"/>
      <c r="AP74" s="20"/>
      <c r="AQ74" s="13"/>
      <c r="AR74" s="94"/>
      <c r="AS74" s="21"/>
      <c r="AT74" s="22"/>
      <c r="AU74" s="13" t="s">
        <v>4268</v>
      </c>
      <c r="AV74" s="13" t="s">
        <v>4269</v>
      </c>
      <c r="AW74" s="13" t="s">
        <v>4270</v>
      </c>
      <c r="AX74" s="13" t="s">
        <v>4271</v>
      </c>
      <c r="AY74" s="13"/>
      <c r="AZ74" s="13"/>
    </row>
    <row r="75" spans="1:52" ht="12.75">
      <c r="A75" s="12">
        <v>44796</v>
      </c>
      <c r="B75" s="13"/>
      <c r="C75" s="13" t="s">
        <v>128</v>
      </c>
      <c r="D75" s="17"/>
      <c r="E75" s="13"/>
      <c r="F75" s="14" t="s">
        <v>4234</v>
      </c>
      <c r="G75" s="13"/>
      <c r="H75" s="13"/>
      <c r="I75" s="13"/>
      <c r="J75" s="14"/>
      <c r="K75" s="14"/>
      <c r="L75" s="13"/>
      <c r="M75" s="13">
        <v>3</v>
      </c>
      <c r="N75" s="13">
        <v>2</v>
      </c>
      <c r="O75" s="14" t="s">
        <v>76</v>
      </c>
      <c r="P75" s="14" t="s">
        <v>77</v>
      </c>
      <c r="Q75" s="14"/>
      <c r="R75" s="14">
        <v>2</v>
      </c>
      <c r="S75" s="14">
        <v>2</v>
      </c>
      <c r="T75" s="14">
        <v>2</v>
      </c>
      <c r="U75" s="14" t="s">
        <v>78</v>
      </c>
      <c r="V75" s="14">
        <f t="shared" si="21"/>
        <v>0.01</v>
      </c>
      <c r="W75" s="14">
        <f t="shared" si="22"/>
        <v>1664.9999999999998</v>
      </c>
      <c r="X75" s="17" t="s">
        <v>4261</v>
      </c>
      <c r="Y75" s="17" t="s">
        <v>4262</v>
      </c>
      <c r="Z75" s="17"/>
      <c r="AA75" s="18">
        <v>0.14000000000000001</v>
      </c>
      <c r="AB75" s="13"/>
      <c r="AC75" s="13">
        <v>0.18</v>
      </c>
      <c r="AD75" s="13"/>
      <c r="AE75" s="13" t="s">
        <v>4272</v>
      </c>
      <c r="AF75" s="13" t="s">
        <v>4273</v>
      </c>
      <c r="AG75" s="13"/>
      <c r="AH75" s="13">
        <f>4/4</f>
        <v>1</v>
      </c>
      <c r="AI75" s="19"/>
      <c r="AJ75" s="14"/>
      <c r="AK75" s="13" t="s">
        <v>430</v>
      </c>
      <c r="AL75" s="13"/>
      <c r="AM75" s="13"/>
      <c r="AN75" s="13"/>
      <c r="AO75" s="13"/>
      <c r="AP75" s="20"/>
      <c r="AQ75" s="13"/>
      <c r="AR75" s="94"/>
      <c r="AS75" s="21"/>
      <c r="AT75" s="22"/>
      <c r="AU75" s="13" t="s">
        <v>4274</v>
      </c>
      <c r="AV75" s="13" t="s">
        <v>4275</v>
      </c>
      <c r="AW75" s="13" t="s">
        <v>4276</v>
      </c>
      <c r="AX75" s="13" t="s">
        <v>4277</v>
      </c>
      <c r="AY75" s="13"/>
      <c r="AZ75" s="13"/>
    </row>
    <row r="76" spans="1:52" ht="12.75">
      <c r="A76" s="12">
        <v>44797</v>
      </c>
      <c r="B76" s="13"/>
      <c r="C76" s="13" t="s">
        <v>133</v>
      </c>
      <c r="D76" s="17"/>
      <c r="E76" s="13"/>
      <c r="F76" s="14" t="s">
        <v>4234</v>
      </c>
      <c r="G76" s="13"/>
      <c r="H76" s="13"/>
      <c r="I76" s="13"/>
      <c r="J76" s="14"/>
      <c r="K76" s="14"/>
      <c r="L76" s="13"/>
      <c r="M76" s="13">
        <v>3</v>
      </c>
      <c r="N76" s="13">
        <v>2</v>
      </c>
      <c r="O76" s="14" t="s">
        <v>76</v>
      </c>
      <c r="P76" s="14" t="s">
        <v>77</v>
      </c>
      <c r="Q76" s="14" t="s">
        <v>78</v>
      </c>
      <c r="R76" s="14">
        <v>6</v>
      </c>
      <c r="S76" s="14">
        <v>6</v>
      </c>
      <c r="T76" s="14">
        <v>2</v>
      </c>
      <c r="U76" s="14" t="s">
        <v>78</v>
      </c>
      <c r="V76" s="14">
        <f t="shared" si="21"/>
        <v>0.01</v>
      </c>
      <c r="W76" s="14">
        <f t="shared" si="22"/>
        <v>1664.9999999999998</v>
      </c>
      <c r="X76" s="17" t="s">
        <v>4261</v>
      </c>
      <c r="Y76" s="17" t="s">
        <v>4262</v>
      </c>
      <c r="Z76" s="17"/>
      <c r="AA76" s="18">
        <v>0.12667</v>
      </c>
      <c r="AB76" s="13"/>
      <c r="AC76" s="13">
        <v>0.16</v>
      </c>
      <c r="AD76" s="13"/>
      <c r="AE76" s="13" t="s">
        <v>4278</v>
      </c>
      <c r="AF76" s="13" t="s">
        <v>4273</v>
      </c>
      <c r="AG76" s="13"/>
      <c r="AH76" s="13">
        <v>1</v>
      </c>
      <c r="AI76" s="19"/>
      <c r="AJ76" s="14"/>
      <c r="AK76" s="13" t="s">
        <v>430</v>
      </c>
      <c r="AL76" s="13"/>
      <c r="AM76" s="13" t="s">
        <v>4279</v>
      </c>
      <c r="AN76" s="13" t="s">
        <v>87</v>
      </c>
      <c r="AO76" s="13"/>
      <c r="AP76" s="20">
        <v>0.16</v>
      </c>
      <c r="AQ76" s="20">
        <f>IF(ISBLANK(AP76),,IF(U76="S",AA76-AP76,AP76-AA76))</f>
        <v>-3.3329999999999999E-2</v>
      </c>
      <c r="AR76" s="94">
        <f>AS76*R76</f>
        <v>-332.96669999999995</v>
      </c>
      <c r="AS76" s="21">
        <f>IF(ISBLANK(AP76),,(AQ76*W76))</f>
        <v>-55.494449999999993</v>
      </c>
      <c r="AT76" s="22" t="s">
        <v>211</v>
      </c>
      <c r="AU76" s="13" t="s">
        <v>4280</v>
      </c>
      <c r="AV76" s="13" t="s">
        <v>4281</v>
      </c>
      <c r="AW76" s="13"/>
      <c r="AX76" s="13" t="s">
        <v>4282</v>
      </c>
      <c r="AY76" s="100" t="s">
        <v>4283</v>
      </c>
      <c r="AZ76" s="13"/>
    </row>
    <row r="77" spans="1:52" ht="12.75">
      <c r="A77" s="12">
        <v>44797</v>
      </c>
      <c r="B77" s="13"/>
      <c r="C77" s="13" t="s">
        <v>133</v>
      </c>
      <c r="D77" s="17"/>
      <c r="E77" s="13"/>
      <c r="F77" s="14" t="s">
        <v>4234</v>
      </c>
      <c r="G77" s="13"/>
      <c r="H77" s="13"/>
      <c r="I77" s="13"/>
      <c r="J77" s="14"/>
      <c r="K77" s="14"/>
      <c r="L77" s="13"/>
      <c r="M77" s="13"/>
      <c r="N77" s="13"/>
      <c r="O77" s="14"/>
      <c r="P77" s="14"/>
      <c r="Q77" s="14"/>
      <c r="R77" s="14"/>
      <c r="S77" s="14"/>
      <c r="T77" s="14"/>
      <c r="U77" s="14"/>
      <c r="V77" s="14">
        <f t="shared" si="21"/>
        <v>0</v>
      </c>
      <c r="W77" s="14">
        <f t="shared" si="22"/>
        <v>0</v>
      </c>
      <c r="X77" s="17"/>
      <c r="Y77" s="17"/>
      <c r="Z77" s="17"/>
      <c r="AA77" s="18">
        <v>0.15</v>
      </c>
      <c r="AB77" s="13"/>
      <c r="AC77" s="13"/>
      <c r="AD77" s="13"/>
      <c r="AE77" s="13"/>
      <c r="AF77" s="13"/>
      <c r="AG77" s="13"/>
      <c r="AH77" s="13"/>
      <c r="AI77" s="19"/>
      <c r="AJ77" s="14"/>
      <c r="AK77" s="13"/>
      <c r="AL77" s="13"/>
      <c r="AM77" s="13"/>
      <c r="AN77" s="13"/>
      <c r="AO77" s="13"/>
      <c r="AP77" s="20">
        <v>0.14000000000000001</v>
      </c>
      <c r="AQ77" s="13"/>
      <c r="AR77" s="94"/>
      <c r="AS77" s="21"/>
      <c r="AT77" s="22"/>
      <c r="AU77" s="13" t="s">
        <v>4284</v>
      </c>
      <c r="AV77" s="13" t="s">
        <v>4285</v>
      </c>
      <c r="AW77" s="13" t="s">
        <v>4286</v>
      </c>
      <c r="AX77" s="13" t="s">
        <v>4287</v>
      </c>
      <c r="AY77" s="13"/>
      <c r="AZ77" s="13"/>
    </row>
    <row r="78" spans="1:52" ht="12.75">
      <c r="A78" s="12"/>
      <c r="B78" s="13"/>
      <c r="C78" s="13"/>
      <c r="D78" s="17"/>
      <c r="E78" s="13"/>
      <c r="F78" s="14"/>
      <c r="G78" s="13"/>
      <c r="H78" s="13"/>
      <c r="I78" s="13"/>
      <c r="J78" s="14"/>
      <c r="K78" s="14"/>
      <c r="L78" s="13"/>
      <c r="M78" s="13"/>
      <c r="N78" s="13"/>
      <c r="O78" s="14"/>
      <c r="P78" s="14"/>
      <c r="Q78" s="14"/>
      <c r="R78" s="14"/>
      <c r="S78" s="14"/>
      <c r="T78" s="14"/>
      <c r="U78" s="14"/>
      <c r="V78" s="14">
        <f t="shared" si="21"/>
        <v>0</v>
      </c>
      <c r="W78" s="14">
        <f t="shared" si="22"/>
        <v>0</v>
      </c>
      <c r="X78" s="17"/>
      <c r="Y78" s="17"/>
      <c r="Z78" s="17"/>
      <c r="AA78" s="18"/>
      <c r="AB78" s="13"/>
      <c r="AC78" s="13"/>
      <c r="AD78" s="13"/>
      <c r="AE78" s="13"/>
      <c r="AF78" s="13"/>
      <c r="AG78" s="13"/>
      <c r="AH78" s="13"/>
      <c r="AI78" s="19"/>
      <c r="AJ78" s="14"/>
      <c r="AK78" s="13"/>
      <c r="AL78" s="13"/>
      <c r="AM78" s="13"/>
      <c r="AN78" s="13"/>
      <c r="AO78" s="13"/>
      <c r="AP78" s="20"/>
      <c r="AQ78" s="13"/>
      <c r="AR78" s="94"/>
      <c r="AS78" s="21"/>
      <c r="AT78" s="22"/>
      <c r="AU78" s="17" t="s">
        <v>4288</v>
      </c>
      <c r="AV78" s="13"/>
      <c r="AW78" s="13"/>
      <c r="AX78" s="13"/>
      <c r="AY78" s="13"/>
      <c r="AZ78" s="13"/>
    </row>
    <row r="79" spans="1:52" ht="12.75">
      <c r="A79" s="12">
        <v>44797</v>
      </c>
      <c r="B79" s="13"/>
      <c r="C79" s="13" t="s">
        <v>133</v>
      </c>
      <c r="D79" s="17"/>
      <c r="E79" s="13"/>
      <c r="F79" s="14" t="s">
        <v>4234</v>
      </c>
      <c r="G79" s="13"/>
      <c r="H79" s="13"/>
      <c r="I79" s="13"/>
      <c r="J79" s="14"/>
      <c r="K79" s="14"/>
      <c r="L79" s="13">
        <v>1</v>
      </c>
      <c r="M79" s="13">
        <v>3</v>
      </c>
      <c r="N79" s="13">
        <v>1</v>
      </c>
      <c r="O79" s="14" t="s">
        <v>76</v>
      </c>
      <c r="P79" s="14" t="s">
        <v>77</v>
      </c>
      <c r="Q79" s="14" t="s">
        <v>78</v>
      </c>
      <c r="R79" s="14">
        <v>3</v>
      </c>
      <c r="S79" s="14">
        <v>3</v>
      </c>
      <c r="T79" s="14">
        <v>1</v>
      </c>
      <c r="U79" s="14" t="s">
        <v>78</v>
      </c>
      <c r="V79" s="14">
        <f t="shared" si="21"/>
        <v>0.01</v>
      </c>
      <c r="W79" s="14">
        <f t="shared" si="22"/>
        <v>1664.9999999999998</v>
      </c>
      <c r="X79" s="17" t="s">
        <v>4289</v>
      </c>
      <c r="Y79" s="17" t="s">
        <v>4262</v>
      </c>
      <c r="Z79" s="17"/>
      <c r="AA79" s="18">
        <v>0.14499999999999999</v>
      </c>
      <c r="AB79" s="13" t="s">
        <v>4290</v>
      </c>
      <c r="AC79" s="13" t="s">
        <v>4291</v>
      </c>
      <c r="AD79" s="13" t="s">
        <v>4292</v>
      </c>
      <c r="AE79" s="13">
        <v>0.04</v>
      </c>
      <c r="AF79" s="13" t="s">
        <v>4293</v>
      </c>
      <c r="AG79" s="13"/>
      <c r="AH79" s="13">
        <f>10/4</f>
        <v>2.5</v>
      </c>
      <c r="AI79" s="19"/>
      <c r="AJ79" s="14"/>
      <c r="AK79" s="13" t="s">
        <v>4294</v>
      </c>
      <c r="AL79" s="13" t="s">
        <v>4295</v>
      </c>
      <c r="AM79" s="13" t="s">
        <v>4075</v>
      </c>
      <c r="AN79" s="13" t="s">
        <v>97</v>
      </c>
      <c r="AO79" s="35">
        <v>44802</v>
      </c>
      <c r="AP79" s="20">
        <v>0.2</v>
      </c>
      <c r="AQ79" s="20">
        <f t="shared" ref="AQ79:AQ82" si="26">IF(ISBLANK(AP79),,IF(U79="S",AA79-AP79,AP79-AA79))</f>
        <v>-5.5000000000000021E-2</v>
      </c>
      <c r="AR79" s="94">
        <f t="shared" ref="AR79:AR82" si="27">AS79*R79</f>
        <v>-274.72500000000002</v>
      </c>
      <c r="AS79" s="21">
        <f t="shared" ref="AS79:AS82" si="28">IF(ISBLANK(AP79),,(AQ79*W79))</f>
        <v>-91.575000000000017</v>
      </c>
      <c r="AT79" s="22" t="s">
        <v>211</v>
      </c>
      <c r="AU79" s="13" t="s">
        <v>4296</v>
      </c>
      <c r="AV79" s="13" t="s">
        <v>4297</v>
      </c>
      <c r="AW79" s="13" t="s">
        <v>4298</v>
      </c>
      <c r="AX79" s="13" t="s">
        <v>4299</v>
      </c>
      <c r="AY79" s="13" t="s">
        <v>4300</v>
      </c>
      <c r="AZ79" s="13"/>
    </row>
    <row r="80" spans="1:52" ht="12.75">
      <c r="A80" s="12">
        <v>44798</v>
      </c>
      <c r="B80" s="13"/>
      <c r="C80" s="13" t="s">
        <v>74</v>
      </c>
      <c r="D80" s="17"/>
      <c r="E80" s="13"/>
      <c r="F80" s="14" t="s">
        <v>75</v>
      </c>
      <c r="G80" s="13"/>
      <c r="H80" s="13"/>
      <c r="I80" s="13"/>
      <c r="J80" s="14"/>
      <c r="K80" s="14"/>
      <c r="L80" s="13">
        <v>1</v>
      </c>
      <c r="M80" s="13"/>
      <c r="N80" s="13"/>
      <c r="O80" s="14" t="s">
        <v>76</v>
      </c>
      <c r="P80" s="14" t="s">
        <v>119</v>
      </c>
      <c r="Q80" s="14" t="s">
        <v>78</v>
      </c>
      <c r="R80" s="14">
        <v>1</v>
      </c>
      <c r="S80" s="14">
        <v>1</v>
      </c>
      <c r="T80" s="14">
        <v>1</v>
      </c>
      <c r="U80" s="14" t="s">
        <v>22</v>
      </c>
      <c r="V80" s="14">
        <f t="shared" si="21"/>
        <v>0.01</v>
      </c>
      <c r="W80" s="14">
        <f t="shared" si="22"/>
        <v>1664.9999999999998</v>
      </c>
      <c r="X80" s="17"/>
      <c r="Y80" s="17"/>
      <c r="Z80" s="17" t="s">
        <v>4301</v>
      </c>
      <c r="AA80" s="18">
        <v>-7.0000000000000007E-2</v>
      </c>
      <c r="AB80" s="13" t="s">
        <v>80</v>
      </c>
      <c r="AC80" s="13"/>
      <c r="AD80" s="13"/>
      <c r="AE80" s="13">
        <v>-0.06</v>
      </c>
      <c r="AF80" s="13" t="s">
        <v>80</v>
      </c>
      <c r="AG80" s="13"/>
      <c r="AH80" s="13"/>
      <c r="AI80" s="19"/>
      <c r="AJ80" s="14"/>
      <c r="AK80" s="13" t="s">
        <v>4151</v>
      </c>
      <c r="AL80" s="13"/>
      <c r="AM80" s="13"/>
      <c r="AN80" s="13" t="s">
        <v>87</v>
      </c>
      <c r="AO80" s="13"/>
      <c r="AP80" s="20">
        <v>-0.08</v>
      </c>
      <c r="AQ80" s="20">
        <f t="shared" si="26"/>
        <v>-9.999999999999995E-3</v>
      </c>
      <c r="AR80" s="94">
        <f t="shared" si="27"/>
        <v>-16.649999999999988</v>
      </c>
      <c r="AS80" s="21">
        <f t="shared" si="28"/>
        <v>-16.649999999999988</v>
      </c>
      <c r="AT80" s="22" t="s">
        <v>211</v>
      </c>
      <c r="AU80" s="13" t="s">
        <v>4302</v>
      </c>
      <c r="AV80" s="13" t="s">
        <v>4303</v>
      </c>
      <c r="AW80" s="13" t="s">
        <v>4304</v>
      </c>
      <c r="AX80" s="13" t="s">
        <v>4305</v>
      </c>
      <c r="AY80" s="13"/>
      <c r="AZ80" s="13"/>
    </row>
    <row r="81" spans="1:52" ht="12.75">
      <c r="A81" s="12">
        <v>44799</v>
      </c>
      <c r="B81" s="13"/>
      <c r="C81" s="13" t="s">
        <v>93</v>
      </c>
      <c r="D81" s="17"/>
      <c r="E81" s="13"/>
      <c r="F81" s="14" t="s">
        <v>75</v>
      </c>
      <c r="G81" s="13"/>
      <c r="H81" s="13"/>
      <c r="I81" s="13"/>
      <c r="J81" s="14" t="s">
        <v>97</v>
      </c>
      <c r="K81" s="14"/>
      <c r="L81" s="13">
        <v>1</v>
      </c>
      <c r="M81" s="13"/>
      <c r="N81" s="13"/>
      <c r="O81" s="14" t="s">
        <v>76</v>
      </c>
      <c r="P81" s="14" t="s">
        <v>119</v>
      </c>
      <c r="Q81" s="14" t="s">
        <v>78</v>
      </c>
      <c r="R81" s="14">
        <v>1</v>
      </c>
      <c r="S81" s="14">
        <v>1</v>
      </c>
      <c r="T81" s="14">
        <v>1</v>
      </c>
      <c r="U81" s="14" t="s">
        <v>78</v>
      </c>
      <c r="V81" s="14">
        <f t="shared" si="21"/>
        <v>0.01</v>
      </c>
      <c r="W81" s="14">
        <f t="shared" si="22"/>
        <v>1664.9999999999998</v>
      </c>
      <c r="X81" s="17"/>
      <c r="Y81" s="17"/>
      <c r="Z81" s="17" t="s">
        <v>4301</v>
      </c>
      <c r="AA81" s="18">
        <v>-0.06</v>
      </c>
      <c r="AB81" s="13" t="s">
        <v>80</v>
      </c>
      <c r="AC81" s="13"/>
      <c r="AD81" s="13"/>
      <c r="AE81" s="13"/>
      <c r="AF81" s="13" t="s">
        <v>80</v>
      </c>
      <c r="AG81" s="13"/>
      <c r="AH81" s="13"/>
      <c r="AI81" s="19"/>
      <c r="AJ81" s="14"/>
      <c r="AK81" s="13" t="s">
        <v>4306</v>
      </c>
      <c r="AL81" s="13"/>
      <c r="AM81" s="13"/>
      <c r="AN81" s="13" t="s">
        <v>87</v>
      </c>
      <c r="AO81" s="13"/>
      <c r="AP81" s="20">
        <v>-7.0000000000000007E-2</v>
      </c>
      <c r="AQ81" s="20">
        <f t="shared" si="26"/>
        <v>1.0000000000000009E-2</v>
      </c>
      <c r="AR81" s="94">
        <f t="shared" si="27"/>
        <v>16.650000000000013</v>
      </c>
      <c r="AS81" s="21">
        <f t="shared" si="28"/>
        <v>16.650000000000013</v>
      </c>
      <c r="AT81" s="22" t="s">
        <v>77</v>
      </c>
      <c r="AU81" s="13" t="s">
        <v>4307</v>
      </c>
      <c r="AV81" s="13" t="s">
        <v>4308</v>
      </c>
      <c r="AW81" s="13" t="s">
        <v>4309</v>
      </c>
      <c r="AX81" s="13" t="s">
        <v>4310</v>
      </c>
      <c r="AY81" s="13" t="s">
        <v>4311</v>
      </c>
      <c r="AZ81" s="13" t="s">
        <v>4312</v>
      </c>
    </row>
    <row r="82" spans="1:52" ht="12.75">
      <c r="A82" s="12">
        <v>44799</v>
      </c>
      <c r="B82" s="13"/>
      <c r="C82" s="13" t="s">
        <v>93</v>
      </c>
      <c r="D82" s="17"/>
      <c r="E82" s="13"/>
      <c r="F82" s="14" t="s">
        <v>75</v>
      </c>
      <c r="G82" s="13"/>
      <c r="H82" s="13"/>
      <c r="I82" s="13"/>
      <c r="J82" s="14" t="s">
        <v>87</v>
      </c>
      <c r="K82" s="14"/>
      <c r="L82" s="13">
        <v>1</v>
      </c>
      <c r="M82" s="13"/>
      <c r="N82" s="13"/>
      <c r="O82" s="14" t="s">
        <v>76</v>
      </c>
      <c r="P82" s="14" t="s">
        <v>119</v>
      </c>
      <c r="Q82" s="14" t="s">
        <v>78</v>
      </c>
      <c r="R82" s="14">
        <v>1</v>
      </c>
      <c r="S82" s="14">
        <v>1</v>
      </c>
      <c r="T82" s="14">
        <v>1</v>
      </c>
      <c r="U82" s="14" t="s">
        <v>78</v>
      </c>
      <c r="V82" s="14">
        <f t="shared" si="21"/>
        <v>0.01</v>
      </c>
      <c r="W82" s="14">
        <f t="shared" si="22"/>
        <v>1664.9999999999998</v>
      </c>
      <c r="X82" s="17"/>
      <c r="Y82" s="17"/>
      <c r="Z82" s="17" t="s">
        <v>4301</v>
      </c>
      <c r="AA82" s="18">
        <v>-0.06</v>
      </c>
      <c r="AB82" s="13" t="s">
        <v>80</v>
      </c>
      <c r="AC82" s="13"/>
      <c r="AD82" s="13"/>
      <c r="AE82" s="13"/>
      <c r="AF82" s="13" t="s">
        <v>80</v>
      </c>
      <c r="AG82" s="13"/>
      <c r="AH82" s="13"/>
      <c r="AI82" s="19"/>
      <c r="AJ82" s="14"/>
      <c r="AK82" s="13" t="s">
        <v>4306</v>
      </c>
      <c r="AL82" s="13"/>
      <c r="AM82" s="13"/>
      <c r="AN82" s="13" t="s">
        <v>87</v>
      </c>
      <c r="AO82" s="13"/>
      <c r="AP82" s="20">
        <v>-7.0000000000000007E-2</v>
      </c>
      <c r="AQ82" s="20">
        <f t="shared" si="26"/>
        <v>1.0000000000000009E-2</v>
      </c>
      <c r="AR82" s="94">
        <f t="shared" si="27"/>
        <v>16.650000000000013</v>
      </c>
      <c r="AS82" s="21">
        <f t="shared" si="28"/>
        <v>16.650000000000013</v>
      </c>
      <c r="AT82" s="22" t="s">
        <v>77</v>
      </c>
      <c r="AU82" s="13" t="s">
        <v>4307</v>
      </c>
      <c r="AV82" s="13" t="s">
        <v>4313</v>
      </c>
      <c r="AW82" s="13" t="s">
        <v>4314</v>
      </c>
      <c r="AX82" s="13" t="s">
        <v>4310</v>
      </c>
      <c r="AY82" s="13" t="s">
        <v>4311</v>
      </c>
      <c r="AZ82" s="13" t="s">
        <v>4312</v>
      </c>
    </row>
    <row r="83" spans="1:52" ht="12.75">
      <c r="A83" s="12">
        <v>44799</v>
      </c>
      <c r="B83" s="13"/>
      <c r="C83" s="13" t="s">
        <v>93</v>
      </c>
      <c r="D83" s="17"/>
      <c r="E83" s="13"/>
      <c r="F83" s="14" t="s">
        <v>4315</v>
      </c>
      <c r="G83" s="13"/>
      <c r="H83" s="13"/>
      <c r="I83" s="13"/>
      <c r="J83" s="14"/>
      <c r="K83" s="14"/>
      <c r="L83" s="13">
        <v>1</v>
      </c>
      <c r="M83" s="13">
        <v>2</v>
      </c>
      <c r="N83" s="13"/>
      <c r="O83" s="14" t="s">
        <v>76</v>
      </c>
      <c r="P83" s="14" t="s">
        <v>77</v>
      </c>
      <c r="Q83" s="14"/>
      <c r="R83" s="14">
        <v>1</v>
      </c>
      <c r="S83" s="14">
        <v>1</v>
      </c>
      <c r="T83" s="14">
        <v>1</v>
      </c>
      <c r="U83" s="14" t="s">
        <v>22</v>
      </c>
      <c r="V83" s="14">
        <f t="shared" si="21"/>
        <v>0.01</v>
      </c>
      <c r="W83" s="14">
        <f t="shared" si="22"/>
        <v>1664.9999999999998</v>
      </c>
      <c r="X83" s="17"/>
      <c r="Y83" s="17"/>
      <c r="Z83" s="17" t="s">
        <v>4316</v>
      </c>
      <c r="AA83" s="18">
        <v>0.25</v>
      </c>
      <c r="AB83" s="13"/>
      <c r="AC83" s="13"/>
      <c r="AD83" s="13"/>
      <c r="AE83" s="13"/>
      <c r="AF83" s="13"/>
      <c r="AG83" s="13"/>
      <c r="AH83" s="13"/>
      <c r="AI83" s="19"/>
      <c r="AJ83" s="14"/>
      <c r="AK83" s="13"/>
      <c r="AL83" s="13"/>
      <c r="AM83" s="13"/>
      <c r="AN83" s="13"/>
      <c r="AO83" s="13"/>
      <c r="AP83" s="20"/>
      <c r="AQ83" s="13"/>
      <c r="AR83" s="94"/>
      <c r="AS83" s="21"/>
      <c r="AT83" s="22"/>
      <c r="AU83" s="13"/>
      <c r="AV83" s="13"/>
      <c r="AW83" s="13"/>
      <c r="AX83" s="13"/>
      <c r="AY83" s="13"/>
      <c r="AZ83" s="13"/>
    </row>
    <row r="84" spans="1:52" ht="12.75">
      <c r="A84" s="12">
        <v>44799</v>
      </c>
      <c r="B84" s="13"/>
      <c r="C84" s="13" t="s">
        <v>93</v>
      </c>
      <c r="D84" s="17"/>
      <c r="E84" s="13"/>
      <c r="F84" s="14" t="s">
        <v>4234</v>
      </c>
      <c r="G84" s="13"/>
      <c r="H84" s="13"/>
      <c r="I84" s="13"/>
      <c r="J84" s="14"/>
      <c r="K84" s="14"/>
      <c r="L84" s="13">
        <v>1</v>
      </c>
      <c r="M84" s="13">
        <v>2</v>
      </c>
      <c r="N84" s="13">
        <v>2</v>
      </c>
      <c r="O84" s="14" t="s">
        <v>76</v>
      </c>
      <c r="P84" s="14" t="s">
        <v>77</v>
      </c>
      <c r="Q84" s="14"/>
      <c r="R84" s="14">
        <v>2</v>
      </c>
      <c r="S84" s="14">
        <v>2</v>
      </c>
      <c r="T84" s="14">
        <v>1</v>
      </c>
      <c r="U84" s="14" t="s">
        <v>78</v>
      </c>
      <c r="V84" s="14">
        <f t="shared" si="21"/>
        <v>0.01</v>
      </c>
      <c r="W84" s="14">
        <f t="shared" si="22"/>
        <v>1664.9999999999998</v>
      </c>
      <c r="X84" s="17" t="s">
        <v>4317</v>
      </c>
      <c r="Y84" s="17"/>
      <c r="Z84" s="17"/>
      <c r="AA84" s="18">
        <v>0.16</v>
      </c>
      <c r="AB84" s="13"/>
      <c r="AC84" s="13"/>
      <c r="AD84" s="13"/>
      <c r="AE84" s="13"/>
      <c r="AF84" s="13"/>
      <c r="AG84" s="13"/>
      <c r="AH84" s="13"/>
      <c r="AI84" s="19"/>
      <c r="AJ84" s="14"/>
      <c r="AK84" s="13"/>
      <c r="AL84" s="13"/>
      <c r="AM84" s="13"/>
      <c r="AN84" s="13"/>
      <c r="AO84" s="13"/>
      <c r="AP84" s="20"/>
      <c r="AQ84" s="13"/>
      <c r="AR84" s="94"/>
      <c r="AS84" s="21"/>
      <c r="AT84" s="22"/>
      <c r="AU84" s="13"/>
      <c r="AV84" s="13"/>
      <c r="AW84" s="13"/>
      <c r="AX84" s="13"/>
      <c r="AY84" s="13"/>
      <c r="AZ84" s="13"/>
    </row>
    <row r="85" spans="1:52" ht="12.75">
      <c r="A85" s="12">
        <v>44799</v>
      </c>
      <c r="B85" s="13"/>
      <c r="C85" s="13" t="s">
        <v>93</v>
      </c>
      <c r="D85" s="17"/>
      <c r="E85" s="13"/>
      <c r="F85" s="14" t="s">
        <v>4234</v>
      </c>
      <c r="G85" s="13"/>
      <c r="H85" s="13"/>
      <c r="I85" s="13"/>
      <c r="J85" s="14" t="s">
        <v>87</v>
      </c>
      <c r="K85" s="14"/>
      <c r="L85" s="13">
        <v>1</v>
      </c>
      <c r="M85" s="13">
        <v>2</v>
      </c>
      <c r="N85" s="13">
        <v>3</v>
      </c>
      <c r="O85" s="14" t="s">
        <v>76</v>
      </c>
      <c r="P85" s="14" t="s">
        <v>77</v>
      </c>
      <c r="Q85" s="14"/>
      <c r="R85" s="14">
        <v>2</v>
      </c>
      <c r="S85" s="14">
        <v>2</v>
      </c>
      <c r="T85" s="14">
        <v>2</v>
      </c>
      <c r="U85" s="14" t="s">
        <v>78</v>
      </c>
      <c r="V85" s="14">
        <f t="shared" si="21"/>
        <v>0.01</v>
      </c>
      <c r="W85" s="14">
        <f t="shared" si="22"/>
        <v>1664.9999999999998</v>
      </c>
      <c r="X85" s="17" t="s">
        <v>4318</v>
      </c>
      <c r="Y85" s="17" t="s">
        <v>4319</v>
      </c>
      <c r="Z85" s="17"/>
      <c r="AA85" s="18">
        <v>0.17</v>
      </c>
      <c r="AB85" s="13"/>
      <c r="AC85" s="13"/>
      <c r="AD85" s="13"/>
      <c r="AE85" s="13"/>
      <c r="AF85" s="13"/>
      <c r="AG85" s="13"/>
      <c r="AH85" s="13"/>
      <c r="AI85" s="19"/>
      <c r="AJ85" s="14"/>
      <c r="AK85" s="13"/>
      <c r="AL85" s="13"/>
      <c r="AM85" s="13"/>
      <c r="AN85" s="13"/>
      <c r="AO85" s="13"/>
      <c r="AP85" s="20"/>
      <c r="AQ85" s="13"/>
      <c r="AR85" s="94"/>
      <c r="AS85" s="21"/>
      <c r="AT85" s="22"/>
      <c r="AU85" s="13"/>
      <c r="AV85" s="13"/>
      <c r="AW85" s="13"/>
      <c r="AX85" s="13"/>
      <c r="AY85" s="13"/>
      <c r="AZ85" s="13"/>
    </row>
    <row r="86" spans="1:52" ht="12.75">
      <c r="A86" s="12">
        <v>44799</v>
      </c>
      <c r="B86" s="13"/>
      <c r="C86" s="13" t="s">
        <v>93</v>
      </c>
      <c r="D86" s="17"/>
      <c r="E86" s="13"/>
      <c r="F86" s="14"/>
      <c r="G86" s="13"/>
      <c r="H86" s="13"/>
      <c r="I86" s="13"/>
      <c r="J86" s="14" t="s">
        <v>87</v>
      </c>
      <c r="K86" s="14"/>
      <c r="L86" s="13"/>
      <c r="M86" s="13"/>
      <c r="N86" s="13"/>
      <c r="O86" s="14"/>
      <c r="P86" s="14"/>
      <c r="Q86" s="14"/>
      <c r="R86" s="14"/>
      <c r="S86" s="14"/>
      <c r="T86" s="14"/>
      <c r="U86" s="14"/>
      <c r="V86" s="14">
        <f t="shared" si="21"/>
        <v>0</v>
      </c>
      <c r="W86" s="14">
        <f t="shared" si="22"/>
        <v>0</v>
      </c>
      <c r="X86" s="17"/>
      <c r="Y86" s="17"/>
      <c r="Z86" s="17"/>
      <c r="AA86" s="18"/>
      <c r="AB86" s="13"/>
      <c r="AC86" s="13"/>
      <c r="AD86" s="13"/>
      <c r="AE86" s="13"/>
      <c r="AF86" s="13"/>
      <c r="AG86" s="13"/>
      <c r="AH86" s="13"/>
      <c r="AI86" s="19"/>
      <c r="AJ86" s="14"/>
      <c r="AK86" s="13"/>
      <c r="AL86" s="13"/>
      <c r="AM86" s="13"/>
      <c r="AN86" s="13"/>
      <c r="AO86" s="13"/>
      <c r="AP86" s="20"/>
      <c r="AQ86" s="13"/>
      <c r="AR86" s="94"/>
      <c r="AS86" s="21"/>
      <c r="AT86" s="22"/>
      <c r="AU86" s="13" t="s">
        <v>4320</v>
      </c>
      <c r="AV86" s="13"/>
      <c r="AW86" s="13"/>
      <c r="AX86" s="13"/>
      <c r="AY86" s="13"/>
      <c r="AZ86" s="13"/>
    </row>
    <row r="87" spans="1:52" ht="12.75">
      <c r="A87" s="12">
        <v>44802</v>
      </c>
      <c r="B87" s="13"/>
      <c r="C87" s="13" t="s">
        <v>114</v>
      </c>
      <c r="D87" s="17"/>
      <c r="E87" s="13"/>
      <c r="F87" s="14" t="s">
        <v>4234</v>
      </c>
      <c r="G87" s="13"/>
      <c r="H87" s="13"/>
      <c r="I87" s="13"/>
      <c r="J87" s="14"/>
      <c r="K87" s="14"/>
      <c r="L87" s="13">
        <v>1</v>
      </c>
      <c r="M87" s="13"/>
      <c r="N87" s="13">
        <v>1</v>
      </c>
      <c r="O87" s="14" t="s">
        <v>76</v>
      </c>
      <c r="P87" s="14" t="s">
        <v>77</v>
      </c>
      <c r="Q87" s="14"/>
      <c r="R87" s="14">
        <v>1</v>
      </c>
      <c r="S87" s="14">
        <v>1</v>
      </c>
      <c r="T87" s="14">
        <v>1</v>
      </c>
      <c r="U87" s="14" t="s">
        <v>78</v>
      </c>
      <c r="V87" s="14">
        <f t="shared" si="21"/>
        <v>0.01</v>
      </c>
      <c r="W87" s="14">
        <f t="shared" si="22"/>
        <v>1664.9999999999998</v>
      </c>
      <c r="X87" s="17" t="s">
        <v>4318</v>
      </c>
      <c r="Y87" s="17"/>
      <c r="Z87" s="17"/>
      <c r="AA87" s="18">
        <v>0.19</v>
      </c>
      <c r="AB87" s="13"/>
      <c r="AC87" s="13"/>
      <c r="AD87" s="13"/>
      <c r="AE87" s="13"/>
      <c r="AF87" s="13"/>
      <c r="AG87" s="13"/>
      <c r="AH87" s="13"/>
      <c r="AI87" s="19"/>
      <c r="AJ87" s="14"/>
      <c r="AK87" s="13"/>
      <c r="AL87" s="13"/>
      <c r="AM87" s="13"/>
      <c r="AN87" s="13"/>
      <c r="AO87" s="13"/>
      <c r="AP87" s="20"/>
      <c r="AQ87" s="13"/>
      <c r="AR87" s="94"/>
      <c r="AS87" s="21"/>
      <c r="AT87" s="22"/>
      <c r="AU87" s="13"/>
      <c r="AV87" s="13"/>
      <c r="AW87" s="13"/>
      <c r="AX87" s="13"/>
      <c r="AY87" s="13"/>
      <c r="AZ87" s="13"/>
    </row>
    <row r="88" spans="1:52" ht="12.75">
      <c r="A88" s="12">
        <v>44802</v>
      </c>
      <c r="B88" s="13"/>
      <c r="C88" s="13" t="s">
        <v>114</v>
      </c>
      <c r="D88" s="17"/>
      <c r="E88" s="13"/>
      <c r="F88" s="14" t="s">
        <v>75</v>
      </c>
      <c r="G88" s="13"/>
      <c r="H88" s="13"/>
      <c r="I88" s="13"/>
      <c r="J88" s="14"/>
      <c r="K88" s="14"/>
      <c r="L88" s="13">
        <v>1</v>
      </c>
      <c r="M88" s="13"/>
      <c r="N88" s="13"/>
      <c r="O88" s="14" t="s">
        <v>76</v>
      </c>
      <c r="P88" s="14" t="s">
        <v>119</v>
      </c>
      <c r="Q88" s="14" t="s">
        <v>78</v>
      </c>
      <c r="R88" s="14">
        <v>1</v>
      </c>
      <c r="S88" s="14">
        <v>1</v>
      </c>
      <c r="T88" s="14">
        <v>1</v>
      </c>
      <c r="U88" s="14" t="s">
        <v>22</v>
      </c>
      <c r="V88" s="14">
        <f t="shared" si="21"/>
        <v>0.01</v>
      </c>
      <c r="W88" s="14">
        <f t="shared" si="22"/>
        <v>1664.9999999999998</v>
      </c>
      <c r="X88" s="17"/>
      <c r="Y88" s="17"/>
      <c r="Z88" s="17" t="s">
        <v>80</v>
      </c>
      <c r="AA88" s="18">
        <v>-7.0000000000000007E-2</v>
      </c>
      <c r="AB88" s="13"/>
      <c r="AC88" s="13"/>
      <c r="AD88" s="13"/>
      <c r="AE88" s="13"/>
      <c r="AF88" s="13"/>
      <c r="AG88" s="13"/>
      <c r="AH88" s="13"/>
      <c r="AI88" s="19"/>
      <c r="AJ88" s="14"/>
      <c r="AK88" s="13"/>
      <c r="AL88" s="13"/>
      <c r="AM88" s="13" t="s">
        <v>4321</v>
      </c>
      <c r="AN88" s="13" t="s">
        <v>87</v>
      </c>
      <c r="AO88" s="13"/>
      <c r="AP88" s="20">
        <v>-0.06</v>
      </c>
      <c r="AQ88" s="20">
        <f>IF(ISBLANK(AP88),,IF(U88="S",AA88-AP88,AP88-AA88))</f>
        <v>1.0000000000000009E-2</v>
      </c>
      <c r="AR88" s="94">
        <f>AS88*R88</f>
        <v>16.650000000000013</v>
      </c>
      <c r="AS88" s="21">
        <f>IF(ISBLANK(AP88),,(AQ88*W88))</f>
        <v>16.650000000000013</v>
      </c>
      <c r="AT88" s="22" t="s">
        <v>77</v>
      </c>
      <c r="AU88" s="13" t="s">
        <v>80</v>
      </c>
      <c r="AV88" s="13" t="s">
        <v>4322</v>
      </c>
      <c r="AW88" s="13"/>
      <c r="AX88" s="13"/>
      <c r="AY88" s="13"/>
      <c r="AZ88" s="13"/>
    </row>
    <row r="89" spans="1:52" ht="12.75">
      <c r="A89" s="12">
        <v>44802</v>
      </c>
      <c r="B89" s="13"/>
      <c r="C89" s="13" t="s">
        <v>114</v>
      </c>
      <c r="D89" s="17"/>
      <c r="E89" s="13"/>
      <c r="F89" s="14" t="s">
        <v>4234</v>
      </c>
      <c r="G89" s="13"/>
      <c r="H89" s="13"/>
      <c r="I89" s="13"/>
      <c r="J89" s="14"/>
      <c r="K89" s="14"/>
      <c r="L89" s="13"/>
      <c r="M89" s="13"/>
      <c r="N89" s="13"/>
      <c r="O89" s="14" t="s">
        <v>76</v>
      </c>
      <c r="P89" s="14" t="s">
        <v>77</v>
      </c>
      <c r="Q89" s="14"/>
      <c r="R89" s="14">
        <v>2</v>
      </c>
      <c r="S89" s="14">
        <v>2</v>
      </c>
      <c r="T89" s="14">
        <v>2</v>
      </c>
      <c r="U89" s="14" t="s">
        <v>78</v>
      </c>
      <c r="V89" s="14">
        <f t="shared" si="21"/>
        <v>0.01</v>
      </c>
      <c r="W89" s="14">
        <f t="shared" si="22"/>
        <v>1664.9999999999998</v>
      </c>
      <c r="X89" s="17"/>
      <c r="Y89" s="17"/>
      <c r="Z89" s="17"/>
      <c r="AA89" s="18">
        <v>0.2</v>
      </c>
      <c r="AB89" s="13"/>
      <c r="AC89" s="13"/>
      <c r="AD89" s="13"/>
      <c r="AE89" s="13"/>
      <c r="AF89" s="13"/>
      <c r="AG89" s="13"/>
      <c r="AH89" s="13"/>
      <c r="AI89" s="19"/>
      <c r="AJ89" s="14"/>
      <c r="AK89" s="13"/>
      <c r="AL89" s="13"/>
      <c r="AM89" s="13"/>
      <c r="AN89" s="13"/>
      <c r="AO89" s="13"/>
      <c r="AP89" s="20"/>
      <c r="AQ89" s="13"/>
      <c r="AR89" s="94"/>
      <c r="AS89" s="21"/>
      <c r="AT89" s="22"/>
      <c r="AU89" s="13"/>
      <c r="AV89" s="13"/>
      <c r="AW89" s="13"/>
      <c r="AX89" s="13"/>
      <c r="AY89" s="13"/>
      <c r="AZ89" s="13"/>
    </row>
    <row r="90" spans="1:52" ht="12.75">
      <c r="A90" s="12">
        <v>44802</v>
      </c>
      <c r="B90" s="13"/>
      <c r="C90" s="13" t="s">
        <v>114</v>
      </c>
      <c r="D90" s="17"/>
      <c r="E90" s="13"/>
      <c r="F90" s="14" t="s">
        <v>4315</v>
      </c>
      <c r="G90" s="13"/>
      <c r="H90" s="13"/>
      <c r="I90" s="13"/>
      <c r="J90" s="14"/>
      <c r="K90" s="14"/>
      <c r="L90" s="13"/>
      <c r="M90" s="13">
        <v>1</v>
      </c>
      <c r="N90" s="13"/>
      <c r="O90" s="14" t="s">
        <v>76</v>
      </c>
      <c r="P90" s="14" t="s">
        <v>77</v>
      </c>
      <c r="Q90" s="14"/>
      <c r="R90" s="14">
        <v>1</v>
      </c>
      <c r="S90" s="14">
        <v>1</v>
      </c>
      <c r="T90" s="14">
        <v>1</v>
      </c>
      <c r="U90" s="14" t="s">
        <v>22</v>
      </c>
      <c r="V90" s="14">
        <f t="shared" si="21"/>
        <v>0.01</v>
      </c>
      <c r="W90" s="14">
        <f t="shared" si="22"/>
        <v>1664.9999999999998</v>
      </c>
      <c r="X90" s="17"/>
      <c r="Y90" s="17"/>
      <c r="Z90" s="17"/>
      <c r="AA90" s="18">
        <v>0.21</v>
      </c>
      <c r="AB90" s="13"/>
      <c r="AC90" s="13"/>
      <c r="AD90" s="13"/>
      <c r="AE90" s="13"/>
      <c r="AF90" s="13"/>
      <c r="AG90" s="13"/>
      <c r="AH90" s="13"/>
      <c r="AI90" s="19"/>
      <c r="AJ90" s="14"/>
      <c r="AK90" s="13"/>
      <c r="AL90" s="13"/>
      <c r="AM90" s="13"/>
      <c r="AN90" s="13"/>
      <c r="AO90" s="13"/>
      <c r="AP90" s="20"/>
      <c r="AQ90" s="13"/>
      <c r="AR90" s="94"/>
      <c r="AS90" s="21"/>
      <c r="AT90" s="22"/>
      <c r="AU90" s="13"/>
      <c r="AV90" s="13"/>
      <c r="AW90" s="13"/>
      <c r="AX90" s="13"/>
      <c r="AY90" s="13"/>
      <c r="AZ90" s="13"/>
    </row>
    <row r="91" spans="1:52" ht="12.75">
      <c r="A91" s="12">
        <v>44802</v>
      </c>
      <c r="B91" s="13"/>
      <c r="C91" s="13" t="s">
        <v>114</v>
      </c>
      <c r="D91" s="17"/>
      <c r="E91" s="13"/>
      <c r="F91" s="14" t="s">
        <v>4315</v>
      </c>
      <c r="G91" s="13"/>
      <c r="H91" s="13"/>
      <c r="I91" s="13"/>
      <c r="J91" s="14" t="s">
        <v>87</v>
      </c>
      <c r="K91" s="14"/>
      <c r="L91" s="13"/>
      <c r="M91" s="13">
        <v>1</v>
      </c>
      <c r="N91" s="13"/>
      <c r="O91" s="14" t="s">
        <v>76</v>
      </c>
      <c r="P91" s="14" t="s">
        <v>77</v>
      </c>
      <c r="Q91" s="14"/>
      <c r="R91" s="14">
        <v>3</v>
      </c>
      <c r="S91" s="14">
        <v>3</v>
      </c>
      <c r="T91" s="14">
        <v>1</v>
      </c>
      <c r="U91" s="14"/>
      <c r="V91" s="14">
        <f t="shared" si="21"/>
        <v>0.01</v>
      </c>
      <c r="W91" s="14">
        <f t="shared" si="22"/>
        <v>1664.9999999999998</v>
      </c>
      <c r="X91" s="17"/>
      <c r="Y91" s="17" t="s">
        <v>4323</v>
      </c>
      <c r="Z91" s="17"/>
      <c r="AA91" s="18">
        <v>0.23</v>
      </c>
      <c r="AB91" s="13"/>
      <c r="AC91" s="13"/>
      <c r="AD91" s="13"/>
      <c r="AE91" s="13"/>
      <c r="AF91" s="13"/>
      <c r="AG91" s="13"/>
      <c r="AH91" s="13"/>
      <c r="AI91" s="19"/>
      <c r="AJ91" s="14"/>
      <c r="AK91" s="13"/>
      <c r="AL91" s="13"/>
      <c r="AM91" s="13"/>
      <c r="AN91" s="13"/>
      <c r="AO91" s="13"/>
      <c r="AP91" s="20"/>
      <c r="AQ91" s="13"/>
      <c r="AR91" s="94"/>
      <c r="AS91" s="21"/>
      <c r="AT91" s="22"/>
      <c r="AU91" s="13"/>
      <c r="AV91" s="13"/>
      <c r="AW91" s="13"/>
      <c r="AX91" s="13"/>
      <c r="AY91" s="13"/>
      <c r="AZ91" s="13"/>
    </row>
    <row r="92" spans="1:52" ht="12.75">
      <c r="A92" s="12">
        <v>44802</v>
      </c>
      <c r="B92" s="13"/>
      <c r="C92" s="13" t="s">
        <v>114</v>
      </c>
      <c r="D92" s="17" t="s">
        <v>4324</v>
      </c>
      <c r="E92" s="13" t="s">
        <v>4325</v>
      </c>
      <c r="F92" s="14" t="s">
        <v>75</v>
      </c>
      <c r="G92" s="13"/>
      <c r="H92" s="13"/>
      <c r="I92" s="13"/>
      <c r="J92" s="14"/>
      <c r="K92" s="14"/>
      <c r="L92" s="13">
        <v>1</v>
      </c>
      <c r="M92" s="13"/>
      <c r="N92" s="13"/>
      <c r="O92" s="14" t="s">
        <v>76</v>
      </c>
      <c r="P92" s="14" t="s">
        <v>119</v>
      </c>
      <c r="Q92" s="14" t="s">
        <v>78</v>
      </c>
      <c r="R92" s="14">
        <v>1</v>
      </c>
      <c r="S92" s="14">
        <v>1</v>
      </c>
      <c r="T92" s="14">
        <v>1</v>
      </c>
      <c r="U92" s="14" t="s">
        <v>22</v>
      </c>
      <c r="V92" s="14">
        <f t="shared" si="21"/>
        <v>0.01</v>
      </c>
      <c r="W92" s="14">
        <f t="shared" si="22"/>
        <v>1664.9999999999998</v>
      </c>
      <c r="X92" s="17"/>
      <c r="Y92" s="17"/>
      <c r="Z92" s="17" t="s">
        <v>80</v>
      </c>
      <c r="AA92" s="18">
        <v>-0.08</v>
      </c>
      <c r="AB92" s="13"/>
      <c r="AC92" s="13"/>
      <c r="AD92" s="13"/>
      <c r="AE92" s="13"/>
      <c r="AF92" s="13"/>
      <c r="AG92" s="13"/>
      <c r="AH92" s="13"/>
      <c r="AI92" s="19"/>
      <c r="AJ92" s="14"/>
      <c r="AK92" s="13"/>
      <c r="AL92" s="13"/>
      <c r="AM92" s="13" t="s">
        <v>4204</v>
      </c>
      <c r="AN92" s="13" t="s">
        <v>87</v>
      </c>
      <c r="AO92" s="13"/>
      <c r="AP92" s="20">
        <v>-7.0000000000000007E-2</v>
      </c>
      <c r="AQ92" s="20">
        <f t="shared" ref="AQ92:AQ98" si="29">IF(ISBLANK(AP92),,IF(U92="S",AA92-AP92,AP92-AA92))</f>
        <v>9.999999999999995E-3</v>
      </c>
      <c r="AR92" s="94">
        <f t="shared" ref="AR92:AR96" si="30">AS92*R92</f>
        <v>16.649999999999988</v>
      </c>
      <c r="AS92" s="21">
        <f t="shared" ref="AS92:AS98" si="31">IF(ISBLANK(AP92),,(AQ92*W92))</f>
        <v>16.649999999999988</v>
      </c>
      <c r="AT92" s="22" t="s">
        <v>77</v>
      </c>
      <c r="AU92" s="13" t="s">
        <v>4326</v>
      </c>
      <c r="AV92" s="13" t="s">
        <v>4327</v>
      </c>
      <c r="AW92" s="13"/>
      <c r="AX92" s="13"/>
      <c r="AY92" s="13"/>
      <c r="AZ92" s="13"/>
    </row>
    <row r="93" spans="1:52" ht="12.75">
      <c r="A93" s="12">
        <v>44802</v>
      </c>
      <c r="B93" s="13"/>
      <c r="C93" s="13" t="s">
        <v>114</v>
      </c>
      <c r="D93" s="17" t="s">
        <v>4328</v>
      </c>
      <c r="E93" s="13" t="s">
        <v>4329</v>
      </c>
      <c r="F93" s="14" t="s">
        <v>75</v>
      </c>
      <c r="G93" s="13"/>
      <c r="H93" s="13"/>
      <c r="I93" s="13"/>
      <c r="J93" s="14"/>
      <c r="K93" s="14"/>
      <c r="L93" s="13">
        <v>1</v>
      </c>
      <c r="M93" s="13"/>
      <c r="N93" s="13"/>
      <c r="O93" s="14" t="s">
        <v>76</v>
      </c>
      <c r="P93" s="14" t="s">
        <v>119</v>
      </c>
      <c r="Q93" s="14" t="s">
        <v>78</v>
      </c>
      <c r="R93" s="14">
        <v>1</v>
      </c>
      <c r="S93" s="14">
        <v>1</v>
      </c>
      <c r="T93" s="14">
        <v>1</v>
      </c>
      <c r="U93" s="101" t="s">
        <v>78</v>
      </c>
      <c r="V93" s="14">
        <f t="shared" si="21"/>
        <v>0.01</v>
      </c>
      <c r="W93" s="14">
        <f t="shared" si="22"/>
        <v>1664.9999999999998</v>
      </c>
      <c r="X93" s="17"/>
      <c r="Y93" s="17"/>
      <c r="Z93" s="17" t="s">
        <v>80</v>
      </c>
      <c r="AA93" s="18">
        <v>-0.06</v>
      </c>
      <c r="AB93" s="13"/>
      <c r="AC93" s="13"/>
      <c r="AD93" s="13"/>
      <c r="AE93" s="13"/>
      <c r="AF93" s="13"/>
      <c r="AG93" s="13"/>
      <c r="AH93" s="13"/>
      <c r="AI93" s="19"/>
      <c r="AJ93" s="14"/>
      <c r="AK93" s="13"/>
      <c r="AL93" s="13"/>
      <c r="AM93" s="13" t="s">
        <v>4204</v>
      </c>
      <c r="AN93" s="13" t="s">
        <v>87</v>
      </c>
      <c r="AO93" s="13"/>
      <c r="AP93" s="20">
        <v>-7.0000000000000007E-2</v>
      </c>
      <c r="AQ93" s="20">
        <f t="shared" si="29"/>
        <v>1.0000000000000009E-2</v>
      </c>
      <c r="AR93" s="94">
        <f t="shared" si="30"/>
        <v>16.650000000000013</v>
      </c>
      <c r="AS93" s="21">
        <f t="shared" si="31"/>
        <v>16.650000000000013</v>
      </c>
      <c r="AT93" s="22" t="s">
        <v>77</v>
      </c>
      <c r="AU93" s="13" t="s">
        <v>4326</v>
      </c>
      <c r="AV93" s="13"/>
      <c r="AW93" s="13"/>
      <c r="AX93" s="13"/>
      <c r="AY93" s="13"/>
      <c r="AZ93" s="13"/>
    </row>
    <row r="94" spans="1:52" ht="12.75">
      <c r="A94" s="12">
        <v>44802</v>
      </c>
      <c r="B94" s="13"/>
      <c r="C94" s="13" t="s">
        <v>114</v>
      </c>
      <c r="D94" s="17" t="s">
        <v>4330</v>
      </c>
      <c r="E94" s="13" t="s">
        <v>4331</v>
      </c>
      <c r="F94" s="14" t="s">
        <v>75</v>
      </c>
      <c r="G94" s="13">
        <v>1</v>
      </c>
      <c r="H94" s="13"/>
      <c r="I94" s="13"/>
      <c r="J94" s="14"/>
      <c r="K94" s="14"/>
      <c r="L94" s="13">
        <v>1</v>
      </c>
      <c r="M94" s="13"/>
      <c r="N94" s="13"/>
      <c r="O94" s="14" t="s">
        <v>76</v>
      </c>
      <c r="P94" s="14" t="s">
        <v>119</v>
      </c>
      <c r="Q94" s="14" t="s">
        <v>78</v>
      </c>
      <c r="R94" s="14">
        <v>3</v>
      </c>
      <c r="S94" s="14">
        <v>3</v>
      </c>
      <c r="T94" s="14">
        <v>2</v>
      </c>
      <c r="U94" s="101" t="s">
        <v>78</v>
      </c>
      <c r="V94" s="14">
        <f t="shared" si="21"/>
        <v>0.01</v>
      </c>
      <c r="W94" s="14">
        <f t="shared" si="22"/>
        <v>1664.9999999999998</v>
      </c>
      <c r="X94" s="17"/>
      <c r="Y94" s="17"/>
      <c r="Z94" s="17" t="s">
        <v>80</v>
      </c>
      <c r="AA94" s="18">
        <v>-0.06</v>
      </c>
      <c r="AB94" s="13"/>
      <c r="AC94" s="13"/>
      <c r="AD94" s="13"/>
      <c r="AE94" s="13"/>
      <c r="AF94" s="13"/>
      <c r="AG94" s="13"/>
      <c r="AH94" s="13"/>
      <c r="AI94" s="19"/>
      <c r="AJ94" s="14"/>
      <c r="AK94" s="13"/>
      <c r="AL94" s="13"/>
      <c r="AM94" s="13" t="s">
        <v>4240</v>
      </c>
      <c r="AN94" s="13" t="s">
        <v>87</v>
      </c>
      <c r="AO94" s="13"/>
      <c r="AP94" s="20">
        <v>-7.0000000000000007E-2</v>
      </c>
      <c r="AQ94" s="20">
        <f t="shared" si="29"/>
        <v>1.0000000000000009E-2</v>
      </c>
      <c r="AR94" s="94">
        <f t="shared" si="30"/>
        <v>49.950000000000038</v>
      </c>
      <c r="AS94" s="21">
        <f t="shared" si="31"/>
        <v>16.650000000000013</v>
      </c>
      <c r="AT94" s="22" t="s">
        <v>77</v>
      </c>
      <c r="AU94" s="13" t="s">
        <v>4332</v>
      </c>
      <c r="AV94" s="13" t="s">
        <v>4333</v>
      </c>
      <c r="AW94" s="13"/>
      <c r="AX94" s="13"/>
      <c r="AY94" s="13"/>
      <c r="AZ94" s="13"/>
    </row>
    <row r="95" spans="1:52" ht="12.75">
      <c r="A95" s="12">
        <v>44802</v>
      </c>
      <c r="B95" s="13"/>
      <c r="C95" s="13" t="s">
        <v>114</v>
      </c>
      <c r="D95" s="17" t="s">
        <v>4328</v>
      </c>
      <c r="E95" s="13"/>
      <c r="F95" s="14" t="s">
        <v>75</v>
      </c>
      <c r="G95" s="13"/>
      <c r="H95" s="13"/>
      <c r="I95" s="13"/>
      <c r="J95" s="14"/>
      <c r="K95" s="14"/>
      <c r="L95" s="13">
        <v>1</v>
      </c>
      <c r="M95" s="13"/>
      <c r="N95" s="13"/>
      <c r="O95" s="14" t="s">
        <v>76</v>
      </c>
      <c r="P95" s="14" t="s">
        <v>119</v>
      </c>
      <c r="Q95" s="14" t="s">
        <v>78</v>
      </c>
      <c r="R95" s="14">
        <v>2</v>
      </c>
      <c r="S95" s="14">
        <v>2</v>
      </c>
      <c r="T95" s="14">
        <v>2</v>
      </c>
      <c r="U95" s="101" t="s">
        <v>78</v>
      </c>
      <c r="V95" s="14">
        <f t="shared" si="21"/>
        <v>0.01</v>
      </c>
      <c r="W95" s="14">
        <f t="shared" si="22"/>
        <v>1664.9999999999998</v>
      </c>
      <c r="X95" s="17"/>
      <c r="Y95" s="17"/>
      <c r="Z95" s="17" t="s">
        <v>80</v>
      </c>
      <c r="AA95" s="18">
        <v>-0.06</v>
      </c>
      <c r="AB95" s="13"/>
      <c r="AC95" s="13"/>
      <c r="AD95" s="13"/>
      <c r="AE95" s="13"/>
      <c r="AF95" s="13"/>
      <c r="AG95" s="13"/>
      <c r="AH95" s="13"/>
      <c r="AI95" s="19"/>
      <c r="AJ95" s="14"/>
      <c r="AK95" s="13"/>
      <c r="AL95" s="13"/>
      <c r="AM95" s="13" t="s">
        <v>4334</v>
      </c>
      <c r="AN95" s="13" t="s">
        <v>87</v>
      </c>
      <c r="AO95" s="13"/>
      <c r="AP95" s="20">
        <v>-7.0000000000000007E-2</v>
      </c>
      <c r="AQ95" s="20">
        <f t="shared" si="29"/>
        <v>1.0000000000000009E-2</v>
      </c>
      <c r="AR95" s="94">
        <f t="shared" si="30"/>
        <v>33.300000000000026</v>
      </c>
      <c r="AS95" s="21">
        <f t="shared" si="31"/>
        <v>16.650000000000013</v>
      </c>
      <c r="AT95" s="22" t="s">
        <v>77</v>
      </c>
      <c r="AU95" s="13" t="s">
        <v>4332</v>
      </c>
      <c r="AV95" s="13" t="s">
        <v>4333</v>
      </c>
      <c r="AW95" s="13"/>
      <c r="AX95" s="13"/>
      <c r="AY95" s="13"/>
      <c r="AZ95" s="13"/>
    </row>
    <row r="96" spans="1:52" ht="12.75">
      <c r="A96" s="12">
        <v>44803</v>
      </c>
      <c r="B96" s="13"/>
      <c r="C96" s="13" t="s">
        <v>128</v>
      </c>
      <c r="D96" s="17"/>
      <c r="E96" s="13"/>
      <c r="F96" s="14" t="s">
        <v>75</v>
      </c>
      <c r="G96" s="13"/>
      <c r="H96" s="13"/>
      <c r="I96" s="13"/>
      <c r="J96" s="14"/>
      <c r="K96" s="14"/>
      <c r="L96" s="13">
        <v>1</v>
      </c>
      <c r="M96" s="13"/>
      <c r="N96" s="13"/>
      <c r="O96" s="14" t="s">
        <v>76</v>
      </c>
      <c r="P96" s="14" t="s">
        <v>119</v>
      </c>
      <c r="Q96" s="14" t="s">
        <v>78</v>
      </c>
      <c r="R96" s="14">
        <v>2</v>
      </c>
      <c r="S96" s="14">
        <v>2</v>
      </c>
      <c r="T96" s="14">
        <v>2</v>
      </c>
      <c r="U96" s="14" t="s">
        <v>78</v>
      </c>
      <c r="V96" s="14">
        <f t="shared" si="21"/>
        <v>0.01</v>
      </c>
      <c r="W96" s="14">
        <f t="shared" si="22"/>
        <v>1664.9999999999998</v>
      </c>
      <c r="X96" s="17"/>
      <c r="Y96" s="17"/>
      <c r="Z96" s="17" t="s">
        <v>80</v>
      </c>
      <c r="AA96" s="18">
        <v>-0.06</v>
      </c>
      <c r="AB96" s="13"/>
      <c r="AC96" s="13"/>
      <c r="AD96" s="13"/>
      <c r="AE96" s="13"/>
      <c r="AF96" s="13"/>
      <c r="AG96" s="13"/>
      <c r="AH96" s="13"/>
      <c r="AI96" s="19"/>
      <c r="AJ96" s="14"/>
      <c r="AK96" s="13"/>
      <c r="AL96" s="13"/>
      <c r="AM96" s="13" t="s">
        <v>4335</v>
      </c>
      <c r="AN96" s="13" t="s">
        <v>87</v>
      </c>
      <c r="AO96" s="13"/>
      <c r="AP96" s="20">
        <v>-7.0000000000000007E-2</v>
      </c>
      <c r="AQ96" s="20">
        <f t="shared" si="29"/>
        <v>1.0000000000000009E-2</v>
      </c>
      <c r="AR96" s="94">
        <f t="shared" si="30"/>
        <v>33.300000000000026</v>
      </c>
      <c r="AS96" s="21">
        <f t="shared" si="31"/>
        <v>16.650000000000013</v>
      </c>
      <c r="AT96" s="22" t="s">
        <v>77</v>
      </c>
      <c r="AU96" s="13" t="s">
        <v>4336</v>
      </c>
      <c r="AV96" s="13" t="s">
        <v>4337</v>
      </c>
      <c r="AW96" s="13"/>
      <c r="AX96" s="13" t="s">
        <v>4338</v>
      </c>
      <c r="AY96" s="13"/>
      <c r="AZ96" s="13"/>
    </row>
    <row r="97" spans="1:52" ht="15">
      <c r="A97" s="12">
        <v>44803</v>
      </c>
      <c r="B97" s="13"/>
      <c r="C97" s="13" t="s">
        <v>128</v>
      </c>
      <c r="D97" s="17"/>
      <c r="E97" s="13"/>
      <c r="F97" s="14" t="s">
        <v>3319</v>
      </c>
      <c r="G97" s="13"/>
      <c r="H97" s="13"/>
      <c r="I97" s="13"/>
      <c r="J97" s="14"/>
      <c r="K97" s="14"/>
      <c r="L97" s="13"/>
      <c r="M97" s="13"/>
      <c r="N97" s="13"/>
      <c r="O97" s="14" t="s">
        <v>76</v>
      </c>
      <c r="P97" s="14" t="s">
        <v>119</v>
      </c>
      <c r="Q97" s="102"/>
      <c r="R97" s="102">
        <v>30</v>
      </c>
      <c r="S97" s="102">
        <v>30</v>
      </c>
      <c r="T97" s="102">
        <v>10</v>
      </c>
      <c r="U97" s="14" t="s">
        <v>78</v>
      </c>
      <c r="V97" s="14">
        <f t="shared" si="21"/>
        <v>0.01</v>
      </c>
      <c r="W97" s="14">
        <f t="shared" si="22"/>
        <v>1664.9999999999998</v>
      </c>
      <c r="X97" s="103"/>
      <c r="Y97" s="17"/>
      <c r="Z97" s="17"/>
      <c r="AA97" s="104">
        <v>95.975999999999999</v>
      </c>
      <c r="AB97" s="13" t="s">
        <v>4339</v>
      </c>
      <c r="AC97" s="13">
        <v>95.97</v>
      </c>
      <c r="AD97" s="13" t="s">
        <v>4340</v>
      </c>
      <c r="AE97" s="13">
        <v>95.88</v>
      </c>
      <c r="AF97" s="13" t="s">
        <v>4341</v>
      </c>
      <c r="AG97" s="13"/>
      <c r="AH97" s="13" t="s">
        <v>84</v>
      </c>
      <c r="AI97" s="19"/>
      <c r="AJ97" s="14"/>
      <c r="AK97" s="13"/>
      <c r="AL97" s="13"/>
      <c r="AM97" s="13"/>
      <c r="AN97" s="13"/>
      <c r="AO97" s="13"/>
      <c r="AP97" s="105">
        <v>95.965000000000003</v>
      </c>
      <c r="AQ97" s="20">
        <f t="shared" si="29"/>
        <v>1.099999999999568E-2</v>
      </c>
      <c r="AR97" s="94"/>
      <c r="AS97" s="21">
        <f t="shared" si="31"/>
        <v>18.314999999992803</v>
      </c>
      <c r="AT97" s="22"/>
      <c r="AU97" s="13" t="s">
        <v>4342</v>
      </c>
      <c r="AV97" s="106" t="s">
        <v>4343</v>
      </c>
      <c r="AW97" s="106" t="s">
        <v>4344</v>
      </c>
      <c r="AX97" s="13"/>
      <c r="AY97" s="13"/>
      <c r="AZ97" s="13"/>
    </row>
    <row r="98" spans="1:52" ht="12.75">
      <c r="A98" s="12">
        <v>44803</v>
      </c>
      <c r="B98" s="13"/>
      <c r="C98" s="13" t="s">
        <v>128</v>
      </c>
      <c r="D98" s="17"/>
      <c r="E98" s="13"/>
      <c r="F98" s="14" t="s">
        <v>4178</v>
      </c>
      <c r="G98" s="13"/>
      <c r="H98" s="13"/>
      <c r="I98" s="13"/>
      <c r="J98" s="14"/>
      <c r="K98" s="14"/>
      <c r="L98" s="13">
        <v>1</v>
      </c>
      <c r="M98" s="13"/>
      <c r="N98" s="13">
        <v>1</v>
      </c>
      <c r="O98" s="14" t="s">
        <v>76</v>
      </c>
      <c r="P98" s="14" t="s">
        <v>119</v>
      </c>
      <c r="Q98" s="14" t="s">
        <v>666</v>
      </c>
      <c r="R98" s="14">
        <v>3</v>
      </c>
      <c r="S98" s="14">
        <v>3</v>
      </c>
      <c r="T98" s="14">
        <v>3</v>
      </c>
      <c r="U98" s="14" t="s">
        <v>78</v>
      </c>
      <c r="V98" s="14">
        <f t="shared" si="21"/>
        <v>0.01</v>
      </c>
      <c r="W98" s="14">
        <f t="shared" si="22"/>
        <v>1664.9999999999998</v>
      </c>
      <c r="X98" s="17" t="s">
        <v>4345</v>
      </c>
      <c r="Y98" s="17"/>
      <c r="Z98" s="17"/>
      <c r="AA98" s="18">
        <v>96.01</v>
      </c>
      <c r="AB98" s="13" t="s">
        <v>4346</v>
      </c>
      <c r="AC98" s="13">
        <v>96.02</v>
      </c>
      <c r="AD98" s="13" t="s">
        <v>4347</v>
      </c>
      <c r="AE98" s="13">
        <v>95.99</v>
      </c>
      <c r="AF98" s="13" t="s">
        <v>4348</v>
      </c>
      <c r="AG98" s="17"/>
      <c r="AH98" s="17" t="s">
        <v>4349</v>
      </c>
      <c r="AI98" s="19"/>
      <c r="AJ98" s="14"/>
      <c r="AK98" s="13" t="s">
        <v>4350</v>
      </c>
      <c r="AL98" s="13"/>
      <c r="AM98" s="13" t="s">
        <v>4351</v>
      </c>
      <c r="AN98" s="13" t="s">
        <v>376</v>
      </c>
      <c r="AO98" s="13"/>
      <c r="AP98" s="20">
        <v>95.99</v>
      </c>
      <c r="AQ98" s="20">
        <f t="shared" si="29"/>
        <v>2.0000000000010232E-2</v>
      </c>
      <c r="AR98" s="94">
        <f>AS98*R98</f>
        <v>99.900000000051079</v>
      </c>
      <c r="AS98" s="21">
        <f t="shared" si="31"/>
        <v>33.300000000017029</v>
      </c>
      <c r="AT98" s="22" t="s">
        <v>77</v>
      </c>
      <c r="AU98" s="13" t="s">
        <v>4352</v>
      </c>
      <c r="AV98" s="13" t="s">
        <v>4353</v>
      </c>
      <c r="AW98" s="13" t="s">
        <v>4354</v>
      </c>
      <c r="AX98" s="13" t="s">
        <v>4355</v>
      </c>
      <c r="AY98" s="13"/>
      <c r="AZ98" s="13"/>
    </row>
    <row r="99" spans="1:52" ht="12.75">
      <c r="A99" s="12">
        <v>44803</v>
      </c>
      <c r="B99" s="13"/>
      <c r="C99" s="13" t="s">
        <v>128</v>
      </c>
      <c r="D99" s="17"/>
      <c r="E99" s="13"/>
      <c r="F99" s="14" t="s">
        <v>4178</v>
      </c>
      <c r="G99" s="13"/>
      <c r="H99" s="13"/>
      <c r="I99" s="13"/>
      <c r="J99" s="14" t="s">
        <v>97</v>
      </c>
      <c r="K99" s="14"/>
      <c r="L99" s="13"/>
      <c r="M99" s="13"/>
      <c r="N99" s="13"/>
      <c r="O99" s="14" t="s">
        <v>76</v>
      </c>
      <c r="P99" s="14" t="s">
        <v>119</v>
      </c>
      <c r="Q99" s="14"/>
      <c r="R99" s="14">
        <v>2</v>
      </c>
      <c r="S99" s="14">
        <v>2</v>
      </c>
      <c r="T99" s="14">
        <v>2</v>
      </c>
      <c r="U99" s="14"/>
      <c r="V99" s="14">
        <f t="shared" si="21"/>
        <v>0.01</v>
      </c>
      <c r="W99" s="14">
        <f t="shared" si="22"/>
        <v>1664.9999999999998</v>
      </c>
      <c r="X99" s="13" t="s">
        <v>4356</v>
      </c>
      <c r="Y99" s="13" t="s">
        <v>4356</v>
      </c>
      <c r="Z99" s="13" t="s">
        <v>4356</v>
      </c>
      <c r="AA99" s="18">
        <v>96.02</v>
      </c>
      <c r="AB99" s="13" t="s">
        <v>4356</v>
      </c>
      <c r="AC99" s="13"/>
      <c r="AD99" s="13"/>
      <c r="AE99" s="13"/>
      <c r="AF99" s="13"/>
      <c r="AG99" s="13"/>
      <c r="AH99" s="13"/>
      <c r="AI99" s="19"/>
      <c r="AJ99" s="14"/>
      <c r="AK99" s="13"/>
      <c r="AL99" s="13"/>
      <c r="AM99" s="13"/>
      <c r="AN99" s="13"/>
      <c r="AO99" s="13"/>
      <c r="AP99" s="20">
        <v>96.02</v>
      </c>
      <c r="AQ99" s="13"/>
      <c r="AR99" s="94"/>
      <c r="AS99" s="21"/>
      <c r="AT99" s="22"/>
      <c r="AU99" s="17" t="s">
        <v>4357</v>
      </c>
      <c r="AV99" s="13" t="s">
        <v>4358</v>
      </c>
      <c r="AW99" s="13" t="s">
        <v>4356</v>
      </c>
      <c r="AX99" s="13" t="s">
        <v>4356</v>
      </c>
      <c r="AY99" s="13" t="s">
        <v>4356</v>
      </c>
      <c r="AZ99" s="13" t="s">
        <v>4356</v>
      </c>
    </row>
    <row r="100" spans="1:52" ht="15">
      <c r="A100" s="12" t="s">
        <v>4359</v>
      </c>
      <c r="B100" s="13"/>
      <c r="C100" s="13" t="s">
        <v>128</v>
      </c>
      <c r="D100" s="17"/>
      <c r="E100" s="13"/>
      <c r="F100" s="14"/>
      <c r="G100" s="13"/>
      <c r="H100" s="13"/>
      <c r="I100" s="13"/>
      <c r="J100" s="14"/>
      <c r="K100" s="14"/>
      <c r="L100" s="13"/>
      <c r="M100" s="13"/>
      <c r="N100" s="13"/>
      <c r="O100" s="14"/>
      <c r="P100" s="14"/>
      <c r="Q100" s="14"/>
      <c r="R100" s="14"/>
      <c r="S100" s="14"/>
      <c r="T100" s="14"/>
      <c r="U100" s="14"/>
      <c r="V100" s="14">
        <f t="shared" si="21"/>
        <v>0</v>
      </c>
      <c r="W100" s="14">
        <f t="shared" si="22"/>
        <v>0</v>
      </c>
      <c r="X100" s="17"/>
      <c r="Y100" s="17"/>
      <c r="Z100" s="17"/>
      <c r="AA100" s="18"/>
      <c r="AB100" s="13"/>
      <c r="AC100" s="13"/>
      <c r="AD100" s="13"/>
      <c r="AE100" s="13"/>
      <c r="AF100" s="13"/>
      <c r="AG100" s="13"/>
      <c r="AH100" s="13"/>
      <c r="AI100" s="19"/>
      <c r="AJ100" s="14"/>
      <c r="AK100" s="13"/>
      <c r="AL100" s="13"/>
      <c r="AM100" s="13"/>
      <c r="AN100" s="13"/>
      <c r="AO100" s="13"/>
      <c r="AP100" s="20"/>
      <c r="AQ100" s="13"/>
      <c r="AR100" s="94"/>
      <c r="AS100" s="21"/>
      <c r="AT100" s="22"/>
      <c r="AU100" s="107" t="s">
        <v>4360</v>
      </c>
      <c r="AV100" s="17" t="s">
        <v>4361</v>
      </c>
      <c r="AW100" s="103" t="s">
        <v>4362</v>
      </c>
      <c r="AX100" s="107" t="s">
        <v>4360</v>
      </c>
      <c r="AY100" s="17" t="s">
        <v>4361</v>
      </c>
      <c r="AZ100" s="103" t="s">
        <v>4362</v>
      </c>
    </row>
    <row r="101" spans="1:52" ht="12.75">
      <c r="A101" s="12" t="s">
        <v>4359</v>
      </c>
      <c r="B101" s="13"/>
      <c r="C101" s="13" t="s">
        <v>128</v>
      </c>
      <c r="D101" s="17"/>
      <c r="E101" s="13"/>
      <c r="F101" s="14"/>
      <c r="G101" s="13"/>
      <c r="H101" s="13"/>
      <c r="I101" s="13"/>
      <c r="J101" s="14"/>
      <c r="K101" s="14"/>
      <c r="L101" s="13"/>
      <c r="M101" s="13"/>
      <c r="N101" s="13"/>
      <c r="O101" s="14"/>
      <c r="P101" s="14"/>
      <c r="Q101" s="14"/>
      <c r="R101" s="14"/>
      <c r="S101" s="14"/>
      <c r="T101" s="14"/>
      <c r="U101" s="14"/>
      <c r="V101" s="14">
        <f t="shared" si="21"/>
        <v>0</v>
      </c>
      <c r="W101" s="14">
        <f t="shared" si="22"/>
        <v>0</v>
      </c>
      <c r="X101" s="17"/>
      <c r="Y101" s="17"/>
      <c r="Z101" s="17"/>
      <c r="AA101" s="18"/>
      <c r="AB101" s="13"/>
      <c r="AC101" s="13"/>
      <c r="AD101" s="13"/>
      <c r="AE101" s="13"/>
      <c r="AF101" s="13"/>
      <c r="AG101" s="13"/>
      <c r="AH101" s="13"/>
      <c r="AI101" s="19"/>
      <c r="AJ101" s="14"/>
      <c r="AK101" s="13"/>
      <c r="AL101" s="13"/>
      <c r="AM101" s="13"/>
      <c r="AN101" s="13"/>
      <c r="AO101" s="13"/>
      <c r="AP101" s="20"/>
      <c r="AQ101" s="13"/>
      <c r="AR101" s="94"/>
      <c r="AS101" s="21"/>
      <c r="AT101" s="22"/>
      <c r="AU101" s="13" t="s">
        <v>4363</v>
      </c>
      <c r="AV101" s="13" t="s">
        <v>4364</v>
      </c>
      <c r="AW101" s="13"/>
      <c r="AX101" s="13"/>
      <c r="AY101" s="13"/>
      <c r="AZ101" s="13"/>
    </row>
    <row r="102" spans="1:52" ht="15">
      <c r="A102" s="12" t="s">
        <v>4359</v>
      </c>
      <c r="B102" s="13"/>
      <c r="C102" s="13" t="s">
        <v>128</v>
      </c>
      <c r="D102" s="17"/>
      <c r="E102" s="13"/>
      <c r="F102" s="14"/>
      <c r="G102" s="13"/>
      <c r="H102" s="13"/>
      <c r="I102" s="13"/>
      <c r="J102" s="14"/>
      <c r="K102" s="14"/>
      <c r="L102" s="13"/>
      <c r="M102" s="13"/>
      <c r="N102" s="13"/>
      <c r="O102" s="14"/>
      <c r="P102" s="14"/>
      <c r="Q102" s="14"/>
      <c r="R102" s="14"/>
      <c r="S102" s="14"/>
      <c r="T102" s="14"/>
      <c r="U102" s="14"/>
      <c r="V102" s="14">
        <f t="shared" si="21"/>
        <v>0</v>
      </c>
      <c r="W102" s="14">
        <f t="shared" si="22"/>
        <v>0</v>
      </c>
      <c r="X102" s="17"/>
      <c r="Y102" s="17"/>
      <c r="Z102" s="17"/>
      <c r="AA102" s="18"/>
      <c r="AB102" s="13"/>
      <c r="AC102" s="13"/>
      <c r="AD102" s="13"/>
      <c r="AE102" s="13"/>
      <c r="AF102" s="13"/>
      <c r="AG102" s="13"/>
      <c r="AH102" s="13"/>
      <c r="AI102" s="19"/>
      <c r="AJ102" s="14"/>
      <c r="AK102" s="13"/>
      <c r="AL102" s="13"/>
      <c r="AM102" s="13"/>
      <c r="AN102" s="13"/>
      <c r="AO102" s="13"/>
      <c r="AP102" s="20"/>
      <c r="AQ102" s="13"/>
      <c r="AR102" s="94"/>
      <c r="AS102" s="21"/>
      <c r="AT102" s="22"/>
      <c r="AU102" s="103" t="s">
        <v>4365</v>
      </c>
      <c r="AV102" s="13"/>
      <c r="AW102" s="13"/>
      <c r="AX102" s="13"/>
      <c r="AY102" s="13"/>
      <c r="AZ102" s="13"/>
    </row>
    <row r="103" spans="1:52" ht="12.75">
      <c r="A103" s="12">
        <v>44804</v>
      </c>
      <c r="B103" s="13"/>
      <c r="C103" s="13" t="s">
        <v>133</v>
      </c>
      <c r="D103" s="17"/>
      <c r="E103" s="13"/>
      <c r="F103" s="14" t="s">
        <v>4178</v>
      </c>
      <c r="G103" s="13"/>
      <c r="H103" s="13"/>
      <c r="I103" s="13"/>
      <c r="J103" s="14"/>
      <c r="K103" s="14"/>
      <c r="L103" s="13"/>
      <c r="M103" s="13"/>
      <c r="N103" s="13">
        <v>1</v>
      </c>
      <c r="O103" s="14" t="s">
        <v>76</v>
      </c>
      <c r="P103" s="14" t="s">
        <v>119</v>
      </c>
      <c r="Q103" s="14" t="s">
        <v>666</v>
      </c>
      <c r="R103" s="14">
        <v>2</v>
      </c>
      <c r="S103" s="14">
        <v>2</v>
      </c>
      <c r="T103" s="14">
        <v>1</v>
      </c>
      <c r="U103" s="14" t="s">
        <v>78</v>
      </c>
      <c r="V103" s="14">
        <f t="shared" si="21"/>
        <v>0.01</v>
      </c>
      <c r="W103" s="14">
        <f t="shared" si="22"/>
        <v>1664.9999999999998</v>
      </c>
      <c r="X103" s="17" t="s">
        <v>4366</v>
      </c>
      <c r="Y103" s="17"/>
      <c r="Z103" s="17"/>
      <c r="AA103" s="18">
        <v>96.094999999999999</v>
      </c>
      <c r="AB103" s="17" t="s">
        <v>4367</v>
      </c>
      <c r="AC103" s="13">
        <v>96.11</v>
      </c>
      <c r="AD103" s="13" t="s">
        <v>4368</v>
      </c>
      <c r="AE103" s="13">
        <v>96.08</v>
      </c>
      <c r="AF103" s="13" t="s">
        <v>4369</v>
      </c>
      <c r="AG103" s="13"/>
      <c r="AH103" s="13">
        <v>1</v>
      </c>
      <c r="AI103" s="19"/>
      <c r="AJ103" s="14"/>
      <c r="AK103" s="13" t="s">
        <v>4370</v>
      </c>
      <c r="AL103" s="13" t="s">
        <v>4371</v>
      </c>
      <c r="AM103" s="13" t="s">
        <v>4372</v>
      </c>
      <c r="AN103" s="13" t="s">
        <v>376</v>
      </c>
      <c r="AO103" s="35">
        <v>44804</v>
      </c>
      <c r="AP103" s="20">
        <v>96.08</v>
      </c>
      <c r="AQ103" s="20">
        <f t="shared" ref="AQ103:AQ105" si="32">IF(ISBLANK(AP103),,IF(U103="S",AA103-AP103,AP103-AA103))</f>
        <v>1.5000000000000568E-2</v>
      </c>
      <c r="AR103" s="94">
        <f t="shared" ref="AR103:AR105" si="33">AS103*R103</f>
        <v>49.950000000001886</v>
      </c>
      <c r="AS103" s="21">
        <f t="shared" ref="AS103:AS105" si="34">IF(ISBLANK(AP103),,(AQ103*W103))</f>
        <v>24.975000000000943</v>
      </c>
      <c r="AT103" s="22" t="s">
        <v>77</v>
      </c>
      <c r="AU103" s="13" t="s">
        <v>4373</v>
      </c>
      <c r="AV103" s="13" t="s">
        <v>4374</v>
      </c>
      <c r="AW103" s="13" t="s">
        <v>4375</v>
      </c>
      <c r="AX103" s="13" t="s">
        <v>4376</v>
      </c>
      <c r="AY103" s="13"/>
      <c r="AZ103" s="13"/>
    </row>
    <row r="104" spans="1:52" ht="12.75">
      <c r="A104" s="12">
        <v>44804</v>
      </c>
      <c r="B104" s="13"/>
      <c r="C104" s="13" t="s">
        <v>133</v>
      </c>
      <c r="D104" s="17"/>
      <c r="E104" s="13"/>
      <c r="F104" s="14" t="s">
        <v>75</v>
      </c>
      <c r="G104" s="13"/>
      <c r="H104" s="13"/>
      <c r="I104" s="13"/>
      <c r="J104" s="14" t="s">
        <v>97</v>
      </c>
      <c r="K104" s="14"/>
      <c r="L104" s="13">
        <v>1</v>
      </c>
      <c r="M104" s="13"/>
      <c r="N104" s="13"/>
      <c r="O104" s="14" t="s">
        <v>76</v>
      </c>
      <c r="P104" s="14" t="s">
        <v>119</v>
      </c>
      <c r="Q104" s="14" t="s">
        <v>78</v>
      </c>
      <c r="R104" s="14">
        <v>1</v>
      </c>
      <c r="S104" s="14">
        <v>1</v>
      </c>
      <c r="T104" s="14">
        <v>1</v>
      </c>
      <c r="U104" s="14" t="s">
        <v>22</v>
      </c>
      <c r="V104" s="14">
        <f t="shared" si="21"/>
        <v>0.01</v>
      </c>
      <c r="W104" s="14">
        <f t="shared" si="22"/>
        <v>1664.9999999999998</v>
      </c>
      <c r="X104" s="17"/>
      <c r="Y104" s="17"/>
      <c r="Z104" s="17" t="s">
        <v>80</v>
      </c>
      <c r="AA104" s="18">
        <v>-0.06</v>
      </c>
      <c r="AB104" s="13" t="s">
        <v>80</v>
      </c>
      <c r="AC104" s="13"/>
      <c r="AD104" s="13"/>
      <c r="AE104" s="13"/>
      <c r="AF104" s="13"/>
      <c r="AG104" s="13"/>
      <c r="AH104" s="13"/>
      <c r="AI104" s="19"/>
      <c r="AJ104" s="14"/>
      <c r="AK104" s="13" t="s">
        <v>4377</v>
      </c>
      <c r="AL104" s="13" t="s">
        <v>4378</v>
      </c>
      <c r="AM104" s="13"/>
      <c r="AN104" s="13" t="s">
        <v>376</v>
      </c>
      <c r="AO104" s="35">
        <v>44804</v>
      </c>
      <c r="AP104" s="20">
        <v>-0.05</v>
      </c>
      <c r="AQ104" s="20">
        <f t="shared" si="32"/>
        <v>9.999999999999995E-3</v>
      </c>
      <c r="AR104" s="94">
        <f t="shared" si="33"/>
        <v>16.649999999999988</v>
      </c>
      <c r="AS104" s="21">
        <f t="shared" si="34"/>
        <v>16.649999999999988</v>
      </c>
      <c r="AT104" s="22" t="s">
        <v>77</v>
      </c>
      <c r="AU104" s="13" t="s">
        <v>4326</v>
      </c>
      <c r="AV104" s="17" t="s">
        <v>4379</v>
      </c>
      <c r="AW104" s="13" t="s">
        <v>4380</v>
      </c>
      <c r="AX104" s="13"/>
      <c r="AY104" s="13"/>
      <c r="AZ104" s="13"/>
    </row>
    <row r="105" spans="1:52" ht="12.75">
      <c r="A105" s="12">
        <v>44804</v>
      </c>
      <c r="B105" s="13"/>
      <c r="C105" s="13" t="s">
        <v>133</v>
      </c>
      <c r="D105" s="17"/>
      <c r="E105" s="13"/>
      <c r="F105" s="14" t="s">
        <v>75</v>
      </c>
      <c r="G105" s="13"/>
      <c r="H105" s="13"/>
      <c r="I105" s="13"/>
      <c r="J105" s="14"/>
      <c r="K105" s="14"/>
      <c r="L105" s="13">
        <v>1</v>
      </c>
      <c r="M105" s="13"/>
      <c r="N105" s="13"/>
      <c r="O105" s="14" t="s">
        <v>76</v>
      </c>
      <c r="P105" s="14" t="s">
        <v>119</v>
      </c>
      <c r="Q105" s="14" t="s">
        <v>78</v>
      </c>
      <c r="R105" s="14">
        <v>2</v>
      </c>
      <c r="S105" s="14">
        <v>2</v>
      </c>
      <c r="T105" s="14">
        <v>1</v>
      </c>
      <c r="U105" s="14" t="s">
        <v>22</v>
      </c>
      <c r="V105" s="14">
        <f t="shared" si="21"/>
        <v>0.01</v>
      </c>
      <c r="W105" s="14">
        <f t="shared" si="22"/>
        <v>1664.9999999999998</v>
      </c>
      <c r="X105" s="17"/>
      <c r="Y105" s="17"/>
      <c r="Z105" s="17" t="s">
        <v>80</v>
      </c>
      <c r="AA105" s="18">
        <v>-6.5000000000000002E-2</v>
      </c>
      <c r="AB105" s="13" t="s">
        <v>80</v>
      </c>
      <c r="AC105" s="13" t="s">
        <v>4381</v>
      </c>
      <c r="AD105" s="13" t="s">
        <v>4382</v>
      </c>
      <c r="AE105" s="13"/>
      <c r="AF105" s="13"/>
      <c r="AG105" s="13"/>
      <c r="AH105" s="13" t="s">
        <v>4383</v>
      </c>
      <c r="AI105" s="19"/>
      <c r="AJ105" s="14"/>
      <c r="AK105" s="13" t="s">
        <v>4377</v>
      </c>
      <c r="AL105" s="13" t="s">
        <v>4378</v>
      </c>
      <c r="AM105" s="13" t="s">
        <v>4384</v>
      </c>
      <c r="AN105" s="13" t="s">
        <v>376</v>
      </c>
      <c r="AO105" s="13" t="s">
        <v>4385</v>
      </c>
      <c r="AP105" s="20">
        <v>-0.08</v>
      </c>
      <c r="AQ105" s="20">
        <f t="shared" si="32"/>
        <v>-1.4999999999999999E-2</v>
      </c>
      <c r="AR105" s="94">
        <f t="shared" si="33"/>
        <v>-49.949999999999989</v>
      </c>
      <c r="AS105" s="21">
        <f t="shared" si="34"/>
        <v>-24.974999999999994</v>
      </c>
      <c r="AT105" s="22" t="s">
        <v>211</v>
      </c>
      <c r="AU105" s="13" t="s">
        <v>4326</v>
      </c>
      <c r="AV105" s="13" t="s">
        <v>4386</v>
      </c>
      <c r="AW105" s="13" t="s">
        <v>4387</v>
      </c>
      <c r="AX105" s="13" t="s">
        <v>4388</v>
      </c>
      <c r="AY105" s="13"/>
      <c r="AZ105" s="13"/>
    </row>
    <row r="106" spans="1:52" ht="12.75">
      <c r="A106" s="12"/>
      <c r="B106" s="13"/>
      <c r="C106" s="13"/>
      <c r="D106" s="17"/>
      <c r="E106" s="13"/>
      <c r="F106" s="14"/>
      <c r="G106" s="13"/>
      <c r="H106" s="13"/>
      <c r="I106" s="13"/>
      <c r="J106" s="14"/>
      <c r="K106" s="14"/>
      <c r="L106" s="13"/>
      <c r="M106" s="13"/>
      <c r="N106" s="13"/>
      <c r="O106" s="14"/>
      <c r="P106" s="14"/>
      <c r="Q106" s="14"/>
      <c r="R106" s="14"/>
      <c r="S106" s="14"/>
      <c r="T106" s="14"/>
      <c r="U106" s="14"/>
      <c r="V106" s="14"/>
      <c r="W106" s="14"/>
      <c r="X106" s="17"/>
      <c r="Y106" s="17"/>
      <c r="Z106" s="17"/>
      <c r="AA106" s="18"/>
      <c r="AB106" s="13"/>
      <c r="AC106" s="13"/>
      <c r="AD106" s="13"/>
      <c r="AE106" s="13"/>
      <c r="AF106" s="13"/>
      <c r="AG106" s="13"/>
      <c r="AH106" s="13"/>
      <c r="AI106" s="19"/>
      <c r="AJ106" s="14"/>
      <c r="AK106" s="13"/>
      <c r="AL106" s="13"/>
      <c r="AM106" s="13"/>
      <c r="AN106" s="13"/>
      <c r="AO106" s="13"/>
      <c r="AP106" s="20"/>
      <c r="AQ106" s="13"/>
      <c r="AR106" s="94"/>
      <c r="AS106" s="21"/>
      <c r="AT106" s="22"/>
      <c r="AU106" s="17" t="s">
        <v>4389</v>
      </c>
      <c r="AV106" s="17" t="s">
        <v>4390</v>
      </c>
      <c r="AW106" s="13" t="s">
        <v>4391</v>
      </c>
      <c r="AX106" s="61" t="s">
        <v>4392</v>
      </c>
      <c r="AY106" s="61" t="s">
        <v>4393</v>
      </c>
      <c r="AZ106" s="13" t="s">
        <v>4394</v>
      </c>
    </row>
    <row r="107" spans="1:52" ht="12.75">
      <c r="A107" s="83">
        <v>44826</v>
      </c>
      <c r="B107" s="84"/>
      <c r="C107" s="84"/>
      <c r="D107" s="84"/>
      <c r="E107" s="84"/>
      <c r="F107" s="85"/>
      <c r="G107" s="84"/>
      <c r="H107" s="84"/>
      <c r="I107" s="84"/>
      <c r="J107" s="84"/>
      <c r="K107" s="84"/>
      <c r="L107" s="84"/>
      <c r="M107" s="84"/>
      <c r="N107" s="84"/>
      <c r="O107" s="85"/>
      <c r="P107" s="85"/>
      <c r="Q107" s="85"/>
      <c r="R107" s="85"/>
      <c r="S107" s="85"/>
      <c r="T107" s="85"/>
      <c r="U107" s="85"/>
      <c r="V107" s="85"/>
      <c r="W107" s="85"/>
      <c r="X107" s="84"/>
      <c r="Y107" s="84"/>
      <c r="Z107" s="84"/>
      <c r="AA107" s="86"/>
      <c r="AB107" s="84"/>
      <c r="AC107" s="84"/>
      <c r="AD107" s="84"/>
      <c r="AE107" s="84"/>
      <c r="AF107" s="84"/>
      <c r="AG107" s="84"/>
      <c r="AH107" s="84"/>
      <c r="AI107" s="87"/>
      <c r="AJ107" s="85"/>
      <c r="AK107" s="84"/>
      <c r="AL107" s="84"/>
      <c r="AM107" s="84"/>
      <c r="AN107" s="84"/>
      <c r="AO107" s="84"/>
      <c r="AP107" s="86"/>
      <c r="AQ107" s="84"/>
      <c r="AR107" s="108"/>
      <c r="AS107" s="92"/>
      <c r="AT107" s="93"/>
      <c r="AU107" s="84"/>
      <c r="AV107" s="84"/>
      <c r="AW107" s="84"/>
      <c r="AX107" s="84"/>
      <c r="AY107" s="84"/>
      <c r="AZ107" s="84"/>
    </row>
    <row r="108" spans="1:52" ht="12.75">
      <c r="A108" s="12">
        <v>44805</v>
      </c>
      <c r="B108" s="13"/>
      <c r="C108" s="13" t="s">
        <v>74</v>
      </c>
      <c r="D108" s="17" t="s">
        <v>4395</v>
      </c>
      <c r="E108" s="13" t="s">
        <v>322</v>
      </c>
      <c r="F108" s="14"/>
      <c r="G108" s="13"/>
      <c r="H108" s="13"/>
      <c r="I108" s="13"/>
      <c r="J108" s="14"/>
      <c r="K108" s="14"/>
      <c r="L108" s="13"/>
      <c r="M108" s="13"/>
      <c r="N108" s="13"/>
      <c r="O108" s="14"/>
      <c r="P108" s="14"/>
      <c r="Q108" s="14"/>
      <c r="R108" s="14"/>
      <c r="S108" s="14"/>
      <c r="T108" s="14"/>
      <c r="U108" s="14"/>
      <c r="V108" s="14">
        <f t="shared" ref="V108:V114" si="35">IF(ISBLANK(O108),,(IF(O108=UPPER("IB"),0.005,0.01)))</f>
        <v>0</v>
      </c>
      <c r="W108" s="14">
        <f t="shared" ref="W108:W114" si="36">IF(ISBLANK(O108),,IF(O108=UPPER("IB"),8.63*200,16.65*100))</f>
        <v>0</v>
      </c>
      <c r="X108" s="17"/>
      <c r="Y108" s="17"/>
      <c r="Z108" s="17"/>
      <c r="AA108" s="18"/>
      <c r="AB108" s="13"/>
      <c r="AC108" s="13"/>
      <c r="AD108" s="13"/>
      <c r="AE108" s="13"/>
      <c r="AF108" s="13"/>
      <c r="AG108" s="13"/>
      <c r="AH108" s="13"/>
      <c r="AI108" s="19"/>
      <c r="AJ108" s="14"/>
      <c r="AK108" s="13"/>
      <c r="AL108" s="13"/>
      <c r="AM108" s="13"/>
      <c r="AN108" s="13"/>
      <c r="AO108" s="13"/>
      <c r="AP108" s="20"/>
      <c r="AQ108" s="13"/>
      <c r="AR108" s="94"/>
      <c r="AS108" s="21"/>
      <c r="AT108" s="22"/>
      <c r="AU108" s="13"/>
      <c r="AV108" s="13"/>
      <c r="AW108" s="13"/>
      <c r="AX108" s="13"/>
      <c r="AY108" s="13"/>
      <c r="AZ108" s="13"/>
    </row>
    <row r="109" spans="1:52" ht="12.75">
      <c r="A109" s="12">
        <v>44805</v>
      </c>
      <c r="B109" s="13"/>
      <c r="C109" s="13" t="s">
        <v>74</v>
      </c>
      <c r="D109" s="17" t="s">
        <v>4396</v>
      </c>
      <c r="E109" s="13"/>
      <c r="F109" s="14"/>
      <c r="G109" s="13"/>
      <c r="H109" s="13"/>
      <c r="I109" s="13"/>
      <c r="J109" s="14"/>
      <c r="K109" s="14"/>
      <c r="L109" s="13"/>
      <c r="M109" s="13"/>
      <c r="N109" s="13"/>
      <c r="O109" s="14"/>
      <c r="P109" s="14"/>
      <c r="Q109" s="14"/>
      <c r="R109" s="14"/>
      <c r="S109" s="14"/>
      <c r="T109" s="14"/>
      <c r="U109" s="14"/>
      <c r="V109" s="14">
        <f t="shared" si="35"/>
        <v>0</v>
      </c>
      <c r="W109" s="14">
        <f t="shared" si="36"/>
        <v>0</v>
      </c>
      <c r="X109" s="17"/>
      <c r="Y109" s="17"/>
      <c r="Z109" s="17"/>
      <c r="AA109" s="18"/>
      <c r="AB109" s="13"/>
      <c r="AC109" s="13"/>
      <c r="AD109" s="13"/>
      <c r="AE109" s="13"/>
      <c r="AF109" s="13"/>
      <c r="AG109" s="13"/>
      <c r="AH109" s="13"/>
      <c r="AI109" s="19"/>
      <c r="AJ109" s="14"/>
      <c r="AK109" s="13"/>
      <c r="AL109" s="13"/>
      <c r="AM109" s="13"/>
      <c r="AN109" s="13"/>
      <c r="AO109" s="13"/>
      <c r="AP109" s="20"/>
      <c r="AQ109" s="13"/>
      <c r="AR109" s="94"/>
      <c r="AS109" s="21"/>
      <c r="AT109" s="22"/>
      <c r="AU109" s="13"/>
      <c r="AV109" s="13"/>
      <c r="AW109" s="13"/>
      <c r="AX109" s="13"/>
      <c r="AY109" s="13"/>
      <c r="AZ109" s="13"/>
    </row>
    <row r="110" spans="1:52" ht="12.75">
      <c r="A110" s="12">
        <v>44805</v>
      </c>
      <c r="B110" s="13"/>
      <c r="C110" s="13" t="s">
        <v>74</v>
      </c>
      <c r="D110" s="17"/>
      <c r="E110" s="13"/>
      <c r="F110" s="14"/>
      <c r="G110" s="13"/>
      <c r="H110" s="13"/>
      <c r="I110" s="13"/>
      <c r="J110" s="13"/>
      <c r="K110" s="13"/>
      <c r="L110" s="13"/>
      <c r="M110" s="13"/>
      <c r="N110" s="13"/>
      <c r="O110" s="14"/>
      <c r="P110" s="14"/>
      <c r="Q110" s="14"/>
      <c r="R110" s="14"/>
      <c r="S110" s="14"/>
      <c r="T110" s="14"/>
      <c r="U110" s="14"/>
      <c r="V110" s="14">
        <f t="shared" si="35"/>
        <v>0</v>
      </c>
      <c r="W110" s="14">
        <f t="shared" si="36"/>
        <v>0</v>
      </c>
      <c r="X110" s="17"/>
      <c r="Y110" s="17"/>
      <c r="Z110" s="17"/>
      <c r="AA110" s="18"/>
      <c r="AB110" s="13"/>
      <c r="AC110" s="13"/>
      <c r="AD110" s="13"/>
      <c r="AE110" s="13"/>
      <c r="AF110" s="13"/>
      <c r="AG110" s="13"/>
      <c r="AH110" s="13"/>
      <c r="AI110" s="19"/>
      <c r="AJ110" s="14"/>
      <c r="AK110" s="13"/>
      <c r="AL110" s="13"/>
      <c r="AM110" s="13"/>
      <c r="AN110" s="13"/>
      <c r="AO110" s="13"/>
      <c r="AP110" s="20"/>
      <c r="AQ110" s="13"/>
      <c r="AR110" s="94"/>
      <c r="AS110" s="21"/>
      <c r="AT110" s="22"/>
      <c r="AU110" s="17" t="s">
        <v>4397</v>
      </c>
      <c r="AV110" s="13"/>
      <c r="AW110" s="13"/>
      <c r="AX110" s="13"/>
      <c r="AY110" s="13"/>
      <c r="AZ110" s="13"/>
    </row>
    <row r="111" spans="1:52" ht="12.75">
      <c r="A111" s="12">
        <v>44805</v>
      </c>
      <c r="B111" s="13"/>
      <c r="C111" s="13" t="s">
        <v>74</v>
      </c>
      <c r="D111" s="17"/>
      <c r="E111" s="13"/>
      <c r="F111" s="14" t="s">
        <v>75</v>
      </c>
      <c r="G111" s="13"/>
      <c r="H111" s="13"/>
      <c r="I111" s="13"/>
      <c r="J111" s="14"/>
      <c r="K111" s="14"/>
      <c r="L111" s="13">
        <v>1</v>
      </c>
      <c r="M111" s="13"/>
      <c r="N111" s="13"/>
      <c r="O111" s="14" t="s">
        <v>76</v>
      </c>
      <c r="P111" s="14" t="s">
        <v>119</v>
      </c>
      <c r="Q111" s="14" t="s">
        <v>78</v>
      </c>
      <c r="R111" s="14">
        <v>2</v>
      </c>
      <c r="S111" s="14">
        <v>2</v>
      </c>
      <c r="T111" s="14">
        <v>2</v>
      </c>
      <c r="U111" s="14" t="s">
        <v>22</v>
      </c>
      <c r="V111" s="14">
        <f t="shared" si="35"/>
        <v>0.01</v>
      </c>
      <c r="W111" s="14">
        <f t="shared" si="36"/>
        <v>1664.9999999999998</v>
      </c>
      <c r="X111" s="17"/>
      <c r="Y111" s="17"/>
      <c r="Z111" s="17" t="s">
        <v>80</v>
      </c>
      <c r="AA111" s="18">
        <v>-7.0000000000000007E-2</v>
      </c>
      <c r="AB111" s="13" t="s">
        <v>80</v>
      </c>
      <c r="AC111" s="13"/>
      <c r="AD111" s="13"/>
      <c r="AE111" s="13"/>
      <c r="AF111" s="13"/>
      <c r="AG111" s="13"/>
      <c r="AH111" s="13"/>
      <c r="AI111" s="19"/>
      <c r="AJ111" s="14"/>
      <c r="AK111" s="13" t="s">
        <v>4204</v>
      </c>
      <c r="AL111" s="13"/>
      <c r="AM111" s="13" t="s">
        <v>4398</v>
      </c>
      <c r="AN111" s="13" t="s">
        <v>87</v>
      </c>
      <c r="AO111" s="13"/>
      <c r="AP111" s="20">
        <v>-0.06</v>
      </c>
      <c r="AQ111" s="20">
        <f t="shared" ref="AQ111:AQ114" si="37">IF(ISBLANK(AP111),,IF(U111="S",AA111-AP111,AP111-AA111))</f>
        <v>1.0000000000000009E-2</v>
      </c>
      <c r="AR111" s="94">
        <f>AS111*R111</f>
        <v>33.300000000000026</v>
      </c>
      <c r="AS111" s="21">
        <f t="shared" ref="AS111:AS114" si="38">IF(ISBLANK(AP111),,(AQ111*W111))</f>
        <v>16.650000000000013</v>
      </c>
      <c r="AT111" s="22" t="s">
        <v>77</v>
      </c>
      <c r="AU111" s="13" t="s">
        <v>4326</v>
      </c>
      <c r="AV111" s="17" t="s">
        <v>4399</v>
      </c>
      <c r="AW111" s="13" t="s">
        <v>4322</v>
      </c>
      <c r="AX111" s="13"/>
      <c r="AY111" s="13"/>
      <c r="AZ111" s="13"/>
    </row>
    <row r="112" spans="1:52" ht="12.75">
      <c r="A112" s="12">
        <v>44805</v>
      </c>
      <c r="B112" s="13">
        <v>12</v>
      </c>
      <c r="C112" s="13" t="s">
        <v>74</v>
      </c>
      <c r="D112" s="17"/>
      <c r="E112" s="13"/>
      <c r="F112" s="14" t="s">
        <v>75</v>
      </c>
      <c r="G112" s="13"/>
      <c r="H112" s="13"/>
      <c r="I112" s="13"/>
      <c r="J112" s="14" t="s">
        <v>87</v>
      </c>
      <c r="K112" s="14"/>
      <c r="L112" s="13">
        <v>1</v>
      </c>
      <c r="M112" s="13"/>
      <c r="N112" s="13"/>
      <c r="O112" s="14" t="s">
        <v>76</v>
      </c>
      <c r="P112" s="14" t="s">
        <v>119</v>
      </c>
      <c r="Q112" s="14"/>
      <c r="R112" s="14">
        <v>2</v>
      </c>
      <c r="S112" s="14">
        <v>2</v>
      </c>
      <c r="T112" s="14">
        <v>2</v>
      </c>
      <c r="U112" s="14" t="s">
        <v>78</v>
      </c>
      <c r="V112" s="14">
        <f t="shared" si="35"/>
        <v>0.01</v>
      </c>
      <c r="W112" s="14">
        <f t="shared" si="36"/>
        <v>1664.9999999999998</v>
      </c>
      <c r="X112" s="17"/>
      <c r="Y112" s="17"/>
      <c r="Z112" s="17" t="s">
        <v>80</v>
      </c>
      <c r="AA112" s="18">
        <v>-7.0000000000000007E-2</v>
      </c>
      <c r="AB112" s="13" t="s">
        <v>80</v>
      </c>
      <c r="AC112" s="13"/>
      <c r="AD112" s="13"/>
      <c r="AE112" s="13"/>
      <c r="AF112" s="13"/>
      <c r="AG112" s="13"/>
      <c r="AH112" s="13"/>
      <c r="AI112" s="19"/>
      <c r="AJ112" s="14"/>
      <c r="AK112" s="13" t="s">
        <v>4400</v>
      </c>
      <c r="AL112" s="13" t="s">
        <v>4401</v>
      </c>
      <c r="AM112" s="13"/>
      <c r="AN112" s="13"/>
      <c r="AO112" s="13"/>
      <c r="AP112" s="20"/>
      <c r="AQ112" s="13">
        <f t="shared" si="37"/>
        <v>0</v>
      </c>
      <c r="AR112" s="94"/>
      <c r="AS112" s="21">
        <f t="shared" si="38"/>
        <v>0</v>
      </c>
      <c r="AT112" s="22"/>
      <c r="AU112" s="13" t="s">
        <v>4402</v>
      </c>
      <c r="AV112" s="17" t="s">
        <v>4403</v>
      </c>
      <c r="AW112" s="13" t="s">
        <v>4404</v>
      </c>
      <c r="AX112" s="17" t="s">
        <v>4405</v>
      </c>
      <c r="AY112" s="13" t="s">
        <v>4406</v>
      </c>
      <c r="AZ112" s="13" t="s">
        <v>4407</v>
      </c>
    </row>
    <row r="113" spans="1:52" ht="12.75">
      <c r="A113" s="12">
        <v>44805</v>
      </c>
      <c r="B113" s="13"/>
      <c r="C113" s="13" t="s">
        <v>74</v>
      </c>
      <c r="D113" s="17"/>
      <c r="E113" s="13"/>
      <c r="F113" s="14" t="s">
        <v>4178</v>
      </c>
      <c r="G113" s="13"/>
      <c r="H113" s="13"/>
      <c r="I113" s="13"/>
      <c r="J113" s="14"/>
      <c r="K113" s="14"/>
      <c r="L113" s="13">
        <v>1</v>
      </c>
      <c r="M113" s="13"/>
      <c r="N113" s="13"/>
      <c r="O113" s="14" t="s">
        <v>76</v>
      </c>
      <c r="P113" s="14" t="s">
        <v>119</v>
      </c>
      <c r="Q113" s="14"/>
      <c r="R113" s="14">
        <v>6</v>
      </c>
      <c r="S113" s="14">
        <v>6</v>
      </c>
      <c r="T113" s="14">
        <v>4</v>
      </c>
      <c r="U113" s="14" t="s">
        <v>22</v>
      </c>
      <c r="V113" s="14">
        <f t="shared" si="35"/>
        <v>0.01</v>
      </c>
      <c r="W113" s="14">
        <f t="shared" si="36"/>
        <v>1664.9999999999998</v>
      </c>
      <c r="X113" s="17"/>
      <c r="Y113" s="17"/>
      <c r="Z113" s="17" t="s">
        <v>4408</v>
      </c>
      <c r="AA113" s="18">
        <v>96.04</v>
      </c>
      <c r="AB113" s="17" t="s">
        <v>4408</v>
      </c>
      <c r="AC113" s="13"/>
      <c r="AD113" s="13"/>
      <c r="AE113" s="13"/>
      <c r="AF113" s="13"/>
      <c r="AG113" s="13"/>
      <c r="AH113" s="13"/>
      <c r="AI113" s="19"/>
      <c r="AJ113" s="14"/>
      <c r="AK113" s="13"/>
      <c r="AL113" s="13" t="s">
        <v>4401</v>
      </c>
      <c r="AM113" s="13"/>
      <c r="AN113" s="13"/>
      <c r="AO113" s="13"/>
      <c r="AP113" s="20">
        <v>96.04</v>
      </c>
      <c r="AQ113" s="20">
        <f t="shared" si="37"/>
        <v>0</v>
      </c>
      <c r="AR113" s="94">
        <f t="shared" ref="AR113:AR114" si="39">AS113*R113</f>
        <v>0</v>
      </c>
      <c r="AS113" s="21">
        <f t="shared" si="38"/>
        <v>0</v>
      </c>
      <c r="AT113" s="22" t="s">
        <v>97</v>
      </c>
      <c r="AU113" s="13" t="s">
        <v>4409</v>
      </c>
      <c r="AV113" s="13" t="s">
        <v>4410</v>
      </c>
      <c r="AW113" s="13"/>
      <c r="AX113" s="17" t="s">
        <v>4411</v>
      </c>
      <c r="AY113" s="13"/>
      <c r="AZ113" s="13"/>
    </row>
    <row r="114" spans="1:52" ht="15">
      <c r="A114" s="12">
        <v>44805</v>
      </c>
      <c r="B114" s="13"/>
      <c r="C114" s="13" t="s">
        <v>74</v>
      </c>
      <c r="D114" s="17"/>
      <c r="E114" s="13"/>
      <c r="F114" s="14" t="s">
        <v>3319</v>
      </c>
      <c r="G114" s="13"/>
      <c r="H114" s="13"/>
      <c r="I114" s="13"/>
      <c r="J114" s="14"/>
      <c r="K114" s="14"/>
      <c r="L114" s="13">
        <v>1</v>
      </c>
      <c r="M114" s="13"/>
      <c r="N114" s="13"/>
      <c r="O114" s="14" t="s">
        <v>76</v>
      </c>
      <c r="P114" s="14" t="s">
        <v>119</v>
      </c>
      <c r="Q114" s="14"/>
      <c r="R114" s="14">
        <v>2</v>
      </c>
      <c r="S114" s="14">
        <v>2</v>
      </c>
      <c r="T114" s="14">
        <v>2</v>
      </c>
      <c r="U114" s="14" t="s">
        <v>78</v>
      </c>
      <c r="V114" s="14">
        <f t="shared" si="35"/>
        <v>0.01</v>
      </c>
      <c r="W114" s="14">
        <f t="shared" si="36"/>
        <v>1664.9999999999998</v>
      </c>
      <c r="X114" s="17"/>
      <c r="Y114" s="17"/>
      <c r="Z114" s="17" t="s">
        <v>4408</v>
      </c>
      <c r="AA114" s="18">
        <v>96.98</v>
      </c>
      <c r="AB114" s="17" t="s">
        <v>4412</v>
      </c>
      <c r="AC114" s="13"/>
      <c r="AD114" s="13"/>
      <c r="AE114" s="13"/>
      <c r="AF114" s="13"/>
      <c r="AG114" s="13"/>
      <c r="AH114" s="13"/>
      <c r="AI114" s="19"/>
      <c r="AJ114" s="14"/>
      <c r="AK114" s="13"/>
      <c r="AL114" s="13"/>
      <c r="AM114" s="13"/>
      <c r="AN114" s="13"/>
      <c r="AO114" s="13"/>
      <c r="AP114" s="20">
        <v>96.98</v>
      </c>
      <c r="AQ114" s="20">
        <f t="shared" si="37"/>
        <v>0</v>
      </c>
      <c r="AR114" s="94">
        <f t="shared" si="39"/>
        <v>0</v>
      </c>
      <c r="AS114" s="21">
        <f t="shared" si="38"/>
        <v>0</v>
      </c>
      <c r="AT114" s="22" t="s">
        <v>97</v>
      </c>
      <c r="AU114" s="13" t="s">
        <v>4413</v>
      </c>
      <c r="AV114" s="103" t="s">
        <v>4414</v>
      </c>
      <c r="AW114" s="103" t="s">
        <v>4415</v>
      </c>
      <c r="AX114" s="17" t="s">
        <v>4361</v>
      </c>
      <c r="AY114" s="13" t="s">
        <v>4416</v>
      </c>
      <c r="AZ114" s="13" t="s">
        <v>4417</v>
      </c>
    </row>
    <row r="115" spans="1:52" ht="12.75">
      <c r="A115" s="12">
        <v>44805</v>
      </c>
      <c r="B115" s="13"/>
      <c r="C115" s="13" t="s">
        <v>74</v>
      </c>
      <c r="D115" s="17"/>
      <c r="E115" s="13"/>
      <c r="F115" s="14"/>
      <c r="G115" s="13"/>
      <c r="H115" s="13"/>
      <c r="I115" s="13"/>
      <c r="J115" s="14"/>
      <c r="K115" s="14"/>
      <c r="L115" s="13"/>
      <c r="M115" s="13"/>
      <c r="N115" s="13"/>
      <c r="O115" s="14"/>
      <c r="P115" s="14"/>
      <c r="Q115" s="14"/>
      <c r="R115" s="14"/>
      <c r="S115" s="14"/>
      <c r="T115" s="14"/>
      <c r="U115" s="14"/>
      <c r="V115" s="14"/>
      <c r="W115" s="14"/>
      <c r="X115" s="17"/>
      <c r="Y115" s="17"/>
      <c r="Z115" s="17"/>
      <c r="AA115" s="18"/>
      <c r="AB115" s="13"/>
      <c r="AC115" s="13"/>
      <c r="AD115" s="13"/>
      <c r="AE115" s="13"/>
      <c r="AF115" s="13"/>
      <c r="AG115" s="13"/>
      <c r="AH115" s="13"/>
      <c r="AI115" s="19"/>
      <c r="AJ115" s="14"/>
      <c r="AK115" s="13"/>
      <c r="AL115" s="13"/>
      <c r="AM115" s="13"/>
      <c r="AN115" s="13"/>
      <c r="AO115" s="13"/>
      <c r="AP115" s="20"/>
      <c r="AQ115" s="13"/>
      <c r="AR115" s="94"/>
      <c r="AS115" s="21"/>
      <c r="AT115" s="22"/>
      <c r="AU115" s="13" t="s">
        <v>4418</v>
      </c>
      <c r="AV115" s="13" t="s">
        <v>4419</v>
      </c>
      <c r="AW115" s="100" t="s">
        <v>4420</v>
      </c>
      <c r="AX115" s="13" t="s">
        <v>4421</v>
      </c>
      <c r="AY115" s="13" t="s">
        <v>4422</v>
      </c>
      <c r="AZ115" s="13" t="s">
        <v>4423</v>
      </c>
    </row>
    <row r="116" spans="1:52" ht="12.75">
      <c r="A116" s="12">
        <v>44805</v>
      </c>
      <c r="B116" s="13" t="s">
        <v>4424</v>
      </c>
      <c r="C116" s="13" t="s">
        <v>74</v>
      </c>
      <c r="D116" s="17"/>
      <c r="E116" s="13"/>
      <c r="F116" s="14" t="s">
        <v>4315</v>
      </c>
      <c r="G116" s="13"/>
      <c r="H116" s="13"/>
      <c r="I116" s="13"/>
      <c r="J116" s="14"/>
      <c r="K116" s="14"/>
      <c r="L116" s="13"/>
      <c r="M116" s="13">
        <v>1</v>
      </c>
      <c r="N116" s="13"/>
      <c r="O116" s="14" t="s">
        <v>76</v>
      </c>
      <c r="P116" s="14" t="s">
        <v>77</v>
      </c>
      <c r="Q116" s="14" t="s">
        <v>238</v>
      </c>
      <c r="R116" s="14">
        <v>3</v>
      </c>
      <c r="S116" s="14">
        <v>3</v>
      </c>
      <c r="T116" s="14">
        <v>1</v>
      </c>
      <c r="U116" s="14" t="s">
        <v>22</v>
      </c>
      <c r="V116" s="14">
        <f t="shared" ref="V116:V152" si="40">IF(ISBLANK(O116),,(IF(O116=UPPER("IB"),0.005,0.01)))</f>
        <v>0.01</v>
      </c>
      <c r="W116" s="14">
        <f t="shared" ref="W116:W152" si="41">IF(ISBLANK(O116),,IF(O116=UPPER("IB"),8.63*200,16.65*100))</f>
        <v>1664.9999999999998</v>
      </c>
      <c r="X116" s="17"/>
      <c r="Y116" s="17" t="s">
        <v>4323</v>
      </c>
      <c r="Z116" s="17" t="s">
        <v>4425</v>
      </c>
      <c r="AA116" s="18">
        <v>0.23</v>
      </c>
      <c r="AB116" s="13"/>
      <c r="AC116" s="13"/>
      <c r="AD116" s="13"/>
      <c r="AE116" s="13"/>
      <c r="AF116" s="13"/>
      <c r="AG116" s="13"/>
      <c r="AH116" s="13"/>
      <c r="AI116" s="19"/>
      <c r="AJ116" s="14"/>
      <c r="AK116" s="13"/>
      <c r="AL116" s="61"/>
      <c r="AM116" s="13" t="s">
        <v>4426</v>
      </c>
      <c r="AN116" s="13" t="s">
        <v>97</v>
      </c>
      <c r="AO116" s="13" t="s">
        <v>4427</v>
      </c>
      <c r="AP116" s="20">
        <v>0.26</v>
      </c>
      <c r="AQ116" s="20">
        <f t="shared" ref="AQ116:AQ152" si="42">IF(ISBLANK(AP116),,IF(U116="S",AA116-AP116,AP116-AA116))</f>
        <v>0.03</v>
      </c>
      <c r="AR116" s="94">
        <f t="shared" ref="AR116:AR118" si="43">AS116*R116</f>
        <v>149.84999999999997</v>
      </c>
      <c r="AS116" s="21">
        <f t="shared" ref="AS116:AS152" si="44">IF(ISBLANK(AP116),,(AQ116*W116))</f>
        <v>49.949999999999989</v>
      </c>
      <c r="AT116" s="22" t="s">
        <v>77</v>
      </c>
      <c r="AU116" s="13" t="s">
        <v>4428</v>
      </c>
      <c r="AV116" s="13" t="s">
        <v>4429</v>
      </c>
      <c r="AW116" s="13" t="s">
        <v>4430</v>
      </c>
      <c r="AX116" s="13"/>
      <c r="AY116" s="13"/>
      <c r="AZ116" s="13"/>
    </row>
    <row r="117" spans="1:52" ht="12.75">
      <c r="A117" s="109">
        <v>44806</v>
      </c>
      <c r="B117" s="13" t="s">
        <v>4431</v>
      </c>
      <c r="C117" s="13" t="s">
        <v>93</v>
      </c>
      <c r="D117" s="17"/>
      <c r="E117" s="13"/>
      <c r="F117" s="14" t="s">
        <v>75</v>
      </c>
      <c r="G117" s="13"/>
      <c r="H117" s="13"/>
      <c r="I117" s="13"/>
      <c r="J117" s="14"/>
      <c r="K117" s="14"/>
      <c r="L117" s="13">
        <v>1</v>
      </c>
      <c r="M117" s="13"/>
      <c r="N117" s="13"/>
      <c r="O117" s="14" t="s">
        <v>76</v>
      </c>
      <c r="P117" s="14" t="s">
        <v>119</v>
      </c>
      <c r="Q117" s="14" t="s">
        <v>78</v>
      </c>
      <c r="R117" s="14">
        <v>1</v>
      </c>
      <c r="S117" s="14">
        <v>1</v>
      </c>
      <c r="T117" s="14">
        <v>1</v>
      </c>
      <c r="U117" s="14" t="s">
        <v>22</v>
      </c>
      <c r="V117" s="14">
        <f t="shared" si="40"/>
        <v>0.01</v>
      </c>
      <c r="W117" s="14">
        <f t="shared" si="41"/>
        <v>1664.9999999999998</v>
      </c>
      <c r="X117" s="17"/>
      <c r="Y117" s="17"/>
      <c r="Z117" s="17" t="s">
        <v>80</v>
      </c>
      <c r="AA117" s="18">
        <v>-7.0000000000000007E-2</v>
      </c>
      <c r="AB117" s="13" t="s">
        <v>4432</v>
      </c>
      <c r="AC117" s="13"/>
      <c r="AD117" s="13"/>
      <c r="AE117" s="13"/>
      <c r="AF117" s="13"/>
      <c r="AG117" s="13"/>
      <c r="AH117" s="13"/>
      <c r="AI117" s="19"/>
      <c r="AJ117" s="14"/>
      <c r="AK117" s="13"/>
      <c r="AL117" s="13"/>
      <c r="AM117" s="13" t="s">
        <v>140</v>
      </c>
      <c r="AN117" s="13" t="s">
        <v>87</v>
      </c>
      <c r="AO117" s="13"/>
      <c r="AP117" s="20">
        <v>-0.06</v>
      </c>
      <c r="AQ117" s="20">
        <f t="shared" si="42"/>
        <v>1.0000000000000009E-2</v>
      </c>
      <c r="AR117" s="94">
        <f t="shared" si="43"/>
        <v>16.650000000000013</v>
      </c>
      <c r="AS117" s="21">
        <f t="shared" si="44"/>
        <v>16.650000000000013</v>
      </c>
      <c r="AT117" s="22" t="s">
        <v>77</v>
      </c>
      <c r="AU117" s="13" t="s">
        <v>4326</v>
      </c>
      <c r="AV117" s="13" t="s">
        <v>4433</v>
      </c>
      <c r="AW117" s="13" t="s">
        <v>4434</v>
      </c>
      <c r="AX117" s="13" t="s">
        <v>4435</v>
      </c>
      <c r="AY117" s="13"/>
      <c r="AZ117" s="13"/>
    </row>
    <row r="118" spans="1:52" ht="12.75">
      <c r="A118" s="12">
        <v>44806</v>
      </c>
      <c r="B118" s="13" t="s">
        <v>4436</v>
      </c>
      <c r="C118" s="13" t="s">
        <v>93</v>
      </c>
      <c r="D118" s="17"/>
      <c r="E118" s="13"/>
      <c r="F118" s="14" t="s">
        <v>4234</v>
      </c>
      <c r="G118" s="13"/>
      <c r="H118" s="13"/>
      <c r="I118" s="13"/>
      <c r="J118" s="14"/>
      <c r="K118" s="14"/>
      <c r="L118" s="13">
        <v>1</v>
      </c>
      <c r="M118" s="13">
        <v>2</v>
      </c>
      <c r="N118" s="13">
        <v>1</v>
      </c>
      <c r="O118" s="14" t="s">
        <v>76</v>
      </c>
      <c r="P118" s="14" t="s">
        <v>77</v>
      </c>
      <c r="Q118" s="14" t="s">
        <v>78</v>
      </c>
      <c r="R118" s="14">
        <v>10</v>
      </c>
      <c r="S118" s="14">
        <v>10</v>
      </c>
      <c r="T118" s="14">
        <v>2</v>
      </c>
      <c r="U118" s="14" t="s">
        <v>78</v>
      </c>
      <c r="V118" s="14">
        <f t="shared" si="40"/>
        <v>0.01</v>
      </c>
      <c r="W118" s="14">
        <f t="shared" si="41"/>
        <v>1664.9999999999998</v>
      </c>
      <c r="X118" s="17" t="s">
        <v>4437</v>
      </c>
      <c r="Y118" s="17" t="s">
        <v>4438</v>
      </c>
      <c r="Z118" s="17"/>
      <c r="AA118" s="18">
        <v>0.185</v>
      </c>
      <c r="AB118" s="13" t="s">
        <v>4439</v>
      </c>
      <c r="AC118" s="13" t="s">
        <v>4440</v>
      </c>
      <c r="AD118" s="13" t="s">
        <v>4441</v>
      </c>
      <c r="AE118" s="13">
        <v>15</v>
      </c>
      <c r="AF118" s="13" t="s">
        <v>4442</v>
      </c>
      <c r="AG118" s="13"/>
      <c r="AH118" s="13" t="s">
        <v>4443</v>
      </c>
      <c r="AI118" s="19"/>
      <c r="AJ118" s="14"/>
      <c r="AK118" s="13" t="s">
        <v>4444</v>
      </c>
      <c r="AL118" s="13" t="s">
        <v>4445</v>
      </c>
      <c r="AM118" s="13"/>
      <c r="AN118" s="13" t="s">
        <v>87</v>
      </c>
      <c r="AO118" s="13" t="s">
        <v>4427</v>
      </c>
      <c r="AP118" s="20">
        <v>0.18</v>
      </c>
      <c r="AQ118" s="20">
        <f t="shared" si="42"/>
        <v>5.0000000000000044E-3</v>
      </c>
      <c r="AR118" s="94">
        <f t="shared" si="43"/>
        <v>83.250000000000057</v>
      </c>
      <c r="AS118" s="21">
        <f t="shared" si="44"/>
        <v>8.3250000000000064</v>
      </c>
      <c r="AT118" s="22" t="s">
        <v>77</v>
      </c>
      <c r="AU118" s="13" t="s">
        <v>4446</v>
      </c>
      <c r="AV118" s="13" t="s">
        <v>4447</v>
      </c>
      <c r="AW118" s="13" t="s">
        <v>4448</v>
      </c>
      <c r="AX118" s="13" t="s">
        <v>4449</v>
      </c>
      <c r="AY118" s="13" t="s">
        <v>4450</v>
      </c>
      <c r="AZ118" s="13" t="s">
        <v>4451</v>
      </c>
    </row>
    <row r="119" spans="1:52" ht="12.75">
      <c r="A119" s="12"/>
      <c r="B119" s="13"/>
      <c r="C119" s="13"/>
      <c r="D119" s="17"/>
      <c r="E119" s="13"/>
      <c r="F119" s="14"/>
      <c r="G119" s="13"/>
      <c r="H119" s="13"/>
      <c r="I119" s="13"/>
      <c r="J119" s="14" t="s">
        <v>97</v>
      </c>
      <c r="K119" s="14"/>
      <c r="L119" s="13"/>
      <c r="M119" s="13"/>
      <c r="N119" s="13"/>
      <c r="O119" s="14"/>
      <c r="P119" s="14"/>
      <c r="Q119" s="14"/>
      <c r="R119" s="14"/>
      <c r="S119" s="14"/>
      <c r="T119" s="14"/>
      <c r="U119" s="14"/>
      <c r="V119" s="14">
        <f t="shared" si="40"/>
        <v>0</v>
      </c>
      <c r="W119" s="14">
        <f t="shared" si="41"/>
        <v>0</v>
      </c>
      <c r="X119" s="17"/>
      <c r="Y119" s="17"/>
      <c r="Z119" s="17"/>
      <c r="AA119" s="18">
        <v>18.5</v>
      </c>
      <c r="AB119" s="13"/>
      <c r="AC119" s="13" t="s">
        <v>4452</v>
      </c>
      <c r="AD119" s="13"/>
      <c r="AE119" s="13" t="s">
        <v>4453</v>
      </c>
      <c r="AF119" s="13"/>
      <c r="AG119" s="13"/>
      <c r="AH119" s="13" t="s">
        <v>4454</v>
      </c>
      <c r="AI119" s="19"/>
      <c r="AJ119" s="14"/>
      <c r="AK119" s="13"/>
      <c r="AL119" s="13"/>
      <c r="AM119" s="13"/>
      <c r="AN119" s="13"/>
      <c r="AO119" s="13"/>
      <c r="AP119" s="20"/>
      <c r="AQ119" s="13">
        <f t="shared" si="42"/>
        <v>0</v>
      </c>
      <c r="AR119" s="94"/>
      <c r="AS119" s="21">
        <f t="shared" si="44"/>
        <v>0</v>
      </c>
      <c r="AT119" s="22"/>
      <c r="AU119" s="13" t="s">
        <v>4455</v>
      </c>
      <c r="AV119" s="13" t="s">
        <v>4456</v>
      </c>
      <c r="AW119" s="13" t="s">
        <v>4457</v>
      </c>
      <c r="AX119" s="13" t="s">
        <v>4458</v>
      </c>
      <c r="AY119" s="13" t="s">
        <v>4459</v>
      </c>
      <c r="AZ119" s="13" t="s">
        <v>4460</v>
      </c>
    </row>
    <row r="120" spans="1:52" ht="12.75">
      <c r="A120" s="12">
        <v>44809</v>
      </c>
      <c r="B120" s="13">
        <v>12.42</v>
      </c>
      <c r="C120" s="13" t="s">
        <v>114</v>
      </c>
      <c r="D120" s="17"/>
      <c r="E120" s="13"/>
      <c r="F120" s="14" t="s">
        <v>75</v>
      </c>
      <c r="G120" s="13"/>
      <c r="H120" s="13"/>
      <c r="I120" s="13"/>
      <c r="J120" s="14" t="s">
        <v>97</v>
      </c>
      <c r="K120" s="14"/>
      <c r="L120" s="13">
        <v>1</v>
      </c>
      <c r="M120" s="13"/>
      <c r="N120" s="13"/>
      <c r="O120" s="14" t="s">
        <v>76</v>
      </c>
      <c r="P120" s="14" t="s">
        <v>119</v>
      </c>
      <c r="Q120" s="14" t="s">
        <v>78</v>
      </c>
      <c r="R120" s="14">
        <v>1</v>
      </c>
      <c r="S120" s="14">
        <v>1</v>
      </c>
      <c r="T120" s="14">
        <v>1</v>
      </c>
      <c r="U120" s="14" t="s">
        <v>78</v>
      </c>
      <c r="V120" s="14">
        <f t="shared" si="40"/>
        <v>0.01</v>
      </c>
      <c r="W120" s="14">
        <f t="shared" si="41"/>
        <v>1664.9999999999998</v>
      </c>
      <c r="X120" s="17"/>
      <c r="Y120" s="17"/>
      <c r="Z120" s="17" t="s">
        <v>80</v>
      </c>
      <c r="AA120" s="18">
        <v>-0.05</v>
      </c>
      <c r="AB120" s="13"/>
      <c r="AC120" s="13"/>
      <c r="AD120" s="13"/>
      <c r="AE120" s="13"/>
      <c r="AF120" s="13"/>
      <c r="AG120" s="13"/>
      <c r="AH120" s="13"/>
      <c r="AI120" s="19"/>
      <c r="AJ120" s="14"/>
      <c r="AK120" s="13" t="s">
        <v>4461</v>
      </c>
      <c r="AL120" s="13"/>
      <c r="AM120" s="13"/>
      <c r="AN120" s="13" t="s">
        <v>87</v>
      </c>
      <c r="AO120" s="13"/>
      <c r="AP120" s="20">
        <v>-0.06</v>
      </c>
      <c r="AQ120" s="20">
        <f t="shared" si="42"/>
        <v>9.999999999999995E-3</v>
      </c>
      <c r="AR120" s="94">
        <f>AS120*R120</f>
        <v>16.649999999999988</v>
      </c>
      <c r="AS120" s="21">
        <f t="shared" si="44"/>
        <v>16.649999999999988</v>
      </c>
      <c r="AT120" s="22" t="s">
        <v>77</v>
      </c>
      <c r="AU120" s="61" t="s">
        <v>4462</v>
      </c>
      <c r="AV120" s="61"/>
      <c r="AW120" s="61"/>
      <c r="AX120" s="13"/>
      <c r="AY120" s="13"/>
      <c r="AZ120" s="13"/>
    </row>
    <row r="121" spans="1:52" ht="12.75">
      <c r="A121" s="12"/>
      <c r="B121" s="13"/>
      <c r="C121" s="13"/>
      <c r="D121" s="17"/>
      <c r="E121" s="13"/>
      <c r="F121" s="14" t="s">
        <v>3319</v>
      </c>
      <c r="G121" s="13"/>
      <c r="H121" s="13"/>
      <c r="I121" s="13"/>
      <c r="J121" s="14"/>
      <c r="K121" s="14"/>
      <c r="L121" s="13"/>
      <c r="M121" s="13"/>
      <c r="N121" s="13"/>
      <c r="O121" s="14" t="s">
        <v>76</v>
      </c>
      <c r="P121" s="14" t="s">
        <v>119</v>
      </c>
      <c r="Q121" s="14"/>
      <c r="R121" s="14">
        <v>1</v>
      </c>
      <c r="S121" s="14">
        <v>1</v>
      </c>
      <c r="T121" s="14">
        <v>1</v>
      </c>
      <c r="U121" s="14"/>
      <c r="V121" s="14">
        <f t="shared" si="40"/>
        <v>0.01</v>
      </c>
      <c r="W121" s="14">
        <f t="shared" si="41"/>
        <v>1664.9999999999998</v>
      </c>
      <c r="X121" s="17"/>
      <c r="Y121" s="17"/>
      <c r="Z121" s="17"/>
      <c r="AA121" s="18">
        <v>96.03</v>
      </c>
      <c r="AB121" s="13" t="s">
        <v>4463</v>
      </c>
      <c r="AC121" s="13"/>
      <c r="AD121" s="13"/>
      <c r="AE121" s="13"/>
      <c r="AF121" s="13"/>
      <c r="AG121" s="13"/>
      <c r="AH121" s="13"/>
      <c r="AI121" s="19"/>
      <c r="AJ121" s="14"/>
      <c r="AK121" s="13"/>
      <c r="AL121" s="13"/>
      <c r="AM121" s="13"/>
      <c r="AN121" s="13"/>
      <c r="AO121" s="13"/>
      <c r="AP121" s="20"/>
      <c r="AQ121" s="13">
        <f t="shared" si="42"/>
        <v>0</v>
      </c>
      <c r="AR121" s="94"/>
      <c r="AS121" s="21">
        <f t="shared" si="44"/>
        <v>0</v>
      </c>
      <c r="AT121" s="22"/>
      <c r="AU121" s="13"/>
      <c r="AV121" s="13"/>
      <c r="AW121" s="13"/>
      <c r="AX121" s="13"/>
      <c r="AY121" s="13"/>
      <c r="AZ121" s="13"/>
    </row>
    <row r="122" spans="1:52" ht="12.75">
      <c r="A122" s="12"/>
      <c r="B122" s="13"/>
      <c r="C122" s="13"/>
      <c r="D122" s="17"/>
      <c r="E122" s="13"/>
      <c r="F122" s="14" t="s">
        <v>4178</v>
      </c>
      <c r="G122" s="13"/>
      <c r="H122" s="13"/>
      <c r="I122" s="13"/>
      <c r="J122" s="14"/>
      <c r="K122" s="14"/>
      <c r="L122" s="13"/>
      <c r="M122" s="13"/>
      <c r="N122" s="13"/>
      <c r="O122" s="14" t="s">
        <v>76</v>
      </c>
      <c r="P122" s="14" t="s">
        <v>119</v>
      </c>
      <c r="Q122" s="14"/>
      <c r="R122" s="14">
        <v>1</v>
      </c>
      <c r="S122" s="14">
        <v>1</v>
      </c>
      <c r="T122" s="14">
        <v>1</v>
      </c>
      <c r="U122" s="14"/>
      <c r="V122" s="14">
        <f t="shared" si="40"/>
        <v>0.01</v>
      </c>
      <c r="W122" s="14">
        <f t="shared" si="41"/>
        <v>1664.9999999999998</v>
      </c>
      <c r="X122" s="17"/>
      <c r="Y122" s="17"/>
      <c r="Z122" s="17"/>
      <c r="AA122" s="18">
        <v>96.08</v>
      </c>
      <c r="AB122" s="13" t="s">
        <v>4463</v>
      </c>
      <c r="AC122" s="13"/>
      <c r="AD122" s="13"/>
      <c r="AE122" s="13"/>
      <c r="AF122" s="13"/>
      <c r="AG122" s="13"/>
      <c r="AH122" s="13"/>
      <c r="AI122" s="19"/>
      <c r="AJ122" s="14"/>
      <c r="AK122" s="13"/>
      <c r="AL122" s="13"/>
      <c r="AM122" s="13"/>
      <c r="AN122" s="13"/>
      <c r="AO122" s="13"/>
      <c r="AP122" s="20"/>
      <c r="AQ122" s="13">
        <f t="shared" si="42"/>
        <v>0</v>
      </c>
      <c r="AR122" s="94"/>
      <c r="AS122" s="21">
        <f t="shared" si="44"/>
        <v>0</v>
      </c>
      <c r="AT122" s="22"/>
      <c r="AU122" s="13"/>
      <c r="AV122" s="13"/>
      <c r="AW122" s="13"/>
      <c r="AX122" s="13"/>
      <c r="AY122" s="13"/>
      <c r="AZ122" s="13"/>
    </row>
    <row r="123" spans="1:52" ht="12.75">
      <c r="A123" s="12">
        <v>44809</v>
      </c>
      <c r="B123" s="13">
        <v>12.45</v>
      </c>
      <c r="C123" s="13" t="s">
        <v>114</v>
      </c>
      <c r="D123" s="17"/>
      <c r="E123" s="13"/>
      <c r="F123" s="14" t="s">
        <v>4178</v>
      </c>
      <c r="G123" s="13"/>
      <c r="H123" s="13"/>
      <c r="I123" s="13"/>
      <c r="J123" s="14"/>
      <c r="K123" s="14"/>
      <c r="L123" s="13">
        <v>1</v>
      </c>
      <c r="M123" s="13"/>
      <c r="N123" s="13"/>
      <c r="O123" s="14" t="s">
        <v>76</v>
      </c>
      <c r="P123" s="14" t="s">
        <v>119</v>
      </c>
      <c r="Q123" s="14" t="s">
        <v>666</v>
      </c>
      <c r="R123" s="14">
        <v>2</v>
      </c>
      <c r="S123" s="14">
        <v>2</v>
      </c>
      <c r="T123" s="14">
        <v>2</v>
      </c>
      <c r="U123" s="14" t="s">
        <v>78</v>
      </c>
      <c r="V123" s="14">
        <f t="shared" si="40"/>
        <v>0.01</v>
      </c>
      <c r="W123" s="14">
        <f t="shared" si="41"/>
        <v>1664.9999999999998</v>
      </c>
      <c r="X123" s="17"/>
      <c r="Y123" s="17"/>
      <c r="Z123" s="17"/>
      <c r="AA123" s="18">
        <v>96.07</v>
      </c>
      <c r="AB123" s="13" t="s">
        <v>4464</v>
      </c>
      <c r="AC123" s="13"/>
      <c r="AD123" s="13"/>
      <c r="AE123" s="13"/>
      <c r="AF123" s="13"/>
      <c r="AG123" s="13"/>
      <c r="AH123" s="13"/>
      <c r="AI123" s="19"/>
      <c r="AJ123" s="14"/>
      <c r="AK123" s="13"/>
      <c r="AL123" s="13"/>
      <c r="AM123" s="13"/>
      <c r="AN123" s="13" t="s">
        <v>376</v>
      </c>
      <c r="AO123" s="13"/>
      <c r="AP123" s="20">
        <v>96.06</v>
      </c>
      <c r="AQ123" s="20">
        <f t="shared" si="42"/>
        <v>9.9999999999909051E-3</v>
      </c>
      <c r="AR123" s="94">
        <f t="shared" ref="AR123:AR152" si="45">AS123*R123</f>
        <v>33.299999999969707</v>
      </c>
      <c r="AS123" s="21">
        <f t="shared" si="44"/>
        <v>16.649999999984853</v>
      </c>
      <c r="AT123" s="22" t="s">
        <v>77</v>
      </c>
      <c r="AU123" s="13" t="s">
        <v>4465</v>
      </c>
      <c r="AV123" s="13"/>
      <c r="AW123" s="13"/>
      <c r="AX123" s="13"/>
      <c r="AY123" s="13"/>
      <c r="AZ123" s="13"/>
    </row>
    <row r="124" spans="1:52" ht="12.75">
      <c r="A124" s="12">
        <v>44810</v>
      </c>
      <c r="B124" s="13" t="s">
        <v>4466</v>
      </c>
      <c r="C124" s="13" t="s">
        <v>128</v>
      </c>
      <c r="D124" s="17"/>
      <c r="E124" s="13"/>
      <c r="F124" s="14" t="s">
        <v>4080</v>
      </c>
      <c r="G124" s="13"/>
      <c r="H124" s="13"/>
      <c r="I124" s="13"/>
      <c r="J124" s="14"/>
      <c r="K124" s="14"/>
      <c r="L124" s="13">
        <v>1</v>
      </c>
      <c r="M124" s="13"/>
      <c r="N124" s="13">
        <v>1</v>
      </c>
      <c r="O124" s="14" t="s">
        <v>76</v>
      </c>
      <c r="P124" s="14" t="s">
        <v>77</v>
      </c>
      <c r="Q124" s="14" t="s">
        <v>666</v>
      </c>
      <c r="R124" s="14">
        <v>1</v>
      </c>
      <c r="S124" s="14">
        <v>1</v>
      </c>
      <c r="T124" s="14">
        <v>1</v>
      </c>
      <c r="U124" s="14" t="s">
        <v>78</v>
      </c>
      <c r="V124" s="14">
        <f t="shared" si="40"/>
        <v>0.01</v>
      </c>
      <c r="W124" s="14">
        <f t="shared" si="41"/>
        <v>1664.9999999999998</v>
      </c>
      <c r="X124" s="17" t="s">
        <v>4467</v>
      </c>
      <c r="Y124" s="17"/>
      <c r="Z124" s="17"/>
      <c r="AA124" s="18">
        <v>96.04</v>
      </c>
      <c r="AB124" s="13" t="s">
        <v>4468</v>
      </c>
      <c r="AC124" s="13">
        <v>96.07</v>
      </c>
      <c r="AD124" s="13" t="s">
        <v>4469</v>
      </c>
      <c r="AE124" s="13">
        <v>96.03</v>
      </c>
      <c r="AF124" s="13"/>
      <c r="AG124" s="13"/>
      <c r="AH124" s="13" t="s">
        <v>4470</v>
      </c>
      <c r="AI124" s="19"/>
      <c r="AJ124" s="14"/>
      <c r="AK124" s="13" t="s">
        <v>4471</v>
      </c>
      <c r="AL124" s="13" t="s">
        <v>4472</v>
      </c>
      <c r="AM124" s="13"/>
      <c r="AN124" s="13" t="s">
        <v>376</v>
      </c>
      <c r="AO124" s="13"/>
      <c r="AP124" s="20">
        <v>96.03</v>
      </c>
      <c r="AQ124" s="20">
        <f t="shared" si="42"/>
        <v>1.0000000000005116E-2</v>
      </c>
      <c r="AR124" s="94">
        <f t="shared" si="45"/>
        <v>16.650000000008514</v>
      </c>
      <c r="AS124" s="21">
        <f t="shared" si="44"/>
        <v>16.650000000008514</v>
      </c>
      <c r="AT124" s="22" t="s">
        <v>77</v>
      </c>
      <c r="AU124" s="13" t="s">
        <v>4467</v>
      </c>
      <c r="AV124" s="13" t="s">
        <v>4473</v>
      </c>
      <c r="AW124" s="13"/>
      <c r="AX124" s="13" t="s">
        <v>4474</v>
      </c>
      <c r="AY124" s="13"/>
      <c r="AZ124" s="13"/>
    </row>
    <row r="125" spans="1:52" ht="12.75">
      <c r="A125" s="12">
        <v>44810</v>
      </c>
      <c r="B125" s="13" t="s">
        <v>4475</v>
      </c>
      <c r="C125" s="13" t="s">
        <v>128</v>
      </c>
      <c r="D125" s="17"/>
      <c r="E125" s="13"/>
      <c r="F125" s="14" t="s">
        <v>4079</v>
      </c>
      <c r="G125" s="13"/>
      <c r="H125" s="13"/>
      <c r="I125" s="13"/>
      <c r="J125" s="40"/>
      <c r="K125" s="40"/>
      <c r="L125" s="13">
        <v>1</v>
      </c>
      <c r="M125" s="13"/>
      <c r="N125" s="13">
        <v>1</v>
      </c>
      <c r="O125" s="14" t="s">
        <v>76</v>
      </c>
      <c r="P125" s="14" t="s">
        <v>77</v>
      </c>
      <c r="Q125" s="14" t="s">
        <v>666</v>
      </c>
      <c r="R125" s="14">
        <v>2</v>
      </c>
      <c r="S125" s="14">
        <v>2</v>
      </c>
      <c r="T125" s="14">
        <v>1</v>
      </c>
      <c r="U125" s="14" t="s">
        <v>78</v>
      </c>
      <c r="V125" s="14">
        <f t="shared" si="40"/>
        <v>0.01</v>
      </c>
      <c r="W125" s="14">
        <f t="shared" si="41"/>
        <v>1664.9999999999998</v>
      </c>
      <c r="X125" s="17" t="s">
        <v>4467</v>
      </c>
      <c r="Y125" s="17"/>
      <c r="Z125" s="17"/>
      <c r="AA125" s="18">
        <v>96.2</v>
      </c>
      <c r="AB125" s="13" t="s">
        <v>4476</v>
      </c>
      <c r="AC125" s="13">
        <v>96.22</v>
      </c>
      <c r="AD125" s="13" t="s">
        <v>4469</v>
      </c>
      <c r="AE125" s="13">
        <v>96.18</v>
      </c>
      <c r="AF125" s="13"/>
      <c r="AG125" s="13"/>
      <c r="AH125" s="13">
        <v>1</v>
      </c>
      <c r="AI125" s="19"/>
      <c r="AJ125" s="14"/>
      <c r="AK125" s="13" t="s">
        <v>4471</v>
      </c>
      <c r="AL125" s="13" t="s">
        <v>4477</v>
      </c>
      <c r="AM125" s="13"/>
      <c r="AN125" s="13" t="s">
        <v>87</v>
      </c>
      <c r="AO125" s="13"/>
      <c r="AP125" s="20">
        <v>96.22</v>
      </c>
      <c r="AQ125" s="20">
        <f t="shared" si="42"/>
        <v>-1.9999999999996021E-2</v>
      </c>
      <c r="AR125" s="94">
        <f t="shared" si="45"/>
        <v>-66.599999999986736</v>
      </c>
      <c r="AS125" s="21">
        <f t="shared" si="44"/>
        <v>-33.299999999993368</v>
      </c>
      <c r="AT125" s="22" t="s">
        <v>211</v>
      </c>
      <c r="AU125" s="13" t="s">
        <v>4387</v>
      </c>
      <c r="AV125" s="13" t="s">
        <v>4478</v>
      </c>
      <c r="AW125" s="13"/>
      <c r="AX125" s="13"/>
      <c r="AY125" s="13"/>
      <c r="AZ125" s="13"/>
    </row>
    <row r="126" spans="1:52" ht="12.75">
      <c r="A126" s="12">
        <v>44810</v>
      </c>
      <c r="B126" s="13" t="s">
        <v>4479</v>
      </c>
      <c r="C126" s="13" t="s">
        <v>128</v>
      </c>
      <c r="D126" s="17"/>
      <c r="E126" s="13"/>
      <c r="F126" s="14" t="s">
        <v>4079</v>
      </c>
      <c r="G126" s="13"/>
      <c r="H126" s="13"/>
      <c r="I126" s="13"/>
      <c r="J126" s="40"/>
      <c r="K126" s="40"/>
      <c r="L126" s="13">
        <v>1</v>
      </c>
      <c r="M126" s="13"/>
      <c r="N126" s="13"/>
      <c r="O126" s="14" t="s">
        <v>76</v>
      </c>
      <c r="P126" s="14" t="s">
        <v>77</v>
      </c>
      <c r="Q126" s="14"/>
      <c r="R126" s="14">
        <v>1</v>
      </c>
      <c r="S126" s="14">
        <v>1</v>
      </c>
      <c r="T126" s="14">
        <v>1</v>
      </c>
      <c r="U126" s="14" t="s">
        <v>78</v>
      </c>
      <c r="V126" s="14">
        <f t="shared" si="40"/>
        <v>0.01</v>
      </c>
      <c r="W126" s="14">
        <f t="shared" si="41"/>
        <v>1664.9999999999998</v>
      </c>
      <c r="X126" s="17"/>
      <c r="Y126" s="17"/>
      <c r="Z126" s="17"/>
      <c r="AA126" s="18">
        <v>96.21</v>
      </c>
      <c r="AB126" s="13" t="s">
        <v>4480</v>
      </c>
      <c r="AC126" s="13"/>
      <c r="AD126" s="13"/>
      <c r="AE126" s="13"/>
      <c r="AF126" s="13"/>
      <c r="AG126" s="13"/>
      <c r="AH126" s="13"/>
      <c r="AI126" s="19"/>
      <c r="AJ126" s="14"/>
      <c r="AK126" s="13"/>
      <c r="AL126" s="13"/>
      <c r="AM126" s="13"/>
      <c r="AN126" s="13"/>
      <c r="AO126" s="13"/>
      <c r="AP126" s="20">
        <v>96.21</v>
      </c>
      <c r="AQ126" s="20">
        <f t="shared" si="42"/>
        <v>0</v>
      </c>
      <c r="AR126" s="94">
        <f t="shared" si="45"/>
        <v>0</v>
      </c>
      <c r="AS126" s="21">
        <f t="shared" si="44"/>
        <v>0</v>
      </c>
      <c r="AT126" s="22" t="s">
        <v>97</v>
      </c>
      <c r="AU126" s="13" t="s">
        <v>4481</v>
      </c>
      <c r="AV126" s="13"/>
      <c r="AW126" s="13"/>
      <c r="AX126" s="13"/>
      <c r="AY126" s="13"/>
      <c r="AZ126" s="13"/>
    </row>
    <row r="127" spans="1:52" ht="12.75">
      <c r="A127" s="12">
        <v>44810</v>
      </c>
      <c r="B127" s="13"/>
      <c r="C127" s="13" t="s">
        <v>128</v>
      </c>
      <c r="D127" s="110" t="s">
        <v>4482</v>
      </c>
      <c r="E127" s="13" t="s">
        <v>4483</v>
      </c>
      <c r="F127" s="14" t="s">
        <v>4079</v>
      </c>
      <c r="G127" s="13"/>
      <c r="H127" s="13">
        <v>1</v>
      </c>
      <c r="I127" s="13"/>
      <c r="J127" s="49"/>
      <c r="K127" s="49"/>
      <c r="L127" s="13"/>
      <c r="M127" s="13"/>
      <c r="N127" s="13">
        <v>1</v>
      </c>
      <c r="O127" s="14" t="s">
        <v>76</v>
      </c>
      <c r="P127" s="14" t="s">
        <v>77</v>
      </c>
      <c r="Q127" s="14" t="s">
        <v>666</v>
      </c>
      <c r="R127" s="14">
        <v>6</v>
      </c>
      <c r="S127" s="14">
        <v>6</v>
      </c>
      <c r="T127" s="14">
        <v>2</v>
      </c>
      <c r="U127" s="14" t="s">
        <v>78</v>
      </c>
      <c r="V127" s="14">
        <f t="shared" si="40"/>
        <v>0.01</v>
      </c>
      <c r="W127" s="14">
        <f t="shared" si="41"/>
        <v>1664.9999999999998</v>
      </c>
      <c r="X127" s="17" t="s">
        <v>4484</v>
      </c>
      <c r="Y127" s="17"/>
      <c r="Z127" s="17"/>
      <c r="AA127" s="18">
        <v>96.227000000000004</v>
      </c>
      <c r="AB127" s="13" t="s">
        <v>4346</v>
      </c>
      <c r="AC127" s="13" t="s">
        <v>4485</v>
      </c>
      <c r="AD127" s="13" t="s">
        <v>4486</v>
      </c>
      <c r="AE127" s="13" t="s">
        <v>4487</v>
      </c>
      <c r="AF127" s="13" t="s">
        <v>4488</v>
      </c>
      <c r="AG127" s="13"/>
      <c r="AH127" s="13"/>
      <c r="AI127" s="19"/>
      <c r="AJ127" s="14"/>
      <c r="AK127" s="13"/>
      <c r="AL127" s="13" t="s">
        <v>4489</v>
      </c>
      <c r="AM127" s="13"/>
      <c r="AN127" s="13" t="s">
        <v>87</v>
      </c>
      <c r="AO127" s="13"/>
      <c r="AP127" s="20">
        <v>96.185000000000002</v>
      </c>
      <c r="AQ127" s="20">
        <f t="shared" si="42"/>
        <v>4.2000000000001592E-2</v>
      </c>
      <c r="AR127" s="94">
        <f t="shared" si="45"/>
        <v>419.58000000001584</v>
      </c>
      <c r="AS127" s="21">
        <f t="shared" si="44"/>
        <v>69.930000000002636</v>
      </c>
      <c r="AT127" s="22" t="s">
        <v>77</v>
      </c>
      <c r="AU127" s="13" t="s">
        <v>4490</v>
      </c>
      <c r="AV127" s="13" t="s">
        <v>4491</v>
      </c>
      <c r="AW127" s="13" t="s">
        <v>4492</v>
      </c>
      <c r="AX127" s="13" t="s">
        <v>4493</v>
      </c>
      <c r="AY127" s="13" t="s">
        <v>4494</v>
      </c>
      <c r="AZ127" s="13"/>
    </row>
    <row r="128" spans="1:52" ht="12.75">
      <c r="A128" s="12">
        <v>44810</v>
      </c>
      <c r="B128" s="13"/>
      <c r="C128" s="13" t="s">
        <v>128</v>
      </c>
      <c r="D128" s="110" t="s">
        <v>4482</v>
      </c>
      <c r="E128" s="13" t="s">
        <v>4495</v>
      </c>
      <c r="F128" s="14" t="s">
        <v>4080</v>
      </c>
      <c r="G128" s="13"/>
      <c r="H128" s="13"/>
      <c r="I128" s="13"/>
      <c r="J128" s="49"/>
      <c r="K128" s="49"/>
      <c r="L128" s="13">
        <v>1</v>
      </c>
      <c r="M128" s="13"/>
      <c r="N128" s="13">
        <v>1</v>
      </c>
      <c r="O128" s="14" t="s">
        <v>76</v>
      </c>
      <c r="P128" s="14" t="s">
        <v>77</v>
      </c>
      <c r="Q128" s="14" t="s">
        <v>666</v>
      </c>
      <c r="R128" s="14">
        <v>4</v>
      </c>
      <c r="S128" s="14">
        <v>4</v>
      </c>
      <c r="T128" s="14">
        <v>2</v>
      </c>
      <c r="U128" s="14" t="s">
        <v>78</v>
      </c>
      <c r="V128" s="14">
        <f t="shared" si="40"/>
        <v>0.01</v>
      </c>
      <c r="W128" s="14">
        <f t="shared" si="41"/>
        <v>1664.9999999999998</v>
      </c>
      <c r="X128" s="17" t="s">
        <v>4496</v>
      </c>
      <c r="Y128" s="17"/>
      <c r="Z128" s="17"/>
      <c r="AA128" s="18">
        <v>96.091999999999999</v>
      </c>
      <c r="AB128" s="13" t="s">
        <v>4467</v>
      </c>
      <c r="AC128" s="13" t="s">
        <v>4485</v>
      </c>
      <c r="AD128" s="13"/>
      <c r="AE128" s="13" t="s">
        <v>4487</v>
      </c>
      <c r="AF128" s="13" t="s">
        <v>4488</v>
      </c>
      <c r="AG128" s="13"/>
      <c r="AH128" s="13"/>
      <c r="AI128" s="19"/>
      <c r="AJ128" s="14"/>
      <c r="AK128" s="13"/>
      <c r="AL128" s="13" t="s">
        <v>4489</v>
      </c>
      <c r="AM128" s="13"/>
      <c r="AN128" s="13" t="s">
        <v>87</v>
      </c>
      <c r="AO128" s="13"/>
      <c r="AP128" s="20">
        <v>96.04</v>
      </c>
      <c r="AQ128" s="20">
        <f t="shared" si="42"/>
        <v>5.1999999999992497E-2</v>
      </c>
      <c r="AR128" s="94">
        <f t="shared" si="45"/>
        <v>346.31999999994997</v>
      </c>
      <c r="AS128" s="21">
        <f t="shared" si="44"/>
        <v>86.579999999987493</v>
      </c>
      <c r="AT128" s="22" t="s">
        <v>77</v>
      </c>
      <c r="AU128" s="13" t="s">
        <v>4497</v>
      </c>
      <c r="AV128" s="13" t="s">
        <v>4498</v>
      </c>
      <c r="AW128" s="13" t="s">
        <v>4499</v>
      </c>
      <c r="AX128" s="13" t="s">
        <v>4500</v>
      </c>
      <c r="AY128" s="13" t="s">
        <v>4501</v>
      </c>
      <c r="AZ128" s="13" t="s">
        <v>4502</v>
      </c>
    </row>
    <row r="129" spans="1:52" ht="12.75">
      <c r="A129" s="12">
        <v>44810</v>
      </c>
      <c r="B129" s="13"/>
      <c r="C129" s="13" t="s">
        <v>128</v>
      </c>
      <c r="D129" s="110" t="s">
        <v>4482</v>
      </c>
      <c r="E129" s="13" t="s">
        <v>4503</v>
      </c>
      <c r="F129" s="14" t="s">
        <v>4504</v>
      </c>
      <c r="G129" s="13"/>
      <c r="H129" s="13"/>
      <c r="I129" s="13"/>
      <c r="J129" s="40"/>
      <c r="K129" s="40"/>
      <c r="L129" s="13"/>
      <c r="M129" s="13">
        <v>1</v>
      </c>
      <c r="N129" s="13"/>
      <c r="O129" s="14" t="s">
        <v>76</v>
      </c>
      <c r="P129" s="14" t="s">
        <v>119</v>
      </c>
      <c r="Q129" s="14" t="s">
        <v>238</v>
      </c>
      <c r="R129" s="14">
        <v>1</v>
      </c>
      <c r="S129" s="14">
        <v>1</v>
      </c>
      <c r="T129" s="14">
        <v>1</v>
      </c>
      <c r="U129" s="14" t="s">
        <v>78</v>
      </c>
      <c r="V129" s="14">
        <f t="shared" si="40"/>
        <v>0.01</v>
      </c>
      <c r="W129" s="14">
        <f t="shared" si="41"/>
        <v>1664.9999999999998</v>
      </c>
      <c r="X129" s="17"/>
      <c r="Y129" s="17"/>
      <c r="Z129" s="17" t="s">
        <v>4505</v>
      </c>
      <c r="AA129" s="18">
        <v>0.02</v>
      </c>
      <c r="AB129" s="13"/>
      <c r="AC129" s="13"/>
      <c r="AD129" s="13"/>
      <c r="AE129" s="13"/>
      <c r="AF129" s="13"/>
      <c r="AG129" s="13"/>
      <c r="AH129" s="13"/>
      <c r="AI129" s="19"/>
      <c r="AJ129" s="14"/>
      <c r="AK129" s="13"/>
      <c r="AL129" s="13"/>
      <c r="AM129" s="13"/>
      <c r="AN129" s="13"/>
      <c r="AO129" s="13"/>
      <c r="AP129" s="20"/>
      <c r="AQ129" s="13">
        <f t="shared" si="42"/>
        <v>0</v>
      </c>
      <c r="AR129" s="94">
        <f t="shared" si="45"/>
        <v>0</v>
      </c>
      <c r="AS129" s="21">
        <f t="shared" si="44"/>
        <v>0</v>
      </c>
      <c r="AT129" s="22"/>
      <c r="AU129" s="13"/>
      <c r="AV129" s="13"/>
      <c r="AW129" s="13"/>
      <c r="AX129" s="13"/>
      <c r="AY129" s="13"/>
      <c r="AZ129" s="13"/>
    </row>
    <row r="130" spans="1:52" ht="15">
      <c r="A130" s="12">
        <v>44810</v>
      </c>
      <c r="B130" s="13"/>
      <c r="C130" s="13" t="s">
        <v>128</v>
      </c>
      <c r="D130" s="110"/>
      <c r="E130" s="13"/>
      <c r="F130" s="14" t="s">
        <v>3319</v>
      </c>
      <c r="G130" s="13"/>
      <c r="H130" s="13"/>
      <c r="I130" s="13"/>
      <c r="J130" s="58"/>
      <c r="K130" s="58"/>
      <c r="L130" s="13">
        <v>1</v>
      </c>
      <c r="M130" s="13"/>
      <c r="N130" s="13"/>
      <c r="O130" s="14" t="s">
        <v>76</v>
      </c>
      <c r="P130" s="14" t="s">
        <v>119</v>
      </c>
      <c r="Q130" s="14" t="s">
        <v>666</v>
      </c>
      <c r="R130" s="14">
        <v>1</v>
      </c>
      <c r="S130" s="14">
        <v>1</v>
      </c>
      <c r="T130" s="14">
        <v>1</v>
      </c>
      <c r="U130" s="14" t="s">
        <v>78</v>
      </c>
      <c r="V130" s="14">
        <f t="shared" si="40"/>
        <v>0.01</v>
      </c>
      <c r="W130" s="14">
        <f t="shared" si="41"/>
        <v>1664.9999999999998</v>
      </c>
      <c r="X130" s="17"/>
      <c r="Y130" s="17"/>
      <c r="Z130" s="17"/>
      <c r="AA130" s="18">
        <v>96.09</v>
      </c>
      <c r="AB130" s="13"/>
      <c r="AC130" s="13"/>
      <c r="AD130" s="13"/>
      <c r="AE130" s="13"/>
      <c r="AF130" s="13"/>
      <c r="AG130" s="13"/>
      <c r="AH130" s="13"/>
      <c r="AI130" s="19"/>
      <c r="AJ130" s="14"/>
      <c r="AK130" s="13"/>
      <c r="AL130" s="13"/>
      <c r="AM130" s="13"/>
      <c r="AN130" s="13" t="s">
        <v>87</v>
      </c>
      <c r="AO130" s="13"/>
      <c r="AP130" s="20">
        <v>96.05</v>
      </c>
      <c r="AQ130" s="20">
        <f t="shared" si="42"/>
        <v>4.0000000000006253E-2</v>
      </c>
      <c r="AR130" s="94">
        <f t="shared" si="45"/>
        <v>66.600000000010397</v>
      </c>
      <c r="AS130" s="21">
        <f t="shared" si="44"/>
        <v>66.600000000010397</v>
      </c>
      <c r="AT130" s="22" t="s">
        <v>77</v>
      </c>
      <c r="AU130" s="13" t="s">
        <v>4506</v>
      </c>
      <c r="AV130" s="13"/>
      <c r="AW130" s="13"/>
      <c r="AX130" s="13"/>
      <c r="AY130" s="13"/>
      <c r="AZ130" s="13"/>
    </row>
    <row r="131" spans="1:52" ht="12.75">
      <c r="A131" s="12"/>
      <c r="B131" s="13"/>
      <c r="C131" s="13"/>
      <c r="D131" s="17"/>
      <c r="E131" s="13"/>
      <c r="F131" s="14" t="s">
        <v>75</v>
      </c>
      <c r="G131" s="13"/>
      <c r="H131" s="13"/>
      <c r="I131" s="13"/>
      <c r="J131" s="49"/>
      <c r="K131" s="49"/>
      <c r="L131" s="13">
        <v>1</v>
      </c>
      <c r="M131" s="13"/>
      <c r="N131" s="13"/>
      <c r="O131" s="14" t="s">
        <v>76</v>
      </c>
      <c r="P131" s="14" t="s">
        <v>119</v>
      </c>
      <c r="Q131" s="14"/>
      <c r="R131" s="14">
        <v>1</v>
      </c>
      <c r="S131" s="14">
        <v>1</v>
      </c>
      <c r="T131" s="14">
        <v>1</v>
      </c>
      <c r="U131" s="14" t="s">
        <v>78</v>
      </c>
      <c r="V131" s="14">
        <f t="shared" si="40"/>
        <v>0.01</v>
      </c>
      <c r="W131" s="14">
        <f t="shared" si="41"/>
        <v>1664.9999999999998</v>
      </c>
      <c r="X131" s="17"/>
      <c r="Y131" s="17"/>
      <c r="Z131" s="17"/>
      <c r="AA131" s="18">
        <v>-3.5000000000000003E-2</v>
      </c>
      <c r="AB131" s="13"/>
      <c r="AC131" s="13"/>
      <c r="AD131" s="13"/>
      <c r="AE131" s="13"/>
      <c r="AF131" s="13"/>
      <c r="AG131" s="13"/>
      <c r="AH131" s="13"/>
      <c r="AI131" s="19"/>
      <c r="AJ131" s="14"/>
      <c r="AK131" s="13"/>
      <c r="AL131" s="13"/>
      <c r="AM131" s="13"/>
      <c r="AN131" s="13"/>
      <c r="AO131" s="13"/>
      <c r="AP131" s="20"/>
      <c r="AQ131" s="13">
        <f t="shared" si="42"/>
        <v>0</v>
      </c>
      <c r="AR131" s="94">
        <f t="shared" si="45"/>
        <v>0</v>
      </c>
      <c r="AS131" s="21">
        <f t="shared" si="44"/>
        <v>0</v>
      </c>
      <c r="AT131" s="22"/>
      <c r="AU131" s="13"/>
      <c r="AV131" s="13"/>
      <c r="AW131" s="13"/>
      <c r="AX131" s="13"/>
      <c r="AY131" s="13"/>
      <c r="AZ131" s="13"/>
    </row>
    <row r="132" spans="1:52" ht="15">
      <c r="A132" s="12">
        <v>44811</v>
      </c>
      <c r="B132" s="13"/>
      <c r="C132" s="13" t="s">
        <v>133</v>
      </c>
      <c r="D132" s="110" t="s">
        <v>4507</v>
      </c>
      <c r="E132" s="13"/>
      <c r="F132" s="14"/>
      <c r="G132" s="13"/>
      <c r="H132" s="13"/>
      <c r="I132" s="13">
        <v>1</v>
      </c>
      <c r="J132" s="58"/>
      <c r="K132" s="58"/>
      <c r="L132" s="13"/>
      <c r="M132" s="13"/>
      <c r="N132" s="13"/>
      <c r="O132" s="14"/>
      <c r="P132" s="14"/>
      <c r="Q132" s="14"/>
      <c r="R132" s="14"/>
      <c r="S132" s="14"/>
      <c r="T132" s="14"/>
      <c r="U132" s="14"/>
      <c r="V132" s="14">
        <f t="shared" si="40"/>
        <v>0</v>
      </c>
      <c r="W132" s="14">
        <f t="shared" si="41"/>
        <v>0</v>
      </c>
      <c r="X132" s="17"/>
      <c r="Y132" s="17"/>
      <c r="Z132" s="17"/>
      <c r="AA132" s="18"/>
      <c r="AB132" s="13"/>
      <c r="AC132" s="13"/>
      <c r="AD132" s="13"/>
      <c r="AE132" s="13"/>
      <c r="AF132" s="13"/>
      <c r="AG132" s="13"/>
      <c r="AH132" s="13"/>
      <c r="AI132" s="19"/>
      <c r="AJ132" s="14"/>
      <c r="AK132" s="13"/>
      <c r="AL132" s="13"/>
      <c r="AM132" s="13"/>
      <c r="AN132" s="13"/>
      <c r="AO132" s="13"/>
      <c r="AP132" s="20"/>
      <c r="AQ132" s="13">
        <f t="shared" si="42"/>
        <v>0</v>
      </c>
      <c r="AR132" s="94">
        <f t="shared" si="45"/>
        <v>0</v>
      </c>
      <c r="AS132" s="21">
        <f t="shared" si="44"/>
        <v>0</v>
      </c>
      <c r="AT132" s="22"/>
      <c r="AU132" s="13"/>
      <c r="AV132" s="13"/>
      <c r="AW132" s="13"/>
      <c r="AX132" s="13"/>
      <c r="AY132" s="13"/>
      <c r="AZ132" s="13"/>
    </row>
    <row r="133" spans="1:52" ht="12.75">
      <c r="A133" s="12">
        <v>44811</v>
      </c>
      <c r="B133" s="13"/>
      <c r="C133" s="13" t="s">
        <v>133</v>
      </c>
      <c r="D133" s="110" t="s">
        <v>4508</v>
      </c>
      <c r="E133" s="13"/>
      <c r="F133" s="14"/>
      <c r="G133" s="13">
        <v>1</v>
      </c>
      <c r="H133" s="13"/>
      <c r="I133" s="13"/>
      <c r="J133" s="49"/>
      <c r="K133" s="49"/>
      <c r="L133" s="13"/>
      <c r="M133" s="13"/>
      <c r="N133" s="13"/>
      <c r="O133" s="14"/>
      <c r="P133" s="14"/>
      <c r="Q133" s="14"/>
      <c r="R133" s="14"/>
      <c r="S133" s="14"/>
      <c r="T133" s="14"/>
      <c r="U133" s="14"/>
      <c r="V133" s="14">
        <f t="shared" si="40"/>
        <v>0</v>
      </c>
      <c r="W133" s="14">
        <f t="shared" si="41"/>
        <v>0</v>
      </c>
      <c r="X133" s="17"/>
      <c r="Y133" s="17"/>
      <c r="Z133" s="17"/>
      <c r="AA133" s="18"/>
      <c r="AB133" s="13"/>
      <c r="AC133" s="13"/>
      <c r="AD133" s="13"/>
      <c r="AE133" s="13"/>
      <c r="AF133" s="13"/>
      <c r="AG133" s="13"/>
      <c r="AH133" s="13"/>
      <c r="AI133" s="19"/>
      <c r="AJ133" s="14"/>
      <c r="AK133" s="13"/>
      <c r="AL133" s="13"/>
      <c r="AM133" s="13"/>
      <c r="AN133" s="13"/>
      <c r="AO133" s="13"/>
      <c r="AP133" s="20"/>
      <c r="AQ133" s="13">
        <f t="shared" si="42"/>
        <v>0</v>
      </c>
      <c r="AR133" s="94">
        <f t="shared" si="45"/>
        <v>0</v>
      </c>
      <c r="AS133" s="21">
        <f t="shared" si="44"/>
        <v>0</v>
      </c>
      <c r="AT133" s="22"/>
      <c r="AU133" s="13"/>
      <c r="AV133" s="13"/>
      <c r="AW133" s="13"/>
      <c r="AX133" s="13"/>
      <c r="AY133" s="13"/>
      <c r="AZ133" s="13"/>
    </row>
    <row r="134" spans="1:52" ht="12.75">
      <c r="A134" s="12">
        <v>44811</v>
      </c>
      <c r="B134" s="13"/>
      <c r="C134" s="13" t="s">
        <v>133</v>
      </c>
      <c r="D134" s="17"/>
      <c r="E134" s="13"/>
      <c r="F134" s="14" t="s">
        <v>4504</v>
      </c>
      <c r="G134" s="13"/>
      <c r="H134" s="13"/>
      <c r="I134" s="13"/>
      <c r="J134" s="49"/>
      <c r="K134" s="49"/>
      <c r="L134" s="13"/>
      <c r="M134" s="13">
        <v>1</v>
      </c>
      <c r="N134" s="13"/>
      <c r="O134" s="14" t="s">
        <v>76</v>
      </c>
      <c r="P134" s="14" t="s">
        <v>119</v>
      </c>
      <c r="Q134" s="14"/>
      <c r="R134" s="14">
        <v>3</v>
      </c>
      <c r="S134" s="14">
        <v>3</v>
      </c>
      <c r="T134" s="14">
        <v>1</v>
      </c>
      <c r="U134" s="14" t="s">
        <v>22</v>
      </c>
      <c r="V134" s="14">
        <f t="shared" si="40"/>
        <v>0.01</v>
      </c>
      <c r="W134" s="14">
        <f t="shared" si="41"/>
        <v>1664.9999999999998</v>
      </c>
      <c r="X134" s="17"/>
      <c r="Y134" s="17"/>
      <c r="Z134" s="17" t="s">
        <v>4505</v>
      </c>
      <c r="AA134" s="18">
        <v>3.3E-3</v>
      </c>
      <c r="AB134" s="13" t="s">
        <v>4509</v>
      </c>
      <c r="AC134" s="13"/>
      <c r="AD134" s="13"/>
      <c r="AE134" s="13" t="s">
        <v>4510</v>
      </c>
      <c r="AF134" s="13" t="s">
        <v>37</v>
      </c>
      <c r="AG134" s="13"/>
      <c r="AH134" s="13"/>
      <c r="AI134" s="19"/>
      <c r="AJ134" s="14"/>
      <c r="AK134" s="13" t="s">
        <v>430</v>
      </c>
      <c r="AL134" s="13"/>
      <c r="AM134" s="13"/>
      <c r="AN134" s="13"/>
      <c r="AO134" s="13"/>
      <c r="AP134" s="20"/>
      <c r="AQ134" s="13">
        <f t="shared" si="42"/>
        <v>0</v>
      </c>
      <c r="AR134" s="94">
        <f t="shared" si="45"/>
        <v>0</v>
      </c>
      <c r="AS134" s="21">
        <f t="shared" si="44"/>
        <v>0</v>
      </c>
      <c r="AT134" s="22"/>
      <c r="AU134" s="13" t="s">
        <v>4511</v>
      </c>
      <c r="AV134" s="13" t="s">
        <v>4512</v>
      </c>
      <c r="AW134" s="13" t="s">
        <v>4513</v>
      </c>
      <c r="AX134" s="13" t="s">
        <v>4514</v>
      </c>
      <c r="AY134" s="13" t="s">
        <v>4515</v>
      </c>
      <c r="AZ134" s="13"/>
    </row>
    <row r="135" spans="1:52" ht="12.75">
      <c r="A135" s="12">
        <v>44812</v>
      </c>
      <c r="B135" s="13"/>
      <c r="C135" s="13" t="s">
        <v>74</v>
      </c>
      <c r="D135" s="17" t="s">
        <v>4516</v>
      </c>
      <c r="E135" s="13"/>
      <c r="F135" s="14"/>
      <c r="G135" s="13"/>
      <c r="H135" s="13"/>
      <c r="I135" s="13"/>
      <c r="J135" s="40"/>
      <c r="K135" s="40"/>
      <c r="L135" s="13"/>
      <c r="M135" s="13"/>
      <c r="N135" s="13"/>
      <c r="O135" s="14"/>
      <c r="P135" s="14"/>
      <c r="Q135" s="14"/>
      <c r="R135" s="14"/>
      <c r="S135" s="14"/>
      <c r="T135" s="14"/>
      <c r="U135" s="14"/>
      <c r="V135" s="14">
        <f t="shared" si="40"/>
        <v>0</v>
      </c>
      <c r="W135" s="14">
        <f t="shared" si="41"/>
        <v>0</v>
      </c>
      <c r="X135" s="17"/>
      <c r="Y135" s="17"/>
      <c r="Z135" s="17"/>
      <c r="AA135" s="18"/>
      <c r="AB135" s="13"/>
      <c r="AC135" s="13"/>
      <c r="AD135" s="13"/>
      <c r="AE135" s="13"/>
      <c r="AF135" s="13"/>
      <c r="AG135" s="13"/>
      <c r="AH135" s="13"/>
      <c r="AI135" s="19"/>
      <c r="AJ135" s="14"/>
      <c r="AK135" s="13"/>
      <c r="AL135" s="13"/>
      <c r="AM135" s="13"/>
      <c r="AN135" s="13"/>
      <c r="AO135" s="13"/>
      <c r="AP135" s="20"/>
      <c r="AQ135" s="13">
        <f t="shared" si="42"/>
        <v>0</v>
      </c>
      <c r="AR135" s="94">
        <f t="shared" si="45"/>
        <v>0</v>
      </c>
      <c r="AS135" s="21">
        <f t="shared" si="44"/>
        <v>0</v>
      </c>
      <c r="AT135" s="22"/>
      <c r="AU135" s="13"/>
      <c r="AV135" s="13"/>
      <c r="AW135" s="13"/>
      <c r="AX135" s="13"/>
      <c r="AY135" s="13"/>
      <c r="AZ135" s="13"/>
    </row>
    <row r="136" spans="1:52" ht="12.75">
      <c r="A136" s="12">
        <v>44812</v>
      </c>
      <c r="B136" s="13" t="s">
        <v>4517</v>
      </c>
      <c r="C136" s="13" t="s">
        <v>74</v>
      </c>
      <c r="D136" s="17" t="s">
        <v>4518</v>
      </c>
      <c r="E136" s="13" t="s">
        <v>4519</v>
      </c>
      <c r="F136" s="14" t="s">
        <v>4079</v>
      </c>
      <c r="G136" s="13"/>
      <c r="H136" s="13"/>
      <c r="I136" s="13"/>
      <c r="J136" s="40"/>
      <c r="K136" s="40"/>
      <c r="L136" s="13">
        <v>1</v>
      </c>
      <c r="M136" s="13"/>
      <c r="N136" s="13">
        <v>1</v>
      </c>
      <c r="O136" s="14" t="s">
        <v>76</v>
      </c>
      <c r="P136" s="14" t="s">
        <v>77</v>
      </c>
      <c r="Q136" s="14" t="s">
        <v>666</v>
      </c>
      <c r="R136" s="14">
        <v>3</v>
      </c>
      <c r="S136" s="14">
        <v>3</v>
      </c>
      <c r="T136" s="14">
        <v>2</v>
      </c>
      <c r="U136" s="14" t="s">
        <v>78</v>
      </c>
      <c r="V136" s="14">
        <f t="shared" si="40"/>
        <v>0.01</v>
      </c>
      <c r="W136" s="14">
        <f t="shared" si="41"/>
        <v>1664.9999999999998</v>
      </c>
      <c r="X136" s="17" t="s">
        <v>4467</v>
      </c>
      <c r="Y136" s="17"/>
      <c r="Z136" s="17"/>
      <c r="AA136" s="18">
        <v>96.38</v>
      </c>
      <c r="AB136" s="13" t="s">
        <v>4520</v>
      </c>
      <c r="AC136" s="13"/>
      <c r="AD136" s="13"/>
      <c r="AE136" s="13" t="s">
        <v>4521</v>
      </c>
      <c r="AF136" s="13" t="s">
        <v>4522</v>
      </c>
      <c r="AG136" s="13"/>
      <c r="AH136" s="13"/>
      <c r="AI136" s="19"/>
      <c r="AJ136" s="14"/>
      <c r="AK136" s="13"/>
      <c r="AL136" s="13"/>
      <c r="AM136" s="13" t="s">
        <v>4523</v>
      </c>
      <c r="AN136" s="13" t="s">
        <v>87</v>
      </c>
      <c r="AO136" s="13"/>
      <c r="AP136" s="20">
        <v>96.33</v>
      </c>
      <c r="AQ136" s="20">
        <f t="shared" si="42"/>
        <v>4.9999999999997158E-2</v>
      </c>
      <c r="AR136" s="94">
        <f t="shared" si="45"/>
        <v>249.74999999998576</v>
      </c>
      <c r="AS136" s="21">
        <f t="shared" si="44"/>
        <v>83.249999999995254</v>
      </c>
      <c r="AT136" s="22" t="s">
        <v>77</v>
      </c>
      <c r="AU136" s="13" t="s">
        <v>4524</v>
      </c>
      <c r="AV136" s="13" t="s">
        <v>4525</v>
      </c>
      <c r="AW136" s="13"/>
      <c r="AX136" s="13"/>
      <c r="AY136" s="13"/>
      <c r="AZ136" s="13"/>
    </row>
    <row r="137" spans="1:52" ht="12.75">
      <c r="A137" s="12">
        <v>44812</v>
      </c>
      <c r="B137" s="13"/>
      <c r="C137" s="13" t="s">
        <v>74</v>
      </c>
      <c r="D137" s="17"/>
      <c r="E137" s="13"/>
      <c r="F137" s="14" t="s">
        <v>4504</v>
      </c>
      <c r="G137" s="13"/>
      <c r="H137" s="13"/>
      <c r="I137" s="13"/>
      <c r="J137" s="40"/>
      <c r="K137" s="40"/>
      <c r="L137" s="13">
        <v>1</v>
      </c>
      <c r="M137" s="13">
        <v>2</v>
      </c>
      <c r="N137" s="13"/>
      <c r="O137" s="14" t="s">
        <v>76</v>
      </c>
      <c r="P137" s="14" t="s">
        <v>77</v>
      </c>
      <c r="Q137" s="14"/>
      <c r="R137" s="14">
        <v>9</v>
      </c>
      <c r="S137" s="14">
        <v>9</v>
      </c>
      <c r="T137" s="14">
        <v>1</v>
      </c>
      <c r="U137" s="14" t="s">
        <v>22</v>
      </c>
      <c r="V137" s="14">
        <f t="shared" si="40"/>
        <v>0.01</v>
      </c>
      <c r="W137" s="14">
        <f t="shared" si="41"/>
        <v>1664.9999999999998</v>
      </c>
      <c r="X137" s="17"/>
      <c r="Y137" s="17"/>
      <c r="Z137" s="17" t="s">
        <v>4526</v>
      </c>
      <c r="AA137" s="18">
        <v>0.1</v>
      </c>
      <c r="AB137" s="13" t="s">
        <v>4527</v>
      </c>
      <c r="AC137" s="13"/>
      <c r="AD137" s="13"/>
      <c r="AE137" s="13"/>
      <c r="AF137" s="13"/>
      <c r="AG137" s="13"/>
      <c r="AH137" s="13"/>
      <c r="AI137" s="19"/>
      <c r="AJ137" s="14"/>
      <c r="AK137" s="13" t="s">
        <v>430</v>
      </c>
      <c r="AL137" s="13"/>
      <c r="AM137" s="13"/>
      <c r="AN137" s="13"/>
      <c r="AO137" s="13"/>
      <c r="AP137" s="20"/>
      <c r="AQ137" s="13">
        <f t="shared" si="42"/>
        <v>0</v>
      </c>
      <c r="AR137" s="94">
        <f t="shared" si="45"/>
        <v>0</v>
      </c>
      <c r="AS137" s="21">
        <f t="shared" si="44"/>
        <v>0</v>
      </c>
      <c r="AT137" s="22"/>
      <c r="AU137" s="13" t="s">
        <v>4528</v>
      </c>
      <c r="AV137" s="13" t="s">
        <v>4529</v>
      </c>
      <c r="AW137" s="13" t="s">
        <v>4530</v>
      </c>
      <c r="AX137" s="13" t="s">
        <v>4531</v>
      </c>
      <c r="AY137" s="13" t="s">
        <v>4532</v>
      </c>
      <c r="AZ137" s="13" t="s">
        <v>4533</v>
      </c>
    </row>
    <row r="138" spans="1:52" ht="12.75">
      <c r="A138" s="12"/>
      <c r="B138" s="13"/>
      <c r="C138" s="13"/>
      <c r="D138" s="17"/>
      <c r="E138" s="13"/>
      <c r="F138" s="14" t="s">
        <v>4080</v>
      </c>
      <c r="G138" s="13"/>
      <c r="H138" s="13"/>
      <c r="I138" s="13"/>
      <c r="J138" s="40"/>
      <c r="K138" s="40"/>
      <c r="L138" s="13"/>
      <c r="M138" s="13"/>
      <c r="N138" s="13"/>
      <c r="O138" s="14"/>
      <c r="P138" s="14"/>
      <c r="Q138" s="14"/>
      <c r="R138" s="14"/>
      <c r="S138" s="14"/>
      <c r="T138" s="14"/>
      <c r="U138" s="14"/>
      <c r="V138" s="14">
        <f t="shared" si="40"/>
        <v>0</v>
      </c>
      <c r="W138" s="14">
        <f t="shared" si="41"/>
        <v>0</v>
      </c>
      <c r="X138" s="17"/>
      <c r="Y138" s="17"/>
      <c r="Z138" s="17"/>
      <c r="AA138" s="18">
        <v>96.224999999999994</v>
      </c>
      <c r="AB138" s="13"/>
      <c r="AC138" s="13"/>
      <c r="AD138" s="13"/>
      <c r="AE138" s="13"/>
      <c r="AF138" s="13"/>
      <c r="AG138" s="13"/>
      <c r="AH138" s="13"/>
      <c r="AI138" s="19"/>
      <c r="AJ138" s="14"/>
      <c r="AK138" s="13"/>
      <c r="AL138" s="13"/>
      <c r="AM138" s="13"/>
      <c r="AN138" s="13"/>
      <c r="AO138" s="13"/>
      <c r="AP138" s="20"/>
      <c r="AQ138" s="13">
        <f t="shared" si="42"/>
        <v>0</v>
      </c>
      <c r="AR138" s="94">
        <f t="shared" si="45"/>
        <v>0</v>
      </c>
      <c r="AS138" s="21">
        <f t="shared" si="44"/>
        <v>0</v>
      </c>
      <c r="AT138" s="22"/>
      <c r="AU138" s="61"/>
      <c r="AV138" s="61"/>
      <c r="AW138" s="13"/>
      <c r="AX138" s="13"/>
      <c r="AY138" s="13"/>
      <c r="AZ138" s="13"/>
    </row>
    <row r="139" spans="1:52" ht="12.75">
      <c r="A139" s="12"/>
      <c r="B139" s="13"/>
      <c r="C139" s="13"/>
      <c r="D139" s="17"/>
      <c r="E139" s="13"/>
      <c r="F139" s="14" t="s">
        <v>3319</v>
      </c>
      <c r="G139" s="13"/>
      <c r="H139" s="13"/>
      <c r="I139" s="13"/>
      <c r="J139" s="40"/>
      <c r="K139" s="40"/>
      <c r="L139" s="13"/>
      <c r="M139" s="13"/>
      <c r="N139" s="13"/>
      <c r="O139" s="14"/>
      <c r="P139" s="14"/>
      <c r="Q139" s="14"/>
      <c r="R139" s="14"/>
      <c r="S139" s="14"/>
      <c r="T139" s="14"/>
      <c r="U139" s="14"/>
      <c r="V139" s="14">
        <f t="shared" si="40"/>
        <v>0</v>
      </c>
      <c r="W139" s="14">
        <f t="shared" si="41"/>
        <v>0</v>
      </c>
      <c r="X139" s="17"/>
      <c r="Y139" s="17"/>
      <c r="Z139" s="17"/>
      <c r="AA139" s="18">
        <v>96.231999999999999</v>
      </c>
      <c r="AB139" s="13"/>
      <c r="AC139" s="13"/>
      <c r="AD139" s="13"/>
      <c r="AE139" s="13"/>
      <c r="AF139" s="13"/>
      <c r="AG139" s="13"/>
      <c r="AH139" s="13"/>
      <c r="AI139" s="19"/>
      <c r="AJ139" s="14"/>
      <c r="AK139" s="13"/>
      <c r="AL139" s="13"/>
      <c r="AM139" s="13"/>
      <c r="AN139" s="13"/>
      <c r="AO139" s="13"/>
      <c r="AP139" s="20"/>
      <c r="AQ139" s="13">
        <f t="shared" si="42"/>
        <v>0</v>
      </c>
      <c r="AR139" s="94">
        <f t="shared" si="45"/>
        <v>0</v>
      </c>
      <c r="AS139" s="21">
        <f t="shared" si="44"/>
        <v>0</v>
      </c>
      <c r="AT139" s="22"/>
      <c r="AU139" s="13"/>
      <c r="AV139" s="13"/>
      <c r="AW139" s="13"/>
      <c r="AX139" s="13"/>
      <c r="AY139" s="13"/>
      <c r="AZ139" s="13"/>
    </row>
    <row r="140" spans="1:52" ht="12.75">
      <c r="A140" s="12"/>
      <c r="B140" s="13"/>
      <c r="C140" s="13"/>
      <c r="D140" s="17"/>
      <c r="E140" s="13"/>
      <c r="F140" s="14" t="s">
        <v>4178</v>
      </c>
      <c r="G140" s="13"/>
      <c r="H140" s="13"/>
      <c r="I140" s="13"/>
      <c r="J140" s="40"/>
      <c r="K140" s="40"/>
      <c r="L140" s="13"/>
      <c r="M140" s="13"/>
      <c r="N140" s="13"/>
      <c r="O140" s="14"/>
      <c r="P140" s="14"/>
      <c r="Q140" s="14"/>
      <c r="R140" s="14"/>
      <c r="S140" s="14"/>
      <c r="T140" s="14"/>
      <c r="U140" s="14"/>
      <c r="V140" s="14">
        <f t="shared" si="40"/>
        <v>0</v>
      </c>
      <c r="W140" s="14">
        <f t="shared" si="41"/>
        <v>0</v>
      </c>
      <c r="X140" s="17"/>
      <c r="Y140" s="17"/>
      <c r="Z140" s="17"/>
      <c r="AA140" s="18">
        <v>96.242999999999995</v>
      </c>
      <c r="AB140" s="13"/>
      <c r="AC140" s="13"/>
      <c r="AD140" s="13"/>
      <c r="AE140" s="13"/>
      <c r="AF140" s="13"/>
      <c r="AG140" s="13"/>
      <c r="AH140" s="13"/>
      <c r="AI140" s="19"/>
      <c r="AJ140" s="14"/>
      <c r="AK140" s="13"/>
      <c r="AL140" s="13"/>
      <c r="AM140" s="13"/>
      <c r="AN140" s="13"/>
      <c r="AO140" s="13"/>
      <c r="AP140" s="20"/>
      <c r="AQ140" s="13">
        <f t="shared" si="42"/>
        <v>0</v>
      </c>
      <c r="AR140" s="94">
        <f t="shared" si="45"/>
        <v>0</v>
      </c>
      <c r="AS140" s="21">
        <f t="shared" si="44"/>
        <v>0</v>
      </c>
      <c r="AT140" s="22"/>
      <c r="AU140" s="13"/>
      <c r="AV140" s="13"/>
      <c r="AW140" s="13"/>
      <c r="AX140" s="13"/>
      <c r="AY140" s="13"/>
      <c r="AZ140" s="13"/>
    </row>
    <row r="141" spans="1:52" ht="15">
      <c r="A141" s="12">
        <v>44812</v>
      </c>
      <c r="B141" s="13" t="s">
        <v>2103</v>
      </c>
      <c r="C141" s="13" t="s">
        <v>74</v>
      </c>
      <c r="D141" s="17" t="s">
        <v>4534</v>
      </c>
      <c r="E141" s="13" t="s">
        <v>4535</v>
      </c>
      <c r="F141" s="14"/>
      <c r="G141" s="13"/>
      <c r="H141" s="13">
        <v>1</v>
      </c>
      <c r="I141" s="13"/>
      <c r="J141" s="74"/>
      <c r="K141" s="74"/>
      <c r="L141" s="13"/>
      <c r="M141" s="13"/>
      <c r="N141" s="13"/>
      <c r="O141" s="14"/>
      <c r="P141" s="14"/>
      <c r="Q141" s="14"/>
      <c r="R141" s="14"/>
      <c r="S141" s="14"/>
      <c r="T141" s="14"/>
      <c r="U141" s="14"/>
      <c r="V141" s="14">
        <f t="shared" si="40"/>
        <v>0</v>
      </c>
      <c r="W141" s="14">
        <f t="shared" si="41"/>
        <v>0</v>
      </c>
      <c r="X141" s="17"/>
      <c r="Y141" s="17"/>
      <c r="Z141" s="17"/>
      <c r="AA141" s="18"/>
      <c r="AB141" s="13"/>
      <c r="AC141" s="13"/>
      <c r="AD141" s="13"/>
      <c r="AE141" s="13"/>
      <c r="AF141" s="13"/>
      <c r="AG141" s="13"/>
      <c r="AH141" s="13"/>
      <c r="AI141" s="19"/>
      <c r="AJ141" s="14"/>
      <c r="AK141" s="13"/>
      <c r="AL141" s="13"/>
      <c r="AM141" s="13"/>
      <c r="AN141" s="13"/>
      <c r="AO141" s="13"/>
      <c r="AP141" s="20"/>
      <c r="AQ141" s="13">
        <f t="shared" si="42"/>
        <v>0</v>
      </c>
      <c r="AR141" s="94">
        <f t="shared" si="45"/>
        <v>0</v>
      </c>
      <c r="AS141" s="21">
        <f t="shared" si="44"/>
        <v>0</v>
      </c>
      <c r="AT141" s="22"/>
      <c r="AU141" s="13"/>
      <c r="AV141" s="13"/>
      <c r="AW141" s="13"/>
      <c r="AX141" s="13"/>
      <c r="AY141" s="13"/>
      <c r="AZ141" s="13"/>
    </row>
    <row r="142" spans="1:52" ht="12.75">
      <c r="A142" s="12"/>
      <c r="B142" s="13"/>
      <c r="C142" s="13"/>
      <c r="D142" s="17" t="s">
        <v>4536</v>
      </c>
      <c r="E142" s="13" t="s">
        <v>4537</v>
      </c>
      <c r="F142" s="14"/>
      <c r="G142" s="13"/>
      <c r="H142" s="13"/>
      <c r="I142" s="13">
        <v>1</v>
      </c>
      <c r="J142" s="40"/>
      <c r="K142" s="40"/>
      <c r="L142" s="13"/>
      <c r="M142" s="13"/>
      <c r="N142" s="13"/>
      <c r="O142" s="14"/>
      <c r="P142" s="14"/>
      <c r="Q142" s="14"/>
      <c r="R142" s="14"/>
      <c r="S142" s="14"/>
      <c r="T142" s="14"/>
      <c r="U142" s="14"/>
      <c r="V142" s="14">
        <f t="shared" si="40"/>
        <v>0</v>
      </c>
      <c r="W142" s="14">
        <f t="shared" si="41"/>
        <v>0</v>
      </c>
      <c r="X142" s="17"/>
      <c r="Y142" s="17"/>
      <c r="Z142" s="17"/>
      <c r="AA142" s="18"/>
      <c r="AB142" s="13"/>
      <c r="AC142" s="13"/>
      <c r="AD142" s="13"/>
      <c r="AE142" s="13"/>
      <c r="AF142" s="13"/>
      <c r="AG142" s="13"/>
      <c r="AH142" s="13"/>
      <c r="AI142" s="19"/>
      <c r="AJ142" s="14"/>
      <c r="AK142" s="13"/>
      <c r="AL142" s="13"/>
      <c r="AM142" s="13"/>
      <c r="AN142" s="13"/>
      <c r="AO142" s="13"/>
      <c r="AP142" s="20"/>
      <c r="AQ142" s="13">
        <f t="shared" si="42"/>
        <v>0</v>
      </c>
      <c r="AR142" s="94">
        <f t="shared" si="45"/>
        <v>0</v>
      </c>
      <c r="AS142" s="21">
        <f t="shared" si="44"/>
        <v>0</v>
      </c>
      <c r="AT142" s="22"/>
      <c r="AU142" s="13"/>
      <c r="AV142" s="13"/>
      <c r="AW142" s="13"/>
      <c r="AX142" s="13"/>
      <c r="AY142" s="13"/>
      <c r="AZ142" s="13"/>
    </row>
    <row r="143" spans="1:52" ht="12.75">
      <c r="A143" s="12">
        <v>44813</v>
      </c>
      <c r="B143" s="13" t="s">
        <v>4538</v>
      </c>
      <c r="C143" s="13" t="s">
        <v>93</v>
      </c>
      <c r="D143" s="17"/>
      <c r="E143" s="13"/>
      <c r="F143" s="14" t="s">
        <v>118</v>
      </c>
      <c r="G143" s="13"/>
      <c r="H143" s="13"/>
      <c r="I143" s="13"/>
      <c r="J143" s="40"/>
      <c r="K143" s="40"/>
      <c r="L143" s="13">
        <v>1</v>
      </c>
      <c r="M143" s="13"/>
      <c r="N143" s="13"/>
      <c r="O143" s="14" t="s">
        <v>76</v>
      </c>
      <c r="P143" s="14" t="s">
        <v>119</v>
      </c>
      <c r="Q143" s="14" t="s">
        <v>78</v>
      </c>
      <c r="R143" s="14">
        <v>1</v>
      </c>
      <c r="S143" s="14">
        <v>1</v>
      </c>
      <c r="T143" s="14">
        <v>1</v>
      </c>
      <c r="U143" s="14" t="s">
        <v>22</v>
      </c>
      <c r="V143" s="14">
        <f t="shared" si="40"/>
        <v>0.01</v>
      </c>
      <c r="W143" s="14">
        <f t="shared" si="41"/>
        <v>1664.9999999999998</v>
      </c>
      <c r="X143" s="17"/>
      <c r="Y143" s="17"/>
      <c r="Z143" s="17" t="s">
        <v>4539</v>
      </c>
      <c r="AA143" s="18">
        <v>-0.03</v>
      </c>
      <c r="AB143" s="13"/>
      <c r="AC143" s="13"/>
      <c r="AD143" s="13"/>
      <c r="AE143" s="13"/>
      <c r="AF143" s="13"/>
      <c r="AG143" s="13"/>
      <c r="AH143" s="13"/>
      <c r="AI143" s="19"/>
      <c r="AJ143" s="14"/>
      <c r="AK143" s="13"/>
      <c r="AL143" s="13"/>
      <c r="AM143" s="13" t="s">
        <v>4540</v>
      </c>
      <c r="AN143" s="13" t="s">
        <v>97</v>
      </c>
      <c r="AO143" s="13" t="s">
        <v>4541</v>
      </c>
      <c r="AP143" s="20">
        <v>-0.02</v>
      </c>
      <c r="AQ143" s="20">
        <f t="shared" si="42"/>
        <v>9.9999999999999985E-3</v>
      </c>
      <c r="AR143" s="94">
        <f t="shared" si="45"/>
        <v>16.649999999999995</v>
      </c>
      <c r="AS143" s="21">
        <f t="shared" si="44"/>
        <v>16.649999999999995</v>
      </c>
      <c r="AT143" s="22" t="s">
        <v>77</v>
      </c>
      <c r="AU143" s="13" t="s">
        <v>4542</v>
      </c>
      <c r="AV143" s="13"/>
      <c r="AW143" s="13"/>
      <c r="AX143" s="13"/>
      <c r="AY143" s="13"/>
      <c r="AZ143" s="13"/>
    </row>
    <row r="144" spans="1:52" ht="12.75">
      <c r="A144" s="12">
        <v>44813</v>
      </c>
      <c r="B144" s="13" t="s">
        <v>4543</v>
      </c>
      <c r="C144" s="13" t="s">
        <v>93</v>
      </c>
      <c r="D144" s="17"/>
      <c r="E144" s="13"/>
      <c r="F144" s="14" t="s">
        <v>118</v>
      </c>
      <c r="G144" s="13"/>
      <c r="H144" s="13"/>
      <c r="I144" s="13"/>
      <c r="J144" s="40"/>
      <c r="K144" s="40"/>
      <c r="L144" s="13">
        <v>1</v>
      </c>
      <c r="M144" s="13"/>
      <c r="N144" s="13"/>
      <c r="O144" s="14" t="s">
        <v>76</v>
      </c>
      <c r="P144" s="14" t="s">
        <v>119</v>
      </c>
      <c r="Q144" s="14" t="s">
        <v>78</v>
      </c>
      <c r="R144" s="14">
        <v>1</v>
      </c>
      <c r="S144" s="14">
        <v>1</v>
      </c>
      <c r="T144" s="14">
        <v>1</v>
      </c>
      <c r="U144" s="14" t="s">
        <v>22</v>
      </c>
      <c r="V144" s="14">
        <f t="shared" si="40"/>
        <v>0.01</v>
      </c>
      <c r="W144" s="14">
        <f t="shared" si="41"/>
        <v>1664.9999999999998</v>
      </c>
      <c r="X144" s="17"/>
      <c r="Y144" s="17"/>
      <c r="Z144" s="17" t="s">
        <v>80</v>
      </c>
      <c r="AA144" s="18">
        <v>-0.03</v>
      </c>
      <c r="AB144" s="13"/>
      <c r="AC144" s="13"/>
      <c r="AD144" s="13"/>
      <c r="AE144" s="13"/>
      <c r="AF144" s="13"/>
      <c r="AG144" s="13"/>
      <c r="AH144" s="13"/>
      <c r="AI144" s="19"/>
      <c r="AJ144" s="14"/>
      <c r="AK144" s="13"/>
      <c r="AL144" s="13"/>
      <c r="AM144" s="13" t="s">
        <v>4544</v>
      </c>
      <c r="AN144" s="13" t="s">
        <v>87</v>
      </c>
      <c r="AO144" s="26">
        <v>44813</v>
      </c>
      <c r="AP144" s="20">
        <v>-0.02</v>
      </c>
      <c r="AQ144" s="20">
        <f t="shared" si="42"/>
        <v>9.9999999999999985E-3</v>
      </c>
      <c r="AR144" s="94">
        <f t="shared" si="45"/>
        <v>16.649999999999995</v>
      </c>
      <c r="AS144" s="21">
        <f t="shared" si="44"/>
        <v>16.649999999999995</v>
      </c>
      <c r="AT144" s="22" t="s">
        <v>77</v>
      </c>
      <c r="AU144" s="13"/>
      <c r="AV144" s="13"/>
      <c r="AW144" s="13"/>
      <c r="AX144" s="13"/>
      <c r="AY144" s="13"/>
      <c r="AZ144" s="13"/>
    </row>
    <row r="145" spans="1:52" ht="15">
      <c r="A145" s="12">
        <v>44816</v>
      </c>
      <c r="B145" s="13" t="s">
        <v>4545</v>
      </c>
      <c r="C145" s="13" t="s">
        <v>114</v>
      </c>
      <c r="D145" s="17"/>
      <c r="E145" s="13"/>
      <c r="F145" s="14" t="s">
        <v>118</v>
      </c>
      <c r="G145" s="13"/>
      <c r="H145" s="13"/>
      <c r="I145" s="13"/>
      <c r="J145" s="74"/>
      <c r="K145" s="74"/>
      <c r="L145" s="13">
        <v>1</v>
      </c>
      <c r="M145" s="13"/>
      <c r="N145" s="13"/>
      <c r="O145" s="14" t="s">
        <v>76</v>
      </c>
      <c r="P145" s="14" t="s">
        <v>119</v>
      </c>
      <c r="Q145" s="14" t="s">
        <v>78</v>
      </c>
      <c r="R145" s="14">
        <v>1</v>
      </c>
      <c r="S145" s="14">
        <v>1</v>
      </c>
      <c r="T145" s="14">
        <v>1</v>
      </c>
      <c r="U145" s="14" t="s">
        <v>22</v>
      </c>
      <c r="V145" s="14">
        <f t="shared" si="40"/>
        <v>0.01</v>
      </c>
      <c r="W145" s="14">
        <f t="shared" si="41"/>
        <v>1664.9999999999998</v>
      </c>
      <c r="X145" s="17"/>
      <c r="Y145" s="17"/>
      <c r="Z145" s="17" t="s">
        <v>80</v>
      </c>
      <c r="AA145" s="18">
        <v>-0.03</v>
      </c>
      <c r="AB145" s="13"/>
      <c r="AC145" s="13"/>
      <c r="AD145" s="13"/>
      <c r="AE145" s="13"/>
      <c r="AF145" s="13"/>
      <c r="AG145" s="13"/>
      <c r="AH145" s="13"/>
      <c r="AI145" s="19"/>
      <c r="AJ145" s="14"/>
      <c r="AK145" s="13"/>
      <c r="AL145" s="13"/>
      <c r="AM145" s="13" t="s">
        <v>4545</v>
      </c>
      <c r="AN145" s="13" t="s">
        <v>376</v>
      </c>
      <c r="AO145" s="26">
        <v>44816</v>
      </c>
      <c r="AP145" s="20">
        <v>-0.02</v>
      </c>
      <c r="AQ145" s="20">
        <f t="shared" si="42"/>
        <v>9.9999999999999985E-3</v>
      </c>
      <c r="AR145" s="94">
        <f t="shared" si="45"/>
        <v>16.649999999999995</v>
      </c>
      <c r="AS145" s="21">
        <f t="shared" si="44"/>
        <v>16.649999999999995</v>
      </c>
      <c r="AT145" s="22" t="s">
        <v>77</v>
      </c>
      <c r="AU145" s="13"/>
      <c r="AV145" s="13"/>
      <c r="AW145" s="13"/>
      <c r="AX145" s="13"/>
      <c r="AY145" s="13"/>
      <c r="AZ145" s="13"/>
    </row>
    <row r="146" spans="1:52" ht="15">
      <c r="A146" s="12">
        <v>44816</v>
      </c>
      <c r="B146" s="13" t="s">
        <v>4546</v>
      </c>
      <c r="C146" s="13" t="s">
        <v>114</v>
      </c>
      <c r="D146" s="17"/>
      <c r="E146" s="13"/>
      <c r="F146" s="14" t="s">
        <v>118</v>
      </c>
      <c r="G146" s="13"/>
      <c r="H146" s="13"/>
      <c r="I146" s="13"/>
      <c r="J146" s="74"/>
      <c r="K146" s="74"/>
      <c r="L146" s="13">
        <v>1</v>
      </c>
      <c r="M146" s="13"/>
      <c r="N146" s="13"/>
      <c r="O146" s="14" t="s">
        <v>76</v>
      </c>
      <c r="P146" s="14" t="s">
        <v>119</v>
      </c>
      <c r="Q146" s="14" t="s">
        <v>78</v>
      </c>
      <c r="R146" s="14">
        <v>1</v>
      </c>
      <c r="S146" s="14">
        <v>1</v>
      </c>
      <c r="T146" s="14">
        <v>1</v>
      </c>
      <c r="U146" s="14" t="s">
        <v>22</v>
      </c>
      <c r="V146" s="14">
        <f t="shared" si="40"/>
        <v>0.01</v>
      </c>
      <c r="W146" s="14">
        <f t="shared" si="41"/>
        <v>1664.9999999999998</v>
      </c>
      <c r="X146" s="17"/>
      <c r="Y146" s="17"/>
      <c r="Z146" s="17" t="s">
        <v>80</v>
      </c>
      <c r="AA146" s="18">
        <v>-0.03</v>
      </c>
      <c r="AB146" s="13"/>
      <c r="AC146" s="13"/>
      <c r="AD146" s="13"/>
      <c r="AE146" s="13"/>
      <c r="AF146" s="13"/>
      <c r="AG146" s="13"/>
      <c r="AH146" s="13"/>
      <c r="AI146" s="19"/>
      <c r="AJ146" s="14"/>
      <c r="AK146" s="13"/>
      <c r="AL146" s="13"/>
      <c r="AM146" s="13" t="s">
        <v>4546</v>
      </c>
      <c r="AN146" s="13" t="s">
        <v>97</v>
      </c>
      <c r="AO146" s="26">
        <v>44816</v>
      </c>
      <c r="AP146" s="20">
        <v>-0.02</v>
      </c>
      <c r="AQ146" s="20">
        <f t="shared" si="42"/>
        <v>9.9999999999999985E-3</v>
      </c>
      <c r="AR146" s="94">
        <f t="shared" si="45"/>
        <v>16.649999999999995</v>
      </c>
      <c r="AS146" s="21">
        <f t="shared" si="44"/>
        <v>16.649999999999995</v>
      </c>
      <c r="AT146" s="22" t="s">
        <v>77</v>
      </c>
      <c r="AU146" s="13" t="s">
        <v>4547</v>
      </c>
      <c r="AV146" s="13" t="s">
        <v>4548</v>
      </c>
      <c r="AW146" s="13" t="s">
        <v>4549</v>
      </c>
      <c r="AX146" s="13"/>
      <c r="AY146" s="13"/>
      <c r="AZ146" s="13"/>
    </row>
    <row r="147" spans="1:52" ht="12.75">
      <c r="A147" s="12">
        <v>44817</v>
      </c>
      <c r="B147" s="13" t="s">
        <v>2234</v>
      </c>
      <c r="C147" s="13" t="s">
        <v>128</v>
      </c>
      <c r="D147" s="17"/>
      <c r="E147" s="13"/>
      <c r="F147" s="14" t="s">
        <v>118</v>
      </c>
      <c r="G147" s="13"/>
      <c r="H147" s="13"/>
      <c r="I147" s="13"/>
      <c r="J147" s="40"/>
      <c r="K147" s="40"/>
      <c r="L147" s="13">
        <v>1</v>
      </c>
      <c r="M147" s="13"/>
      <c r="N147" s="13"/>
      <c r="O147" s="14" t="s">
        <v>76</v>
      </c>
      <c r="P147" s="14" t="s">
        <v>119</v>
      </c>
      <c r="Q147" s="14"/>
      <c r="R147" s="14">
        <v>1</v>
      </c>
      <c r="S147" s="14">
        <v>1</v>
      </c>
      <c r="T147" s="14">
        <v>1</v>
      </c>
      <c r="U147" s="14" t="s">
        <v>22</v>
      </c>
      <c r="V147" s="14">
        <f t="shared" si="40"/>
        <v>0.01</v>
      </c>
      <c r="W147" s="14">
        <f t="shared" si="41"/>
        <v>1664.9999999999998</v>
      </c>
      <c r="X147" s="17"/>
      <c r="Y147" s="17"/>
      <c r="Z147" s="17" t="s">
        <v>80</v>
      </c>
      <c r="AA147" s="18">
        <v>-0.03</v>
      </c>
      <c r="AB147" s="13"/>
      <c r="AC147" s="13"/>
      <c r="AD147" s="13"/>
      <c r="AE147" s="13"/>
      <c r="AF147" s="13"/>
      <c r="AG147" s="13"/>
      <c r="AH147" s="13"/>
      <c r="AI147" s="19"/>
      <c r="AJ147" s="14"/>
      <c r="AK147" s="13"/>
      <c r="AL147" s="13"/>
      <c r="AM147" s="13" t="s">
        <v>2234</v>
      </c>
      <c r="AN147" s="13"/>
      <c r="AO147" s="26">
        <v>44816</v>
      </c>
      <c r="AP147" s="20"/>
      <c r="AQ147" s="13">
        <f t="shared" si="42"/>
        <v>0</v>
      </c>
      <c r="AR147" s="94">
        <f t="shared" si="45"/>
        <v>0</v>
      </c>
      <c r="AS147" s="21">
        <f t="shared" si="44"/>
        <v>0</v>
      </c>
      <c r="AT147" s="22"/>
      <c r="AU147" s="13" t="s">
        <v>4550</v>
      </c>
      <c r="AV147" s="13" t="s">
        <v>4551</v>
      </c>
      <c r="AW147" s="13"/>
      <c r="AX147" s="13" t="s">
        <v>4552</v>
      </c>
      <c r="AY147" s="13"/>
      <c r="AZ147" s="13"/>
    </row>
    <row r="148" spans="1:52" ht="12.75">
      <c r="A148" s="12">
        <v>44817</v>
      </c>
      <c r="B148" s="13"/>
      <c r="C148" s="13" t="s">
        <v>128</v>
      </c>
      <c r="D148" s="17"/>
      <c r="E148" s="13"/>
      <c r="F148" s="111">
        <v>44828</v>
      </c>
      <c r="G148" s="13"/>
      <c r="H148" s="13"/>
      <c r="I148" s="13"/>
      <c r="J148" s="77"/>
      <c r="K148" s="77"/>
      <c r="L148" s="13">
        <v>1</v>
      </c>
      <c r="M148" s="13"/>
      <c r="N148" s="13"/>
      <c r="O148" s="14" t="s">
        <v>76</v>
      </c>
      <c r="P148" s="14" t="s">
        <v>119</v>
      </c>
      <c r="Q148" s="14"/>
      <c r="R148" s="14">
        <v>1</v>
      </c>
      <c r="S148" s="14">
        <v>1</v>
      </c>
      <c r="T148" s="14">
        <v>1</v>
      </c>
      <c r="U148" s="14" t="s">
        <v>78</v>
      </c>
      <c r="V148" s="14">
        <f t="shared" si="40"/>
        <v>0.01</v>
      </c>
      <c r="W148" s="14">
        <f t="shared" si="41"/>
        <v>1664.9999999999998</v>
      </c>
      <c r="X148" s="17"/>
      <c r="Y148" s="17"/>
      <c r="Z148" s="17"/>
      <c r="AA148" s="18">
        <v>96.38</v>
      </c>
      <c r="AB148" s="13"/>
      <c r="AC148" s="13" t="s">
        <v>4553</v>
      </c>
      <c r="AD148" s="13"/>
      <c r="AE148" s="13"/>
      <c r="AF148" s="13"/>
      <c r="AG148" s="13"/>
      <c r="AH148" s="13"/>
      <c r="AI148" s="19"/>
      <c r="AJ148" s="14"/>
      <c r="AK148" s="13"/>
      <c r="AL148" s="13"/>
      <c r="AM148" s="13"/>
      <c r="AN148" s="13" t="s">
        <v>97</v>
      </c>
      <c r="AO148" s="13"/>
      <c r="AP148" s="20">
        <v>96.3</v>
      </c>
      <c r="AQ148" s="20">
        <f t="shared" si="42"/>
        <v>7.9999999999998295E-2</v>
      </c>
      <c r="AR148" s="94">
        <f t="shared" si="45"/>
        <v>133.19999999999715</v>
      </c>
      <c r="AS148" s="21">
        <f t="shared" si="44"/>
        <v>133.19999999999715</v>
      </c>
      <c r="AT148" s="22"/>
      <c r="AU148" s="13" t="s">
        <v>4554</v>
      </c>
      <c r="AV148" s="28" t="s">
        <v>4555</v>
      </c>
      <c r="AW148" s="13"/>
      <c r="AX148" s="13"/>
      <c r="AY148" s="13"/>
      <c r="AZ148" s="13"/>
    </row>
    <row r="149" spans="1:52" ht="12.75">
      <c r="A149" s="12">
        <v>44817</v>
      </c>
      <c r="B149" s="33">
        <v>0.75</v>
      </c>
      <c r="C149" s="13" t="s">
        <v>128</v>
      </c>
      <c r="D149" s="17" t="s">
        <v>4556</v>
      </c>
      <c r="E149" s="13" t="s">
        <v>4557</v>
      </c>
      <c r="F149" s="14" t="s">
        <v>4558</v>
      </c>
      <c r="G149" s="13">
        <v>1</v>
      </c>
      <c r="H149" s="13"/>
      <c r="I149" s="13"/>
      <c r="J149" s="77"/>
      <c r="K149" s="77"/>
      <c r="L149" s="13">
        <v>1</v>
      </c>
      <c r="M149" s="13"/>
      <c r="N149" s="13"/>
      <c r="O149" s="14" t="s">
        <v>76</v>
      </c>
      <c r="P149" s="14" t="s">
        <v>119</v>
      </c>
      <c r="Q149" s="14"/>
      <c r="R149" s="14">
        <v>16</v>
      </c>
      <c r="S149" s="14">
        <v>14</v>
      </c>
      <c r="T149" s="14">
        <v>1</v>
      </c>
      <c r="U149" s="14" t="s">
        <v>22</v>
      </c>
      <c r="V149" s="14">
        <f t="shared" si="40"/>
        <v>0.01</v>
      </c>
      <c r="W149" s="14">
        <f t="shared" si="41"/>
        <v>1664.9999999999998</v>
      </c>
      <c r="X149" s="17" t="s">
        <v>4559</v>
      </c>
      <c r="Y149" s="17"/>
      <c r="Z149" s="17"/>
      <c r="AA149" s="18">
        <v>96.242999999999995</v>
      </c>
      <c r="AB149" s="13" t="s">
        <v>4560</v>
      </c>
      <c r="AC149" s="29" t="s">
        <v>4553</v>
      </c>
      <c r="AD149" s="13" t="s">
        <v>4561</v>
      </c>
      <c r="AE149" s="13">
        <v>96.2</v>
      </c>
      <c r="AF149" s="29" t="s">
        <v>4562</v>
      </c>
      <c r="AG149" s="13"/>
      <c r="AH149" s="13" t="s">
        <v>84</v>
      </c>
      <c r="AI149" s="19"/>
      <c r="AJ149" s="14"/>
      <c r="AK149" s="13"/>
      <c r="AL149" s="13"/>
      <c r="AM149" s="13" t="s">
        <v>4563</v>
      </c>
      <c r="AN149" s="13" t="s">
        <v>97</v>
      </c>
      <c r="AO149" s="13"/>
      <c r="AP149" s="20">
        <v>96.094999999999999</v>
      </c>
      <c r="AQ149" s="20">
        <f t="shared" si="42"/>
        <v>-0.14799999999999613</v>
      </c>
      <c r="AR149" s="94">
        <f t="shared" si="45"/>
        <v>-3942.7199999998966</v>
      </c>
      <c r="AS149" s="21">
        <f t="shared" si="44"/>
        <v>-246.41999999999354</v>
      </c>
      <c r="AT149" s="22"/>
      <c r="AU149" s="13" t="s">
        <v>4554</v>
      </c>
      <c r="AV149" s="13" t="s">
        <v>4564</v>
      </c>
      <c r="AW149" s="13" t="s">
        <v>4565</v>
      </c>
      <c r="AX149" s="13" t="s">
        <v>4566</v>
      </c>
      <c r="AY149" s="13" t="s">
        <v>4567</v>
      </c>
      <c r="AZ149" s="13"/>
    </row>
    <row r="150" spans="1:52" ht="12.75">
      <c r="A150" s="12">
        <v>44817</v>
      </c>
      <c r="B150" s="33">
        <v>0.75</v>
      </c>
      <c r="C150" s="13" t="s">
        <v>128</v>
      </c>
      <c r="D150" s="17" t="s">
        <v>4568</v>
      </c>
      <c r="E150" s="13" t="s">
        <v>4569</v>
      </c>
      <c r="F150" s="14"/>
      <c r="G150" s="13">
        <v>1</v>
      </c>
      <c r="H150" s="13"/>
      <c r="I150" s="13"/>
      <c r="J150" s="77"/>
      <c r="K150" s="77"/>
      <c r="L150" s="13"/>
      <c r="M150" s="13"/>
      <c r="N150" s="13"/>
      <c r="O150" s="14"/>
      <c r="P150" s="14"/>
      <c r="Q150" s="14"/>
      <c r="R150" s="14"/>
      <c r="S150" s="14"/>
      <c r="T150" s="14"/>
      <c r="U150" s="14"/>
      <c r="V150" s="14">
        <f t="shared" si="40"/>
        <v>0</v>
      </c>
      <c r="W150" s="14">
        <f t="shared" si="41"/>
        <v>0</v>
      </c>
      <c r="X150" s="17"/>
      <c r="Y150" s="17"/>
      <c r="Z150" s="17"/>
      <c r="AA150" s="18"/>
      <c r="AB150" s="13"/>
      <c r="AC150" s="13"/>
      <c r="AD150" s="13"/>
      <c r="AE150" s="13"/>
      <c r="AF150" s="13"/>
      <c r="AG150" s="13"/>
      <c r="AH150" s="13"/>
      <c r="AI150" s="19"/>
      <c r="AJ150" s="14"/>
      <c r="AK150" s="13"/>
      <c r="AL150" s="13"/>
      <c r="AM150" s="13"/>
      <c r="AN150" s="13"/>
      <c r="AO150" s="13"/>
      <c r="AP150" s="20"/>
      <c r="AQ150" s="13">
        <f t="shared" si="42"/>
        <v>0</v>
      </c>
      <c r="AR150" s="94">
        <f t="shared" si="45"/>
        <v>0</v>
      </c>
      <c r="AS150" s="21">
        <f t="shared" si="44"/>
        <v>0</v>
      </c>
      <c r="AT150" s="22"/>
      <c r="AU150" s="13"/>
      <c r="AV150" s="13"/>
      <c r="AW150" s="13"/>
      <c r="AX150" s="13"/>
      <c r="AY150" s="13"/>
      <c r="AZ150" s="13"/>
    </row>
    <row r="151" spans="1:52" ht="12.75">
      <c r="A151" s="12">
        <v>44817</v>
      </c>
      <c r="B151" s="33">
        <v>0.75</v>
      </c>
      <c r="C151" s="13" t="s">
        <v>128</v>
      </c>
      <c r="D151" s="17" t="s">
        <v>4570</v>
      </c>
      <c r="E151" s="13"/>
      <c r="F151" s="14"/>
      <c r="G151" s="13">
        <v>1</v>
      </c>
      <c r="H151" s="13"/>
      <c r="I151" s="13"/>
      <c r="J151" s="14"/>
      <c r="K151" s="14"/>
      <c r="L151" s="13"/>
      <c r="M151" s="13"/>
      <c r="N151" s="13"/>
      <c r="O151" s="14"/>
      <c r="P151" s="14"/>
      <c r="Q151" s="14"/>
      <c r="R151" s="14"/>
      <c r="S151" s="14"/>
      <c r="T151" s="14"/>
      <c r="U151" s="14"/>
      <c r="V151" s="14">
        <f t="shared" si="40"/>
        <v>0</v>
      </c>
      <c r="W151" s="14">
        <f t="shared" si="41"/>
        <v>0</v>
      </c>
      <c r="X151" s="17"/>
      <c r="Y151" s="17"/>
      <c r="Z151" s="17"/>
      <c r="AA151" s="18"/>
      <c r="AB151" s="13"/>
      <c r="AC151" s="13"/>
      <c r="AD151" s="13"/>
      <c r="AE151" s="13"/>
      <c r="AF151" s="13"/>
      <c r="AG151" s="13"/>
      <c r="AH151" s="13"/>
      <c r="AI151" s="19"/>
      <c r="AJ151" s="14"/>
      <c r="AK151" s="13"/>
      <c r="AL151" s="13"/>
      <c r="AM151" s="13"/>
      <c r="AN151" s="13"/>
      <c r="AO151" s="13"/>
      <c r="AP151" s="20"/>
      <c r="AQ151" s="13">
        <f t="shared" si="42"/>
        <v>0</v>
      </c>
      <c r="AR151" s="94">
        <f t="shared" si="45"/>
        <v>0</v>
      </c>
      <c r="AS151" s="21">
        <f t="shared" si="44"/>
        <v>0</v>
      </c>
      <c r="AT151" s="22"/>
      <c r="AU151" s="13"/>
      <c r="AV151" s="13"/>
      <c r="AW151" s="13"/>
      <c r="AX151" s="13"/>
      <c r="AY151" s="13"/>
      <c r="AZ151" s="13"/>
    </row>
    <row r="152" spans="1:52" ht="12.75">
      <c r="A152" s="12">
        <v>44817</v>
      </c>
      <c r="B152" s="13"/>
      <c r="C152" s="13" t="s">
        <v>128</v>
      </c>
      <c r="D152" s="17"/>
      <c r="E152" s="13"/>
      <c r="F152" s="14" t="s">
        <v>4571</v>
      </c>
      <c r="G152" s="13"/>
      <c r="H152" s="13"/>
      <c r="I152" s="13"/>
      <c r="J152" s="14"/>
      <c r="K152" s="14"/>
      <c r="L152" s="13">
        <v>1</v>
      </c>
      <c r="M152" s="13"/>
      <c r="N152" s="13">
        <v>2</v>
      </c>
      <c r="O152" s="14" t="s">
        <v>76</v>
      </c>
      <c r="P152" s="14" t="s">
        <v>119</v>
      </c>
      <c r="Q152" s="14" t="s">
        <v>666</v>
      </c>
      <c r="R152" s="14">
        <v>16</v>
      </c>
      <c r="S152" s="14">
        <v>10</v>
      </c>
      <c r="T152" s="14">
        <v>4</v>
      </c>
      <c r="U152" s="14" t="s">
        <v>22</v>
      </c>
      <c r="V152" s="14">
        <f t="shared" si="40"/>
        <v>0.01</v>
      </c>
      <c r="W152" s="14">
        <f t="shared" si="41"/>
        <v>1664.9999999999998</v>
      </c>
      <c r="X152" s="17" t="s">
        <v>4572</v>
      </c>
      <c r="Y152" s="17" t="s">
        <v>4573</v>
      </c>
      <c r="Z152" s="17"/>
      <c r="AA152" s="18">
        <v>96.143000000000001</v>
      </c>
      <c r="AB152" s="13" t="s">
        <v>4574</v>
      </c>
      <c r="AC152" s="13" t="s">
        <v>4575</v>
      </c>
      <c r="AD152" s="13" t="s">
        <v>4576</v>
      </c>
      <c r="AE152" s="13">
        <v>96.19</v>
      </c>
      <c r="AF152" s="13" t="s">
        <v>4577</v>
      </c>
      <c r="AG152" s="13"/>
      <c r="AH152" s="13"/>
      <c r="AI152" s="19"/>
      <c r="AJ152" s="14"/>
      <c r="AK152" s="13"/>
      <c r="AL152" s="13"/>
      <c r="AM152" s="13" t="s">
        <v>4426</v>
      </c>
      <c r="AN152" s="13" t="s">
        <v>97</v>
      </c>
      <c r="AO152" s="13"/>
      <c r="AP152" s="20">
        <v>96</v>
      </c>
      <c r="AQ152" s="20">
        <f t="shared" si="42"/>
        <v>-0.14300000000000068</v>
      </c>
      <c r="AR152" s="112">
        <f t="shared" si="45"/>
        <v>-3809.5200000000177</v>
      </c>
      <c r="AS152" s="21">
        <f t="shared" si="44"/>
        <v>-238.09500000000111</v>
      </c>
      <c r="AT152" s="22" t="s">
        <v>211</v>
      </c>
      <c r="AU152" s="13" t="s">
        <v>4578</v>
      </c>
      <c r="AV152" s="13" t="s">
        <v>4579</v>
      </c>
      <c r="AW152" s="17" t="s">
        <v>4580</v>
      </c>
      <c r="AX152" s="13" t="s">
        <v>4581</v>
      </c>
      <c r="AY152" s="17" t="s">
        <v>4582</v>
      </c>
      <c r="AZ152" s="13" t="s">
        <v>4583</v>
      </c>
    </row>
    <row r="153" spans="1:52" ht="12.75">
      <c r="A153" s="12"/>
      <c r="B153" s="13"/>
      <c r="C153" s="13"/>
      <c r="D153" s="17"/>
      <c r="E153" s="13"/>
      <c r="F153" s="14"/>
      <c r="G153" s="13"/>
      <c r="H153" s="13"/>
      <c r="I153" s="13"/>
      <c r="J153" s="14"/>
      <c r="K153" s="14"/>
      <c r="L153" s="13"/>
      <c r="M153" s="13"/>
      <c r="N153" s="13"/>
      <c r="O153" s="14"/>
      <c r="P153" s="14"/>
      <c r="Q153" s="14"/>
      <c r="R153" s="14"/>
      <c r="S153" s="14"/>
      <c r="T153" s="14"/>
      <c r="U153" s="14"/>
      <c r="V153" s="14"/>
      <c r="W153" s="14"/>
      <c r="X153" s="17"/>
      <c r="Y153" s="17"/>
      <c r="Z153" s="17"/>
      <c r="AA153" s="18"/>
      <c r="AB153" s="13"/>
      <c r="AC153" s="13"/>
      <c r="AD153" s="13"/>
      <c r="AE153" s="13"/>
      <c r="AF153" s="13"/>
      <c r="AG153" s="13"/>
      <c r="AH153" s="13"/>
      <c r="AI153" s="19"/>
      <c r="AJ153" s="14"/>
      <c r="AK153" s="13"/>
      <c r="AL153" s="13"/>
      <c r="AM153" s="13"/>
      <c r="AN153" s="13"/>
      <c r="AO153" s="13"/>
      <c r="AP153" s="20"/>
      <c r="AQ153" s="13"/>
      <c r="AR153" s="94"/>
      <c r="AS153" s="21"/>
      <c r="AT153" s="22"/>
      <c r="AU153" s="13" t="s">
        <v>4584</v>
      </c>
      <c r="AV153" s="13" t="s">
        <v>4585</v>
      </c>
      <c r="AW153" s="17" t="s">
        <v>4586</v>
      </c>
      <c r="AX153" s="17" t="s">
        <v>4587</v>
      </c>
      <c r="AY153" s="17"/>
      <c r="AZ153" s="13"/>
    </row>
    <row r="154" spans="1:52" ht="12.75">
      <c r="A154" s="12"/>
      <c r="B154" s="13"/>
      <c r="C154" s="13"/>
      <c r="D154" s="17"/>
      <c r="E154" s="13"/>
      <c r="F154" s="14"/>
      <c r="G154" s="13"/>
      <c r="H154" s="13"/>
      <c r="I154" s="13"/>
      <c r="J154" s="14"/>
      <c r="K154" s="14"/>
      <c r="L154" s="13"/>
      <c r="M154" s="13"/>
      <c r="N154" s="13"/>
      <c r="O154" s="14"/>
      <c r="P154" s="14"/>
      <c r="Q154" s="14"/>
      <c r="R154" s="14"/>
      <c r="S154" s="14"/>
      <c r="T154" s="14"/>
      <c r="U154" s="14"/>
      <c r="V154" s="14"/>
      <c r="W154" s="14"/>
      <c r="X154" s="17"/>
      <c r="Y154" s="17"/>
      <c r="Z154" s="17"/>
      <c r="AA154" s="18"/>
      <c r="AB154" s="13"/>
      <c r="AC154" s="13"/>
      <c r="AD154" s="13"/>
      <c r="AE154" s="13"/>
      <c r="AF154" s="13"/>
      <c r="AG154" s="13"/>
      <c r="AH154" s="13"/>
      <c r="AI154" s="19"/>
      <c r="AJ154" s="14"/>
      <c r="AK154" s="13"/>
      <c r="AL154" s="13"/>
      <c r="AM154" s="13"/>
      <c r="AN154" s="13"/>
      <c r="AO154" s="13"/>
      <c r="AP154" s="20"/>
      <c r="AQ154" s="13"/>
      <c r="AR154" s="94"/>
      <c r="AS154" s="21"/>
      <c r="AT154" s="22"/>
      <c r="AU154" s="13" t="s">
        <v>4588</v>
      </c>
      <c r="AV154" s="13" t="s">
        <v>4589</v>
      </c>
      <c r="AW154" s="17" t="s">
        <v>4590</v>
      </c>
      <c r="AX154" s="13" t="s">
        <v>4591</v>
      </c>
      <c r="AY154" s="17" t="s">
        <v>4592</v>
      </c>
      <c r="AZ154" s="17" t="s">
        <v>4593</v>
      </c>
    </row>
    <row r="155" spans="1:52" ht="12.75">
      <c r="A155" s="12">
        <v>44818</v>
      </c>
      <c r="B155" s="13" t="s">
        <v>358</v>
      </c>
      <c r="C155" s="13" t="s">
        <v>133</v>
      </c>
      <c r="D155" s="17"/>
      <c r="E155" s="13"/>
      <c r="F155" s="14" t="s">
        <v>118</v>
      </c>
      <c r="G155" s="13"/>
      <c r="H155" s="13"/>
      <c r="I155" s="13"/>
      <c r="J155" s="14"/>
      <c r="K155" s="14"/>
      <c r="L155" s="13">
        <v>1</v>
      </c>
      <c r="M155" s="13"/>
      <c r="N155" s="13"/>
      <c r="O155" s="14" t="s">
        <v>76</v>
      </c>
      <c r="P155" s="14" t="s">
        <v>119</v>
      </c>
      <c r="Q155" s="14"/>
      <c r="R155" s="14">
        <v>1</v>
      </c>
      <c r="S155" s="14">
        <v>1</v>
      </c>
      <c r="T155" s="14">
        <v>1</v>
      </c>
      <c r="U155" s="14" t="s">
        <v>22</v>
      </c>
      <c r="V155" s="14">
        <f t="shared" ref="V155:V181" si="46">IF(ISBLANK(O155),,(IF(O155=UPPER("IB"),0.005,0.01)))</f>
        <v>0.01</v>
      </c>
      <c r="W155" s="14">
        <f t="shared" ref="W155:W181" si="47">IF(ISBLANK(O155),,IF(O155=UPPER("IB"),8.63*200,16.65*100))</f>
        <v>1664.9999999999998</v>
      </c>
      <c r="X155" s="17"/>
      <c r="Y155" s="17"/>
      <c r="Z155" s="17"/>
      <c r="AA155" s="18">
        <v>-0.04</v>
      </c>
      <c r="AB155" s="13"/>
      <c r="AC155" s="13"/>
      <c r="AD155" s="13"/>
      <c r="AE155" s="13"/>
      <c r="AF155" s="13"/>
      <c r="AG155" s="13"/>
      <c r="AH155" s="13"/>
      <c r="AI155" s="19"/>
      <c r="AJ155" s="14"/>
      <c r="AK155" s="13"/>
      <c r="AL155" s="13"/>
      <c r="AM155" s="13"/>
      <c r="AN155" s="13"/>
      <c r="AO155" s="13"/>
      <c r="AP155" s="20">
        <v>-0.04</v>
      </c>
      <c r="AQ155" s="20">
        <f t="shared" ref="AQ155:AQ171" si="48">IF(ISBLANK(AP155),,IF(U155="S",AA155-AP155,AP155-AA155))</f>
        <v>0</v>
      </c>
      <c r="AR155" s="94">
        <f t="shared" ref="AR155:AR171" si="49">AS155*R155</f>
        <v>0</v>
      </c>
      <c r="AS155" s="21">
        <f t="shared" ref="AS155:AS171" si="50">IF(ISBLANK(AP155),,(AQ155*W155))</f>
        <v>0</v>
      </c>
      <c r="AT155" s="22" t="s">
        <v>97</v>
      </c>
      <c r="AU155" s="13" t="s">
        <v>4594</v>
      </c>
      <c r="AV155" s="13"/>
      <c r="AW155" s="13"/>
      <c r="AX155" s="13"/>
      <c r="AY155" s="13"/>
      <c r="AZ155" s="13"/>
    </row>
    <row r="156" spans="1:52" ht="12.75">
      <c r="A156" s="12">
        <v>44818</v>
      </c>
      <c r="B156" s="13" t="s">
        <v>4595</v>
      </c>
      <c r="C156" s="13" t="s">
        <v>133</v>
      </c>
      <c r="D156" s="17"/>
      <c r="E156" s="13"/>
      <c r="F156" s="14" t="s">
        <v>118</v>
      </c>
      <c r="G156" s="13"/>
      <c r="H156" s="13"/>
      <c r="I156" s="13"/>
      <c r="J156" s="14"/>
      <c r="K156" s="14"/>
      <c r="L156" s="13">
        <v>1</v>
      </c>
      <c r="M156" s="13"/>
      <c r="N156" s="13"/>
      <c r="O156" s="14" t="s">
        <v>76</v>
      </c>
      <c r="P156" s="14" t="s">
        <v>119</v>
      </c>
      <c r="Q156" s="14"/>
      <c r="R156" s="14">
        <v>1</v>
      </c>
      <c r="S156" s="14">
        <v>1</v>
      </c>
      <c r="T156" s="14">
        <v>1</v>
      </c>
      <c r="U156" s="14" t="s">
        <v>22</v>
      </c>
      <c r="V156" s="14">
        <f t="shared" si="46"/>
        <v>0.01</v>
      </c>
      <c r="W156" s="14">
        <f t="shared" si="47"/>
        <v>1664.9999999999998</v>
      </c>
      <c r="X156" s="17"/>
      <c r="Y156" s="17"/>
      <c r="Z156" s="17"/>
      <c r="AA156" s="18"/>
      <c r="AB156" s="13"/>
      <c r="AC156" s="13"/>
      <c r="AD156" s="13"/>
      <c r="AE156" s="13"/>
      <c r="AF156" s="13"/>
      <c r="AG156" s="13"/>
      <c r="AH156" s="13"/>
      <c r="AI156" s="19"/>
      <c r="AJ156" s="14"/>
      <c r="AK156" s="13"/>
      <c r="AL156" s="13"/>
      <c r="AM156" s="13"/>
      <c r="AN156" s="13"/>
      <c r="AO156" s="13"/>
      <c r="AP156" s="20"/>
      <c r="AQ156" s="13">
        <f t="shared" si="48"/>
        <v>0</v>
      </c>
      <c r="AR156" s="94">
        <f t="shared" si="49"/>
        <v>0</v>
      </c>
      <c r="AS156" s="21">
        <f t="shared" si="50"/>
        <v>0</v>
      </c>
      <c r="AT156" s="22"/>
      <c r="AU156" s="13"/>
      <c r="AV156" s="13"/>
      <c r="AW156" s="13"/>
      <c r="AX156" s="13"/>
      <c r="AY156" s="13"/>
      <c r="AZ156" s="13"/>
    </row>
    <row r="157" spans="1:52" ht="12.75">
      <c r="A157" s="12">
        <v>44818</v>
      </c>
      <c r="B157" s="13"/>
      <c r="C157" s="13" t="s">
        <v>133</v>
      </c>
      <c r="D157" s="17"/>
      <c r="E157" s="13"/>
      <c r="F157" s="14" t="s">
        <v>4596</v>
      </c>
      <c r="G157" s="13"/>
      <c r="H157" s="13"/>
      <c r="I157" s="13"/>
      <c r="J157" s="14"/>
      <c r="K157" s="14"/>
      <c r="L157" s="13"/>
      <c r="M157" s="13"/>
      <c r="N157" s="13"/>
      <c r="O157" s="14" t="s">
        <v>76</v>
      </c>
      <c r="P157" s="14" t="s">
        <v>119</v>
      </c>
      <c r="Q157" s="14" t="s">
        <v>78</v>
      </c>
      <c r="R157" s="14">
        <v>1</v>
      </c>
      <c r="S157" s="14">
        <v>1</v>
      </c>
      <c r="T157" s="14">
        <v>1</v>
      </c>
      <c r="U157" s="14" t="s">
        <v>78</v>
      </c>
      <c r="V157" s="14">
        <f t="shared" si="46"/>
        <v>0.01</v>
      </c>
      <c r="W157" s="14">
        <f t="shared" si="47"/>
        <v>1664.9999999999998</v>
      </c>
      <c r="X157" s="17"/>
      <c r="Y157" s="17"/>
      <c r="Z157" s="17"/>
      <c r="AA157" s="18">
        <v>96.22</v>
      </c>
      <c r="AB157" s="13"/>
      <c r="AC157" s="13"/>
      <c r="AD157" s="13"/>
      <c r="AE157" s="13"/>
      <c r="AF157" s="13"/>
      <c r="AG157" s="13"/>
      <c r="AH157" s="13"/>
      <c r="AI157" s="19"/>
      <c r="AJ157" s="14"/>
      <c r="AK157" s="13"/>
      <c r="AL157" s="13"/>
      <c r="AM157" s="13"/>
      <c r="AN157" s="13"/>
      <c r="AO157" s="13"/>
      <c r="AP157" s="20">
        <v>96.24</v>
      </c>
      <c r="AQ157" s="20">
        <f t="shared" si="48"/>
        <v>-1.9999999999996021E-2</v>
      </c>
      <c r="AR157" s="94">
        <f t="shared" si="49"/>
        <v>-33.299999999993368</v>
      </c>
      <c r="AS157" s="21">
        <f t="shared" si="50"/>
        <v>-33.299999999993368</v>
      </c>
      <c r="AT157" s="22" t="s">
        <v>211</v>
      </c>
      <c r="AU157" s="13" t="s">
        <v>4463</v>
      </c>
      <c r="AV157" s="13"/>
      <c r="AW157" s="13"/>
      <c r="AX157" s="13"/>
      <c r="AY157" s="13"/>
      <c r="AZ157" s="13"/>
    </row>
    <row r="158" spans="1:52" ht="12.75">
      <c r="A158" s="12">
        <v>44818</v>
      </c>
      <c r="B158" s="13"/>
      <c r="C158" s="13" t="s">
        <v>133</v>
      </c>
      <c r="D158" s="17" t="s">
        <v>4597</v>
      </c>
      <c r="E158" s="13" t="s">
        <v>4598</v>
      </c>
      <c r="F158" s="14"/>
      <c r="G158" s="13">
        <v>1</v>
      </c>
      <c r="H158" s="13"/>
      <c r="I158" s="13"/>
      <c r="J158" s="14"/>
      <c r="K158" s="14"/>
      <c r="L158" s="13"/>
      <c r="M158" s="13"/>
      <c r="N158" s="13"/>
      <c r="O158" s="14"/>
      <c r="P158" s="14"/>
      <c r="Q158" s="14"/>
      <c r="R158" s="14"/>
      <c r="S158" s="14"/>
      <c r="T158" s="14"/>
      <c r="U158" s="14"/>
      <c r="V158" s="14">
        <f t="shared" si="46"/>
        <v>0</v>
      </c>
      <c r="W158" s="14">
        <f t="shared" si="47"/>
        <v>0</v>
      </c>
      <c r="X158" s="17"/>
      <c r="Y158" s="17"/>
      <c r="Z158" s="17"/>
      <c r="AA158" s="18"/>
      <c r="AB158" s="13"/>
      <c r="AC158" s="13"/>
      <c r="AD158" s="13"/>
      <c r="AE158" s="13"/>
      <c r="AF158" s="13"/>
      <c r="AG158" s="13"/>
      <c r="AH158" s="13"/>
      <c r="AI158" s="19"/>
      <c r="AJ158" s="14"/>
      <c r="AK158" s="13"/>
      <c r="AL158" s="13"/>
      <c r="AM158" s="13"/>
      <c r="AN158" s="13"/>
      <c r="AO158" s="13"/>
      <c r="AP158" s="20"/>
      <c r="AQ158" s="13">
        <f t="shared" si="48"/>
        <v>0</v>
      </c>
      <c r="AR158" s="94">
        <f t="shared" si="49"/>
        <v>0</v>
      </c>
      <c r="AS158" s="21">
        <f t="shared" si="50"/>
        <v>0</v>
      </c>
      <c r="AT158" s="22"/>
      <c r="AU158" s="13"/>
      <c r="AV158" s="13"/>
      <c r="AW158" s="13"/>
      <c r="AX158" s="13"/>
      <c r="AY158" s="13"/>
      <c r="AZ158" s="13"/>
    </row>
    <row r="159" spans="1:52" ht="12.75">
      <c r="A159" s="12">
        <v>44818</v>
      </c>
      <c r="B159" s="13" t="s">
        <v>4599</v>
      </c>
      <c r="C159" s="13" t="s">
        <v>133</v>
      </c>
      <c r="D159" s="17" t="s">
        <v>4600</v>
      </c>
      <c r="E159" s="13" t="s">
        <v>4601</v>
      </c>
      <c r="F159" s="14"/>
      <c r="G159" s="13"/>
      <c r="H159" s="13">
        <v>1</v>
      </c>
      <c r="I159" s="13"/>
      <c r="J159" s="14"/>
      <c r="K159" s="14"/>
      <c r="L159" s="13"/>
      <c r="M159" s="13"/>
      <c r="N159" s="13"/>
      <c r="O159" s="14"/>
      <c r="P159" s="14"/>
      <c r="Q159" s="14"/>
      <c r="R159" s="14"/>
      <c r="S159" s="14"/>
      <c r="T159" s="14"/>
      <c r="U159" s="14"/>
      <c r="V159" s="14">
        <f t="shared" si="46"/>
        <v>0</v>
      </c>
      <c r="W159" s="14">
        <f t="shared" si="47"/>
        <v>0</v>
      </c>
      <c r="X159" s="17"/>
      <c r="Y159" s="17"/>
      <c r="Z159" s="17"/>
      <c r="AA159" s="18"/>
      <c r="AB159" s="13"/>
      <c r="AC159" s="13"/>
      <c r="AD159" s="13"/>
      <c r="AE159" s="13"/>
      <c r="AF159" s="13"/>
      <c r="AG159" s="13"/>
      <c r="AH159" s="13"/>
      <c r="AI159" s="19"/>
      <c r="AJ159" s="14"/>
      <c r="AK159" s="13"/>
      <c r="AL159" s="13"/>
      <c r="AM159" s="13"/>
      <c r="AN159" s="13"/>
      <c r="AO159" s="13"/>
      <c r="AP159" s="20"/>
      <c r="AQ159" s="13">
        <f t="shared" si="48"/>
        <v>0</v>
      </c>
      <c r="AR159" s="94">
        <f t="shared" si="49"/>
        <v>0</v>
      </c>
      <c r="AS159" s="21">
        <f t="shared" si="50"/>
        <v>0</v>
      </c>
      <c r="AT159" s="22"/>
      <c r="AU159" s="17" t="s">
        <v>4602</v>
      </c>
      <c r="AV159" s="13" t="s">
        <v>4603</v>
      </c>
      <c r="AW159" s="13" t="s">
        <v>4604</v>
      </c>
      <c r="AX159" s="13"/>
      <c r="AY159" s="13"/>
      <c r="AZ159" s="13"/>
    </row>
    <row r="160" spans="1:52" ht="12.75">
      <c r="A160" s="12">
        <v>44819</v>
      </c>
      <c r="B160" s="13"/>
      <c r="C160" s="13" t="s">
        <v>74</v>
      </c>
      <c r="D160" s="17" t="s">
        <v>4605</v>
      </c>
      <c r="E160" s="113" t="s">
        <v>4606</v>
      </c>
      <c r="G160" s="13"/>
      <c r="H160" s="13"/>
      <c r="I160" s="13">
        <v>1</v>
      </c>
      <c r="J160" s="14"/>
      <c r="K160" s="14"/>
      <c r="L160" s="13"/>
      <c r="M160" s="13"/>
      <c r="N160" s="13"/>
      <c r="O160" s="14"/>
      <c r="P160" s="14"/>
      <c r="Q160" s="14"/>
      <c r="R160" s="14"/>
      <c r="S160" s="14"/>
      <c r="T160" s="14"/>
      <c r="U160" s="14"/>
      <c r="V160" s="14">
        <f t="shared" si="46"/>
        <v>0</v>
      </c>
      <c r="W160" s="14">
        <f t="shared" si="47"/>
        <v>0</v>
      </c>
      <c r="X160" s="17"/>
      <c r="Y160" s="17"/>
      <c r="Z160" s="17"/>
      <c r="AA160" s="18"/>
      <c r="AB160" s="13"/>
      <c r="AC160" s="13"/>
      <c r="AD160" s="13"/>
      <c r="AE160" s="13"/>
      <c r="AF160" s="13"/>
      <c r="AG160" s="13"/>
      <c r="AH160" s="13"/>
      <c r="AI160" s="19"/>
      <c r="AJ160" s="14"/>
      <c r="AK160" s="13"/>
      <c r="AL160" s="13"/>
      <c r="AM160" s="13"/>
      <c r="AN160" s="13"/>
      <c r="AO160" s="13"/>
      <c r="AP160" s="20"/>
      <c r="AQ160" s="13">
        <f t="shared" si="48"/>
        <v>0</v>
      </c>
      <c r="AR160" s="94">
        <f t="shared" si="49"/>
        <v>0</v>
      </c>
      <c r="AS160" s="21">
        <f t="shared" si="50"/>
        <v>0</v>
      </c>
      <c r="AT160" s="22"/>
      <c r="AU160" s="13"/>
      <c r="AV160" s="13"/>
      <c r="AW160" s="13"/>
      <c r="AX160" s="13"/>
      <c r="AY160" s="13"/>
      <c r="AZ160" s="13"/>
    </row>
    <row r="161" spans="1:52" ht="12.75">
      <c r="A161" s="12">
        <v>44819</v>
      </c>
      <c r="B161" s="13"/>
      <c r="C161" s="13" t="s">
        <v>74</v>
      </c>
      <c r="D161" s="17" t="s">
        <v>4607</v>
      </c>
      <c r="E161" s="13"/>
      <c r="F161" s="14"/>
      <c r="G161" s="13">
        <v>1</v>
      </c>
      <c r="H161" s="13"/>
      <c r="I161" s="13"/>
      <c r="J161" s="14"/>
      <c r="K161" s="14"/>
      <c r="L161" s="13"/>
      <c r="M161" s="13"/>
      <c r="N161" s="13"/>
      <c r="O161" s="14"/>
      <c r="P161" s="14"/>
      <c r="Q161" s="14"/>
      <c r="R161" s="14"/>
      <c r="S161" s="14"/>
      <c r="T161" s="14"/>
      <c r="U161" s="14"/>
      <c r="V161" s="14">
        <f t="shared" si="46"/>
        <v>0</v>
      </c>
      <c r="W161" s="14">
        <f t="shared" si="47"/>
        <v>0</v>
      </c>
      <c r="X161" s="17"/>
      <c r="Y161" s="17"/>
      <c r="Z161" s="17"/>
      <c r="AA161" s="18"/>
      <c r="AB161" s="13"/>
      <c r="AC161" s="13"/>
      <c r="AD161" s="13"/>
      <c r="AE161" s="13"/>
      <c r="AF161" s="13"/>
      <c r="AG161" s="13"/>
      <c r="AH161" s="13"/>
      <c r="AI161" s="19"/>
      <c r="AJ161" s="14"/>
      <c r="AK161" s="13"/>
      <c r="AL161" s="13"/>
      <c r="AM161" s="13"/>
      <c r="AN161" s="13"/>
      <c r="AO161" s="13"/>
      <c r="AP161" s="20"/>
      <c r="AQ161" s="13">
        <f t="shared" si="48"/>
        <v>0</v>
      </c>
      <c r="AR161" s="94">
        <f t="shared" si="49"/>
        <v>0</v>
      </c>
      <c r="AS161" s="21">
        <f t="shared" si="50"/>
        <v>0</v>
      </c>
      <c r="AT161" s="22"/>
      <c r="AU161" s="13"/>
      <c r="AV161" s="13"/>
      <c r="AW161" s="13"/>
      <c r="AX161" s="13"/>
      <c r="AY161" s="13"/>
      <c r="AZ161" s="13"/>
    </row>
    <row r="162" spans="1:52" ht="12.75">
      <c r="A162" s="12">
        <v>44819</v>
      </c>
      <c r="B162" s="13"/>
      <c r="C162" s="13" t="s">
        <v>74</v>
      </c>
      <c r="D162" s="17"/>
      <c r="E162" s="13"/>
      <c r="F162" s="14" t="s">
        <v>4608</v>
      </c>
      <c r="G162" s="13"/>
      <c r="H162" s="13"/>
      <c r="I162" s="13"/>
      <c r="J162" s="14"/>
      <c r="K162" s="14"/>
      <c r="L162" s="13"/>
      <c r="M162" s="13">
        <v>2</v>
      </c>
      <c r="N162" s="13"/>
      <c r="O162" s="14" t="s">
        <v>1039</v>
      </c>
      <c r="P162" s="14"/>
      <c r="Q162" s="14" t="s">
        <v>666</v>
      </c>
      <c r="R162" s="14">
        <v>4</v>
      </c>
      <c r="S162" s="14">
        <v>4</v>
      </c>
      <c r="T162" s="14">
        <v>2</v>
      </c>
      <c r="U162" s="14" t="s">
        <v>22</v>
      </c>
      <c r="V162" s="14">
        <f t="shared" si="46"/>
        <v>5.0000000000000001E-3</v>
      </c>
      <c r="W162" s="14">
        <f t="shared" si="47"/>
        <v>1726.0000000000002</v>
      </c>
      <c r="X162" s="17"/>
      <c r="Y162" s="17" t="s">
        <v>4609</v>
      </c>
      <c r="Z162" s="17"/>
      <c r="AA162" s="18">
        <v>97.343000000000004</v>
      </c>
      <c r="AB162" s="13" t="s">
        <v>4610</v>
      </c>
      <c r="AC162" s="29">
        <v>97.3</v>
      </c>
      <c r="AD162" s="13"/>
      <c r="AE162" s="13" t="s">
        <v>4611</v>
      </c>
      <c r="AF162" s="13"/>
      <c r="AG162" s="13"/>
      <c r="AH162" s="13">
        <v>1</v>
      </c>
      <c r="AI162" s="19"/>
      <c r="AJ162" s="14"/>
      <c r="AK162" s="13" t="s">
        <v>4151</v>
      </c>
      <c r="AL162" s="13" t="s">
        <v>664</v>
      </c>
      <c r="AM162" s="13" t="s">
        <v>752</v>
      </c>
      <c r="AN162" s="13" t="s">
        <v>97</v>
      </c>
      <c r="AO162" s="13" t="s">
        <v>4612</v>
      </c>
      <c r="AP162" s="20">
        <v>97.317999999999998</v>
      </c>
      <c r="AQ162" s="20">
        <f t="shared" si="48"/>
        <v>-2.5000000000005684E-2</v>
      </c>
      <c r="AR162" s="94">
        <f t="shared" si="49"/>
        <v>-172.60000000003927</v>
      </c>
      <c r="AS162" s="21">
        <f t="shared" si="50"/>
        <v>-43.150000000009818</v>
      </c>
      <c r="AT162" s="22" t="s">
        <v>211</v>
      </c>
      <c r="AU162" s="13" t="s">
        <v>4613</v>
      </c>
      <c r="AV162" s="13" t="s">
        <v>4614</v>
      </c>
      <c r="AW162" s="13" t="s">
        <v>4615</v>
      </c>
      <c r="AX162" s="13"/>
      <c r="AY162" s="13"/>
      <c r="AZ162" s="13"/>
    </row>
    <row r="163" spans="1:52" ht="12.75">
      <c r="A163" s="12">
        <v>44819</v>
      </c>
      <c r="B163" s="13"/>
      <c r="C163" s="13" t="s">
        <v>74</v>
      </c>
      <c r="D163" s="17"/>
      <c r="E163" s="13"/>
      <c r="F163" s="14"/>
      <c r="G163" s="13"/>
      <c r="H163" s="13"/>
      <c r="I163" s="13"/>
      <c r="J163" s="14"/>
      <c r="K163" s="14"/>
      <c r="L163" s="13"/>
      <c r="M163" s="13"/>
      <c r="N163" s="13"/>
      <c r="O163" s="14"/>
      <c r="P163" s="14"/>
      <c r="Q163" s="14"/>
      <c r="R163" s="14"/>
      <c r="S163" s="14"/>
      <c r="T163" s="14"/>
      <c r="U163" s="14"/>
      <c r="V163" s="14">
        <f t="shared" si="46"/>
        <v>0</v>
      </c>
      <c r="W163" s="14">
        <f t="shared" si="47"/>
        <v>0</v>
      </c>
      <c r="X163" s="17"/>
      <c r="Y163" s="17"/>
      <c r="Z163" s="17"/>
      <c r="AA163" s="18"/>
      <c r="AB163" s="13"/>
      <c r="AC163" s="13"/>
      <c r="AD163" s="13"/>
      <c r="AE163" s="13"/>
      <c r="AF163" s="13"/>
      <c r="AG163" s="13"/>
      <c r="AH163" s="13"/>
      <c r="AI163" s="19"/>
      <c r="AJ163" s="14"/>
      <c r="AK163" s="13"/>
      <c r="AL163" s="13"/>
      <c r="AM163" s="13"/>
      <c r="AN163" s="13"/>
      <c r="AO163" s="13"/>
      <c r="AP163" s="20"/>
      <c r="AQ163" s="13">
        <f t="shared" si="48"/>
        <v>0</v>
      </c>
      <c r="AR163" s="94">
        <f t="shared" si="49"/>
        <v>0</v>
      </c>
      <c r="AS163" s="21">
        <f t="shared" si="50"/>
        <v>0</v>
      </c>
      <c r="AT163" s="22"/>
      <c r="AU163" s="13" t="s">
        <v>4616</v>
      </c>
      <c r="AV163" s="13" t="s">
        <v>4617</v>
      </c>
      <c r="AW163" s="13" t="s">
        <v>4618</v>
      </c>
      <c r="AX163" s="13" t="s">
        <v>4619</v>
      </c>
      <c r="AY163" s="17" t="s">
        <v>4620</v>
      </c>
      <c r="AZ163" s="13"/>
    </row>
    <row r="164" spans="1:52" ht="12.75">
      <c r="A164" s="12">
        <v>44819</v>
      </c>
      <c r="B164" s="33">
        <v>0.75</v>
      </c>
      <c r="C164" s="13" t="s">
        <v>74</v>
      </c>
      <c r="D164" s="17" t="s">
        <v>4621</v>
      </c>
      <c r="E164" s="13" t="s">
        <v>4622</v>
      </c>
      <c r="F164" s="14"/>
      <c r="G164" s="13"/>
      <c r="H164" s="13"/>
      <c r="I164" s="13">
        <v>1</v>
      </c>
      <c r="J164" s="14"/>
      <c r="K164" s="14"/>
      <c r="L164" s="13"/>
      <c r="M164" s="13"/>
      <c r="N164" s="13"/>
      <c r="O164" s="14"/>
      <c r="P164" s="14"/>
      <c r="Q164" s="14"/>
      <c r="R164" s="14"/>
      <c r="S164" s="14"/>
      <c r="T164" s="14"/>
      <c r="U164" s="14"/>
      <c r="V164" s="14">
        <f t="shared" si="46"/>
        <v>0</v>
      </c>
      <c r="W164" s="14">
        <f t="shared" si="47"/>
        <v>0</v>
      </c>
      <c r="X164" s="17"/>
      <c r="Y164" s="17"/>
      <c r="Z164" s="17"/>
      <c r="AA164" s="18"/>
      <c r="AB164" s="13"/>
      <c r="AC164" s="13"/>
      <c r="AD164" s="13"/>
      <c r="AE164" s="13"/>
      <c r="AF164" s="13"/>
      <c r="AG164" s="13"/>
      <c r="AH164" s="13"/>
      <c r="AI164" s="19"/>
      <c r="AJ164" s="14"/>
      <c r="AK164" s="13"/>
      <c r="AL164" s="13"/>
      <c r="AM164" s="13"/>
      <c r="AN164" s="13"/>
      <c r="AO164" s="13"/>
      <c r="AP164" s="20"/>
      <c r="AQ164" s="13">
        <f t="shared" si="48"/>
        <v>0</v>
      </c>
      <c r="AR164" s="94">
        <f t="shared" si="49"/>
        <v>0</v>
      </c>
      <c r="AS164" s="21">
        <f t="shared" si="50"/>
        <v>0</v>
      </c>
      <c r="AT164" s="22"/>
      <c r="AU164" s="13"/>
      <c r="AV164" s="13"/>
      <c r="AW164" s="13"/>
      <c r="AX164" s="13"/>
      <c r="AY164" s="13"/>
      <c r="AZ164" s="13"/>
    </row>
    <row r="165" spans="1:52" ht="12.75">
      <c r="A165" s="12">
        <v>44819</v>
      </c>
      <c r="B165" s="33">
        <v>0.75</v>
      </c>
      <c r="C165" s="13" t="s">
        <v>74</v>
      </c>
      <c r="D165" s="17" t="s">
        <v>4623</v>
      </c>
      <c r="E165" s="13"/>
      <c r="F165" s="14"/>
      <c r="G165" s="13"/>
      <c r="H165" s="13"/>
      <c r="I165" s="13">
        <v>1</v>
      </c>
      <c r="J165" s="14"/>
      <c r="K165" s="14"/>
      <c r="L165" s="13"/>
      <c r="M165" s="13"/>
      <c r="N165" s="13"/>
      <c r="O165" s="14"/>
      <c r="P165" s="14"/>
      <c r="Q165" s="14"/>
      <c r="R165" s="14"/>
      <c r="S165" s="14"/>
      <c r="T165" s="14"/>
      <c r="U165" s="14"/>
      <c r="V165" s="14">
        <f t="shared" si="46"/>
        <v>0</v>
      </c>
      <c r="W165" s="14">
        <f t="shared" si="47"/>
        <v>0</v>
      </c>
      <c r="X165" s="17"/>
      <c r="Y165" s="17"/>
      <c r="Z165" s="17"/>
      <c r="AA165" s="18"/>
      <c r="AB165" s="13"/>
      <c r="AC165" s="13"/>
      <c r="AD165" s="13"/>
      <c r="AE165" s="13"/>
      <c r="AF165" s="13"/>
      <c r="AG165" s="13"/>
      <c r="AH165" s="13"/>
      <c r="AI165" s="19"/>
      <c r="AJ165" s="14"/>
      <c r="AK165" s="13"/>
      <c r="AL165" s="13"/>
      <c r="AM165" s="13"/>
      <c r="AN165" s="13"/>
      <c r="AO165" s="13"/>
      <c r="AP165" s="20"/>
      <c r="AQ165" s="13">
        <f t="shared" si="48"/>
        <v>0</v>
      </c>
      <c r="AR165" s="94">
        <f t="shared" si="49"/>
        <v>0</v>
      </c>
      <c r="AS165" s="21">
        <f t="shared" si="50"/>
        <v>0</v>
      </c>
      <c r="AT165" s="22"/>
      <c r="AU165" s="13"/>
      <c r="AV165" s="13"/>
      <c r="AW165" s="13"/>
      <c r="AX165" s="13"/>
      <c r="AY165" s="13"/>
      <c r="AZ165" s="13"/>
    </row>
    <row r="166" spans="1:52" ht="12.75">
      <c r="A166" s="12">
        <v>44819</v>
      </c>
      <c r="B166" s="33">
        <v>0.75</v>
      </c>
      <c r="C166" s="13" t="s">
        <v>74</v>
      </c>
      <c r="D166" s="17" t="s">
        <v>4624</v>
      </c>
      <c r="E166" s="13"/>
      <c r="F166" s="14"/>
      <c r="G166" s="13">
        <v>1</v>
      </c>
      <c r="H166" s="13"/>
      <c r="I166" s="13"/>
      <c r="J166" s="14"/>
      <c r="K166" s="14"/>
      <c r="L166" s="13"/>
      <c r="M166" s="13"/>
      <c r="N166" s="13"/>
      <c r="O166" s="14"/>
      <c r="P166" s="14"/>
      <c r="Q166" s="14"/>
      <c r="R166" s="14"/>
      <c r="S166" s="14"/>
      <c r="T166" s="14"/>
      <c r="U166" s="14"/>
      <c r="V166" s="14">
        <f t="shared" si="46"/>
        <v>0</v>
      </c>
      <c r="W166" s="14">
        <f t="shared" si="47"/>
        <v>0</v>
      </c>
      <c r="X166" s="17"/>
      <c r="Y166" s="17"/>
      <c r="Z166" s="17"/>
      <c r="AA166" s="18"/>
      <c r="AB166" s="13"/>
      <c r="AC166" s="13"/>
      <c r="AD166" s="13"/>
      <c r="AE166" s="13"/>
      <c r="AF166" s="13"/>
      <c r="AG166" s="13"/>
      <c r="AH166" s="13"/>
      <c r="AI166" s="19"/>
      <c r="AJ166" s="14"/>
      <c r="AK166" s="13"/>
      <c r="AL166" s="13"/>
      <c r="AM166" s="13"/>
      <c r="AN166" s="13"/>
      <c r="AO166" s="13"/>
      <c r="AP166" s="20"/>
      <c r="AQ166" s="13">
        <f t="shared" si="48"/>
        <v>0</v>
      </c>
      <c r="AR166" s="94">
        <f t="shared" si="49"/>
        <v>0</v>
      </c>
      <c r="AS166" s="21">
        <f t="shared" si="50"/>
        <v>0</v>
      </c>
      <c r="AT166" s="22"/>
      <c r="AU166" s="13"/>
      <c r="AV166" s="13"/>
      <c r="AW166" s="13"/>
      <c r="AX166" s="13"/>
      <c r="AY166" s="13"/>
      <c r="AZ166" s="13"/>
    </row>
    <row r="167" spans="1:52" ht="17.25">
      <c r="A167" s="12">
        <v>44820</v>
      </c>
      <c r="B167" s="13" t="s">
        <v>4625</v>
      </c>
      <c r="C167" s="13" t="s">
        <v>93</v>
      </c>
      <c r="D167" s="17" t="s">
        <v>4626</v>
      </c>
      <c r="E167" s="13" t="s">
        <v>4627</v>
      </c>
      <c r="F167" s="14"/>
      <c r="G167" s="13"/>
      <c r="H167" s="13"/>
      <c r="I167" s="13"/>
      <c r="J167" s="14"/>
      <c r="K167" s="14"/>
      <c r="L167" s="13"/>
      <c r="M167" s="13"/>
      <c r="N167" s="13"/>
      <c r="O167" s="14"/>
      <c r="P167" s="14"/>
      <c r="Q167" s="14"/>
      <c r="R167" s="14"/>
      <c r="S167" s="14"/>
      <c r="T167" s="14"/>
      <c r="U167" s="14"/>
      <c r="V167" s="14">
        <f t="shared" si="46"/>
        <v>0</v>
      </c>
      <c r="W167" s="14">
        <f t="shared" si="47"/>
        <v>0</v>
      </c>
      <c r="X167" s="17"/>
      <c r="Y167" s="17"/>
      <c r="Z167" s="17"/>
      <c r="AA167" s="18"/>
      <c r="AB167" s="13"/>
      <c r="AC167" s="13"/>
      <c r="AD167" s="13"/>
      <c r="AE167" s="13"/>
      <c r="AF167" s="13"/>
      <c r="AG167" s="13"/>
      <c r="AH167" s="13"/>
      <c r="AI167" s="19"/>
      <c r="AJ167" s="14"/>
      <c r="AK167" s="13"/>
      <c r="AL167" s="13"/>
      <c r="AM167" s="13"/>
      <c r="AN167" s="13"/>
      <c r="AO167" s="13"/>
      <c r="AP167" s="20"/>
      <c r="AQ167" s="13">
        <f t="shared" si="48"/>
        <v>0</v>
      </c>
      <c r="AR167" s="94">
        <f t="shared" si="49"/>
        <v>0</v>
      </c>
      <c r="AS167" s="21">
        <f t="shared" si="50"/>
        <v>0</v>
      </c>
      <c r="AT167" s="22"/>
      <c r="AU167" s="13" t="s">
        <v>4628</v>
      </c>
      <c r="AV167" s="16" t="s">
        <v>4629</v>
      </c>
      <c r="AX167" s="13"/>
      <c r="AY167" s="13"/>
      <c r="AZ167" s="13"/>
    </row>
    <row r="168" spans="1:52" ht="12.75">
      <c r="A168" s="114"/>
      <c r="B168" s="115"/>
      <c r="C168" s="11"/>
      <c r="D168" s="11"/>
      <c r="E168" s="37" t="s">
        <v>4630</v>
      </c>
      <c r="F168" s="116"/>
      <c r="G168" s="11"/>
      <c r="H168" s="11"/>
      <c r="I168" s="11"/>
      <c r="J168" s="14"/>
      <c r="K168" s="14"/>
      <c r="L168" s="11"/>
      <c r="M168" s="11"/>
      <c r="N168" s="11"/>
      <c r="O168" s="116"/>
      <c r="P168" s="116"/>
      <c r="Q168" s="116"/>
      <c r="R168" s="116"/>
      <c r="S168" s="116"/>
      <c r="T168" s="116"/>
      <c r="U168" s="116"/>
      <c r="V168" s="14">
        <f t="shared" si="46"/>
        <v>0</v>
      </c>
      <c r="W168" s="14">
        <f t="shared" si="47"/>
        <v>0</v>
      </c>
      <c r="X168" s="11"/>
      <c r="Y168" s="11"/>
      <c r="Z168" s="11"/>
      <c r="AA168" s="117"/>
      <c r="AB168" s="11"/>
      <c r="AC168" s="11"/>
      <c r="AD168" s="11"/>
      <c r="AE168" s="11"/>
      <c r="AF168" s="11"/>
      <c r="AG168" s="11"/>
      <c r="AH168" s="11"/>
      <c r="AI168" s="118"/>
      <c r="AJ168" s="116"/>
      <c r="AK168" s="11"/>
      <c r="AL168" s="11"/>
      <c r="AM168" s="11"/>
      <c r="AN168" s="11"/>
      <c r="AO168" s="11"/>
      <c r="AP168" s="117"/>
      <c r="AQ168" s="13">
        <f t="shared" si="48"/>
        <v>0</v>
      </c>
      <c r="AR168" s="94">
        <f t="shared" si="49"/>
        <v>0</v>
      </c>
      <c r="AS168" s="21">
        <f t="shared" si="50"/>
        <v>0</v>
      </c>
      <c r="AT168" s="116"/>
      <c r="AU168" s="119" t="s">
        <v>4631</v>
      </c>
      <c r="AV168" s="119" t="s">
        <v>4632</v>
      </c>
      <c r="AW168" s="119" t="s">
        <v>4633</v>
      </c>
      <c r="AX168" s="119" t="s">
        <v>4634</v>
      </c>
      <c r="AY168" s="119" t="s">
        <v>4635</v>
      </c>
      <c r="AZ168" s="119" t="s">
        <v>4636</v>
      </c>
    </row>
    <row r="169" spans="1:52" ht="12.75">
      <c r="A169" s="12">
        <v>44820</v>
      </c>
      <c r="B169" s="13" t="s">
        <v>4637</v>
      </c>
      <c r="C169" s="13" t="s">
        <v>93</v>
      </c>
      <c r="D169" s="17"/>
      <c r="E169" s="13"/>
      <c r="F169" s="14" t="s">
        <v>4608</v>
      </c>
      <c r="G169" s="13"/>
      <c r="H169" s="13"/>
      <c r="I169" s="13"/>
      <c r="J169" s="14"/>
      <c r="K169" s="14"/>
      <c r="L169" s="13"/>
      <c r="M169" s="13">
        <v>1</v>
      </c>
      <c r="N169" s="13"/>
      <c r="O169" s="14" t="s">
        <v>1039</v>
      </c>
      <c r="P169" s="14"/>
      <c r="Q169" s="14" t="s">
        <v>666</v>
      </c>
      <c r="R169" s="14">
        <v>2</v>
      </c>
      <c r="S169" s="14">
        <v>2</v>
      </c>
      <c r="T169" s="14">
        <v>2</v>
      </c>
      <c r="U169" s="14" t="s">
        <v>78</v>
      </c>
      <c r="V169" s="14">
        <f t="shared" si="46"/>
        <v>5.0000000000000001E-3</v>
      </c>
      <c r="W169" s="14">
        <f t="shared" si="47"/>
        <v>1726.0000000000002</v>
      </c>
      <c r="X169" s="17"/>
      <c r="Y169" s="17" t="s">
        <v>4638</v>
      </c>
      <c r="Z169" s="17"/>
      <c r="AA169" s="18">
        <v>97.33</v>
      </c>
      <c r="AB169" s="13" t="s">
        <v>4639</v>
      </c>
      <c r="AC169" s="13">
        <v>97.344999999999999</v>
      </c>
      <c r="AD169" s="13"/>
      <c r="AE169" s="13">
        <v>97.27</v>
      </c>
      <c r="AF169" s="13" t="s">
        <v>4640</v>
      </c>
      <c r="AG169" s="13"/>
      <c r="AH169" s="13">
        <f>(AE169-AA169)/(AA169-AC169)</f>
        <v>4</v>
      </c>
      <c r="AI169" s="19"/>
      <c r="AJ169" s="14"/>
      <c r="AK169" s="13"/>
      <c r="AL169" s="13"/>
      <c r="AM169" s="13" t="s">
        <v>4641</v>
      </c>
      <c r="AN169" s="13" t="s">
        <v>376</v>
      </c>
      <c r="AO169" s="13"/>
      <c r="AP169" s="20">
        <v>97.344999999999999</v>
      </c>
      <c r="AQ169" s="20">
        <f t="shared" si="48"/>
        <v>-1.5000000000000568E-2</v>
      </c>
      <c r="AR169" s="94">
        <f t="shared" si="49"/>
        <v>-51.780000000001969</v>
      </c>
      <c r="AS169" s="21">
        <f t="shared" si="50"/>
        <v>-25.890000000000985</v>
      </c>
      <c r="AT169" s="22" t="s">
        <v>211</v>
      </c>
      <c r="AU169" s="13" t="s">
        <v>4642</v>
      </c>
      <c r="AV169" s="13" t="s">
        <v>4643</v>
      </c>
      <c r="AW169" s="13" t="s">
        <v>4644</v>
      </c>
      <c r="AX169" s="13"/>
      <c r="AY169" s="13"/>
      <c r="AZ169" s="13"/>
    </row>
    <row r="170" spans="1:52" ht="12.75">
      <c r="A170" s="12">
        <v>44820</v>
      </c>
      <c r="B170" s="13" t="s">
        <v>4645</v>
      </c>
      <c r="C170" s="13" t="s">
        <v>93</v>
      </c>
      <c r="D170" s="17"/>
      <c r="E170" s="13"/>
      <c r="F170" s="14" t="s">
        <v>4558</v>
      </c>
      <c r="G170" s="13"/>
      <c r="H170" s="13"/>
      <c r="I170" s="13"/>
      <c r="J170" s="14"/>
      <c r="K170" s="14"/>
      <c r="L170" s="13"/>
      <c r="M170" s="13"/>
      <c r="N170" s="13">
        <v>1</v>
      </c>
      <c r="O170" s="14" t="s">
        <v>76</v>
      </c>
      <c r="P170" s="14" t="s">
        <v>119</v>
      </c>
      <c r="Q170" s="14" t="s">
        <v>666</v>
      </c>
      <c r="R170" s="14">
        <v>2</v>
      </c>
      <c r="S170" s="14">
        <v>2</v>
      </c>
      <c r="T170" s="14">
        <v>1</v>
      </c>
      <c r="U170" s="14" t="s">
        <v>78</v>
      </c>
      <c r="V170" s="14">
        <f t="shared" si="46"/>
        <v>0.01</v>
      </c>
      <c r="W170" s="14">
        <f t="shared" si="47"/>
        <v>1664.9999999999998</v>
      </c>
      <c r="X170" s="17" t="s">
        <v>4646</v>
      </c>
      <c r="Y170" s="17"/>
      <c r="Z170" s="17"/>
      <c r="AA170" s="18">
        <v>96.13</v>
      </c>
      <c r="AB170" s="13" t="s">
        <v>4647</v>
      </c>
      <c r="AC170" s="13">
        <v>96.15</v>
      </c>
      <c r="AD170" s="13" t="s">
        <v>4648</v>
      </c>
      <c r="AE170" s="13">
        <v>96.08</v>
      </c>
      <c r="AF170" s="13" t="s">
        <v>4649</v>
      </c>
      <c r="AG170" s="13"/>
      <c r="AH170" s="13">
        <f>5/2</f>
        <v>2.5</v>
      </c>
      <c r="AI170" s="19"/>
      <c r="AJ170" s="14"/>
      <c r="AK170" s="13" t="s">
        <v>4061</v>
      </c>
      <c r="AL170" s="13" t="s">
        <v>4650</v>
      </c>
      <c r="AM170" s="13" t="s">
        <v>4651</v>
      </c>
      <c r="AN170" s="13" t="s">
        <v>87</v>
      </c>
      <c r="AO170" s="13"/>
      <c r="AP170" s="20">
        <v>96.15</v>
      </c>
      <c r="AQ170" s="20">
        <f t="shared" si="48"/>
        <v>-2.0000000000010232E-2</v>
      </c>
      <c r="AR170" s="94">
        <f t="shared" si="49"/>
        <v>-66.600000000034058</v>
      </c>
      <c r="AS170" s="21">
        <f t="shared" si="50"/>
        <v>-33.300000000017029</v>
      </c>
      <c r="AT170" s="22" t="s">
        <v>211</v>
      </c>
      <c r="AU170" s="13" t="s">
        <v>4652</v>
      </c>
      <c r="AV170" s="13" t="s">
        <v>4653</v>
      </c>
      <c r="AW170" s="13"/>
      <c r="AX170" s="13"/>
      <c r="AY170" s="13"/>
      <c r="AZ170" s="13"/>
    </row>
    <row r="171" spans="1:52" ht="12.75">
      <c r="A171" s="12">
        <v>44820</v>
      </c>
      <c r="B171" s="13" t="s">
        <v>4654</v>
      </c>
      <c r="C171" s="13" t="s">
        <v>93</v>
      </c>
      <c r="D171" s="17" t="s">
        <v>4655</v>
      </c>
      <c r="E171" s="13" t="s">
        <v>1609</v>
      </c>
      <c r="F171" s="14"/>
      <c r="G171" s="13"/>
      <c r="H171" s="13">
        <v>1</v>
      </c>
      <c r="I171" s="13"/>
      <c r="J171" s="14"/>
      <c r="K171" s="14"/>
      <c r="L171" s="13"/>
      <c r="M171" s="13"/>
      <c r="N171" s="13"/>
      <c r="O171" s="14"/>
      <c r="P171" s="14"/>
      <c r="Q171" s="14"/>
      <c r="R171" s="14"/>
      <c r="S171" s="14"/>
      <c r="T171" s="14"/>
      <c r="U171" s="14"/>
      <c r="V171" s="14">
        <f t="shared" si="46"/>
        <v>0</v>
      </c>
      <c r="W171" s="14">
        <f t="shared" si="47"/>
        <v>0</v>
      </c>
      <c r="X171" s="17"/>
      <c r="Y171" s="17"/>
      <c r="Z171" s="17"/>
      <c r="AA171" s="18"/>
      <c r="AB171" s="13"/>
      <c r="AC171" s="13"/>
      <c r="AD171" s="13"/>
      <c r="AE171" s="13"/>
      <c r="AF171" s="13"/>
      <c r="AG171" s="13"/>
      <c r="AH171" s="13"/>
      <c r="AI171" s="19"/>
      <c r="AJ171" s="14"/>
      <c r="AK171" s="13"/>
      <c r="AL171" s="13"/>
      <c r="AM171" s="13"/>
      <c r="AN171" s="13"/>
      <c r="AO171" s="13"/>
      <c r="AP171" s="20"/>
      <c r="AQ171" s="13">
        <f t="shared" si="48"/>
        <v>0</v>
      </c>
      <c r="AR171" s="94">
        <f t="shared" si="49"/>
        <v>0</v>
      </c>
      <c r="AS171" s="21">
        <f t="shared" si="50"/>
        <v>0</v>
      </c>
      <c r="AT171" s="22"/>
      <c r="AU171" s="13" t="s">
        <v>511</v>
      </c>
      <c r="AV171" s="13"/>
      <c r="AW171" s="13"/>
      <c r="AX171" s="13"/>
      <c r="AY171" s="13"/>
      <c r="AZ171" s="13"/>
    </row>
    <row r="172" spans="1:52" ht="12.75">
      <c r="A172" s="12">
        <v>44823</v>
      </c>
      <c r="B172" s="13" t="s">
        <v>1932</v>
      </c>
      <c r="C172" s="13" t="s">
        <v>114</v>
      </c>
      <c r="D172" s="17"/>
      <c r="E172" s="13"/>
      <c r="F172" s="14" t="s">
        <v>4197</v>
      </c>
      <c r="G172" s="13"/>
      <c r="H172" s="13"/>
      <c r="I172" s="13"/>
      <c r="J172" s="14"/>
      <c r="K172" s="14"/>
      <c r="L172" s="13">
        <v>1</v>
      </c>
      <c r="M172" s="13"/>
      <c r="N172" s="13">
        <v>1</v>
      </c>
      <c r="O172" s="14" t="s">
        <v>76</v>
      </c>
      <c r="P172" s="14" t="s">
        <v>119</v>
      </c>
      <c r="Q172" s="14" t="s">
        <v>666</v>
      </c>
      <c r="R172" s="15">
        <v>5</v>
      </c>
      <c r="S172" s="14">
        <v>5</v>
      </c>
      <c r="T172" s="14">
        <v>5</v>
      </c>
      <c r="U172" s="14" t="s">
        <v>22</v>
      </c>
      <c r="V172" s="14">
        <f t="shared" si="46"/>
        <v>0.01</v>
      </c>
      <c r="W172" s="14">
        <f t="shared" si="47"/>
        <v>1664.9999999999998</v>
      </c>
      <c r="X172" s="17"/>
      <c r="Y172" s="17"/>
      <c r="Z172" s="17"/>
      <c r="AA172" s="18"/>
      <c r="AB172" s="13"/>
      <c r="AC172" s="13"/>
      <c r="AD172" s="13"/>
      <c r="AE172" s="13"/>
      <c r="AF172" s="13"/>
      <c r="AG172" s="13"/>
      <c r="AH172" s="13"/>
      <c r="AI172" s="19"/>
      <c r="AJ172" s="14"/>
      <c r="AK172" s="13"/>
      <c r="AL172" s="13"/>
      <c r="AM172" s="13"/>
      <c r="AN172" s="13"/>
      <c r="AO172" s="13"/>
      <c r="AP172" s="20"/>
      <c r="AQ172" s="13"/>
      <c r="AR172" s="94"/>
      <c r="AS172" s="21"/>
      <c r="AT172" s="22"/>
      <c r="AU172" s="13" t="s">
        <v>4656</v>
      </c>
      <c r="AV172" s="13"/>
      <c r="AW172" s="13"/>
      <c r="AX172" s="13"/>
      <c r="AY172" s="13"/>
      <c r="AZ172" s="13"/>
    </row>
    <row r="173" spans="1:52" ht="12.75">
      <c r="A173" s="12">
        <v>44823</v>
      </c>
      <c r="B173" s="13" t="s">
        <v>1932</v>
      </c>
      <c r="C173" s="13" t="s">
        <v>114</v>
      </c>
      <c r="D173" s="17"/>
      <c r="E173" s="13"/>
      <c r="F173" s="14" t="s">
        <v>4197</v>
      </c>
      <c r="G173" s="13"/>
      <c r="H173" s="13"/>
      <c r="I173" s="13"/>
      <c r="J173" s="14"/>
      <c r="K173" s="14"/>
      <c r="L173" s="13">
        <v>1</v>
      </c>
      <c r="M173" s="13">
        <v>2</v>
      </c>
      <c r="N173" s="13">
        <v>1</v>
      </c>
      <c r="O173" s="14" t="s">
        <v>76</v>
      </c>
      <c r="P173" s="14" t="s">
        <v>119</v>
      </c>
      <c r="Q173" s="14" t="s">
        <v>666</v>
      </c>
      <c r="R173" s="15">
        <v>5</v>
      </c>
      <c r="S173" s="14">
        <v>5</v>
      </c>
      <c r="T173" s="14">
        <v>5</v>
      </c>
      <c r="U173" s="14" t="s">
        <v>22</v>
      </c>
      <c r="V173" s="14">
        <f t="shared" si="46"/>
        <v>0.01</v>
      </c>
      <c r="W173" s="14">
        <f t="shared" si="47"/>
        <v>1664.9999999999998</v>
      </c>
      <c r="X173" s="17" t="s">
        <v>4657</v>
      </c>
      <c r="Y173" s="17"/>
      <c r="Z173" s="17"/>
      <c r="AA173" s="18">
        <v>96.061999999999998</v>
      </c>
      <c r="AB173" s="13" t="s">
        <v>4658</v>
      </c>
      <c r="AC173" s="13">
        <v>96.04</v>
      </c>
      <c r="AD173" s="13" t="s">
        <v>4659</v>
      </c>
      <c r="AE173" s="13">
        <v>96.1</v>
      </c>
      <c r="AF173" s="13" t="s">
        <v>119</v>
      </c>
      <c r="AG173" s="13" t="s">
        <v>4660</v>
      </c>
      <c r="AH173" s="13">
        <f>4/2</f>
        <v>2</v>
      </c>
      <c r="AI173" s="19"/>
      <c r="AJ173" s="14"/>
      <c r="AK173" s="13"/>
      <c r="AL173" s="13"/>
      <c r="AM173" s="13"/>
      <c r="AN173" s="13" t="s">
        <v>87</v>
      </c>
      <c r="AO173" s="13"/>
      <c r="AP173" s="20">
        <v>96.07</v>
      </c>
      <c r="AQ173" s="20">
        <f t="shared" ref="AQ173:AQ181" si="51">IF(ISBLANK(AP173),,IF(U173="S",AA173-AP173,AP173-AA173))</f>
        <v>7.9999999999955662E-3</v>
      </c>
      <c r="AR173" s="94">
        <f t="shared" ref="AR173:AR181" si="52">AS173*R173</f>
        <v>66.599999999963075</v>
      </c>
      <c r="AS173" s="21">
        <f t="shared" ref="AS173:AS181" si="53">IF(ISBLANK(AP173),,(AQ173*W173))</f>
        <v>13.319999999992616</v>
      </c>
      <c r="AT173" s="22" t="s">
        <v>77</v>
      </c>
      <c r="AU173" s="13" t="s">
        <v>4661</v>
      </c>
      <c r="AV173" s="13" t="s">
        <v>4662</v>
      </c>
      <c r="AW173" s="13" t="s">
        <v>4663</v>
      </c>
      <c r="AX173" s="13" t="s">
        <v>4664</v>
      </c>
      <c r="AY173" s="13"/>
      <c r="AZ173" s="13"/>
    </row>
    <row r="174" spans="1:52" ht="12.75">
      <c r="A174" s="12">
        <v>44823</v>
      </c>
      <c r="B174" s="13" t="s">
        <v>1932</v>
      </c>
      <c r="C174" s="13" t="s">
        <v>114</v>
      </c>
      <c r="D174" s="17"/>
      <c r="E174" s="13"/>
      <c r="F174" s="14" t="s">
        <v>4197</v>
      </c>
      <c r="G174" s="13"/>
      <c r="H174" s="13"/>
      <c r="I174" s="13"/>
      <c r="J174" s="14"/>
      <c r="K174" s="14"/>
      <c r="L174" s="13">
        <v>1</v>
      </c>
      <c r="M174" s="13"/>
      <c r="N174" s="13">
        <v>1</v>
      </c>
      <c r="O174" s="14" t="s">
        <v>76</v>
      </c>
      <c r="P174" s="14" t="s">
        <v>119</v>
      </c>
      <c r="Q174" s="14" t="s">
        <v>666</v>
      </c>
      <c r="R174" s="15">
        <v>5</v>
      </c>
      <c r="S174" s="14">
        <v>5</v>
      </c>
      <c r="T174" s="14">
        <v>5</v>
      </c>
      <c r="U174" s="14" t="s">
        <v>22</v>
      </c>
      <c r="V174" s="14">
        <f t="shared" si="46"/>
        <v>0.01</v>
      </c>
      <c r="W174" s="14">
        <f t="shared" si="47"/>
        <v>1664.9999999999998</v>
      </c>
      <c r="X174" s="17" t="s">
        <v>4665</v>
      </c>
      <c r="Y174" s="17"/>
      <c r="Z174" s="17"/>
      <c r="AA174" s="18">
        <v>96.061999999999998</v>
      </c>
      <c r="AB174" s="13" t="s">
        <v>4658</v>
      </c>
      <c r="AC174" s="13">
        <v>96.04</v>
      </c>
      <c r="AD174" s="13" t="s">
        <v>4659</v>
      </c>
      <c r="AE174" s="13">
        <v>96.1</v>
      </c>
      <c r="AF174" s="13" t="s">
        <v>119</v>
      </c>
      <c r="AG174" s="13" t="s">
        <v>4660</v>
      </c>
      <c r="AH174" s="13"/>
      <c r="AI174" s="19"/>
      <c r="AJ174" s="14"/>
      <c r="AK174" s="13"/>
      <c r="AL174" s="13"/>
      <c r="AM174" s="13" t="s">
        <v>4666</v>
      </c>
      <c r="AN174" s="13" t="s">
        <v>87</v>
      </c>
      <c r="AO174" s="13"/>
      <c r="AP174" s="20">
        <v>96.07</v>
      </c>
      <c r="AQ174" s="20">
        <f t="shared" si="51"/>
        <v>7.9999999999955662E-3</v>
      </c>
      <c r="AR174" s="94">
        <f t="shared" si="52"/>
        <v>66.599999999963075</v>
      </c>
      <c r="AS174" s="21">
        <f t="shared" si="53"/>
        <v>13.319999999992616</v>
      </c>
      <c r="AT174" s="22" t="s">
        <v>77</v>
      </c>
      <c r="AU174" s="13" t="s">
        <v>4667</v>
      </c>
      <c r="AV174" s="13" t="s">
        <v>4668</v>
      </c>
      <c r="AW174" s="13"/>
      <c r="AX174" s="13"/>
      <c r="AY174" s="13"/>
      <c r="AZ174" s="13"/>
    </row>
    <row r="175" spans="1:52" ht="12.75">
      <c r="A175" s="12">
        <v>44824</v>
      </c>
      <c r="B175" s="13" t="s">
        <v>4669</v>
      </c>
      <c r="C175" s="13" t="s">
        <v>128</v>
      </c>
      <c r="D175" s="17"/>
      <c r="E175" s="13"/>
      <c r="F175" s="14" t="s">
        <v>118</v>
      </c>
      <c r="G175" s="13"/>
      <c r="H175" s="13"/>
      <c r="I175" s="13"/>
      <c r="J175" s="14"/>
      <c r="K175" s="14"/>
      <c r="L175" s="13">
        <v>1</v>
      </c>
      <c r="M175" s="13"/>
      <c r="N175" s="13"/>
      <c r="O175" s="14" t="s">
        <v>76</v>
      </c>
      <c r="P175" s="14" t="s">
        <v>119</v>
      </c>
      <c r="Q175" s="14" t="s">
        <v>666</v>
      </c>
      <c r="R175" s="14">
        <v>2</v>
      </c>
      <c r="S175" s="14">
        <v>2</v>
      </c>
      <c r="T175" s="14">
        <v>2</v>
      </c>
      <c r="U175" s="14" t="s">
        <v>78</v>
      </c>
      <c r="V175" s="14">
        <f t="shared" si="46"/>
        <v>0.01</v>
      </c>
      <c r="W175" s="14">
        <f t="shared" si="47"/>
        <v>1664.9999999999998</v>
      </c>
      <c r="X175" s="17"/>
      <c r="Y175" s="17"/>
      <c r="Z175" s="17" t="s">
        <v>80</v>
      </c>
      <c r="AA175" s="18">
        <v>-0.03</v>
      </c>
      <c r="AB175" s="13"/>
      <c r="AC175" s="13"/>
      <c r="AD175" s="13"/>
      <c r="AE175" s="13">
        <v>-0.04</v>
      </c>
      <c r="AF175" s="13"/>
      <c r="AG175" s="13" t="s">
        <v>4670</v>
      </c>
      <c r="AH175" s="13"/>
      <c r="AI175" s="19"/>
      <c r="AJ175" s="14"/>
      <c r="AK175" s="13" t="s">
        <v>4671</v>
      </c>
      <c r="AL175" s="13"/>
      <c r="AM175" s="13"/>
      <c r="AN175" s="13" t="s">
        <v>87</v>
      </c>
      <c r="AO175" s="13"/>
      <c r="AP175" s="20">
        <v>-0.04</v>
      </c>
      <c r="AQ175" s="20">
        <f t="shared" si="51"/>
        <v>1.0000000000000002E-2</v>
      </c>
      <c r="AR175" s="94">
        <f t="shared" si="52"/>
        <v>33.300000000000004</v>
      </c>
      <c r="AS175" s="21">
        <f t="shared" si="53"/>
        <v>16.650000000000002</v>
      </c>
      <c r="AT175" s="22" t="s">
        <v>77</v>
      </c>
      <c r="AU175" s="13"/>
      <c r="AV175" s="13"/>
      <c r="AW175" s="13"/>
      <c r="AX175" s="13"/>
      <c r="AY175" s="13"/>
      <c r="AZ175" s="13"/>
    </row>
    <row r="176" spans="1:52" ht="12.75">
      <c r="A176" s="12">
        <v>44824</v>
      </c>
      <c r="B176" s="13" t="s">
        <v>964</v>
      </c>
      <c r="C176" s="13" t="s">
        <v>128</v>
      </c>
      <c r="D176" s="17" t="s">
        <v>4672</v>
      </c>
      <c r="E176" s="13" t="s">
        <v>4673</v>
      </c>
      <c r="F176" s="14" t="s">
        <v>4674</v>
      </c>
      <c r="G176" s="13"/>
      <c r="H176" s="13"/>
      <c r="I176" s="13"/>
      <c r="J176" s="14"/>
      <c r="K176" s="14"/>
      <c r="L176" s="13">
        <v>1</v>
      </c>
      <c r="M176" s="13"/>
      <c r="N176" s="13">
        <v>1</v>
      </c>
      <c r="O176" s="14" t="s">
        <v>76</v>
      </c>
      <c r="P176" s="14" t="s">
        <v>119</v>
      </c>
      <c r="Q176" s="14" t="s">
        <v>666</v>
      </c>
      <c r="R176" s="101">
        <v>1</v>
      </c>
      <c r="S176" s="14">
        <v>1</v>
      </c>
      <c r="T176" s="14">
        <v>1</v>
      </c>
      <c r="U176" s="14" t="s">
        <v>78</v>
      </c>
      <c r="V176" s="14">
        <f t="shared" si="46"/>
        <v>0.01</v>
      </c>
      <c r="W176" s="14">
        <f t="shared" si="47"/>
        <v>1664.9999999999998</v>
      </c>
      <c r="X176" s="17" t="s">
        <v>4675</v>
      </c>
      <c r="Y176" s="17"/>
      <c r="Z176" s="17"/>
      <c r="AA176" s="18">
        <v>96.15</v>
      </c>
      <c r="AB176" s="13" t="s">
        <v>4676</v>
      </c>
      <c r="AC176" s="13">
        <v>96.17</v>
      </c>
      <c r="AD176" s="13" t="s">
        <v>4677</v>
      </c>
      <c r="AE176" s="13">
        <v>96.12</v>
      </c>
      <c r="AF176" s="13" t="s">
        <v>4678</v>
      </c>
      <c r="AG176" s="13"/>
      <c r="AH176" s="13">
        <f>3/2</f>
        <v>1.5</v>
      </c>
      <c r="AI176" s="19">
        <f>(AA176-AC176)*W176</f>
        <v>-33.299999999993368</v>
      </c>
      <c r="AJ176" s="19">
        <f t="shared" ref="AJ176:AJ181" si="54">AI176*R176</f>
        <v>-33.299999999993368</v>
      </c>
      <c r="AK176" s="13" t="s">
        <v>4679</v>
      </c>
      <c r="AL176" s="13"/>
      <c r="AM176" s="13" t="s">
        <v>715</v>
      </c>
      <c r="AN176" s="13" t="s">
        <v>87</v>
      </c>
      <c r="AO176" s="13"/>
      <c r="AP176" s="20">
        <v>96.14</v>
      </c>
      <c r="AQ176" s="20">
        <f t="shared" si="51"/>
        <v>1.0000000000005116E-2</v>
      </c>
      <c r="AR176" s="94">
        <f t="shared" si="52"/>
        <v>16.650000000008514</v>
      </c>
      <c r="AS176" s="21">
        <f t="shared" si="53"/>
        <v>16.650000000008514</v>
      </c>
      <c r="AT176" s="22" t="s">
        <v>77</v>
      </c>
      <c r="AU176" s="13" t="s">
        <v>4680</v>
      </c>
      <c r="AV176" s="13" t="s">
        <v>4681</v>
      </c>
      <c r="AW176" s="13" t="s">
        <v>4682</v>
      </c>
      <c r="AX176" s="13" t="s">
        <v>4683</v>
      </c>
      <c r="AY176" s="13" t="s">
        <v>4684</v>
      </c>
      <c r="AZ176" s="13" t="s">
        <v>4685</v>
      </c>
    </row>
    <row r="177" spans="1:52" ht="12.75">
      <c r="A177" s="12">
        <v>44824</v>
      </c>
      <c r="B177" s="33">
        <v>0.58333333333333337</v>
      </c>
      <c r="C177" s="13" t="s">
        <v>128</v>
      </c>
      <c r="D177" s="17"/>
      <c r="E177" s="13"/>
      <c r="F177" s="14" t="s">
        <v>4504</v>
      </c>
      <c r="G177" s="13"/>
      <c r="H177" s="13"/>
      <c r="I177" s="13"/>
      <c r="J177" s="14"/>
      <c r="K177" s="14"/>
      <c r="L177" s="13">
        <v>2</v>
      </c>
      <c r="M177" s="13">
        <v>3</v>
      </c>
      <c r="N177" s="13"/>
      <c r="O177" s="14" t="s">
        <v>76</v>
      </c>
      <c r="P177" s="14" t="s">
        <v>77</v>
      </c>
      <c r="Q177" s="14" t="s">
        <v>238</v>
      </c>
      <c r="R177" s="14">
        <v>3</v>
      </c>
      <c r="S177" s="14">
        <v>3</v>
      </c>
      <c r="T177" s="14">
        <v>1</v>
      </c>
      <c r="U177" s="14" t="s">
        <v>22</v>
      </c>
      <c r="V177" s="14">
        <f t="shared" si="46"/>
        <v>0.01</v>
      </c>
      <c r="W177" s="14">
        <f t="shared" si="47"/>
        <v>1664.9999999999998</v>
      </c>
      <c r="X177" s="17"/>
      <c r="Y177" s="17"/>
      <c r="Z177" s="17" t="s">
        <v>4526</v>
      </c>
      <c r="AA177" s="18">
        <v>0.01</v>
      </c>
      <c r="AB177" s="13" t="s">
        <v>4686</v>
      </c>
      <c r="AC177" s="13" t="s">
        <v>4687</v>
      </c>
      <c r="AD177" s="13"/>
      <c r="AE177" s="13"/>
      <c r="AF177" s="13"/>
      <c r="AG177" s="13"/>
      <c r="AH177" s="13"/>
      <c r="AI177" s="19"/>
      <c r="AJ177" s="120">
        <f t="shared" si="54"/>
        <v>0</v>
      </c>
      <c r="AK177" s="13" t="s">
        <v>430</v>
      </c>
      <c r="AL177" s="13"/>
      <c r="AM177" s="13" t="s">
        <v>4688</v>
      </c>
      <c r="AN177" s="13" t="s">
        <v>77</v>
      </c>
      <c r="AO177" s="13" t="s">
        <v>4689</v>
      </c>
      <c r="AP177" s="20">
        <v>0.04</v>
      </c>
      <c r="AQ177" s="20">
        <f t="shared" si="51"/>
        <v>0.03</v>
      </c>
      <c r="AR177" s="94">
        <f t="shared" si="52"/>
        <v>149.84999999999997</v>
      </c>
      <c r="AS177" s="21">
        <f t="shared" si="53"/>
        <v>49.949999999999989</v>
      </c>
      <c r="AT177" s="22" t="s">
        <v>77</v>
      </c>
      <c r="AU177" s="13" t="s">
        <v>4690</v>
      </c>
      <c r="AV177" s="13"/>
      <c r="AW177" s="13"/>
      <c r="AX177" s="121" t="s">
        <v>4691</v>
      </c>
      <c r="AY177" s="13" t="s">
        <v>4692</v>
      </c>
      <c r="AZ177" s="13"/>
    </row>
    <row r="178" spans="1:52" ht="12.75">
      <c r="A178" s="12">
        <v>44825</v>
      </c>
      <c r="B178" s="13" t="s">
        <v>191</v>
      </c>
      <c r="C178" s="13" t="s">
        <v>133</v>
      </c>
      <c r="D178" s="17"/>
      <c r="E178" s="13"/>
      <c r="F178" s="14" t="s">
        <v>118</v>
      </c>
      <c r="G178" s="13"/>
      <c r="H178" s="13"/>
      <c r="I178" s="13"/>
      <c r="J178" s="14"/>
      <c r="K178" s="14"/>
      <c r="L178" s="13">
        <v>2</v>
      </c>
      <c r="M178" s="13"/>
      <c r="N178" s="13"/>
      <c r="O178" s="14" t="s">
        <v>76</v>
      </c>
      <c r="P178" s="14" t="s">
        <v>119</v>
      </c>
      <c r="Q178" s="14" t="s">
        <v>78</v>
      </c>
      <c r="R178" s="14">
        <v>3</v>
      </c>
      <c r="S178" s="14">
        <v>3</v>
      </c>
      <c r="T178" s="14">
        <v>3</v>
      </c>
      <c r="U178" s="14" t="s">
        <v>78</v>
      </c>
      <c r="V178" s="14">
        <f t="shared" si="46"/>
        <v>0.01</v>
      </c>
      <c r="W178" s="14">
        <f t="shared" si="47"/>
        <v>1664.9999999999998</v>
      </c>
      <c r="X178" s="17"/>
      <c r="Y178" s="17"/>
      <c r="Z178" s="17" t="s">
        <v>4693</v>
      </c>
      <c r="AA178" s="18">
        <v>96.147000000000006</v>
      </c>
      <c r="AB178" s="13"/>
      <c r="AC178" s="13"/>
      <c r="AD178" s="13"/>
      <c r="AE178" s="13"/>
      <c r="AF178" s="13"/>
      <c r="AG178" s="13" t="s">
        <v>4694</v>
      </c>
      <c r="AH178" s="13"/>
      <c r="AI178" s="19"/>
      <c r="AJ178" s="120">
        <f t="shared" si="54"/>
        <v>0</v>
      </c>
      <c r="AK178" s="13"/>
      <c r="AL178" s="13"/>
      <c r="AM178" s="13" t="s">
        <v>995</v>
      </c>
      <c r="AN178" s="13" t="s">
        <v>376</v>
      </c>
      <c r="AO178" s="13"/>
      <c r="AP178" s="20">
        <v>96.14</v>
      </c>
      <c r="AQ178" s="20">
        <f t="shared" si="51"/>
        <v>7.0000000000050022E-3</v>
      </c>
      <c r="AR178" s="94">
        <f t="shared" si="52"/>
        <v>34.965000000024979</v>
      </c>
      <c r="AS178" s="21">
        <f t="shared" si="53"/>
        <v>11.655000000008327</v>
      </c>
      <c r="AT178" s="22" t="s">
        <v>77</v>
      </c>
      <c r="AU178" s="13" t="s">
        <v>4695</v>
      </c>
      <c r="AV178" s="13"/>
      <c r="AW178" s="13"/>
      <c r="AX178" s="13" t="s">
        <v>4696</v>
      </c>
      <c r="AY178" s="13"/>
      <c r="AZ178" s="13"/>
    </row>
    <row r="179" spans="1:52" ht="12.75">
      <c r="A179" s="12">
        <v>44825</v>
      </c>
      <c r="B179" s="13" t="s">
        <v>4697</v>
      </c>
      <c r="C179" s="13" t="s">
        <v>133</v>
      </c>
      <c r="D179" s="17"/>
      <c r="E179" s="13"/>
      <c r="F179" s="14" t="s">
        <v>118</v>
      </c>
      <c r="G179" s="13"/>
      <c r="H179" s="13"/>
      <c r="I179" s="13"/>
      <c r="J179" s="14"/>
      <c r="K179" s="14"/>
      <c r="L179" s="13">
        <v>2</v>
      </c>
      <c r="M179" s="13"/>
      <c r="N179" s="13"/>
      <c r="O179" s="14" t="s">
        <v>76</v>
      </c>
      <c r="P179" s="14" t="s">
        <v>119</v>
      </c>
      <c r="Q179" s="14" t="s">
        <v>78</v>
      </c>
      <c r="R179" s="14">
        <v>3</v>
      </c>
      <c r="S179" s="14">
        <v>3</v>
      </c>
      <c r="T179" s="14">
        <v>3</v>
      </c>
      <c r="U179" s="14" t="s">
        <v>78</v>
      </c>
      <c r="V179" s="14">
        <f t="shared" si="46"/>
        <v>0.01</v>
      </c>
      <c r="W179" s="14">
        <f t="shared" si="47"/>
        <v>1664.9999999999998</v>
      </c>
      <c r="X179" s="17"/>
      <c r="Y179" s="17"/>
      <c r="Z179" s="17" t="s">
        <v>80</v>
      </c>
      <c r="AA179" s="18">
        <v>-0.03</v>
      </c>
      <c r="AB179" s="13"/>
      <c r="AC179" s="13"/>
      <c r="AD179" s="13"/>
      <c r="AE179" s="13"/>
      <c r="AF179" s="13"/>
      <c r="AG179" s="13"/>
      <c r="AH179" s="13"/>
      <c r="AI179" s="19"/>
      <c r="AJ179" s="120">
        <f t="shared" si="54"/>
        <v>0</v>
      </c>
      <c r="AK179" s="13"/>
      <c r="AL179" s="13"/>
      <c r="AM179" s="13" t="s">
        <v>4698</v>
      </c>
      <c r="AN179" s="13" t="s">
        <v>87</v>
      </c>
      <c r="AO179" s="13"/>
      <c r="AP179" s="20">
        <v>-0.04</v>
      </c>
      <c r="AQ179" s="20">
        <f t="shared" si="51"/>
        <v>1.0000000000000002E-2</v>
      </c>
      <c r="AR179" s="94">
        <f t="shared" si="52"/>
        <v>49.95</v>
      </c>
      <c r="AS179" s="21">
        <f t="shared" si="53"/>
        <v>16.650000000000002</v>
      </c>
      <c r="AT179" s="22" t="s">
        <v>77</v>
      </c>
      <c r="AU179" s="13" t="s">
        <v>4699</v>
      </c>
      <c r="AV179" s="13"/>
      <c r="AW179" s="13"/>
      <c r="AX179" s="13"/>
      <c r="AY179" s="13"/>
      <c r="AZ179" s="13"/>
    </row>
    <row r="180" spans="1:52" ht="12.75">
      <c r="A180" s="12">
        <v>44825</v>
      </c>
      <c r="B180" s="13" t="s">
        <v>4700</v>
      </c>
      <c r="C180" s="13" t="s">
        <v>133</v>
      </c>
      <c r="D180" s="17"/>
      <c r="E180" s="13"/>
      <c r="F180" s="14" t="s">
        <v>4701</v>
      </c>
      <c r="G180" s="13"/>
      <c r="H180" s="13"/>
      <c r="I180" s="13"/>
      <c r="J180" s="14"/>
      <c r="K180" s="14"/>
      <c r="L180" s="13"/>
      <c r="M180" s="13">
        <v>1</v>
      </c>
      <c r="N180" s="13"/>
      <c r="O180" s="14" t="s">
        <v>1039</v>
      </c>
      <c r="P180" s="14"/>
      <c r="Q180" s="14" t="s">
        <v>666</v>
      </c>
      <c r="R180" s="14">
        <v>1</v>
      </c>
      <c r="S180" s="14">
        <v>1</v>
      </c>
      <c r="T180" s="14">
        <v>1</v>
      </c>
      <c r="U180" s="14" t="s">
        <v>78</v>
      </c>
      <c r="V180" s="14">
        <f t="shared" si="46"/>
        <v>5.0000000000000001E-3</v>
      </c>
      <c r="W180" s="14">
        <f t="shared" si="47"/>
        <v>1726.0000000000002</v>
      </c>
      <c r="X180" s="17"/>
      <c r="Y180" s="17" t="s">
        <v>4702</v>
      </c>
      <c r="Z180" s="17"/>
      <c r="AA180" s="18">
        <v>96.94</v>
      </c>
      <c r="AB180" s="13"/>
      <c r="AC180" s="13" t="s">
        <v>4703</v>
      </c>
      <c r="AD180" s="13" t="s">
        <v>4704</v>
      </c>
      <c r="AE180" s="13">
        <v>96.885000000000005</v>
      </c>
      <c r="AF180" s="13" t="s">
        <v>4705</v>
      </c>
      <c r="AG180" s="13"/>
      <c r="AH180" s="13">
        <f>(AE180-AA180)/(AA180-96.965)</f>
        <v>2.1999999999992044</v>
      </c>
      <c r="AI180" s="19">
        <f>(AA180-96.965)*W180</f>
        <v>-43.150000000009818</v>
      </c>
      <c r="AJ180" s="122">
        <f t="shared" si="54"/>
        <v>-43.150000000009818</v>
      </c>
      <c r="AK180" s="13"/>
      <c r="AL180" s="13"/>
      <c r="AM180" s="13"/>
      <c r="AN180" s="13" t="s">
        <v>87</v>
      </c>
      <c r="AO180" s="13"/>
      <c r="AP180" s="20">
        <v>96.965000000000003</v>
      </c>
      <c r="AQ180" s="20">
        <f t="shared" si="51"/>
        <v>-2.5000000000005684E-2</v>
      </c>
      <c r="AR180" s="94">
        <f t="shared" si="52"/>
        <v>-43.150000000009818</v>
      </c>
      <c r="AS180" s="21">
        <f t="shared" si="53"/>
        <v>-43.150000000009818</v>
      </c>
      <c r="AT180" s="22" t="s">
        <v>211</v>
      </c>
      <c r="AU180" s="13" t="s">
        <v>4706</v>
      </c>
      <c r="AV180" s="13" t="s">
        <v>4707</v>
      </c>
      <c r="AW180" s="13" t="s">
        <v>4708</v>
      </c>
      <c r="AX180" s="13"/>
      <c r="AY180" s="13"/>
      <c r="AZ180" s="13"/>
    </row>
    <row r="181" spans="1:52" ht="12.75">
      <c r="A181" s="12">
        <v>44825</v>
      </c>
      <c r="B181" s="13" t="s">
        <v>4709</v>
      </c>
      <c r="C181" s="13" t="s">
        <v>133</v>
      </c>
      <c r="D181" s="17" t="s">
        <v>4710</v>
      </c>
      <c r="E181" s="13" t="s">
        <v>4711</v>
      </c>
      <c r="F181" s="14" t="s">
        <v>118</v>
      </c>
      <c r="G181" s="13"/>
      <c r="H181" s="13">
        <v>1</v>
      </c>
      <c r="I181" s="13"/>
      <c r="J181" s="14"/>
      <c r="K181" s="14"/>
      <c r="L181" s="13">
        <v>2</v>
      </c>
      <c r="M181" s="13"/>
      <c r="N181" s="13"/>
      <c r="O181" s="14" t="s">
        <v>76</v>
      </c>
      <c r="P181" s="14" t="s">
        <v>119</v>
      </c>
      <c r="Q181" s="14" t="s">
        <v>78</v>
      </c>
      <c r="R181" s="14">
        <v>3</v>
      </c>
      <c r="S181" s="14">
        <v>3</v>
      </c>
      <c r="T181" s="14">
        <v>3</v>
      </c>
      <c r="U181" s="14" t="s">
        <v>78</v>
      </c>
      <c r="V181" s="14">
        <f t="shared" si="46"/>
        <v>0.01</v>
      </c>
      <c r="W181" s="14">
        <f t="shared" si="47"/>
        <v>1664.9999999999998</v>
      </c>
      <c r="X181" s="17"/>
      <c r="Y181" s="17"/>
      <c r="Z181" s="17" t="s">
        <v>80</v>
      </c>
      <c r="AA181" s="18">
        <v>-0.03</v>
      </c>
      <c r="AB181" s="13"/>
      <c r="AC181" s="13"/>
      <c r="AD181" s="13"/>
      <c r="AE181" s="13"/>
      <c r="AF181" s="13"/>
      <c r="AG181" s="13"/>
      <c r="AH181" s="13"/>
      <c r="AI181" s="19"/>
      <c r="AJ181" s="120">
        <f t="shared" si="54"/>
        <v>0</v>
      </c>
      <c r="AK181" s="13"/>
      <c r="AL181" s="13"/>
      <c r="AM181" s="13" t="s">
        <v>4712</v>
      </c>
      <c r="AN181" s="13" t="s">
        <v>87</v>
      </c>
      <c r="AO181" s="13"/>
      <c r="AP181" s="20">
        <v>-0.04</v>
      </c>
      <c r="AQ181" s="20">
        <f t="shared" si="51"/>
        <v>1.0000000000000002E-2</v>
      </c>
      <c r="AR181" s="94">
        <f t="shared" si="52"/>
        <v>49.95</v>
      </c>
      <c r="AS181" s="21">
        <f t="shared" si="53"/>
        <v>16.650000000000002</v>
      </c>
      <c r="AT181" s="22" t="s">
        <v>77</v>
      </c>
      <c r="AU181" s="13"/>
      <c r="AV181" s="13"/>
      <c r="AW181" s="13"/>
      <c r="AX181" s="13"/>
      <c r="AY181" s="13"/>
      <c r="AZ181" s="13"/>
    </row>
    <row r="182" spans="1:52" ht="12.75">
      <c r="A182" s="12">
        <v>44826</v>
      </c>
      <c r="B182" s="13"/>
      <c r="C182" s="13"/>
      <c r="D182" s="17" t="s">
        <v>4713</v>
      </c>
      <c r="E182" s="13" t="s">
        <v>4714</v>
      </c>
      <c r="F182" s="14"/>
      <c r="G182" s="13"/>
      <c r="H182" s="13"/>
      <c r="I182" s="13">
        <v>1</v>
      </c>
      <c r="J182" s="14"/>
      <c r="K182" s="14"/>
      <c r="L182" s="13"/>
      <c r="M182" s="13"/>
      <c r="N182" s="13"/>
      <c r="O182" s="14"/>
      <c r="P182" s="14"/>
      <c r="Q182" s="14"/>
      <c r="R182" s="14"/>
      <c r="S182" s="14"/>
      <c r="T182" s="14"/>
      <c r="U182" s="14"/>
      <c r="V182" s="14"/>
      <c r="W182" s="14"/>
      <c r="X182" s="17"/>
      <c r="Y182" s="17"/>
      <c r="Z182" s="17"/>
      <c r="AA182" s="18"/>
      <c r="AB182" s="13"/>
      <c r="AC182" s="13"/>
      <c r="AD182" s="13"/>
      <c r="AE182" s="13"/>
      <c r="AF182" s="13"/>
      <c r="AG182" s="13"/>
      <c r="AH182" s="13"/>
      <c r="AI182" s="19"/>
      <c r="AJ182" s="14"/>
      <c r="AK182" s="13"/>
      <c r="AL182" s="13"/>
      <c r="AM182" s="13"/>
      <c r="AN182" s="13"/>
      <c r="AO182" s="13"/>
      <c r="AP182" s="20"/>
      <c r="AQ182" s="13"/>
      <c r="AR182" s="94"/>
      <c r="AS182" s="21"/>
      <c r="AT182" s="22"/>
      <c r="AU182" s="13"/>
      <c r="AV182" s="13"/>
      <c r="AW182" s="13"/>
      <c r="AX182" s="13"/>
      <c r="AY182" s="13"/>
      <c r="AZ182" s="13"/>
    </row>
    <row r="183" spans="1:52" ht="12.75">
      <c r="A183" s="12">
        <v>44827</v>
      </c>
      <c r="B183" s="13" t="s">
        <v>3488</v>
      </c>
      <c r="C183" s="13" t="s">
        <v>93</v>
      </c>
      <c r="D183" s="17"/>
      <c r="E183" s="13"/>
      <c r="F183" s="14" t="s">
        <v>118</v>
      </c>
      <c r="G183" s="13"/>
      <c r="H183" s="13"/>
      <c r="I183" s="13"/>
      <c r="J183" s="14"/>
      <c r="K183" s="14"/>
      <c r="L183" s="13">
        <v>1</v>
      </c>
      <c r="M183" s="13"/>
      <c r="N183" s="13"/>
      <c r="O183" s="14" t="s">
        <v>76</v>
      </c>
      <c r="P183" s="14" t="s">
        <v>119</v>
      </c>
      <c r="Q183" s="14" t="s">
        <v>78</v>
      </c>
      <c r="R183" s="14">
        <v>1</v>
      </c>
      <c r="S183" s="14">
        <v>1</v>
      </c>
      <c r="T183" s="14">
        <v>1</v>
      </c>
      <c r="U183" s="14" t="s">
        <v>78</v>
      </c>
      <c r="V183" s="14">
        <f t="shared" ref="V183:V211" si="55">IF(ISBLANK(O183),,(IF(O183=UPPER("IB"),0.005,0.01)))</f>
        <v>0.01</v>
      </c>
      <c r="W183" s="14">
        <f t="shared" ref="W183:W211" si="56">IF(ISBLANK(O183),,IF(O183=UPPER("IB"),8.63*200,16.65*100))</f>
        <v>1664.9999999999998</v>
      </c>
      <c r="X183" s="17"/>
      <c r="Y183" s="17"/>
      <c r="Z183" s="17" t="s">
        <v>80</v>
      </c>
      <c r="AA183" s="18">
        <v>-0.03</v>
      </c>
      <c r="AB183" s="13"/>
      <c r="AC183" s="13"/>
      <c r="AD183" s="13"/>
      <c r="AE183" s="13"/>
      <c r="AF183" s="13"/>
      <c r="AG183" s="13"/>
      <c r="AH183" s="13"/>
      <c r="AI183" s="19"/>
      <c r="AJ183" s="14"/>
      <c r="AK183" s="13"/>
      <c r="AL183" s="13"/>
      <c r="AM183" s="13" t="s">
        <v>4715</v>
      </c>
      <c r="AN183" s="13" t="s">
        <v>97</v>
      </c>
      <c r="AO183" s="13" t="s">
        <v>4716</v>
      </c>
      <c r="AP183" s="20">
        <v>-0.05</v>
      </c>
      <c r="AQ183" s="20">
        <f t="shared" ref="AQ183:AQ211" si="57">IF(ISBLANK(AP183),,IF(U183="S",AA183-AP183,AP183-AA183))</f>
        <v>2.0000000000000004E-2</v>
      </c>
      <c r="AR183" s="94">
        <f t="shared" ref="AR183:AR211" si="58">AS183*R183</f>
        <v>33.300000000000004</v>
      </c>
      <c r="AS183" s="21">
        <f t="shared" ref="AS183:AS211" si="59">IF(ISBLANK(AP183),,(AQ183*W183))</f>
        <v>33.300000000000004</v>
      </c>
      <c r="AT183" s="22" t="s">
        <v>77</v>
      </c>
      <c r="AU183" s="13" t="s">
        <v>4717</v>
      </c>
      <c r="AV183" s="13"/>
      <c r="AW183" s="13"/>
      <c r="AX183" s="13"/>
      <c r="AY183" s="13"/>
      <c r="AZ183" s="13"/>
    </row>
    <row r="184" spans="1:52" ht="12.75">
      <c r="A184" s="12">
        <v>44827</v>
      </c>
      <c r="B184" s="13" t="s">
        <v>4718</v>
      </c>
      <c r="C184" s="13" t="s">
        <v>93</v>
      </c>
      <c r="D184" s="17"/>
      <c r="E184" s="13"/>
      <c r="F184" s="14" t="s">
        <v>4504</v>
      </c>
      <c r="G184" s="13"/>
      <c r="H184" s="13"/>
      <c r="I184" s="13"/>
      <c r="J184" s="14"/>
      <c r="K184" s="14"/>
      <c r="L184" s="13">
        <v>1</v>
      </c>
      <c r="M184" s="13">
        <v>3</v>
      </c>
      <c r="N184" s="13"/>
      <c r="O184" s="14" t="s">
        <v>76</v>
      </c>
      <c r="P184" s="14" t="s">
        <v>77</v>
      </c>
      <c r="Q184" s="14" t="s">
        <v>238</v>
      </c>
      <c r="R184" s="14">
        <v>3</v>
      </c>
      <c r="S184" s="14">
        <v>3</v>
      </c>
      <c r="T184" s="14">
        <v>3</v>
      </c>
      <c r="U184" s="14" t="s">
        <v>22</v>
      </c>
      <c r="V184" s="14">
        <f t="shared" si="55"/>
        <v>0.01</v>
      </c>
      <c r="W184" s="14">
        <f t="shared" si="56"/>
        <v>1664.9999999999998</v>
      </c>
      <c r="X184" s="17"/>
      <c r="Y184" s="17"/>
      <c r="Z184" s="17" t="s">
        <v>4526</v>
      </c>
      <c r="AA184" s="18">
        <v>0.01</v>
      </c>
      <c r="AB184" s="13"/>
      <c r="AC184" s="13"/>
      <c r="AD184" s="13"/>
      <c r="AE184" s="13"/>
      <c r="AF184" s="13"/>
      <c r="AG184" s="13"/>
      <c r="AH184" s="13"/>
      <c r="AI184" s="19"/>
      <c r="AJ184" s="14"/>
      <c r="AK184" s="13"/>
      <c r="AL184" s="13"/>
      <c r="AM184" s="13" t="s">
        <v>4688</v>
      </c>
      <c r="AN184" s="13" t="s">
        <v>77</v>
      </c>
      <c r="AO184" s="13" t="s">
        <v>4719</v>
      </c>
      <c r="AP184" s="20">
        <v>0.04</v>
      </c>
      <c r="AQ184" s="20">
        <f t="shared" si="57"/>
        <v>0.03</v>
      </c>
      <c r="AR184" s="94">
        <f t="shared" si="58"/>
        <v>149.84999999999997</v>
      </c>
      <c r="AS184" s="21">
        <f t="shared" si="59"/>
        <v>49.949999999999989</v>
      </c>
      <c r="AT184" s="22" t="s">
        <v>77</v>
      </c>
      <c r="AU184" s="13" t="s">
        <v>4720</v>
      </c>
      <c r="AV184" s="13"/>
      <c r="AW184" s="13"/>
      <c r="AX184" s="13"/>
      <c r="AY184" s="13"/>
      <c r="AZ184" s="13"/>
    </row>
    <row r="185" spans="1:52" ht="12.75">
      <c r="A185" s="12">
        <v>44827</v>
      </c>
      <c r="B185" s="13" t="s">
        <v>4721</v>
      </c>
      <c r="C185" s="123" t="s">
        <v>93</v>
      </c>
      <c r="D185" s="17"/>
      <c r="E185" s="13"/>
      <c r="F185" s="14" t="s">
        <v>4504</v>
      </c>
      <c r="G185" s="13"/>
      <c r="H185" s="13"/>
      <c r="I185" s="13"/>
      <c r="J185" s="14"/>
      <c r="K185" s="14"/>
      <c r="L185" s="13">
        <v>1</v>
      </c>
      <c r="M185" s="13">
        <v>3</v>
      </c>
      <c r="N185" s="13"/>
      <c r="O185" s="14" t="s">
        <v>76</v>
      </c>
      <c r="P185" s="14" t="s">
        <v>77</v>
      </c>
      <c r="Q185" s="14" t="s">
        <v>238</v>
      </c>
      <c r="R185" s="14">
        <v>3</v>
      </c>
      <c r="S185" s="14">
        <v>3</v>
      </c>
      <c r="T185" s="14">
        <v>3</v>
      </c>
      <c r="U185" s="14" t="s">
        <v>22</v>
      </c>
      <c r="V185" s="14">
        <f t="shared" si="55"/>
        <v>0.01</v>
      </c>
      <c r="W185" s="14">
        <f t="shared" si="56"/>
        <v>1664.9999999999998</v>
      </c>
      <c r="X185" s="17"/>
      <c r="Y185" s="17"/>
      <c r="Z185" s="17" t="s">
        <v>4526</v>
      </c>
      <c r="AA185" s="18">
        <v>0.01</v>
      </c>
      <c r="AB185" s="13"/>
      <c r="AC185" s="13"/>
      <c r="AD185" s="13"/>
      <c r="AE185" s="13"/>
      <c r="AF185" s="13"/>
      <c r="AG185" s="13"/>
      <c r="AH185" s="13"/>
      <c r="AI185" s="19"/>
      <c r="AJ185" s="14"/>
      <c r="AK185" s="13"/>
      <c r="AL185" s="13"/>
      <c r="AM185" s="13" t="s">
        <v>4688</v>
      </c>
      <c r="AN185" s="13" t="s">
        <v>77</v>
      </c>
      <c r="AO185" s="13" t="s">
        <v>4719</v>
      </c>
      <c r="AP185" s="20">
        <v>0.06</v>
      </c>
      <c r="AQ185" s="20">
        <f t="shared" si="57"/>
        <v>4.9999999999999996E-2</v>
      </c>
      <c r="AR185" s="94">
        <f t="shared" si="58"/>
        <v>249.74999999999994</v>
      </c>
      <c r="AS185" s="21">
        <f t="shared" si="59"/>
        <v>83.249999999999986</v>
      </c>
      <c r="AT185" s="22" t="s">
        <v>77</v>
      </c>
      <c r="AU185" s="13" t="s">
        <v>4722</v>
      </c>
      <c r="AV185" s="13" t="s">
        <v>4723</v>
      </c>
      <c r="AW185" s="13"/>
      <c r="AX185" s="13" t="s">
        <v>4724</v>
      </c>
      <c r="AY185" s="13" t="s">
        <v>4725</v>
      </c>
      <c r="AZ185" s="13"/>
    </row>
    <row r="186" spans="1:52" ht="12.75">
      <c r="A186" s="12">
        <v>44827</v>
      </c>
      <c r="B186" s="13" t="s">
        <v>3401</v>
      </c>
      <c r="C186" s="123" t="s">
        <v>93</v>
      </c>
      <c r="D186" s="17"/>
      <c r="E186" s="13"/>
      <c r="F186" s="14" t="s">
        <v>118</v>
      </c>
      <c r="G186" s="13"/>
      <c r="H186" s="13"/>
      <c r="I186" s="13"/>
      <c r="J186" s="14"/>
      <c r="K186" s="14"/>
      <c r="L186" s="13">
        <v>1</v>
      </c>
      <c r="M186" s="13"/>
      <c r="N186" s="13"/>
      <c r="O186" s="14" t="s">
        <v>76</v>
      </c>
      <c r="P186" s="14" t="s">
        <v>119</v>
      </c>
      <c r="Q186" s="14" t="s">
        <v>78</v>
      </c>
      <c r="R186" s="14">
        <v>3</v>
      </c>
      <c r="S186" s="14">
        <v>3</v>
      </c>
      <c r="T186" s="14">
        <v>3</v>
      </c>
      <c r="U186" s="14" t="s">
        <v>22</v>
      </c>
      <c r="V186" s="14">
        <f t="shared" si="55"/>
        <v>0.01</v>
      </c>
      <c r="W186" s="14">
        <f t="shared" si="56"/>
        <v>1664.9999999999998</v>
      </c>
      <c r="X186" s="17"/>
      <c r="Y186" s="17"/>
      <c r="Z186" s="17" t="s">
        <v>80</v>
      </c>
      <c r="AA186" s="18">
        <v>-0.06</v>
      </c>
      <c r="AB186" s="13"/>
      <c r="AC186" s="13"/>
      <c r="AD186" s="13"/>
      <c r="AE186" s="13"/>
      <c r="AF186" s="13"/>
      <c r="AG186" s="13" t="s">
        <v>4726</v>
      </c>
      <c r="AH186" s="13"/>
      <c r="AI186" s="19"/>
      <c r="AJ186" s="14"/>
      <c r="AK186" s="13"/>
      <c r="AL186" s="13"/>
      <c r="AM186" s="13" t="s">
        <v>4727</v>
      </c>
      <c r="AN186" s="13" t="s">
        <v>87</v>
      </c>
      <c r="AO186" s="13"/>
      <c r="AP186" s="20">
        <v>-0.05</v>
      </c>
      <c r="AQ186" s="20">
        <f t="shared" si="57"/>
        <v>9.999999999999995E-3</v>
      </c>
      <c r="AR186" s="94">
        <f t="shared" si="58"/>
        <v>49.94999999999996</v>
      </c>
      <c r="AS186" s="21">
        <f t="shared" si="59"/>
        <v>16.649999999999988</v>
      </c>
      <c r="AT186" s="22" t="s">
        <v>77</v>
      </c>
      <c r="AU186" s="13" t="s">
        <v>4728</v>
      </c>
      <c r="AV186" s="13" t="s">
        <v>4729</v>
      </c>
      <c r="AW186" s="13" t="s">
        <v>4730</v>
      </c>
      <c r="AX186" s="13" t="s">
        <v>4731</v>
      </c>
      <c r="AY186" s="13" t="s">
        <v>4732</v>
      </c>
      <c r="AZ186" s="13" t="s">
        <v>4733</v>
      </c>
    </row>
    <row r="187" spans="1:52" ht="12.75">
      <c r="A187" s="12">
        <v>44827</v>
      </c>
      <c r="B187" s="13" t="s">
        <v>3401</v>
      </c>
      <c r="C187" s="13" t="s">
        <v>93</v>
      </c>
      <c r="D187" s="17"/>
      <c r="E187" s="13"/>
      <c r="F187" s="14" t="s">
        <v>118</v>
      </c>
      <c r="G187" s="13"/>
      <c r="H187" s="13"/>
      <c r="I187" s="13"/>
      <c r="J187" s="14"/>
      <c r="K187" s="14"/>
      <c r="L187" s="13">
        <v>1</v>
      </c>
      <c r="M187" s="13"/>
      <c r="N187" s="13"/>
      <c r="O187" s="14" t="s">
        <v>76</v>
      </c>
      <c r="P187" s="14" t="s">
        <v>119</v>
      </c>
      <c r="Q187" s="14" t="s">
        <v>78</v>
      </c>
      <c r="R187" s="14">
        <v>3</v>
      </c>
      <c r="S187" s="14">
        <v>3</v>
      </c>
      <c r="T187" s="14">
        <v>3</v>
      </c>
      <c r="U187" s="14" t="s">
        <v>22</v>
      </c>
      <c r="V187" s="14">
        <f t="shared" si="55"/>
        <v>0.01</v>
      </c>
      <c r="W187" s="14">
        <f t="shared" si="56"/>
        <v>1664.9999999999998</v>
      </c>
      <c r="X187" s="17"/>
      <c r="Y187" s="17"/>
      <c r="Z187" s="17" t="s">
        <v>80</v>
      </c>
      <c r="AA187" s="18">
        <v>-0.06</v>
      </c>
      <c r="AB187" s="13"/>
      <c r="AC187" s="13"/>
      <c r="AD187" s="13"/>
      <c r="AE187" s="13"/>
      <c r="AF187" s="13"/>
      <c r="AG187" s="13"/>
      <c r="AH187" s="13"/>
      <c r="AI187" s="19"/>
      <c r="AJ187" s="14"/>
      <c r="AK187" s="13"/>
      <c r="AL187" s="13"/>
      <c r="AM187" s="13" t="s">
        <v>4734</v>
      </c>
      <c r="AN187" s="13" t="s">
        <v>97</v>
      </c>
      <c r="AO187" s="13"/>
      <c r="AP187" s="20">
        <v>-0.06</v>
      </c>
      <c r="AQ187" s="20">
        <f t="shared" si="57"/>
        <v>0</v>
      </c>
      <c r="AR187" s="94">
        <f t="shared" si="58"/>
        <v>0</v>
      </c>
      <c r="AS187" s="21">
        <f t="shared" si="59"/>
        <v>0</v>
      </c>
      <c r="AT187" s="22"/>
      <c r="AU187" s="13" t="s">
        <v>4735</v>
      </c>
      <c r="AV187" s="13" t="s">
        <v>4736</v>
      </c>
      <c r="AX187" s="13"/>
      <c r="AY187" s="13"/>
      <c r="AZ187" s="13"/>
    </row>
    <row r="188" spans="1:52" ht="12.75">
      <c r="A188" s="12">
        <v>44827</v>
      </c>
      <c r="B188" s="13" t="s">
        <v>3149</v>
      </c>
      <c r="C188" s="13" t="s">
        <v>93</v>
      </c>
      <c r="D188" s="17"/>
      <c r="E188" s="13"/>
      <c r="F188" s="36" t="s">
        <v>2264</v>
      </c>
      <c r="G188" s="13"/>
      <c r="H188" s="13"/>
      <c r="I188" s="13"/>
      <c r="J188" s="14"/>
      <c r="K188" s="14"/>
      <c r="L188" s="13"/>
      <c r="M188" s="13">
        <v>1</v>
      </c>
      <c r="N188" s="13"/>
      <c r="O188" s="14" t="s">
        <v>76</v>
      </c>
      <c r="P188" s="14" t="s">
        <v>77</v>
      </c>
      <c r="Q188" s="14" t="s">
        <v>238</v>
      </c>
      <c r="R188" s="14">
        <v>1</v>
      </c>
      <c r="S188" s="14">
        <v>1</v>
      </c>
      <c r="T188" s="14">
        <v>1</v>
      </c>
      <c r="U188" s="14" t="s">
        <v>22</v>
      </c>
      <c r="V188" s="14">
        <f t="shared" si="55"/>
        <v>0.01</v>
      </c>
      <c r="W188" s="14">
        <f t="shared" si="56"/>
        <v>1664.9999999999998</v>
      </c>
      <c r="X188" s="17"/>
      <c r="Y188" s="17"/>
      <c r="Z188" s="17" t="s">
        <v>4737</v>
      </c>
      <c r="AA188" s="18">
        <v>0.01</v>
      </c>
      <c r="AB188" s="13"/>
      <c r="AC188" s="13"/>
      <c r="AD188" s="13"/>
      <c r="AE188" s="13"/>
      <c r="AF188" s="13"/>
      <c r="AG188" s="13" t="s">
        <v>4738</v>
      </c>
      <c r="AH188" s="13"/>
      <c r="AI188" s="19"/>
      <c r="AJ188" s="14"/>
      <c r="AK188" s="13"/>
      <c r="AL188" s="13"/>
      <c r="AM188" s="13" t="s">
        <v>4739</v>
      </c>
      <c r="AN188" s="13" t="s">
        <v>97</v>
      </c>
      <c r="AO188" s="13" t="s">
        <v>4740</v>
      </c>
      <c r="AP188" s="20">
        <v>0.05</v>
      </c>
      <c r="AQ188" s="20">
        <f t="shared" si="57"/>
        <v>0.04</v>
      </c>
      <c r="AR188" s="94">
        <f t="shared" si="58"/>
        <v>66.599999999999994</v>
      </c>
      <c r="AS188" s="21">
        <f t="shared" si="59"/>
        <v>66.599999999999994</v>
      </c>
      <c r="AT188" s="22" t="s">
        <v>77</v>
      </c>
      <c r="AU188" s="13" t="s">
        <v>4741</v>
      </c>
      <c r="AV188" s="13"/>
      <c r="AW188" s="13"/>
      <c r="AX188" s="13"/>
      <c r="AY188" s="13"/>
      <c r="AZ188" s="13"/>
    </row>
    <row r="189" spans="1:52" ht="12.75">
      <c r="A189" s="12">
        <v>44830</v>
      </c>
      <c r="B189" s="13" t="s">
        <v>4742</v>
      </c>
      <c r="C189" s="13" t="s">
        <v>114</v>
      </c>
      <c r="D189" s="17"/>
      <c r="E189" s="13"/>
      <c r="F189" s="14" t="s">
        <v>4315</v>
      </c>
      <c r="G189" s="13"/>
      <c r="H189" s="13"/>
      <c r="I189" s="13"/>
      <c r="J189" s="14"/>
      <c r="K189" s="14"/>
      <c r="L189" s="13">
        <v>1</v>
      </c>
      <c r="M189" s="13"/>
      <c r="N189" s="13"/>
      <c r="O189" s="14" t="s">
        <v>76</v>
      </c>
      <c r="P189" s="14" t="s">
        <v>77</v>
      </c>
      <c r="Q189" s="14" t="s">
        <v>238</v>
      </c>
      <c r="R189" s="14">
        <v>1</v>
      </c>
      <c r="S189" s="14">
        <v>1</v>
      </c>
      <c r="T189" s="14">
        <v>1</v>
      </c>
      <c r="U189" s="14" t="s">
        <v>22</v>
      </c>
      <c r="V189" s="14">
        <f t="shared" si="55"/>
        <v>0.01</v>
      </c>
      <c r="W189" s="14">
        <f t="shared" si="56"/>
        <v>1664.9999999999998</v>
      </c>
      <c r="X189" s="17"/>
      <c r="Y189" s="17"/>
      <c r="Z189" s="17" t="s">
        <v>4743</v>
      </c>
      <c r="AA189" s="18">
        <v>0.43</v>
      </c>
      <c r="AB189" s="13"/>
      <c r="AC189" s="13"/>
      <c r="AD189" s="13"/>
      <c r="AE189" s="13"/>
      <c r="AF189" s="13"/>
      <c r="AG189" s="13"/>
      <c r="AH189" s="13"/>
      <c r="AI189" s="19"/>
      <c r="AJ189" s="14"/>
      <c r="AK189" s="13"/>
      <c r="AL189" s="13"/>
      <c r="AM189" s="13" t="s">
        <v>4744</v>
      </c>
      <c r="AN189" s="13" t="s">
        <v>87</v>
      </c>
      <c r="AO189" s="13"/>
      <c r="AP189" s="20">
        <v>0.45</v>
      </c>
      <c r="AQ189" s="20">
        <f t="shared" si="57"/>
        <v>2.0000000000000018E-2</v>
      </c>
      <c r="AR189" s="94">
        <f t="shared" si="58"/>
        <v>33.300000000000026</v>
      </c>
      <c r="AS189" s="21">
        <f t="shared" si="59"/>
        <v>33.300000000000026</v>
      </c>
      <c r="AT189" s="22" t="s">
        <v>77</v>
      </c>
      <c r="AU189" s="13" t="s">
        <v>4745</v>
      </c>
      <c r="AV189" s="13" t="s">
        <v>4746</v>
      </c>
      <c r="AW189" s="13" t="s">
        <v>4747</v>
      </c>
      <c r="AX189" s="13"/>
      <c r="AY189" s="13"/>
      <c r="AZ189" s="13"/>
    </row>
    <row r="190" spans="1:52" ht="12.75">
      <c r="A190" s="12">
        <v>44830</v>
      </c>
      <c r="B190" s="13" t="s">
        <v>715</v>
      </c>
      <c r="C190" s="13" t="s">
        <v>114</v>
      </c>
      <c r="D190" s="17"/>
      <c r="E190" s="13"/>
      <c r="F190" s="14" t="s">
        <v>118</v>
      </c>
      <c r="G190" s="13"/>
      <c r="H190" s="13"/>
      <c r="I190" s="13"/>
      <c r="J190" s="14"/>
      <c r="K190" s="14"/>
      <c r="L190" s="13">
        <v>1</v>
      </c>
      <c r="M190" s="13"/>
      <c r="N190" s="13"/>
      <c r="O190" s="14" t="s">
        <v>76</v>
      </c>
      <c r="P190" s="14" t="s">
        <v>119</v>
      </c>
      <c r="Q190" s="14" t="s">
        <v>78</v>
      </c>
      <c r="R190" s="14">
        <v>3</v>
      </c>
      <c r="S190" s="14">
        <v>3</v>
      </c>
      <c r="T190" s="14">
        <v>3</v>
      </c>
      <c r="U190" s="14" t="s">
        <v>78</v>
      </c>
      <c r="V190" s="14">
        <f t="shared" si="55"/>
        <v>0.01</v>
      </c>
      <c r="W190" s="14">
        <f t="shared" si="56"/>
        <v>1664.9999999999998</v>
      </c>
      <c r="X190" s="17"/>
      <c r="Y190" s="17"/>
      <c r="Z190" s="17" t="s">
        <v>4748</v>
      </c>
      <c r="AA190" s="18">
        <v>-0.06</v>
      </c>
      <c r="AB190" s="13"/>
      <c r="AC190" s="13"/>
      <c r="AD190" s="13"/>
      <c r="AE190" s="13"/>
      <c r="AF190" s="13"/>
      <c r="AG190" s="13" t="s">
        <v>4749</v>
      </c>
      <c r="AH190" s="13"/>
      <c r="AI190" s="19"/>
      <c r="AJ190" s="14"/>
      <c r="AK190" s="13"/>
      <c r="AL190" s="13"/>
      <c r="AM190" s="13" t="s">
        <v>4750</v>
      </c>
      <c r="AN190" s="13" t="s">
        <v>87</v>
      </c>
      <c r="AO190" s="13"/>
      <c r="AP190" s="20">
        <v>-7.0000000000000007E-2</v>
      </c>
      <c r="AQ190" s="20">
        <f t="shared" si="57"/>
        <v>1.0000000000000009E-2</v>
      </c>
      <c r="AR190" s="94">
        <f t="shared" si="58"/>
        <v>49.950000000000038</v>
      </c>
      <c r="AS190" s="21">
        <f t="shared" si="59"/>
        <v>16.650000000000013</v>
      </c>
      <c r="AT190" s="22" t="s">
        <v>77</v>
      </c>
      <c r="AU190" s="13" t="s">
        <v>4751</v>
      </c>
      <c r="AV190" s="13"/>
      <c r="AW190" s="13"/>
      <c r="AX190" s="13"/>
      <c r="AY190" s="13"/>
      <c r="AZ190" s="13"/>
    </row>
    <row r="191" spans="1:52" ht="12.75">
      <c r="A191" s="12">
        <v>44830</v>
      </c>
      <c r="B191" s="13" t="s">
        <v>4752</v>
      </c>
      <c r="C191" s="13" t="s">
        <v>114</v>
      </c>
      <c r="D191" s="17"/>
      <c r="E191" s="13"/>
      <c r="F191" s="14" t="s">
        <v>2549</v>
      </c>
      <c r="G191" s="13"/>
      <c r="H191" s="13"/>
      <c r="I191" s="13"/>
      <c r="J191" s="14"/>
      <c r="K191" s="14"/>
      <c r="L191" s="13">
        <v>1</v>
      </c>
      <c r="M191" s="13">
        <v>1</v>
      </c>
      <c r="N191" s="13"/>
      <c r="O191" s="14" t="s">
        <v>76</v>
      </c>
      <c r="P191" s="14" t="s">
        <v>119</v>
      </c>
      <c r="Q191" s="14" t="s">
        <v>238</v>
      </c>
      <c r="R191" s="14">
        <v>2</v>
      </c>
      <c r="S191" s="14">
        <v>2</v>
      </c>
      <c r="T191" s="14">
        <v>2</v>
      </c>
      <c r="U191" s="14" t="s">
        <v>78</v>
      </c>
      <c r="V191" s="14">
        <f t="shared" si="55"/>
        <v>0.01</v>
      </c>
      <c r="W191" s="14">
        <f t="shared" si="56"/>
        <v>1664.9999999999998</v>
      </c>
      <c r="X191" s="17"/>
      <c r="Y191" s="17"/>
      <c r="Z191" s="17" t="s">
        <v>4753</v>
      </c>
      <c r="AA191" s="18">
        <v>0</v>
      </c>
      <c r="AB191" s="13"/>
      <c r="AC191" s="13"/>
      <c r="AD191" s="13"/>
      <c r="AE191" s="13"/>
      <c r="AF191" s="13"/>
      <c r="AG191" s="13" t="s">
        <v>4754</v>
      </c>
      <c r="AH191" s="13"/>
      <c r="AI191" s="19"/>
      <c r="AJ191" s="14"/>
      <c r="AK191" s="13"/>
      <c r="AL191" s="13"/>
      <c r="AM191" s="13"/>
      <c r="AN191" s="13"/>
      <c r="AO191" s="13"/>
      <c r="AP191" s="20"/>
      <c r="AQ191" s="13">
        <f t="shared" si="57"/>
        <v>0</v>
      </c>
      <c r="AR191" s="94">
        <f t="shared" si="58"/>
        <v>0</v>
      </c>
      <c r="AS191" s="21">
        <f t="shared" si="59"/>
        <v>0</v>
      </c>
      <c r="AT191" s="22"/>
      <c r="AU191" s="13" t="s">
        <v>4755</v>
      </c>
      <c r="AV191" s="13" t="s">
        <v>4756</v>
      </c>
      <c r="AW191" s="13" t="s">
        <v>4757</v>
      </c>
      <c r="AX191" s="13" t="s">
        <v>4758</v>
      </c>
      <c r="AY191" s="13" t="s">
        <v>4759</v>
      </c>
      <c r="AZ191" s="13"/>
    </row>
    <row r="192" spans="1:52" ht="12.75">
      <c r="A192" s="12">
        <v>44830</v>
      </c>
      <c r="B192" s="13" t="s">
        <v>4760</v>
      </c>
      <c r="C192" s="13" t="s">
        <v>114</v>
      </c>
      <c r="D192" s="17"/>
      <c r="E192" s="13"/>
      <c r="F192" s="14" t="s">
        <v>118</v>
      </c>
      <c r="G192" s="13"/>
      <c r="H192" s="13"/>
      <c r="I192" s="13"/>
      <c r="J192" s="14"/>
      <c r="K192" s="14"/>
      <c r="L192" s="13">
        <v>1</v>
      </c>
      <c r="M192" s="13"/>
      <c r="N192" s="13"/>
      <c r="O192" s="14" t="s">
        <v>76</v>
      </c>
      <c r="P192" s="14" t="s">
        <v>119</v>
      </c>
      <c r="Q192" s="14" t="s">
        <v>78</v>
      </c>
      <c r="R192" s="14">
        <v>3</v>
      </c>
      <c r="S192" s="14">
        <v>3</v>
      </c>
      <c r="T192" s="14">
        <v>3</v>
      </c>
      <c r="U192" s="14" t="s">
        <v>22</v>
      </c>
      <c r="V192" s="14">
        <f t="shared" si="55"/>
        <v>0.01</v>
      </c>
      <c r="W192" s="14">
        <f t="shared" si="56"/>
        <v>1664.9999999999998</v>
      </c>
      <c r="X192" s="17"/>
      <c r="Y192" s="17"/>
      <c r="Z192" s="17" t="s">
        <v>4761</v>
      </c>
      <c r="AA192" s="18">
        <v>-7.0000000000000007E-2</v>
      </c>
      <c r="AB192" s="13"/>
      <c r="AC192" s="13"/>
      <c r="AD192" s="13"/>
      <c r="AE192" s="13"/>
      <c r="AF192" s="13"/>
      <c r="AG192" s="13"/>
      <c r="AH192" s="13"/>
      <c r="AI192" s="19"/>
      <c r="AJ192" s="14"/>
      <c r="AK192" s="13"/>
      <c r="AL192" s="13"/>
      <c r="AM192" s="13" t="s">
        <v>4762</v>
      </c>
      <c r="AN192" s="13" t="s">
        <v>87</v>
      </c>
      <c r="AO192" s="13"/>
      <c r="AP192" s="20">
        <v>-0.06</v>
      </c>
      <c r="AQ192" s="20">
        <f t="shared" si="57"/>
        <v>1.0000000000000009E-2</v>
      </c>
      <c r="AR192" s="94">
        <f t="shared" si="58"/>
        <v>49.950000000000038</v>
      </c>
      <c r="AS192" s="21">
        <f t="shared" si="59"/>
        <v>16.650000000000013</v>
      </c>
      <c r="AT192" s="22" t="s">
        <v>77</v>
      </c>
      <c r="AU192" s="13" t="s">
        <v>4755</v>
      </c>
      <c r="AV192" s="13" t="s">
        <v>4756</v>
      </c>
      <c r="AW192" s="13" t="s">
        <v>4763</v>
      </c>
      <c r="AX192" s="13" t="s">
        <v>4763</v>
      </c>
      <c r="AY192" s="13" t="s">
        <v>4764</v>
      </c>
      <c r="AZ192" s="13" t="s">
        <v>4765</v>
      </c>
    </row>
    <row r="193" spans="1:52" ht="12.75">
      <c r="A193" s="12">
        <v>44830</v>
      </c>
      <c r="B193" s="33"/>
      <c r="C193" s="13" t="s">
        <v>114</v>
      </c>
      <c r="D193" s="17"/>
      <c r="E193" s="13"/>
      <c r="F193" s="14" t="s">
        <v>4558</v>
      </c>
      <c r="G193" s="13"/>
      <c r="H193" s="13"/>
      <c r="I193" s="13"/>
      <c r="J193" s="14"/>
      <c r="K193" s="14"/>
      <c r="L193" s="13">
        <v>1</v>
      </c>
      <c r="M193" s="13">
        <v>1</v>
      </c>
      <c r="N193" s="13"/>
      <c r="O193" s="14" t="s">
        <v>76</v>
      </c>
      <c r="P193" s="14" t="s">
        <v>119</v>
      </c>
      <c r="Q193" s="14" t="s">
        <v>238</v>
      </c>
      <c r="R193" s="14">
        <v>4</v>
      </c>
      <c r="S193" s="14">
        <v>4</v>
      </c>
      <c r="T193" s="14">
        <v>4</v>
      </c>
      <c r="U193" s="14" t="s">
        <v>22</v>
      </c>
      <c r="V193" s="14">
        <f t="shared" si="55"/>
        <v>0.01</v>
      </c>
      <c r="W193" s="14">
        <f t="shared" si="56"/>
        <v>1664.9999999999998</v>
      </c>
      <c r="X193" s="17"/>
      <c r="Y193" s="17"/>
      <c r="Z193" s="17" t="s">
        <v>4766</v>
      </c>
      <c r="AA193" s="18">
        <v>95.67</v>
      </c>
      <c r="AB193" s="13"/>
      <c r="AC193" s="13"/>
      <c r="AD193" s="13"/>
      <c r="AE193" s="13"/>
      <c r="AF193" s="13"/>
      <c r="AG193" s="13"/>
      <c r="AH193" s="13"/>
      <c r="AI193" s="19"/>
      <c r="AJ193" s="14"/>
      <c r="AK193" s="13"/>
      <c r="AL193" s="13"/>
      <c r="AM193" s="13"/>
      <c r="AN193" s="13" t="s">
        <v>87</v>
      </c>
      <c r="AO193" s="13"/>
      <c r="AP193" s="20">
        <v>95.68</v>
      </c>
      <c r="AQ193" s="20">
        <f t="shared" si="57"/>
        <v>1.0000000000005116E-2</v>
      </c>
      <c r="AR193" s="94">
        <f t="shared" si="58"/>
        <v>66.600000000034058</v>
      </c>
      <c r="AS193" s="21">
        <f t="shared" si="59"/>
        <v>16.650000000008514</v>
      </c>
      <c r="AT193" s="22" t="s">
        <v>77</v>
      </c>
      <c r="AU193" s="13" t="s">
        <v>4767</v>
      </c>
      <c r="AV193" s="13" t="s">
        <v>4768</v>
      </c>
      <c r="AW193" s="13"/>
      <c r="AX193" s="13" t="s">
        <v>4769</v>
      </c>
      <c r="AY193" s="13" t="s">
        <v>4770</v>
      </c>
      <c r="AZ193" s="13"/>
    </row>
    <row r="194" spans="1:52" ht="12.75">
      <c r="A194" s="12">
        <v>44830</v>
      </c>
      <c r="B194" s="13"/>
      <c r="C194" s="13" t="s">
        <v>114</v>
      </c>
      <c r="D194" s="17"/>
      <c r="E194" s="13"/>
      <c r="F194" s="14" t="s">
        <v>4197</v>
      </c>
      <c r="G194" s="13"/>
      <c r="H194" s="13"/>
      <c r="I194" s="13"/>
      <c r="J194" s="14"/>
      <c r="K194" s="14"/>
      <c r="L194" s="13">
        <v>1</v>
      </c>
      <c r="M194" s="13">
        <v>1</v>
      </c>
      <c r="N194" s="13"/>
      <c r="O194" s="14" t="s">
        <v>76</v>
      </c>
      <c r="P194" s="14" t="s">
        <v>119</v>
      </c>
      <c r="Q194" s="14" t="s">
        <v>238</v>
      </c>
      <c r="R194" s="14">
        <v>2</v>
      </c>
      <c r="S194" s="14">
        <v>2</v>
      </c>
      <c r="T194" s="14">
        <v>2</v>
      </c>
      <c r="U194" s="14" t="s">
        <v>78</v>
      </c>
      <c r="V194" s="14">
        <f t="shared" si="55"/>
        <v>0.01</v>
      </c>
      <c r="W194" s="14">
        <f t="shared" si="56"/>
        <v>1664.9999999999998</v>
      </c>
      <c r="X194" s="17"/>
      <c r="Y194" s="17"/>
      <c r="Z194" s="17" t="s">
        <v>4766</v>
      </c>
      <c r="AA194" s="18">
        <v>95.57</v>
      </c>
      <c r="AB194" s="13"/>
      <c r="AC194" s="13"/>
      <c r="AD194" s="13"/>
      <c r="AE194" s="13"/>
      <c r="AF194" s="13"/>
      <c r="AG194" s="13"/>
      <c r="AH194" s="13"/>
      <c r="AI194" s="19"/>
      <c r="AJ194" s="14"/>
      <c r="AK194" s="13"/>
      <c r="AL194" s="13"/>
      <c r="AM194" s="13"/>
      <c r="AN194" s="13" t="s">
        <v>87</v>
      </c>
      <c r="AO194" s="13"/>
      <c r="AP194" s="20">
        <v>95.58</v>
      </c>
      <c r="AQ194" s="20">
        <f t="shared" si="57"/>
        <v>-1.0000000000005116E-2</v>
      </c>
      <c r="AR194" s="94">
        <f t="shared" si="58"/>
        <v>-33.300000000017029</v>
      </c>
      <c r="AS194" s="21">
        <f t="shared" si="59"/>
        <v>-16.650000000008514</v>
      </c>
      <c r="AT194" s="22" t="s">
        <v>211</v>
      </c>
      <c r="AU194" s="13" t="s">
        <v>4771</v>
      </c>
      <c r="AV194" s="13" t="s">
        <v>4768</v>
      </c>
      <c r="AW194" s="13"/>
      <c r="AX194" s="13" t="s">
        <v>4772</v>
      </c>
      <c r="AY194" s="13" t="s">
        <v>4770</v>
      </c>
      <c r="AZ194" s="13"/>
    </row>
    <row r="195" spans="1:52" ht="12.75">
      <c r="A195" s="12">
        <v>44830</v>
      </c>
      <c r="B195" s="13" t="s">
        <v>4773</v>
      </c>
      <c r="C195" s="13" t="s">
        <v>114</v>
      </c>
      <c r="D195" s="17"/>
      <c r="E195" s="13"/>
      <c r="F195" s="14" t="s">
        <v>2549</v>
      </c>
      <c r="G195" s="13"/>
      <c r="H195" s="13"/>
      <c r="I195" s="13"/>
      <c r="J195" s="14"/>
      <c r="K195" s="14"/>
      <c r="L195" s="13">
        <v>1</v>
      </c>
      <c r="M195" s="13">
        <v>2</v>
      </c>
      <c r="N195" s="13"/>
      <c r="O195" s="14" t="s">
        <v>76</v>
      </c>
      <c r="P195" s="14" t="s">
        <v>119</v>
      </c>
      <c r="Q195" s="14" t="s">
        <v>238</v>
      </c>
      <c r="R195" s="14">
        <v>2</v>
      </c>
      <c r="S195" s="14">
        <v>2</v>
      </c>
      <c r="T195" s="14">
        <v>1</v>
      </c>
      <c r="U195" s="14" t="s">
        <v>78</v>
      </c>
      <c r="V195" s="14">
        <f t="shared" si="55"/>
        <v>0.01</v>
      </c>
      <c r="W195" s="14">
        <f t="shared" si="56"/>
        <v>1664.9999999999998</v>
      </c>
      <c r="X195" s="17"/>
      <c r="Y195" s="17"/>
      <c r="Z195" s="28" t="s">
        <v>4774</v>
      </c>
      <c r="AA195" s="18">
        <v>-0.01</v>
      </c>
      <c r="AB195" s="13"/>
      <c r="AC195" s="13"/>
      <c r="AD195" s="13"/>
      <c r="AE195" s="13"/>
      <c r="AF195" s="13"/>
      <c r="AG195" s="13"/>
      <c r="AH195" s="13"/>
      <c r="AI195" s="19"/>
      <c r="AJ195" s="14"/>
      <c r="AK195" s="13"/>
      <c r="AL195" s="13"/>
      <c r="AM195" s="13"/>
      <c r="AN195" s="13"/>
      <c r="AO195" s="13" t="s">
        <v>4775</v>
      </c>
      <c r="AP195" s="20"/>
      <c r="AQ195" s="13">
        <f t="shared" si="57"/>
        <v>0</v>
      </c>
      <c r="AR195" s="94">
        <f t="shared" si="58"/>
        <v>0</v>
      </c>
      <c r="AS195" s="21">
        <f t="shared" si="59"/>
        <v>0</v>
      </c>
      <c r="AT195" s="22"/>
      <c r="AU195" s="13" t="s">
        <v>4776</v>
      </c>
      <c r="AV195" s="13" t="s">
        <v>4777</v>
      </c>
      <c r="AW195" s="13"/>
      <c r="AX195" s="13"/>
      <c r="AY195" s="13"/>
      <c r="AZ195" s="13"/>
    </row>
    <row r="196" spans="1:52" ht="12.75">
      <c r="A196" s="12">
        <v>44830</v>
      </c>
      <c r="B196" s="13" t="s">
        <v>4778</v>
      </c>
      <c r="C196" s="13" t="s">
        <v>114</v>
      </c>
      <c r="D196" s="17"/>
      <c r="E196" s="13"/>
      <c r="F196" s="14" t="s">
        <v>118</v>
      </c>
      <c r="G196" s="13"/>
      <c r="H196" s="13"/>
      <c r="I196" s="13"/>
      <c r="J196" s="14"/>
      <c r="K196" s="14"/>
      <c r="L196" s="13">
        <v>1</v>
      </c>
      <c r="M196" s="13"/>
      <c r="N196" s="13"/>
      <c r="O196" s="14" t="s">
        <v>76</v>
      </c>
      <c r="P196" s="14" t="s">
        <v>119</v>
      </c>
      <c r="Q196" s="14" t="s">
        <v>78</v>
      </c>
      <c r="R196" s="14">
        <v>3</v>
      </c>
      <c r="S196" s="14">
        <v>3</v>
      </c>
      <c r="T196" s="14">
        <v>3</v>
      </c>
      <c r="U196" s="14" t="s">
        <v>78</v>
      </c>
      <c r="V196" s="14">
        <f t="shared" si="55"/>
        <v>0.01</v>
      </c>
      <c r="W196" s="14">
        <f t="shared" si="56"/>
        <v>1664.9999999999998</v>
      </c>
      <c r="X196" s="17"/>
      <c r="Y196" s="17"/>
      <c r="Z196" s="29" t="s">
        <v>80</v>
      </c>
      <c r="AA196" s="18">
        <v>-0.05</v>
      </c>
      <c r="AB196" s="13"/>
      <c r="AC196" s="13"/>
      <c r="AD196" s="13"/>
      <c r="AE196" s="13"/>
      <c r="AF196" s="13"/>
      <c r="AG196" s="13"/>
      <c r="AH196" s="13"/>
      <c r="AI196" s="19"/>
      <c r="AJ196" s="14"/>
      <c r="AK196" s="13"/>
      <c r="AL196" s="13"/>
      <c r="AM196" s="13"/>
      <c r="AN196" s="13" t="s">
        <v>97</v>
      </c>
      <c r="AO196" s="13" t="s">
        <v>4779</v>
      </c>
      <c r="AP196" s="20">
        <v>-0.06</v>
      </c>
      <c r="AQ196" s="20">
        <f t="shared" si="57"/>
        <v>9.999999999999995E-3</v>
      </c>
      <c r="AR196" s="94">
        <f t="shared" si="58"/>
        <v>49.94999999999996</v>
      </c>
      <c r="AS196" s="21">
        <f t="shared" si="59"/>
        <v>16.649999999999988</v>
      </c>
      <c r="AT196" s="22" t="s">
        <v>77</v>
      </c>
      <c r="AU196" s="13"/>
      <c r="AV196" s="13"/>
      <c r="AW196" s="13"/>
      <c r="AX196" s="13"/>
      <c r="AY196" s="13"/>
      <c r="AZ196" s="13"/>
    </row>
    <row r="197" spans="1:52" ht="12.75">
      <c r="A197" s="12">
        <v>44831</v>
      </c>
      <c r="B197" s="13" t="s">
        <v>4780</v>
      </c>
      <c r="C197" s="13" t="s">
        <v>128</v>
      </c>
      <c r="D197" s="17"/>
      <c r="E197" s="13"/>
      <c r="F197" s="14" t="s">
        <v>118</v>
      </c>
      <c r="G197" s="13"/>
      <c r="H197" s="13"/>
      <c r="I197" s="13"/>
      <c r="J197" s="14"/>
      <c r="K197" s="14"/>
      <c r="L197" s="13">
        <v>1</v>
      </c>
      <c r="M197" s="13"/>
      <c r="N197" s="13"/>
      <c r="O197" s="14" t="s">
        <v>76</v>
      </c>
      <c r="P197" s="14" t="s">
        <v>119</v>
      </c>
      <c r="Q197" s="14" t="s">
        <v>78</v>
      </c>
      <c r="R197" s="14">
        <v>3</v>
      </c>
      <c r="S197" s="14">
        <v>3</v>
      </c>
      <c r="T197" s="14">
        <v>3</v>
      </c>
      <c r="U197" s="14" t="s">
        <v>78</v>
      </c>
      <c r="V197" s="14">
        <f t="shared" si="55"/>
        <v>0.01</v>
      </c>
      <c r="W197" s="14">
        <f t="shared" si="56"/>
        <v>1664.9999999999998</v>
      </c>
      <c r="X197" s="17"/>
      <c r="Y197" s="17"/>
      <c r="Z197" s="29" t="s">
        <v>80</v>
      </c>
      <c r="AA197" s="18">
        <v>-0.05</v>
      </c>
      <c r="AB197" s="13"/>
      <c r="AC197" s="13"/>
      <c r="AD197" s="13"/>
      <c r="AE197" s="13"/>
      <c r="AF197" s="13"/>
      <c r="AG197" s="13"/>
      <c r="AH197" s="13"/>
      <c r="AI197" s="19"/>
      <c r="AJ197" s="14"/>
      <c r="AK197" s="13"/>
      <c r="AL197" s="13"/>
      <c r="AM197" s="13"/>
      <c r="AN197" s="13"/>
      <c r="AO197" s="13"/>
      <c r="AP197" s="20"/>
      <c r="AQ197" s="13">
        <f t="shared" si="57"/>
        <v>0</v>
      </c>
      <c r="AR197" s="94">
        <f t="shared" si="58"/>
        <v>0</v>
      </c>
      <c r="AS197" s="21">
        <f t="shared" si="59"/>
        <v>0</v>
      </c>
      <c r="AT197" s="22"/>
      <c r="AU197" s="13" t="s">
        <v>4781</v>
      </c>
      <c r="AV197" s="13"/>
      <c r="AW197" s="13"/>
      <c r="AX197" s="13"/>
      <c r="AY197" s="13"/>
      <c r="AZ197" s="13"/>
    </row>
    <row r="198" spans="1:52" ht="12.75">
      <c r="A198" s="12">
        <v>44831</v>
      </c>
      <c r="B198" s="13" t="s">
        <v>4782</v>
      </c>
      <c r="C198" s="13" t="s">
        <v>128</v>
      </c>
      <c r="D198" s="17"/>
      <c r="E198" s="13"/>
      <c r="F198" s="14" t="s">
        <v>118</v>
      </c>
      <c r="G198" s="13"/>
      <c r="H198" s="13"/>
      <c r="I198" s="13"/>
      <c r="J198" s="14"/>
      <c r="K198" s="14"/>
      <c r="L198" s="13">
        <v>1</v>
      </c>
      <c r="M198" s="13"/>
      <c r="N198" s="13"/>
      <c r="O198" s="14" t="s">
        <v>76</v>
      </c>
      <c r="P198" s="14" t="s">
        <v>119</v>
      </c>
      <c r="Q198" s="14" t="s">
        <v>78</v>
      </c>
      <c r="R198" s="14">
        <v>2</v>
      </c>
      <c r="S198" s="14">
        <v>2</v>
      </c>
      <c r="T198" s="14">
        <v>2</v>
      </c>
      <c r="U198" s="14" t="s">
        <v>78</v>
      </c>
      <c r="V198" s="14">
        <f t="shared" si="55"/>
        <v>0.01</v>
      </c>
      <c r="W198" s="14">
        <f t="shared" si="56"/>
        <v>1664.9999999999998</v>
      </c>
      <c r="X198" s="17"/>
      <c r="Y198" s="17"/>
      <c r="Z198" s="29" t="s">
        <v>80</v>
      </c>
      <c r="AA198" s="18">
        <v>-0.04</v>
      </c>
      <c r="AB198" s="13"/>
      <c r="AC198" s="13"/>
      <c r="AD198" s="13"/>
      <c r="AE198" s="13"/>
      <c r="AF198" s="13"/>
      <c r="AG198" s="13"/>
      <c r="AH198" s="13"/>
      <c r="AI198" s="19"/>
      <c r="AJ198" s="14"/>
      <c r="AK198" s="13"/>
      <c r="AL198" s="13"/>
      <c r="AM198" s="13"/>
      <c r="AN198" s="13"/>
      <c r="AO198" s="13"/>
      <c r="AP198" s="20"/>
      <c r="AQ198" s="13">
        <f t="shared" si="57"/>
        <v>0</v>
      </c>
      <c r="AR198" s="94">
        <f t="shared" si="58"/>
        <v>0</v>
      </c>
      <c r="AS198" s="21">
        <f t="shared" si="59"/>
        <v>0</v>
      </c>
      <c r="AT198" s="22"/>
      <c r="AU198" s="13" t="s">
        <v>4783</v>
      </c>
      <c r="AV198" s="13"/>
      <c r="AW198" s="13"/>
      <c r="AX198" s="13"/>
      <c r="AY198" s="13"/>
      <c r="AZ198" s="13"/>
    </row>
    <row r="199" spans="1:52" ht="12.75">
      <c r="A199" s="12">
        <v>44831</v>
      </c>
      <c r="B199" s="13" t="s">
        <v>4784</v>
      </c>
      <c r="C199" s="13" t="s">
        <v>128</v>
      </c>
      <c r="D199" s="17"/>
      <c r="E199" s="13"/>
      <c r="F199" s="14" t="s">
        <v>4504</v>
      </c>
      <c r="G199" s="13"/>
      <c r="H199" s="13"/>
      <c r="I199" s="13"/>
      <c r="J199" s="14"/>
      <c r="K199" s="14"/>
      <c r="L199" s="13">
        <v>1</v>
      </c>
      <c r="M199" s="13">
        <v>1</v>
      </c>
      <c r="N199" s="13"/>
      <c r="O199" s="14" t="s">
        <v>76</v>
      </c>
      <c r="P199" s="14" t="s">
        <v>77</v>
      </c>
      <c r="Q199" s="14" t="s">
        <v>238</v>
      </c>
      <c r="R199" s="14">
        <v>2</v>
      </c>
      <c r="S199" s="14">
        <v>2</v>
      </c>
      <c r="T199" s="14">
        <v>2</v>
      </c>
      <c r="U199" s="14" t="s">
        <v>22</v>
      </c>
      <c r="V199" s="14">
        <f t="shared" si="55"/>
        <v>0.01</v>
      </c>
      <c r="W199" s="14">
        <f t="shared" si="56"/>
        <v>1664.9999999999998</v>
      </c>
      <c r="X199" s="17"/>
      <c r="Y199" s="17"/>
      <c r="Z199" s="29" t="s">
        <v>4785</v>
      </c>
      <c r="AA199" s="18">
        <v>0.03</v>
      </c>
      <c r="AB199" s="13" t="s">
        <v>4786</v>
      </c>
      <c r="AC199" s="13"/>
      <c r="AD199" s="13"/>
      <c r="AE199" s="13"/>
      <c r="AF199" s="13"/>
      <c r="AG199" s="13"/>
      <c r="AH199" s="13"/>
      <c r="AI199" s="19"/>
      <c r="AJ199" s="14"/>
      <c r="AK199" s="13"/>
      <c r="AL199" s="13"/>
      <c r="AM199" s="13"/>
      <c r="AN199" s="13"/>
      <c r="AO199" s="13"/>
      <c r="AP199" s="20"/>
      <c r="AQ199" s="13">
        <f t="shared" si="57"/>
        <v>0</v>
      </c>
      <c r="AR199" s="94">
        <f t="shared" si="58"/>
        <v>0</v>
      </c>
      <c r="AS199" s="21">
        <f t="shared" si="59"/>
        <v>0</v>
      </c>
      <c r="AT199" s="22"/>
      <c r="AU199" s="13"/>
      <c r="AV199" s="13"/>
      <c r="AW199" s="13"/>
      <c r="AX199" s="13"/>
      <c r="AY199" s="13"/>
      <c r="AZ199" s="13"/>
    </row>
    <row r="200" spans="1:52" ht="12.75">
      <c r="A200" s="12">
        <v>44831</v>
      </c>
      <c r="B200" s="13" t="s">
        <v>4787</v>
      </c>
      <c r="C200" s="13" t="s">
        <v>128</v>
      </c>
      <c r="D200" s="17"/>
      <c r="E200" s="13"/>
      <c r="F200" s="14" t="s">
        <v>4788</v>
      </c>
      <c r="G200" s="13"/>
      <c r="H200" s="13"/>
      <c r="I200" s="13"/>
      <c r="J200" s="14"/>
      <c r="K200" s="14"/>
      <c r="L200" s="13">
        <v>1</v>
      </c>
      <c r="M200" s="13"/>
      <c r="N200" s="13"/>
      <c r="O200" s="14" t="s">
        <v>76</v>
      </c>
      <c r="P200" s="14" t="s">
        <v>119</v>
      </c>
      <c r="Q200" s="14" t="s">
        <v>78</v>
      </c>
      <c r="R200" s="14">
        <v>5</v>
      </c>
      <c r="S200" s="14">
        <v>5</v>
      </c>
      <c r="T200" s="14">
        <v>3</v>
      </c>
      <c r="U200" s="14" t="s">
        <v>78</v>
      </c>
      <c r="V200" s="14">
        <f t="shared" si="55"/>
        <v>0.01</v>
      </c>
      <c r="W200" s="14">
        <f t="shared" si="56"/>
        <v>1664.9999999999998</v>
      </c>
      <c r="X200" s="17"/>
      <c r="Y200" s="17"/>
      <c r="Z200" s="29" t="s">
        <v>80</v>
      </c>
      <c r="AA200" s="18">
        <v>-4.5999999999999999E-2</v>
      </c>
      <c r="AB200" s="13"/>
      <c r="AC200" s="13"/>
      <c r="AD200" s="13"/>
      <c r="AE200" s="13"/>
      <c r="AF200" s="13"/>
      <c r="AG200" s="13"/>
      <c r="AH200" s="13"/>
      <c r="AI200" s="19"/>
      <c r="AJ200" s="14"/>
      <c r="AK200" s="13"/>
      <c r="AL200" s="13"/>
      <c r="AM200" s="13" t="s">
        <v>4789</v>
      </c>
      <c r="AN200" s="13" t="s">
        <v>87</v>
      </c>
      <c r="AO200" s="13"/>
      <c r="AP200" s="20">
        <v>-0.06</v>
      </c>
      <c r="AQ200" s="20">
        <f t="shared" si="57"/>
        <v>1.3999999999999999E-2</v>
      </c>
      <c r="AR200" s="94">
        <f t="shared" si="58"/>
        <v>116.54999999999998</v>
      </c>
      <c r="AS200" s="21">
        <f t="shared" si="59"/>
        <v>23.309999999999995</v>
      </c>
      <c r="AT200" s="22" t="s">
        <v>77</v>
      </c>
      <c r="AU200" s="13" t="s">
        <v>4790</v>
      </c>
      <c r="AV200" s="13"/>
      <c r="AW200" s="13"/>
      <c r="AX200" s="13"/>
      <c r="AY200" s="13"/>
      <c r="AZ200" s="13"/>
    </row>
    <row r="201" spans="1:52" ht="12.75">
      <c r="A201" s="12">
        <v>44831</v>
      </c>
      <c r="B201" s="13" t="s">
        <v>4787</v>
      </c>
      <c r="C201" s="13" t="s">
        <v>128</v>
      </c>
      <c r="D201" s="17"/>
      <c r="E201" s="13"/>
      <c r="F201" s="14" t="s">
        <v>2549</v>
      </c>
      <c r="G201" s="13"/>
      <c r="H201" s="13"/>
      <c r="I201" s="13"/>
      <c r="J201" s="14"/>
      <c r="K201" s="14"/>
      <c r="L201" s="13">
        <v>1</v>
      </c>
      <c r="M201" s="13">
        <v>1</v>
      </c>
      <c r="N201" s="13"/>
      <c r="O201" s="14" t="s">
        <v>76</v>
      </c>
      <c r="P201" s="14" t="s">
        <v>119</v>
      </c>
      <c r="Q201" s="14" t="s">
        <v>238</v>
      </c>
      <c r="R201" s="14">
        <v>1</v>
      </c>
      <c r="S201" s="14">
        <v>1</v>
      </c>
      <c r="T201" s="14">
        <v>1</v>
      </c>
      <c r="U201" s="14" t="s">
        <v>78</v>
      </c>
      <c r="V201" s="14">
        <f t="shared" si="55"/>
        <v>0.01</v>
      </c>
      <c r="W201" s="14">
        <f t="shared" si="56"/>
        <v>1664.9999999999998</v>
      </c>
      <c r="X201" s="17"/>
      <c r="Y201" s="17"/>
      <c r="Z201" s="28" t="s">
        <v>4774</v>
      </c>
      <c r="AA201" s="18">
        <v>0</v>
      </c>
      <c r="AB201" s="13"/>
      <c r="AC201" s="13"/>
      <c r="AD201" s="13"/>
      <c r="AE201" s="13"/>
      <c r="AF201" s="13"/>
      <c r="AG201" s="13"/>
      <c r="AH201" s="13"/>
      <c r="AI201" s="19"/>
      <c r="AJ201" s="14"/>
      <c r="AK201" s="13"/>
      <c r="AL201" s="13"/>
      <c r="AM201" s="13"/>
      <c r="AN201" s="13"/>
      <c r="AO201" s="13"/>
      <c r="AP201" s="20"/>
      <c r="AQ201" s="13">
        <f t="shared" si="57"/>
        <v>0</v>
      </c>
      <c r="AR201" s="94">
        <f t="shared" si="58"/>
        <v>0</v>
      </c>
      <c r="AS201" s="21">
        <f t="shared" si="59"/>
        <v>0</v>
      </c>
      <c r="AT201" s="22"/>
      <c r="AU201" s="13"/>
      <c r="AV201" s="13"/>
      <c r="AW201" s="13"/>
      <c r="AX201" s="13"/>
      <c r="AY201" s="13"/>
      <c r="AZ201" s="13"/>
    </row>
    <row r="202" spans="1:52" ht="12.75">
      <c r="A202" s="12">
        <v>44832</v>
      </c>
      <c r="B202" s="13" t="s">
        <v>475</v>
      </c>
      <c r="C202" s="13" t="s">
        <v>133</v>
      </c>
      <c r="D202" s="17"/>
      <c r="E202" s="13"/>
      <c r="F202" s="14" t="s">
        <v>4504</v>
      </c>
      <c r="G202" s="13"/>
      <c r="H202" s="13"/>
      <c r="I202" s="13"/>
      <c r="J202" s="14"/>
      <c r="K202" s="14"/>
      <c r="L202" s="13">
        <v>1</v>
      </c>
      <c r="M202" s="13">
        <v>1</v>
      </c>
      <c r="N202" s="13"/>
      <c r="O202" s="14" t="s">
        <v>76</v>
      </c>
      <c r="P202" s="14" t="s">
        <v>119</v>
      </c>
      <c r="Q202" s="14" t="s">
        <v>238</v>
      </c>
      <c r="R202" s="14">
        <v>6</v>
      </c>
      <c r="S202" s="14">
        <v>6</v>
      </c>
      <c r="T202" s="14">
        <v>2</v>
      </c>
      <c r="U202" s="14" t="s">
        <v>22</v>
      </c>
      <c r="V202" s="14">
        <f t="shared" si="55"/>
        <v>0.01</v>
      </c>
      <c r="W202" s="14">
        <f t="shared" si="56"/>
        <v>1664.9999999999998</v>
      </c>
      <c r="X202" s="17"/>
      <c r="Y202" s="17"/>
      <c r="Z202" s="17" t="s">
        <v>4791</v>
      </c>
      <c r="AA202" s="18">
        <v>1.3299999999999999E-2</v>
      </c>
      <c r="AB202" s="13"/>
      <c r="AC202" s="13"/>
      <c r="AD202" s="13"/>
      <c r="AE202" s="13"/>
      <c r="AF202" s="13"/>
      <c r="AG202" s="13"/>
      <c r="AH202" s="13"/>
      <c r="AI202" s="19"/>
      <c r="AJ202" s="14"/>
      <c r="AK202" s="13" t="s">
        <v>4792</v>
      </c>
      <c r="AL202" s="13" t="s">
        <v>4793</v>
      </c>
      <c r="AM202" s="13"/>
      <c r="AN202" s="13"/>
      <c r="AO202" s="13"/>
      <c r="AP202" s="20"/>
      <c r="AQ202" s="13">
        <f t="shared" si="57"/>
        <v>0</v>
      </c>
      <c r="AR202" s="94">
        <f t="shared" si="58"/>
        <v>0</v>
      </c>
      <c r="AS202" s="21">
        <f t="shared" si="59"/>
        <v>0</v>
      </c>
      <c r="AT202" s="22"/>
      <c r="AU202" s="13"/>
      <c r="AV202" s="13"/>
      <c r="AW202" s="13"/>
      <c r="AX202" s="13"/>
      <c r="AY202" s="13"/>
      <c r="AZ202" s="13"/>
    </row>
    <row r="203" spans="1:52" ht="12.75">
      <c r="A203" s="12">
        <v>44832</v>
      </c>
      <c r="B203" s="13" t="s">
        <v>2736</v>
      </c>
      <c r="C203" s="13" t="s">
        <v>133</v>
      </c>
      <c r="D203" s="17"/>
      <c r="E203" s="13"/>
      <c r="F203" s="14" t="s">
        <v>118</v>
      </c>
      <c r="G203" s="13"/>
      <c r="H203" s="13"/>
      <c r="I203" s="13"/>
      <c r="J203" s="14"/>
      <c r="K203" s="14"/>
      <c r="L203" s="13">
        <v>1</v>
      </c>
      <c r="M203" s="13"/>
      <c r="N203" s="13"/>
      <c r="O203" s="14" t="s">
        <v>76</v>
      </c>
      <c r="P203" s="14" t="s">
        <v>119</v>
      </c>
      <c r="Q203" s="14" t="s">
        <v>78</v>
      </c>
      <c r="R203" s="14">
        <v>3</v>
      </c>
      <c r="S203" s="14">
        <v>3</v>
      </c>
      <c r="T203" s="14">
        <v>3</v>
      </c>
      <c r="U203" s="14" t="s">
        <v>78</v>
      </c>
      <c r="V203" s="14">
        <f t="shared" si="55"/>
        <v>0.01</v>
      </c>
      <c r="W203" s="14">
        <f t="shared" si="56"/>
        <v>1664.9999999999998</v>
      </c>
      <c r="X203" s="17"/>
      <c r="Y203" s="17"/>
      <c r="Z203" s="29" t="s">
        <v>80</v>
      </c>
      <c r="AA203" s="18">
        <v>-0.04</v>
      </c>
      <c r="AB203" s="13"/>
      <c r="AC203" s="13"/>
      <c r="AD203" s="13"/>
      <c r="AE203" s="13"/>
      <c r="AF203" s="13"/>
      <c r="AG203" s="13"/>
      <c r="AH203" s="13"/>
      <c r="AI203" s="19"/>
      <c r="AJ203" s="14"/>
      <c r="AK203" s="13"/>
      <c r="AL203" s="13"/>
      <c r="AM203" s="13" t="s">
        <v>4794</v>
      </c>
      <c r="AN203" s="13" t="s">
        <v>87</v>
      </c>
      <c r="AO203" s="13"/>
      <c r="AP203" s="20">
        <v>-0.05</v>
      </c>
      <c r="AQ203" s="20">
        <f t="shared" si="57"/>
        <v>1.0000000000000002E-2</v>
      </c>
      <c r="AR203" s="94">
        <f t="shared" si="58"/>
        <v>49.95</v>
      </c>
      <c r="AS203" s="21">
        <f t="shared" si="59"/>
        <v>16.650000000000002</v>
      </c>
      <c r="AT203" s="22" t="s">
        <v>77</v>
      </c>
      <c r="AU203" s="13"/>
      <c r="AV203" s="13"/>
      <c r="AW203" s="13"/>
      <c r="AX203" s="13"/>
      <c r="AY203" s="13"/>
      <c r="AZ203" s="13"/>
    </row>
    <row r="204" spans="1:52" ht="12.75">
      <c r="A204" s="12">
        <v>44832</v>
      </c>
      <c r="B204" s="13" t="s">
        <v>4795</v>
      </c>
      <c r="C204" s="13" t="s">
        <v>133</v>
      </c>
      <c r="D204" s="17"/>
      <c r="E204" s="13"/>
      <c r="F204" s="14" t="s">
        <v>118</v>
      </c>
      <c r="G204" s="13"/>
      <c r="H204" s="13"/>
      <c r="I204" s="13"/>
      <c r="J204" s="14"/>
      <c r="K204" s="14"/>
      <c r="L204" s="13">
        <v>1</v>
      </c>
      <c r="M204" s="13"/>
      <c r="N204" s="13"/>
      <c r="O204" s="14" t="s">
        <v>76</v>
      </c>
      <c r="P204" s="14" t="s">
        <v>119</v>
      </c>
      <c r="Q204" s="14" t="s">
        <v>78</v>
      </c>
      <c r="R204" s="14">
        <v>2</v>
      </c>
      <c r="S204" s="14">
        <v>2</v>
      </c>
      <c r="T204" s="14">
        <v>2</v>
      </c>
      <c r="U204" s="14" t="s">
        <v>78</v>
      </c>
      <c r="V204" s="14">
        <f t="shared" si="55"/>
        <v>0.01</v>
      </c>
      <c r="W204" s="14">
        <f t="shared" si="56"/>
        <v>1664.9999999999998</v>
      </c>
      <c r="X204" s="17"/>
      <c r="Y204" s="17"/>
      <c r="Z204" s="29" t="s">
        <v>80</v>
      </c>
      <c r="AA204" s="18">
        <v>-0.04</v>
      </c>
      <c r="AB204" s="13"/>
      <c r="AC204" s="13"/>
      <c r="AD204" s="13"/>
      <c r="AE204" s="13"/>
      <c r="AF204" s="13"/>
      <c r="AG204" s="13"/>
      <c r="AH204" s="13"/>
      <c r="AI204" s="19"/>
      <c r="AJ204" s="14"/>
      <c r="AK204" s="13"/>
      <c r="AL204" s="13"/>
      <c r="AM204" s="13"/>
      <c r="AN204" s="13" t="s">
        <v>87</v>
      </c>
      <c r="AO204" s="13"/>
      <c r="AP204" s="20">
        <v>-0.05</v>
      </c>
      <c r="AQ204" s="20">
        <f t="shared" si="57"/>
        <v>1.0000000000000002E-2</v>
      </c>
      <c r="AR204" s="94">
        <f t="shared" si="58"/>
        <v>33.300000000000004</v>
      </c>
      <c r="AS204" s="21">
        <f t="shared" si="59"/>
        <v>16.650000000000002</v>
      </c>
      <c r="AT204" s="22" t="s">
        <v>77</v>
      </c>
      <c r="AU204" s="13" t="s">
        <v>4796</v>
      </c>
      <c r="AV204" s="13" t="s">
        <v>4797</v>
      </c>
      <c r="AW204" s="13"/>
      <c r="AX204" s="13"/>
      <c r="AY204" s="13"/>
      <c r="AZ204" s="13"/>
    </row>
    <row r="205" spans="1:52" ht="12.75">
      <c r="A205" s="12">
        <v>44832</v>
      </c>
      <c r="B205" s="13" t="s">
        <v>4795</v>
      </c>
      <c r="C205" s="13" t="s">
        <v>133</v>
      </c>
      <c r="D205" s="17"/>
      <c r="E205" s="13"/>
      <c r="F205" s="14" t="s">
        <v>118</v>
      </c>
      <c r="G205" s="13"/>
      <c r="H205" s="13"/>
      <c r="I205" s="13"/>
      <c r="J205" s="14"/>
      <c r="K205" s="14"/>
      <c r="L205" s="13">
        <v>1</v>
      </c>
      <c r="M205" s="13"/>
      <c r="N205" s="13"/>
      <c r="O205" s="14" t="s">
        <v>76</v>
      </c>
      <c r="P205" s="14" t="s">
        <v>119</v>
      </c>
      <c r="Q205" s="14" t="s">
        <v>78</v>
      </c>
      <c r="R205" s="14">
        <v>2</v>
      </c>
      <c r="S205" s="14">
        <v>2</v>
      </c>
      <c r="T205" s="14">
        <v>2</v>
      </c>
      <c r="U205" s="14" t="s">
        <v>78</v>
      </c>
      <c r="V205" s="14">
        <f t="shared" si="55"/>
        <v>0.01</v>
      </c>
      <c r="W205" s="14">
        <f t="shared" si="56"/>
        <v>1664.9999999999998</v>
      </c>
      <c r="X205" s="17"/>
      <c r="Y205" s="17"/>
      <c r="Z205" s="29" t="s">
        <v>80</v>
      </c>
      <c r="AA205" s="18">
        <v>-0.04</v>
      </c>
      <c r="AB205" s="13"/>
      <c r="AC205" s="13"/>
      <c r="AD205" s="13"/>
      <c r="AE205" s="13"/>
      <c r="AF205" s="13"/>
      <c r="AG205" s="13"/>
      <c r="AH205" s="13"/>
      <c r="AI205" s="19"/>
      <c r="AJ205" s="14"/>
      <c r="AK205" s="13"/>
      <c r="AL205" s="13"/>
      <c r="AM205" s="13"/>
      <c r="AN205" s="13" t="s">
        <v>87</v>
      </c>
      <c r="AO205" s="13"/>
      <c r="AP205" s="20">
        <v>-0.04</v>
      </c>
      <c r="AQ205" s="20">
        <f t="shared" si="57"/>
        <v>0</v>
      </c>
      <c r="AR205" s="94">
        <f t="shared" si="58"/>
        <v>0</v>
      </c>
      <c r="AS205" s="21">
        <f t="shared" si="59"/>
        <v>0</v>
      </c>
      <c r="AT205" s="22" t="s">
        <v>97</v>
      </c>
      <c r="AU205" s="13" t="s">
        <v>4798</v>
      </c>
      <c r="AV205" s="13" t="s">
        <v>4799</v>
      </c>
      <c r="AW205" s="13"/>
      <c r="AX205" s="13"/>
      <c r="AY205" s="13"/>
      <c r="AZ205" s="13"/>
    </row>
    <row r="206" spans="1:52" ht="12.75">
      <c r="A206" s="12">
        <v>44832</v>
      </c>
      <c r="B206" s="13" t="s">
        <v>4800</v>
      </c>
      <c r="C206" s="13" t="s">
        <v>133</v>
      </c>
      <c r="D206" s="17"/>
      <c r="E206" s="13"/>
      <c r="F206" s="14" t="s">
        <v>2549</v>
      </c>
      <c r="G206" s="13"/>
      <c r="H206" s="13"/>
      <c r="I206" s="13"/>
      <c r="J206" s="14"/>
      <c r="K206" s="14"/>
      <c r="L206" s="13">
        <v>1</v>
      </c>
      <c r="M206" s="13"/>
      <c r="N206" s="13"/>
      <c r="O206" s="14" t="s">
        <v>76</v>
      </c>
      <c r="P206" s="14" t="s">
        <v>119</v>
      </c>
      <c r="Q206" s="14" t="s">
        <v>238</v>
      </c>
      <c r="R206" s="14">
        <v>2</v>
      </c>
      <c r="S206" s="14">
        <v>2</v>
      </c>
      <c r="T206" s="14">
        <v>2</v>
      </c>
      <c r="U206" s="14" t="s">
        <v>78</v>
      </c>
      <c r="V206" s="14">
        <f t="shared" si="55"/>
        <v>0.01</v>
      </c>
      <c r="W206" s="14">
        <f t="shared" si="56"/>
        <v>1664.9999999999998</v>
      </c>
      <c r="X206" s="17"/>
      <c r="Y206" s="17"/>
      <c r="Z206" s="29" t="s">
        <v>80</v>
      </c>
      <c r="AA206" s="18">
        <v>-0.01</v>
      </c>
      <c r="AB206" s="13"/>
      <c r="AC206" s="13"/>
      <c r="AD206" s="13"/>
      <c r="AE206" s="13"/>
      <c r="AF206" s="13"/>
      <c r="AG206" s="13"/>
      <c r="AH206" s="13"/>
      <c r="AI206" s="19"/>
      <c r="AJ206" s="14"/>
      <c r="AK206" s="13"/>
      <c r="AL206" s="13"/>
      <c r="AM206" s="13" t="s">
        <v>4801</v>
      </c>
      <c r="AN206" s="13" t="s">
        <v>97</v>
      </c>
      <c r="AO206" s="13"/>
      <c r="AP206" s="20">
        <v>-0.01</v>
      </c>
      <c r="AQ206" s="20">
        <f t="shared" si="57"/>
        <v>0</v>
      </c>
      <c r="AR206" s="94">
        <f t="shared" si="58"/>
        <v>0</v>
      </c>
      <c r="AS206" s="21">
        <f t="shared" si="59"/>
        <v>0</v>
      </c>
      <c r="AT206" s="22"/>
      <c r="AU206" s="13" t="s">
        <v>4802</v>
      </c>
      <c r="AV206" s="13" t="s">
        <v>3790</v>
      </c>
      <c r="AW206" s="13" t="s">
        <v>4803</v>
      </c>
      <c r="AX206" s="13"/>
      <c r="AY206" s="13"/>
      <c r="AZ206" s="13"/>
    </row>
    <row r="207" spans="1:52" ht="12.75">
      <c r="A207" s="12">
        <v>44832</v>
      </c>
      <c r="B207" s="13" t="s">
        <v>4804</v>
      </c>
      <c r="C207" s="13" t="s">
        <v>74</v>
      </c>
      <c r="D207" s="17"/>
      <c r="E207" s="13"/>
      <c r="F207" s="14" t="s">
        <v>118</v>
      </c>
      <c r="G207" s="13"/>
      <c r="H207" s="13"/>
      <c r="I207" s="13"/>
      <c r="J207" s="14"/>
      <c r="K207" s="14"/>
      <c r="L207" s="13">
        <v>1</v>
      </c>
      <c r="M207" s="13"/>
      <c r="N207" s="13"/>
      <c r="O207" s="14" t="s">
        <v>76</v>
      </c>
      <c r="P207" s="14" t="s">
        <v>119</v>
      </c>
      <c r="Q207" s="14" t="s">
        <v>78</v>
      </c>
      <c r="R207" s="14">
        <v>3</v>
      </c>
      <c r="S207" s="14">
        <v>3</v>
      </c>
      <c r="T207" s="14">
        <v>3</v>
      </c>
      <c r="U207" s="14" t="s">
        <v>78</v>
      </c>
      <c r="V207" s="14">
        <f t="shared" si="55"/>
        <v>0.01</v>
      </c>
      <c r="W207" s="14">
        <f t="shared" si="56"/>
        <v>1664.9999999999998</v>
      </c>
      <c r="X207" s="17"/>
      <c r="Y207" s="17"/>
      <c r="Z207" s="29" t="s">
        <v>80</v>
      </c>
      <c r="AA207" s="18">
        <v>-0.03</v>
      </c>
      <c r="AB207" s="13"/>
      <c r="AC207" s="13"/>
      <c r="AD207" s="13"/>
      <c r="AE207" s="13"/>
      <c r="AF207" s="13"/>
      <c r="AG207" s="13"/>
      <c r="AH207" s="13"/>
      <c r="AI207" s="19"/>
      <c r="AJ207" s="14"/>
      <c r="AK207" s="13"/>
      <c r="AL207" s="13"/>
      <c r="AM207" s="13"/>
      <c r="AN207" s="13" t="s">
        <v>87</v>
      </c>
      <c r="AO207" s="13"/>
      <c r="AP207" s="20">
        <v>-0.04</v>
      </c>
      <c r="AQ207" s="20">
        <f t="shared" si="57"/>
        <v>1.0000000000000002E-2</v>
      </c>
      <c r="AR207" s="94">
        <f t="shared" si="58"/>
        <v>49.95</v>
      </c>
      <c r="AS207" s="21">
        <f t="shared" si="59"/>
        <v>16.650000000000002</v>
      </c>
      <c r="AT207" s="22" t="s">
        <v>77</v>
      </c>
      <c r="AU207" s="13"/>
      <c r="AV207" s="13"/>
      <c r="AW207" s="13"/>
      <c r="AX207" s="13"/>
      <c r="AY207" s="13"/>
      <c r="AZ207" s="13"/>
    </row>
    <row r="208" spans="1:52" ht="12.75">
      <c r="A208" s="12">
        <v>44832</v>
      </c>
      <c r="B208" s="13" t="s">
        <v>3356</v>
      </c>
      <c r="C208" s="13" t="s">
        <v>74</v>
      </c>
      <c r="D208" s="17"/>
      <c r="E208" s="13"/>
      <c r="F208" s="14" t="s">
        <v>118</v>
      </c>
      <c r="G208" s="13"/>
      <c r="H208" s="13"/>
      <c r="I208" s="13"/>
      <c r="J208" s="14"/>
      <c r="K208" s="14"/>
      <c r="L208" s="13">
        <v>1</v>
      </c>
      <c r="M208" s="13"/>
      <c r="N208" s="13"/>
      <c r="O208" s="14" t="s">
        <v>76</v>
      </c>
      <c r="P208" s="14" t="s">
        <v>119</v>
      </c>
      <c r="Q208" s="14" t="s">
        <v>78</v>
      </c>
      <c r="R208" s="14">
        <v>3</v>
      </c>
      <c r="S208" s="14">
        <v>3</v>
      </c>
      <c r="T208" s="14">
        <v>3</v>
      </c>
      <c r="U208" s="14" t="s">
        <v>22</v>
      </c>
      <c r="V208" s="14">
        <f t="shared" si="55"/>
        <v>0.01</v>
      </c>
      <c r="W208" s="14">
        <f t="shared" si="56"/>
        <v>1664.9999999999998</v>
      </c>
      <c r="X208" s="17"/>
      <c r="Y208" s="17"/>
      <c r="Z208" s="29" t="s">
        <v>80</v>
      </c>
      <c r="AA208" s="18">
        <v>-0.05</v>
      </c>
      <c r="AB208" s="13"/>
      <c r="AC208" s="13"/>
      <c r="AD208" s="13"/>
      <c r="AE208" s="13"/>
      <c r="AF208" s="13"/>
      <c r="AG208" s="13"/>
      <c r="AH208" s="13"/>
      <c r="AI208" s="19"/>
      <c r="AJ208" s="14"/>
      <c r="AK208" s="13"/>
      <c r="AL208" s="13"/>
      <c r="AM208" s="13"/>
      <c r="AN208" s="13" t="s">
        <v>87</v>
      </c>
      <c r="AO208" s="13"/>
      <c r="AP208" s="20">
        <v>-0.04</v>
      </c>
      <c r="AQ208" s="20">
        <f t="shared" si="57"/>
        <v>1.0000000000000002E-2</v>
      </c>
      <c r="AR208" s="94">
        <f t="shared" si="58"/>
        <v>49.95</v>
      </c>
      <c r="AS208" s="21">
        <f t="shared" si="59"/>
        <v>16.650000000000002</v>
      </c>
      <c r="AT208" s="22" t="s">
        <v>77</v>
      </c>
      <c r="AU208" s="13" t="s">
        <v>4805</v>
      </c>
      <c r="AV208" s="13"/>
      <c r="AW208" s="13"/>
      <c r="AX208" s="13"/>
      <c r="AY208" s="13"/>
      <c r="AZ208" s="13"/>
    </row>
    <row r="209" spans="1:52" ht="15">
      <c r="A209" s="12">
        <v>44832</v>
      </c>
      <c r="B209" s="13"/>
      <c r="C209" s="13" t="s">
        <v>74</v>
      </c>
      <c r="D209" s="17"/>
      <c r="E209" s="13"/>
      <c r="F209" s="14"/>
      <c r="G209" s="13"/>
      <c r="H209" s="13"/>
      <c r="I209" s="13"/>
      <c r="J209" s="14"/>
      <c r="K209" s="14"/>
      <c r="L209" s="13"/>
      <c r="M209" s="13"/>
      <c r="N209" s="13"/>
      <c r="O209" s="14"/>
      <c r="P209" s="14"/>
      <c r="Q209" s="14"/>
      <c r="R209" s="14"/>
      <c r="S209" s="14"/>
      <c r="T209" s="14"/>
      <c r="U209" s="14"/>
      <c r="V209" s="14">
        <f t="shared" si="55"/>
        <v>0</v>
      </c>
      <c r="W209" s="14">
        <f t="shared" si="56"/>
        <v>0</v>
      </c>
      <c r="X209" s="17"/>
      <c r="Y209" s="17"/>
      <c r="Z209" s="17"/>
      <c r="AA209" s="18"/>
      <c r="AB209" s="13"/>
      <c r="AC209" s="13"/>
      <c r="AD209" s="13"/>
      <c r="AE209" s="13"/>
      <c r="AF209" s="13"/>
      <c r="AG209" s="13"/>
      <c r="AH209" s="13"/>
      <c r="AI209" s="19"/>
      <c r="AJ209" s="14"/>
      <c r="AK209" s="13"/>
      <c r="AL209" s="13"/>
      <c r="AM209" s="13"/>
      <c r="AN209" s="13"/>
      <c r="AO209" s="13"/>
      <c r="AP209" s="20"/>
      <c r="AQ209" s="13">
        <f t="shared" si="57"/>
        <v>0</v>
      </c>
      <c r="AR209" s="94">
        <f t="shared" si="58"/>
        <v>0</v>
      </c>
      <c r="AS209" s="21">
        <f t="shared" si="59"/>
        <v>0</v>
      </c>
      <c r="AT209" s="22"/>
      <c r="AU209" s="124" t="s">
        <v>4806</v>
      </c>
      <c r="AV209" s="46"/>
      <c r="AW209" s="46"/>
      <c r="AX209" s="125"/>
      <c r="AY209" s="126"/>
      <c r="AZ209" s="126"/>
    </row>
    <row r="210" spans="1:52" ht="15">
      <c r="A210" s="12">
        <v>44832</v>
      </c>
      <c r="B210" s="13" t="s">
        <v>4807</v>
      </c>
      <c r="C210" s="13"/>
      <c r="D210" s="17"/>
      <c r="E210" s="13"/>
      <c r="F210" s="14" t="s">
        <v>118</v>
      </c>
      <c r="G210" s="13"/>
      <c r="H210" s="13"/>
      <c r="I210" s="13"/>
      <c r="J210" s="14"/>
      <c r="K210" s="14"/>
      <c r="L210" s="13"/>
      <c r="M210" s="13"/>
      <c r="N210" s="13"/>
      <c r="O210" s="14" t="s">
        <v>76</v>
      </c>
      <c r="P210" s="14"/>
      <c r="Q210" s="14"/>
      <c r="R210" s="14">
        <v>1</v>
      </c>
      <c r="S210" s="14">
        <v>1</v>
      </c>
      <c r="T210" s="14">
        <v>1</v>
      </c>
      <c r="U210" s="14" t="s">
        <v>78</v>
      </c>
      <c r="V210" s="14">
        <f t="shared" si="55"/>
        <v>0.01</v>
      </c>
      <c r="W210" s="14">
        <f t="shared" si="56"/>
        <v>1664.9999999999998</v>
      </c>
      <c r="X210" s="17"/>
      <c r="Y210" s="17"/>
      <c r="Z210" s="17" t="s">
        <v>4808</v>
      </c>
      <c r="AA210" s="18">
        <v>-0.04</v>
      </c>
      <c r="AB210" s="13"/>
      <c r="AC210" s="13"/>
      <c r="AD210" s="13"/>
      <c r="AE210" s="13"/>
      <c r="AF210" s="13"/>
      <c r="AG210" s="13"/>
      <c r="AH210" s="13"/>
      <c r="AI210" s="19"/>
      <c r="AJ210" s="14"/>
      <c r="AK210" s="13"/>
      <c r="AL210" s="13"/>
      <c r="AM210" s="13"/>
      <c r="AN210" s="13"/>
      <c r="AO210" s="13"/>
      <c r="AP210" s="20">
        <v>-0.04</v>
      </c>
      <c r="AQ210" s="20">
        <f t="shared" si="57"/>
        <v>0</v>
      </c>
      <c r="AR210" s="94">
        <f t="shared" si="58"/>
        <v>0</v>
      </c>
      <c r="AS210" s="127">
        <f t="shared" si="59"/>
        <v>0</v>
      </c>
      <c r="AT210" s="34" t="s">
        <v>97</v>
      </c>
      <c r="AU210" s="17" t="s">
        <v>4809</v>
      </c>
      <c r="AV210" s="17" t="s">
        <v>4810</v>
      </c>
      <c r="AW210" s="17" t="s">
        <v>4811</v>
      </c>
      <c r="AX210" s="128"/>
      <c r="AY210" s="128"/>
      <c r="AZ210" s="128"/>
    </row>
    <row r="211" spans="1:52" ht="15">
      <c r="A211" s="12">
        <v>44832</v>
      </c>
      <c r="B211" s="13" t="s">
        <v>4812</v>
      </c>
      <c r="C211" s="13" t="s">
        <v>74</v>
      </c>
      <c r="D211" s="17"/>
      <c r="E211" s="13"/>
      <c r="F211" s="14" t="s">
        <v>4504</v>
      </c>
      <c r="G211" s="13"/>
      <c r="H211" s="13"/>
      <c r="I211" s="13"/>
      <c r="J211" s="14"/>
      <c r="K211" s="14"/>
      <c r="L211" s="13">
        <v>1</v>
      </c>
      <c r="M211" s="13">
        <v>1</v>
      </c>
      <c r="N211" s="13"/>
      <c r="O211" s="14" t="s">
        <v>76</v>
      </c>
      <c r="P211" s="14" t="s">
        <v>77</v>
      </c>
      <c r="Q211" s="14" t="s">
        <v>238</v>
      </c>
      <c r="R211" s="14">
        <v>1</v>
      </c>
      <c r="S211" s="14">
        <v>1</v>
      </c>
      <c r="T211" s="14">
        <v>1</v>
      </c>
      <c r="U211" s="14" t="s">
        <v>22</v>
      </c>
      <c r="V211" s="14">
        <f t="shared" si="55"/>
        <v>0.01</v>
      </c>
      <c r="W211" s="14">
        <f t="shared" si="56"/>
        <v>1664.9999999999998</v>
      </c>
      <c r="X211" s="17"/>
      <c r="Y211" s="17"/>
      <c r="Z211" s="17" t="s">
        <v>4791</v>
      </c>
      <c r="AA211" s="18">
        <v>1.2999999999999999E-2</v>
      </c>
      <c r="AB211" s="13"/>
      <c r="AC211" s="13"/>
      <c r="AD211" s="13"/>
      <c r="AE211" s="13"/>
      <c r="AF211" s="13"/>
      <c r="AG211" s="13"/>
      <c r="AH211" s="13"/>
      <c r="AI211" s="19"/>
      <c r="AJ211" s="14"/>
      <c r="AK211" s="13" t="s">
        <v>4792</v>
      </c>
      <c r="AL211" s="13" t="s">
        <v>4793</v>
      </c>
      <c r="AM211" s="13"/>
      <c r="AN211" s="13" t="s">
        <v>97</v>
      </c>
      <c r="AO211" s="13"/>
      <c r="AP211" s="20">
        <v>0.03</v>
      </c>
      <c r="AQ211" s="20">
        <f t="shared" si="57"/>
        <v>1.7000000000000001E-2</v>
      </c>
      <c r="AR211" s="94">
        <f t="shared" si="58"/>
        <v>28.305</v>
      </c>
      <c r="AS211" s="127">
        <f t="shared" si="59"/>
        <v>28.305</v>
      </c>
      <c r="AT211" s="129" t="s">
        <v>77</v>
      </c>
      <c r="AU211" s="17" t="s">
        <v>4813</v>
      </c>
      <c r="AV211" s="17"/>
      <c r="AW211" s="17"/>
      <c r="AX211" s="128"/>
      <c r="AY211" s="128"/>
      <c r="AZ211" s="128"/>
    </row>
    <row r="212" spans="1:52" ht="15">
      <c r="A212" s="12">
        <v>44832</v>
      </c>
      <c r="B212" s="13" t="s">
        <v>4814</v>
      </c>
      <c r="C212" s="13" t="s">
        <v>74</v>
      </c>
      <c r="D212" s="17"/>
      <c r="E212" s="13"/>
      <c r="F212" s="14" t="s">
        <v>4079</v>
      </c>
      <c r="G212" s="13"/>
      <c r="H212" s="13"/>
      <c r="I212" s="13"/>
      <c r="J212" s="14"/>
      <c r="K212" s="14"/>
      <c r="L212" s="13"/>
      <c r="M212" s="13"/>
      <c r="N212" s="13"/>
      <c r="O212" s="14"/>
      <c r="P212" s="14"/>
      <c r="Q212" s="14"/>
      <c r="R212" s="14"/>
      <c r="S212" s="14"/>
      <c r="T212" s="14"/>
      <c r="U212" s="14"/>
      <c r="V212" s="14"/>
      <c r="W212" s="14"/>
      <c r="X212" s="17"/>
      <c r="Y212" s="17"/>
      <c r="Z212" s="17"/>
      <c r="AA212" s="18"/>
      <c r="AB212" s="13"/>
      <c r="AC212" s="13"/>
      <c r="AD212" s="13"/>
      <c r="AE212" s="13"/>
      <c r="AF212" s="13"/>
      <c r="AG212" s="13"/>
      <c r="AH212" s="13"/>
      <c r="AI212" s="19"/>
      <c r="AJ212" s="14"/>
      <c r="AK212" s="13"/>
      <c r="AL212" s="13"/>
      <c r="AM212" s="13"/>
      <c r="AN212" s="13"/>
      <c r="AO212" s="13"/>
      <c r="AP212" s="20"/>
      <c r="AQ212" s="13"/>
      <c r="AR212" s="79"/>
      <c r="AS212" s="127"/>
      <c r="AT212" s="34"/>
      <c r="AU212" s="17" t="s">
        <v>4815</v>
      </c>
      <c r="AV212" s="17"/>
      <c r="AW212" s="17"/>
      <c r="AX212" s="128"/>
      <c r="AY212" s="128"/>
      <c r="AZ212" s="128"/>
    </row>
    <row r="213" spans="1:52" ht="15">
      <c r="A213" s="12">
        <v>44832</v>
      </c>
      <c r="B213" s="13"/>
      <c r="C213" s="13" t="s">
        <v>74</v>
      </c>
      <c r="D213" s="17" t="s">
        <v>4816</v>
      </c>
      <c r="E213" s="13" t="s">
        <v>322</v>
      </c>
      <c r="F213" s="14"/>
      <c r="G213" s="13">
        <v>1</v>
      </c>
      <c r="H213" s="13"/>
      <c r="I213" s="13"/>
      <c r="J213" s="14"/>
      <c r="K213" s="14"/>
      <c r="L213" s="13"/>
      <c r="M213" s="13"/>
      <c r="N213" s="13"/>
      <c r="O213" s="14"/>
      <c r="P213" s="14"/>
      <c r="Q213" s="14"/>
      <c r="R213" s="14"/>
      <c r="S213" s="14"/>
      <c r="T213" s="14"/>
      <c r="U213" s="14"/>
      <c r="V213" s="14"/>
      <c r="W213" s="14"/>
      <c r="X213" s="17"/>
      <c r="Y213" s="17"/>
      <c r="Z213" s="17"/>
      <c r="AA213" s="18"/>
      <c r="AB213" s="13"/>
      <c r="AC213" s="13"/>
      <c r="AD213" s="13"/>
      <c r="AE213" s="13"/>
      <c r="AF213" s="13"/>
      <c r="AG213" s="13"/>
      <c r="AH213" s="13"/>
      <c r="AI213" s="19"/>
      <c r="AJ213" s="14"/>
      <c r="AK213" s="13"/>
      <c r="AL213" s="13"/>
      <c r="AM213" s="13"/>
      <c r="AN213" s="13"/>
      <c r="AO213" s="13"/>
      <c r="AP213" s="20"/>
      <c r="AQ213" s="13"/>
      <c r="AR213" s="79"/>
      <c r="AS213" s="21"/>
      <c r="AT213" s="22"/>
      <c r="AU213" s="46"/>
      <c r="AV213" s="46"/>
      <c r="AW213" s="46"/>
      <c r="AX213" s="125"/>
      <c r="AY213" s="126"/>
      <c r="AZ213" s="126"/>
    </row>
    <row r="214" spans="1:52" ht="15">
      <c r="A214" s="12"/>
      <c r="B214" s="13"/>
      <c r="C214" s="13"/>
      <c r="D214" s="17"/>
      <c r="E214" s="13"/>
      <c r="F214" s="14"/>
      <c r="G214" s="13"/>
      <c r="H214" s="13"/>
      <c r="I214" s="13"/>
      <c r="J214" s="14"/>
      <c r="K214" s="14"/>
      <c r="L214" s="13"/>
      <c r="M214" s="13"/>
      <c r="N214" s="13"/>
      <c r="O214" s="14"/>
      <c r="P214" s="14"/>
      <c r="Q214" s="14"/>
      <c r="R214" s="14"/>
      <c r="S214" s="14"/>
      <c r="T214" s="14"/>
      <c r="U214" s="14"/>
      <c r="V214" s="14"/>
      <c r="W214" s="14"/>
      <c r="X214" s="17"/>
      <c r="Y214" s="17"/>
      <c r="Z214" s="17"/>
      <c r="AA214" s="18"/>
      <c r="AB214" s="13"/>
      <c r="AC214" s="13"/>
      <c r="AD214" s="13"/>
      <c r="AE214" s="13"/>
      <c r="AF214" s="13"/>
      <c r="AG214" s="13"/>
      <c r="AH214" s="13"/>
      <c r="AI214" s="19"/>
      <c r="AJ214" s="14"/>
      <c r="AK214" s="13"/>
      <c r="AL214" s="13"/>
      <c r="AM214" s="13"/>
      <c r="AN214" s="13"/>
      <c r="AO214" s="13"/>
      <c r="AP214" s="20"/>
      <c r="AQ214" s="13"/>
      <c r="AR214" s="79"/>
      <c r="AS214" s="21"/>
      <c r="AT214" s="22"/>
      <c r="AU214" s="46"/>
      <c r="AV214" s="46"/>
      <c r="AW214" s="46"/>
      <c r="AX214" s="125"/>
      <c r="AY214" s="126"/>
      <c r="AZ214" s="126"/>
    </row>
    <row r="215" spans="1:52" ht="15">
      <c r="A215" s="12"/>
      <c r="B215" s="13"/>
      <c r="C215" s="13"/>
      <c r="D215" s="17"/>
      <c r="E215" s="13"/>
      <c r="F215" s="14"/>
      <c r="G215" s="13"/>
      <c r="H215" s="13"/>
      <c r="I215" s="13"/>
      <c r="J215" s="14"/>
      <c r="K215" s="14"/>
      <c r="L215" s="13"/>
      <c r="M215" s="13"/>
      <c r="N215" s="13"/>
      <c r="O215" s="14"/>
      <c r="P215" s="14"/>
      <c r="Q215" s="14"/>
      <c r="R215" s="14"/>
      <c r="S215" s="14"/>
      <c r="T215" s="14"/>
      <c r="U215" s="14"/>
      <c r="V215" s="14"/>
      <c r="W215" s="14"/>
      <c r="X215" s="17"/>
      <c r="Y215" s="17"/>
      <c r="Z215" s="17"/>
      <c r="AA215" s="18"/>
      <c r="AB215" s="13"/>
      <c r="AC215" s="13"/>
      <c r="AD215" s="13"/>
      <c r="AE215" s="13"/>
      <c r="AF215" s="13"/>
      <c r="AG215" s="13"/>
      <c r="AH215" s="13"/>
      <c r="AI215" s="19"/>
      <c r="AJ215" s="14"/>
      <c r="AK215" s="13"/>
      <c r="AL215" s="13"/>
      <c r="AM215" s="13"/>
      <c r="AN215" s="13"/>
      <c r="AO215" s="13"/>
      <c r="AP215" s="20"/>
      <c r="AQ215" s="13"/>
      <c r="AR215" s="79"/>
      <c r="AS215" s="21"/>
      <c r="AT215" s="22"/>
      <c r="AU215" s="124" t="s">
        <v>4817</v>
      </c>
      <c r="AV215" s="124" t="s">
        <v>4818</v>
      </c>
      <c r="AW215" s="124" t="s">
        <v>4819</v>
      </c>
      <c r="AX215" s="130" t="s">
        <v>4820</v>
      </c>
      <c r="AY215" s="131" t="s">
        <v>4821</v>
      </c>
      <c r="AZ215" s="131" t="s">
        <v>4822</v>
      </c>
    </row>
    <row r="216" spans="1:52" ht="12.75">
      <c r="A216" s="83">
        <v>44856</v>
      </c>
      <c r="B216" s="121"/>
      <c r="C216" s="121"/>
      <c r="D216" s="132"/>
      <c r="E216" s="121"/>
      <c r="F216" s="133"/>
      <c r="G216" s="121"/>
      <c r="H216" s="121"/>
      <c r="I216" s="121"/>
      <c r="J216" s="121"/>
      <c r="K216" s="121"/>
      <c r="L216" s="121"/>
      <c r="M216" s="121"/>
      <c r="N216" s="121"/>
      <c r="O216" s="133"/>
      <c r="P216" s="133"/>
      <c r="Q216" s="133"/>
      <c r="R216" s="133"/>
      <c r="S216" s="133"/>
      <c r="T216" s="133"/>
      <c r="U216" s="133"/>
      <c r="V216" s="133"/>
      <c r="W216" s="133"/>
      <c r="X216" s="132"/>
      <c r="Y216" s="132"/>
      <c r="Z216" s="132"/>
      <c r="AA216" s="134"/>
      <c r="AB216" s="121"/>
      <c r="AC216" s="121"/>
      <c r="AD216" s="121"/>
      <c r="AE216" s="121"/>
      <c r="AF216" s="121"/>
      <c r="AG216" s="121"/>
      <c r="AH216" s="121"/>
      <c r="AI216" s="135"/>
      <c r="AJ216" s="133"/>
      <c r="AK216" s="121"/>
      <c r="AL216" s="121"/>
      <c r="AM216" s="121"/>
      <c r="AN216" s="121"/>
      <c r="AO216" s="121"/>
      <c r="AP216" s="136"/>
      <c r="AQ216" s="121"/>
      <c r="AR216" s="137"/>
      <c r="AS216" s="92"/>
      <c r="AT216" s="93"/>
      <c r="AU216" s="121"/>
      <c r="AV216" s="121"/>
      <c r="AW216" s="121"/>
      <c r="AX216" s="121"/>
      <c r="AY216" s="121"/>
      <c r="AZ216" s="121"/>
    </row>
    <row r="217" spans="1:52" ht="17.25">
      <c r="A217" s="12">
        <v>44835</v>
      </c>
      <c r="B217" s="13" t="s">
        <v>4823</v>
      </c>
      <c r="C217" s="13" t="s">
        <v>93</v>
      </c>
      <c r="D217" s="17"/>
      <c r="E217" s="13"/>
      <c r="F217" s="14" t="s">
        <v>4504</v>
      </c>
      <c r="G217" s="13"/>
      <c r="H217" s="13"/>
      <c r="I217" s="13"/>
      <c r="J217" s="14"/>
      <c r="K217" s="14"/>
      <c r="L217" s="13">
        <v>1</v>
      </c>
      <c r="M217" s="13">
        <v>1</v>
      </c>
      <c r="N217" s="13"/>
      <c r="O217" s="14" t="s">
        <v>76</v>
      </c>
      <c r="P217" s="14" t="s">
        <v>77</v>
      </c>
      <c r="Q217" s="14" t="s">
        <v>238</v>
      </c>
      <c r="R217" s="14">
        <v>1</v>
      </c>
      <c r="S217" s="14">
        <v>1</v>
      </c>
      <c r="T217" s="14">
        <v>1</v>
      </c>
      <c r="U217" s="14" t="s">
        <v>22</v>
      </c>
      <c r="V217" s="16">
        <f t="shared" ref="V217:V220" si="60">IF(ISBLANK(O217),,(IF(O217=UPPER("IB"),0.005,0.01)))</f>
        <v>0.01</v>
      </c>
      <c r="W217" s="16">
        <f t="shared" ref="W217:W220" si="61">IF(ISBLANK(O217),,IF(O217=UPPER("IB"),8.63*200,16.65*100))</f>
        <v>1664.9999999999998</v>
      </c>
      <c r="X217" s="17"/>
      <c r="Y217" s="17"/>
      <c r="Z217" s="17" t="s">
        <v>4791</v>
      </c>
      <c r="AA217" s="18">
        <v>0</v>
      </c>
      <c r="AB217" s="13" t="s">
        <v>4824</v>
      </c>
      <c r="AC217" s="13"/>
      <c r="AD217" s="13"/>
      <c r="AE217" s="13" t="s">
        <v>4825</v>
      </c>
      <c r="AF217" s="13"/>
      <c r="AG217" s="13"/>
      <c r="AH217" s="13"/>
      <c r="AI217" s="19"/>
      <c r="AJ217" s="14"/>
      <c r="AK217" s="13" t="s">
        <v>4826</v>
      </c>
      <c r="AL217" s="13"/>
      <c r="AM217" s="13"/>
      <c r="AN217" s="13"/>
      <c r="AO217" s="13"/>
      <c r="AP217" s="20"/>
      <c r="AQ217" s="13"/>
      <c r="AR217" s="79"/>
      <c r="AS217" s="21"/>
      <c r="AT217" s="22"/>
      <c r="AU217" s="13" t="s">
        <v>4827</v>
      </c>
      <c r="AV217" s="13"/>
      <c r="AW217" s="13"/>
      <c r="AX217" s="13"/>
      <c r="AY217" s="13"/>
      <c r="AZ217" s="13"/>
    </row>
    <row r="218" spans="1:52" ht="17.25">
      <c r="A218" s="12">
        <v>44837</v>
      </c>
      <c r="B218" s="13" t="s">
        <v>2802</v>
      </c>
      <c r="C218" s="13" t="s">
        <v>114</v>
      </c>
      <c r="D218" s="17"/>
      <c r="E218" s="13"/>
      <c r="F218" s="14" t="s">
        <v>4504</v>
      </c>
      <c r="G218" s="13"/>
      <c r="H218" s="13"/>
      <c r="I218" s="13"/>
      <c r="J218" s="14"/>
      <c r="K218" s="14"/>
      <c r="L218" s="13">
        <v>1</v>
      </c>
      <c r="M218" s="13">
        <v>1</v>
      </c>
      <c r="N218" s="13"/>
      <c r="O218" s="14" t="s">
        <v>76</v>
      </c>
      <c r="P218" s="14" t="s">
        <v>77</v>
      </c>
      <c r="Q218" s="14" t="s">
        <v>238</v>
      </c>
      <c r="R218" s="14">
        <v>2</v>
      </c>
      <c r="S218" s="14">
        <v>2</v>
      </c>
      <c r="T218" s="14">
        <v>1</v>
      </c>
      <c r="U218" s="14" t="s">
        <v>22</v>
      </c>
      <c r="V218" s="16">
        <f t="shared" si="60"/>
        <v>0.01</v>
      </c>
      <c r="W218" s="16">
        <f t="shared" si="61"/>
        <v>1664.9999999999998</v>
      </c>
      <c r="X218" s="17"/>
      <c r="Y218" s="17"/>
      <c r="Z218" s="17" t="s">
        <v>4791</v>
      </c>
      <c r="AA218" s="18">
        <v>-0.01</v>
      </c>
      <c r="AB218" s="13"/>
      <c r="AC218" s="13"/>
      <c r="AD218" s="13"/>
      <c r="AE218" s="13"/>
      <c r="AF218" s="13"/>
      <c r="AG218" s="13"/>
      <c r="AH218" s="13"/>
      <c r="AI218" s="19"/>
      <c r="AJ218" s="14"/>
      <c r="AK218" s="13"/>
      <c r="AL218" s="13"/>
      <c r="AM218" s="13"/>
      <c r="AN218" s="13"/>
      <c r="AO218" s="13"/>
      <c r="AP218" s="20"/>
      <c r="AQ218" s="13"/>
      <c r="AR218" s="79"/>
      <c r="AS218" s="21"/>
      <c r="AT218" s="22"/>
      <c r="AU218" s="13" t="s">
        <v>4827</v>
      </c>
      <c r="AV218" s="13" t="s">
        <v>4828</v>
      </c>
      <c r="AW218" s="13"/>
      <c r="AX218" s="13"/>
      <c r="AY218" s="13"/>
      <c r="AZ218" s="13"/>
    </row>
    <row r="219" spans="1:52" ht="12.75">
      <c r="A219" s="12">
        <v>44838</v>
      </c>
      <c r="B219" s="13" t="s">
        <v>4829</v>
      </c>
      <c r="C219" s="13" t="s">
        <v>128</v>
      </c>
      <c r="D219" s="17" t="s">
        <v>4830</v>
      </c>
      <c r="E219" s="13"/>
      <c r="F219" s="14" t="s">
        <v>4504</v>
      </c>
      <c r="G219" s="13"/>
      <c r="H219" s="13"/>
      <c r="I219" s="13"/>
      <c r="J219" s="14"/>
      <c r="K219" s="14"/>
      <c r="L219" s="13">
        <v>1</v>
      </c>
      <c r="M219" s="13">
        <v>1</v>
      </c>
      <c r="N219" s="13"/>
      <c r="O219" s="14" t="s">
        <v>76</v>
      </c>
      <c r="P219" s="14" t="s">
        <v>119</v>
      </c>
      <c r="Q219" s="14" t="s">
        <v>238</v>
      </c>
      <c r="R219" s="14">
        <v>1</v>
      </c>
      <c r="S219" s="14">
        <v>1</v>
      </c>
      <c r="T219" s="14">
        <v>1</v>
      </c>
      <c r="U219" s="14" t="s">
        <v>22</v>
      </c>
      <c r="V219" s="14">
        <f t="shared" si="60"/>
        <v>0.01</v>
      </c>
      <c r="W219" s="14">
        <f t="shared" si="61"/>
        <v>1664.9999999999998</v>
      </c>
      <c r="X219" s="17"/>
      <c r="Y219" s="17"/>
      <c r="Z219" s="17" t="s">
        <v>4791</v>
      </c>
      <c r="AA219" s="18">
        <v>1.3299999999999999E-2</v>
      </c>
      <c r="AB219" s="13"/>
      <c r="AC219" s="13"/>
      <c r="AD219" s="13"/>
      <c r="AE219" s="13"/>
      <c r="AF219" s="13"/>
      <c r="AG219" s="13"/>
      <c r="AH219" s="13"/>
      <c r="AI219" s="19"/>
      <c r="AJ219" s="14"/>
      <c r="AK219" s="13" t="s">
        <v>4792</v>
      </c>
      <c r="AL219" s="13" t="s">
        <v>4793</v>
      </c>
      <c r="AM219" s="13" t="s">
        <v>4075</v>
      </c>
      <c r="AN219" s="13" t="s">
        <v>97</v>
      </c>
      <c r="AO219" s="13" t="s">
        <v>4831</v>
      </c>
      <c r="AP219" s="20">
        <v>0.02</v>
      </c>
      <c r="AQ219" s="20">
        <f t="shared" ref="AQ219:AQ220" si="62">IF(ISBLANK(AP219),,IF(U219="S",AA219-AP219,AP219-AA219))</f>
        <v>6.7000000000000011E-3</v>
      </c>
      <c r="AR219" s="94">
        <f t="shared" ref="AR219:AR220" si="63">AS219*R219</f>
        <v>11.1555</v>
      </c>
      <c r="AS219" s="21">
        <f t="shared" ref="AS219:AS220" si="64">IF(ISBLANK(AP219),,(AQ219*W219))</f>
        <v>11.1555</v>
      </c>
      <c r="AT219" s="22" t="s">
        <v>77</v>
      </c>
      <c r="AU219" s="13" t="s">
        <v>4832</v>
      </c>
      <c r="AV219" s="13" t="s">
        <v>4833</v>
      </c>
      <c r="AW219" s="29" t="s">
        <v>4834</v>
      </c>
      <c r="AX219" s="13" t="s">
        <v>4835</v>
      </c>
      <c r="AY219" s="13" t="s">
        <v>4836</v>
      </c>
      <c r="AZ219" s="13"/>
    </row>
    <row r="220" spans="1:52" ht="12.75">
      <c r="A220" s="12">
        <v>44838</v>
      </c>
      <c r="B220" s="13"/>
      <c r="C220" s="13" t="s">
        <v>128</v>
      </c>
      <c r="D220" s="17" t="s">
        <v>4837</v>
      </c>
      <c r="E220" s="13" t="s">
        <v>4838</v>
      </c>
      <c r="F220" s="14" t="s">
        <v>4839</v>
      </c>
      <c r="G220" s="13"/>
      <c r="H220" s="13"/>
      <c r="I220" s="13"/>
      <c r="J220" s="14"/>
      <c r="K220" s="14"/>
      <c r="L220" s="13">
        <v>1</v>
      </c>
      <c r="M220" s="13">
        <v>1</v>
      </c>
      <c r="N220" s="13"/>
      <c r="O220" s="14" t="s">
        <v>1039</v>
      </c>
      <c r="P220" s="14"/>
      <c r="Q220" s="14" t="s">
        <v>666</v>
      </c>
      <c r="R220" s="14">
        <v>1</v>
      </c>
      <c r="S220" s="14">
        <v>1</v>
      </c>
      <c r="T220" s="14">
        <v>1</v>
      </c>
      <c r="U220" s="14" t="s">
        <v>78</v>
      </c>
      <c r="V220" s="14">
        <f t="shared" si="60"/>
        <v>5.0000000000000001E-3</v>
      </c>
      <c r="W220" s="14">
        <f t="shared" si="61"/>
        <v>1726.0000000000002</v>
      </c>
      <c r="X220" s="17"/>
      <c r="Y220" s="17" t="s">
        <v>4840</v>
      </c>
      <c r="Z220" s="17"/>
      <c r="AA220" s="18">
        <v>97.34</v>
      </c>
      <c r="AB220" s="13"/>
      <c r="AC220" s="13"/>
      <c r="AD220" s="13"/>
      <c r="AE220" s="13"/>
      <c r="AF220" s="13"/>
      <c r="AG220" s="13"/>
      <c r="AH220" s="13"/>
      <c r="AI220" s="19"/>
      <c r="AJ220" s="14"/>
      <c r="AK220" s="13"/>
      <c r="AL220" s="13"/>
      <c r="AM220" s="13"/>
      <c r="AN220" s="13" t="s">
        <v>376</v>
      </c>
      <c r="AO220" s="13"/>
      <c r="AP220" s="20">
        <v>97.48</v>
      </c>
      <c r="AQ220" s="20">
        <f t="shared" si="62"/>
        <v>-0.14000000000000057</v>
      </c>
      <c r="AR220" s="94">
        <f t="shared" si="63"/>
        <v>-241.64000000000101</v>
      </c>
      <c r="AS220" s="21">
        <f t="shared" si="64"/>
        <v>-241.64000000000101</v>
      </c>
      <c r="AT220" s="22" t="s">
        <v>211</v>
      </c>
      <c r="AU220" s="138" t="s">
        <v>4841</v>
      </c>
      <c r="AV220" s="138" t="s">
        <v>4842</v>
      </c>
      <c r="AW220" s="13" t="s">
        <v>4843</v>
      </c>
      <c r="AX220" s="13" t="s">
        <v>4844</v>
      </c>
      <c r="AY220" s="13" t="s">
        <v>4845</v>
      </c>
      <c r="AZ220" s="13"/>
    </row>
    <row r="221" spans="1:52" ht="12.75">
      <c r="A221" s="12"/>
      <c r="B221" s="13"/>
      <c r="C221" s="13"/>
      <c r="D221" s="17"/>
      <c r="E221" s="13"/>
      <c r="F221" s="14"/>
      <c r="G221" s="13"/>
      <c r="H221" s="13"/>
      <c r="I221" s="13"/>
      <c r="J221" s="14"/>
      <c r="K221" s="14"/>
      <c r="L221" s="13"/>
      <c r="M221" s="13"/>
      <c r="N221" s="13"/>
      <c r="O221" s="14"/>
      <c r="P221" s="14"/>
      <c r="Q221" s="14"/>
      <c r="R221" s="14"/>
      <c r="S221" s="14"/>
      <c r="T221" s="14"/>
      <c r="U221" s="14"/>
      <c r="V221" s="14"/>
      <c r="W221" s="14"/>
      <c r="X221" s="17"/>
      <c r="Y221" s="17"/>
      <c r="Z221" s="17"/>
      <c r="AA221" s="18"/>
      <c r="AB221" s="13"/>
      <c r="AC221" s="13"/>
      <c r="AD221" s="13"/>
      <c r="AE221" s="13"/>
      <c r="AF221" s="13"/>
      <c r="AG221" s="13"/>
      <c r="AH221" s="13"/>
      <c r="AI221" s="19"/>
      <c r="AJ221" s="14"/>
      <c r="AK221" s="13"/>
      <c r="AL221" s="13"/>
      <c r="AM221" s="13"/>
      <c r="AN221" s="13"/>
      <c r="AO221" s="13"/>
      <c r="AP221" s="20"/>
      <c r="AQ221" s="13"/>
      <c r="AR221" s="94"/>
      <c r="AS221" s="21"/>
      <c r="AT221" s="22"/>
      <c r="AU221" s="124" t="s">
        <v>4846</v>
      </c>
      <c r="AV221" s="124" t="s">
        <v>4847</v>
      </c>
      <c r="AW221" s="13" t="s">
        <v>4848</v>
      </c>
      <c r="AY221" s="13"/>
      <c r="AZ221" s="13"/>
    </row>
    <row r="222" spans="1:52" ht="15">
      <c r="A222" s="12">
        <v>44838</v>
      </c>
      <c r="B222" s="13" t="s">
        <v>4849</v>
      </c>
      <c r="C222" s="13" t="s">
        <v>128</v>
      </c>
      <c r="D222" s="17"/>
      <c r="E222" s="13"/>
      <c r="F222" s="14" t="s">
        <v>4850</v>
      </c>
      <c r="G222" s="13"/>
      <c r="H222" s="13"/>
      <c r="I222" s="13"/>
      <c r="J222" s="14"/>
      <c r="K222" s="14"/>
      <c r="L222" s="13">
        <v>1</v>
      </c>
      <c r="M222" s="13">
        <v>1</v>
      </c>
      <c r="N222" s="13"/>
      <c r="O222" s="14" t="s">
        <v>76</v>
      </c>
      <c r="P222" s="14" t="s">
        <v>77</v>
      </c>
      <c r="Q222" s="14" t="s">
        <v>238</v>
      </c>
      <c r="R222" s="14">
        <v>1</v>
      </c>
      <c r="S222" s="14">
        <v>1</v>
      </c>
      <c r="T222" s="14">
        <v>1</v>
      </c>
      <c r="U222" s="14" t="s">
        <v>22</v>
      </c>
      <c r="V222" s="14">
        <f t="shared" ref="V222:V277" si="65">IF(ISBLANK(O222),,(IF(O222=UPPER("IB"),0.005,0.01)))</f>
        <v>0.01</v>
      </c>
      <c r="W222" s="14">
        <f t="shared" ref="W222:W277" si="66">IF(ISBLANK(O222),,IF(O222=UPPER("IB"),8.63*200,16.65*100))</f>
        <v>1664.9999999999998</v>
      </c>
      <c r="X222" s="17"/>
      <c r="Y222" s="17"/>
      <c r="Z222" s="17" t="s">
        <v>4791</v>
      </c>
      <c r="AA222" s="18">
        <v>1.2999999999999999E-2</v>
      </c>
      <c r="AB222" s="13"/>
      <c r="AC222" s="13"/>
      <c r="AD222" s="13"/>
      <c r="AE222" s="13"/>
      <c r="AF222" s="13"/>
      <c r="AG222" s="13"/>
      <c r="AH222" s="13"/>
      <c r="AI222" s="19"/>
      <c r="AJ222" s="14"/>
      <c r="AK222" s="13" t="s">
        <v>4792</v>
      </c>
      <c r="AL222" s="13" t="s">
        <v>4793</v>
      </c>
      <c r="AM222" s="13" t="s">
        <v>4075</v>
      </c>
      <c r="AN222" s="13" t="s">
        <v>97</v>
      </c>
      <c r="AO222" s="13" t="s">
        <v>4831</v>
      </c>
      <c r="AP222" s="20">
        <v>0.05</v>
      </c>
      <c r="AQ222" s="20">
        <f t="shared" ref="AQ222:AQ263" si="67">IF(ISBLANK(AP222),,IF(U222="S",AA222-AP222,AP222-AA222))</f>
        <v>3.7000000000000005E-2</v>
      </c>
      <c r="AR222" s="94">
        <f t="shared" ref="AR222:AR253" si="68">AS222*R222</f>
        <v>61.604999999999997</v>
      </c>
      <c r="AS222" s="127">
        <f t="shared" ref="AS222:AS263" si="69">IF(ISBLANK(AP222),,(AQ222*W222))</f>
        <v>61.604999999999997</v>
      </c>
      <c r="AT222" s="129" t="s">
        <v>77</v>
      </c>
      <c r="AU222" s="17" t="s">
        <v>4813</v>
      </c>
      <c r="AV222" s="17" t="s">
        <v>4851</v>
      </c>
      <c r="AW222" s="17"/>
      <c r="AX222" s="128" t="s">
        <v>4852</v>
      </c>
      <c r="AY222" s="128" t="s">
        <v>4853</v>
      </c>
      <c r="AZ222" s="128"/>
    </row>
    <row r="223" spans="1:52" ht="15">
      <c r="A223" s="12">
        <v>44838</v>
      </c>
      <c r="B223" s="13" t="s">
        <v>4854</v>
      </c>
      <c r="C223" s="13" t="s">
        <v>128</v>
      </c>
      <c r="D223" s="17"/>
      <c r="E223" s="13"/>
      <c r="F223" s="14" t="s">
        <v>4850</v>
      </c>
      <c r="G223" s="13"/>
      <c r="H223" s="13"/>
      <c r="I223" s="13"/>
      <c r="J223" s="14"/>
      <c r="K223" s="14"/>
      <c r="L223" s="13">
        <v>1</v>
      </c>
      <c r="M223" s="13">
        <v>1</v>
      </c>
      <c r="N223" s="13"/>
      <c r="O223" s="14" t="s">
        <v>76</v>
      </c>
      <c r="P223" s="14" t="s">
        <v>77</v>
      </c>
      <c r="Q223" s="14" t="s">
        <v>238</v>
      </c>
      <c r="R223" s="14">
        <v>1</v>
      </c>
      <c r="S223" s="14">
        <v>1</v>
      </c>
      <c r="T223" s="14">
        <v>1</v>
      </c>
      <c r="U223" s="14" t="s">
        <v>22</v>
      </c>
      <c r="V223" s="14">
        <f t="shared" si="65"/>
        <v>0.01</v>
      </c>
      <c r="W223" s="14">
        <f t="shared" si="66"/>
        <v>1664.9999999999998</v>
      </c>
      <c r="X223" s="17"/>
      <c r="Y223" s="17"/>
      <c r="Z223" s="17" t="s">
        <v>4791</v>
      </c>
      <c r="AA223" s="18">
        <v>1.2999999999999999E-2</v>
      </c>
      <c r="AB223" s="13"/>
      <c r="AC223" s="13"/>
      <c r="AD223" s="13"/>
      <c r="AE223" s="13"/>
      <c r="AF223" s="13"/>
      <c r="AG223" s="13"/>
      <c r="AH223" s="13"/>
      <c r="AI223" s="19"/>
      <c r="AJ223" s="14"/>
      <c r="AK223" s="13" t="s">
        <v>4792</v>
      </c>
      <c r="AL223" s="13" t="s">
        <v>4793</v>
      </c>
      <c r="AM223" s="13" t="s">
        <v>4075</v>
      </c>
      <c r="AN223" s="13" t="s">
        <v>97</v>
      </c>
      <c r="AO223" s="13" t="s">
        <v>4831</v>
      </c>
      <c r="AP223" s="20">
        <v>0.06</v>
      </c>
      <c r="AQ223" s="20">
        <f t="shared" si="67"/>
        <v>4.7E-2</v>
      </c>
      <c r="AR223" s="94">
        <f t="shared" si="68"/>
        <v>78.254999999999995</v>
      </c>
      <c r="AS223" s="127">
        <f t="shared" si="69"/>
        <v>78.254999999999995</v>
      </c>
      <c r="AT223" s="129" t="s">
        <v>77</v>
      </c>
      <c r="AU223" s="17" t="s">
        <v>4813</v>
      </c>
      <c r="AV223" s="17" t="s">
        <v>4851</v>
      </c>
      <c r="AW223" s="17"/>
      <c r="AX223" s="128" t="s">
        <v>4852</v>
      </c>
      <c r="AY223" s="128" t="s">
        <v>4853</v>
      </c>
      <c r="AZ223" s="128"/>
    </row>
    <row r="224" spans="1:52" ht="15">
      <c r="A224" s="12">
        <v>44839</v>
      </c>
      <c r="B224" s="13" t="s">
        <v>4855</v>
      </c>
      <c r="C224" s="13" t="s">
        <v>133</v>
      </c>
      <c r="D224" s="17"/>
      <c r="E224" s="13"/>
      <c r="F224" s="14" t="s">
        <v>4850</v>
      </c>
      <c r="G224" s="13"/>
      <c r="H224" s="13"/>
      <c r="I224" s="13"/>
      <c r="J224" s="14"/>
      <c r="K224" s="14"/>
      <c r="L224" s="13">
        <v>1</v>
      </c>
      <c r="M224" s="13">
        <v>1</v>
      </c>
      <c r="N224" s="13"/>
      <c r="O224" s="14" t="s">
        <v>76</v>
      </c>
      <c r="P224" s="14" t="s">
        <v>77</v>
      </c>
      <c r="Q224" s="14" t="s">
        <v>238</v>
      </c>
      <c r="R224" s="14">
        <v>2</v>
      </c>
      <c r="S224" s="14">
        <v>2</v>
      </c>
      <c r="T224" s="14">
        <v>2</v>
      </c>
      <c r="U224" s="14" t="s">
        <v>22</v>
      </c>
      <c r="V224" s="14">
        <f t="shared" si="65"/>
        <v>0.01</v>
      </c>
      <c r="W224" s="14">
        <f t="shared" si="66"/>
        <v>1664.9999999999998</v>
      </c>
      <c r="X224" s="17"/>
      <c r="Y224" s="17"/>
      <c r="Z224" s="17" t="s">
        <v>4791</v>
      </c>
      <c r="AA224" s="18">
        <v>1.2999999999999999E-2</v>
      </c>
      <c r="AB224" s="13"/>
      <c r="AC224" s="13"/>
      <c r="AD224" s="13"/>
      <c r="AE224" s="13"/>
      <c r="AF224" s="13"/>
      <c r="AG224" s="13" t="s">
        <v>4856</v>
      </c>
      <c r="AH224" s="13"/>
      <c r="AI224" s="19"/>
      <c r="AJ224" s="14"/>
      <c r="AK224" s="13" t="s">
        <v>4792</v>
      </c>
      <c r="AL224" s="13" t="s">
        <v>4857</v>
      </c>
      <c r="AM224" s="13" t="s">
        <v>4177</v>
      </c>
      <c r="AN224" s="13" t="s">
        <v>77</v>
      </c>
      <c r="AO224" s="13" t="s">
        <v>4858</v>
      </c>
      <c r="AP224" s="20">
        <v>0.06</v>
      </c>
      <c r="AQ224" s="20">
        <f t="shared" si="67"/>
        <v>4.7E-2</v>
      </c>
      <c r="AR224" s="94">
        <f t="shared" si="68"/>
        <v>156.51</v>
      </c>
      <c r="AS224" s="127">
        <f t="shared" si="69"/>
        <v>78.254999999999995</v>
      </c>
      <c r="AT224" s="129" t="s">
        <v>77</v>
      </c>
      <c r="AU224" s="17" t="s">
        <v>4859</v>
      </c>
      <c r="AV224" s="17" t="s">
        <v>4860</v>
      </c>
      <c r="AW224" s="17" t="s">
        <v>4861</v>
      </c>
      <c r="AX224" s="128" t="s">
        <v>4852</v>
      </c>
      <c r="AY224" s="128" t="s">
        <v>4853</v>
      </c>
      <c r="AZ224" s="128" t="s">
        <v>4862</v>
      </c>
    </row>
    <row r="225" spans="1:52" ht="12.75">
      <c r="A225" s="12">
        <v>44840</v>
      </c>
      <c r="B225" s="13" t="s">
        <v>4863</v>
      </c>
      <c r="C225" s="13" t="s">
        <v>74</v>
      </c>
      <c r="D225" s="17"/>
      <c r="E225" s="13"/>
      <c r="F225" s="14" t="s">
        <v>2549</v>
      </c>
      <c r="G225" s="13"/>
      <c r="H225" s="13"/>
      <c r="I225" s="13"/>
      <c r="J225" s="14"/>
      <c r="K225" s="14"/>
      <c r="L225" s="13">
        <v>1</v>
      </c>
      <c r="M225" s="13">
        <v>1</v>
      </c>
      <c r="N225" s="13"/>
      <c r="O225" s="14" t="s">
        <v>76</v>
      </c>
      <c r="P225" s="14" t="s">
        <v>119</v>
      </c>
      <c r="Q225" s="14" t="s">
        <v>238</v>
      </c>
      <c r="R225" s="14">
        <v>1</v>
      </c>
      <c r="S225" s="14">
        <v>1</v>
      </c>
      <c r="T225" s="14">
        <v>1</v>
      </c>
      <c r="U225" s="14" t="s">
        <v>78</v>
      </c>
      <c r="V225" s="14">
        <f t="shared" si="65"/>
        <v>0.01</v>
      </c>
      <c r="W225" s="14">
        <f t="shared" si="66"/>
        <v>1664.9999999999998</v>
      </c>
      <c r="X225" s="17"/>
      <c r="Y225" s="17"/>
      <c r="Z225" s="28" t="s">
        <v>4774</v>
      </c>
      <c r="AA225" s="18">
        <v>0</v>
      </c>
      <c r="AB225" s="13"/>
      <c r="AC225" s="13"/>
      <c r="AD225" s="13"/>
      <c r="AE225" s="13"/>
      <c r="AF225" s="13"/>
      <c r="AG225" s="13"/>
      <c r="AH225" s="13"/>
      <c r="AI225" s="19"/>
      <c r="AJ225" s="14"/>
      <c r="AK225" s="13"/>
      <c r="AL225" s="13"/>
      <c r="AM225" s="13"/>
      <c r="AN225" s="13" t="s">
        <v>77</v>
      </c>
      <c r="AO225" s="13" t="s">
        <v>4864</v>
      </c>
      <c r="AP225" s="20">
        <v>0</v>
      </c>
      <c r="AQ225" s="20">
        <f t="shared" si="67"/>
        <v>0</v>
      </c>
      <c r="AR225" s="94">
        <f t="shared" si="68"/>
        <v>0</v>
      </c>
      <c r="AS225" s="21">
        <f t="shared" si="69"/>
        <v>0</v>
      </c>
      <c r="AT225" s="22" t="s">
        <v>97</v>
      </c>
      <c r="AU225" s="13" t="s">
        <v>4799</v>
      </c>
      <c r="AV225" s="13"/>
      <c r="AW225" s="13"/>
      <c r="AX225" s="13"/>
      <c r="AY225" s="13"/>
      <c r="AZ225" s="13"/>
    </row>
    <row r="226" spans="1:52" ht="15">
      <c r="A226" s="12">
        <v>44841</v>
      </c>
      <c r="B226" s="33">
        <v>0.41666666666666669</v>
      </c>
      <c r="C226" s="13" t="s">
        <v>93</v>
      </c>
      <c r="D226" s="17"/>
      <c r="E226" s="13"/>
      <c r="F226" s="14" t="s">
        <v>4850</v>
      </c>
      <c r="G226" s="13"/>
      <c r="H226" s="13"/>
      <c r="I226" s="13"/>
      <c r="J226" s="14"/>
      <c r="K226" s="14"/>
      <c r="L226" s="13">
        <v>1</v>
      </c>
      <c r="M226" s="13">
        <v>1</v>
      </c>
      <c r="N226" s="13"/>
      <c r="O226" s="14" t="s">
        <v>76</v>
      </c>
      <c r="P226" s="14" t="s">
        <v>77</v>
      </c>
      <c r="Q226" s="14" t="s">
        <v>238</v>
      </c>
      <c r="R226" s="14">
        <v>2</v>
      </c>
      <c r="S226" s="14">
        <v>2</v>
      </c>
      <c r="T226" s="14">
        <v>2</v>
      </c>
      <c r="U226" s="14" t="s">
        <v>22</v>
      </c>
      <c r="V226" s="14">
        <f t="shared" si="65"/>
        <v>0.01</v>
      </c>
      <c r="W226" s="14">
        <f t="shared" si="66"/>
        <v>1664.9999999999998</v>
      </c>
      <c r="X226" s="17"/>
      <c r="Y226" s="17"/>
      <c r="Z226" s="17" t="s">
        <v>4791</v>
      </c>
      <c r="AA226" s="18">
        <v>1.2999999999999999E-2</v>
      </c>
      <c r="AB226" s="13"/>
      <c r="AC226" s="13"/>
      <c r="AD226" s="13"/>
      <c r="AE226" s="13"/>
      <c r="AF226" s="13"/>
      <c r="AG226" s="13" t="s">
        <v>4856</v>
      </c>
      <c r="AH226" s="13"/>
      <c r="AI226" s="19"/>
      <c r="AJ226" s="14"/>
      <c r="AK226" s="13" t="s">
        <v>4792</v>
      </c>
      <c r="AL226" s="13" t="s">
        <v>4857</v>
      </c>
      <c r="AM226" s="13" t="s">
        <v>4865</v>
      </c>
      <c r="AN226" s="13" t="s">
        <v>77</v>
      </c>
      <c r="AO226" s="13" t="s">
        <v>4866</v>
      </c>
      <c r="AP226" s="20">
        <v>7.0000000000000007E-2</v>
      </c>
      <c r="AQ226" s="20">
        <f t="shared" si="67"/>
        <v>5.7000000000000009E-2</v>
      </c>
      <c r="AR226" s="94">
        <f t="shared" si="68"/>
        <v>189.81</v>
      </c>
      <c r="AS226" s="127">
        <f t="shared" si="69"/>
        <v>94.905000000000001</v>
      </c>
      <c r="AT226" s="129" t="s">
        <v>77</v>
      </c>
      <c r="AU226" s="17"/>
      <c r="AV226" s="17"/>
      <c r="AW226" s="17"/>
      <c r="AX226" s="128"/>
      <c r="AY226" s="128"/>
      <c r="AZ226" s="128"/>
    </row>
    <row r="227" spans="1:52" ht="15">
      <c r="A227" s="12">
        <v>44841</v>
      </c>
      <c r="B227" s="33">
        <v>0.41666666666666669</v>
      </c>
      <c r="C227" s="13" t="s">
        <v>93</v>
      </c>
      <c r="D227" s="17"/>
      <c r="E227" s="13"/>
      <c r="F227" s="14" t="s">
        <v>4850</v>
      </c>
      <c r="G227" s="13"/>
      <c r="H227" s="13"/>
      <c r="I227" s="13"/>
      <c r="J227" s="14"/>
      <c r="K227" s="14"/>
      <c r="L227" s="13">
        <v>1</v>
      </c>
      <c r="M227" s="13">
        <v>1</v>
      </c>
      <c r="N227" s="13"/>
      <c r="O227" s="14" t="s">
        <v>76</v>
      </c>
      <c r="P227" s="14" t="s">
        <v>77</v>
      </c>
      <c r="Q227" s="14" t="s">
        <v>238</v>
      </c>
      <c r="R227" s="14">
        <v>1</v>
      </c>
      <c r="S227" s="14">
        <v>1</v>
      </c>
      <c r="T227" s="14">
        <v>1</v>
      </c>
      <c r="U227" s="14" t="s">
        <v>22</v>
      </c>
      <c r="V227" s="14">
        <f t="shared" si="65"/>
        <v>0.01</v>
      </c>
      <c r="W227" s="14">
        <f t="shared" si="66"/>
        <v>1664.9999999999998</v>
      </c>
      <c r="X227" s="17"/>
      <c r="Y227" s="17"/>
      <c r="Z227" s="17" t="s">
        <v>4791</v>
      </c>
      <c r="AA227" s="18">
        <v>1.2999999999999999E-2</v>
      </c>
      <c r="AB227" s="13"/>
      <c r="AC227" s="13"/>
      <c r="AD227" s="13"/>
      <c r="AE227" s="13"/>
      <c r="AF227" s="13"/>
      <c r="AG227" s="13" t="s">
        <v>4856</v>
      </c>
      <c r="AH227" s="13"/>
      <c r="AI227" s="19"/>
      <c r="AJ227" s="14"/>
      <c r="AK227" s="13" t="s">
        <v>4792</v>
      </c>
      <c r="AL227" s="13" t="s">
        <v>4857</v>
      </c>
      <c r="AM227" s="13" t="s">
        <v>4865</v>
      </c>
      <c r="AN227" s="13" t="s">
        <v>77</v>
      </c>
      <c r="AO227" s="13" t="s">
        <v>4866</v>
      </c>
      <c r="AP227" s="20">
        <v>0.09</v>
      </c>
      <c r="AQ227" s="20">
        <f t="shared" si="67"/>
        <v>7.6999999999999999E-2</v>
      </c>
      <c r="AR227" s="94">
        <f t="shared" si="68"/>
        <v>128.20499999999998</v>
      </c>
      <c r="AS227" s="127">
        <f t="shared" si="69"/>
        <v>128.20499999999998</v>
      </c>
      <c r="AT227" s="129" t="s">
        <v>77</v>
      </c>
      <c r="AU227" s="17"/>
      <c r="AV227" s="17"/>
      <c r="AW227" s="17"/>
      <c r="AX227" s="128"/>
      <c r="AY227" s="128"/>
      <c r="AZ227" s="128"/>
    </row>
    <row r="228" spans="1:52" ht="12.75">
      <c r="A228" s="12">
        <v>44841</v>
      </c>
      <c r="B228" s="33">
        <v>0.75</v>
      </c>
      <c r="C228" s="13" t="s">
        <v>93</v>
      </c>
      <c r="D228" s="17" t="s">
        <v>4867</v>
      </c>
      <c r="E228" s="13" t="s">
        <v>4868</v>
      </c>
      <c r="F228" s="14"/>
      <c r="G228" s="13"/>
      <c r="H228" s="13"/>
      <c r="I228" s="13">
        <v>1</v>
      </c>
      <c r="J228" s="14"/>
      <c r="K228" s="14"/>
      <c r="L228" s="13"/>
      <c r="M228" s="13"/>
      <c r="N228" s="13"/>
      <c r="O228" s="14"/>
      <c r="P228" s="14"/>
      <c r="Q228" s="14"/>
      <c r="R228" s="14"/>
      <c r="S228" s="14"/>
      <c r="T228" s="14"/>
      <c r="U228" s="14"/>
      <c r="V228" s="14">
        <f t="shared" si="65"/>
        <v>0</v>
      </c>
      <c r="W228" s="14">
        <f t="shared" si="66"/>
        <v>0</v>
      </c>
      <c r="X228" s="17"/>
      <c r="Y228" s="17"/>
      <c r="Z228" s="17"/>
      <c r="AA228" s="18"/>
      <c r="AB228" s="13"/>
      <c r="AC228" s="13"/>
      <c r="AD228" s="13"/>
      <c r="AE228" s="13"/>
      <c r="AF228" s="13"/>
      <c r="AG228" s="13"/>
      <c r="AH228" s="13"/>
      <c r="AI228" s="19"/>
      <c r="AJ228" s="14"/>
      <c r="AK228" s="13"/>
      <c r="AL228" s="13"/>
      <c r="AM228" s="13"/>
      <c r="AN228" s="13"/>
      <c r="AO228" s="13"/>
      <c r="AP228" s="20"/>
      <c r="AQ228" s="13">
        <f t="shared" si="67"/>
        <v>0</v>
      </c>
      <c r="AR228" s="94">
        <f t="shared" si="68"/>
        <v>0</v>
      </c>
      <c r="AS228" s="127">
        <f t="shared" si="69"/>
        <v>0</v>
      </c>
      <c r="AT228" s="22"/>
      <c r="AU228" s="13"/>
      <c r="AV228" s="13"/>
      <c r="AW228" s="13"/>
      <c r="AX228" s="13"/>
      <c r="AY228" s="13"/>
      <c r="AZ228" s="13"/>
    </row>
    <row r="229" spans="1:52" ht="12.75">
      <c r="A229" s="12"/>
      <c r="B229" s="13"/>
      <c r="C229" s="13"/>
      <c r="D229" s="17" t="s">
        <v>4869</v>
      </c>
      <c r="E229" s="13"/>
      <c r="F229" s="14"/>
      <c r="G229" s="13"/>
      <c r="H229" s="13"/>
      <c r="I229" s="13">
        <v>1</v>
      </c>
      <c r="J229" s="14"/>
      <c r="K229" s="14"/>
      <c r="L229" s="13"/>
      <c r="M229" s="13"/>
      <c r="N229" s="13"/>
      <c r="O229" s="14"/>
      <c r="P229" s="14"/>
      <c r="Q229" s="14"/>
      <c r="R229" s="14"/>
      <c r="S229" s="14"/>
      <c r="T229" s="14"/>
      <c r="U229" s="14"/>
      <c r="V229" s="14">
        <f t="shared" si="65"/>
        <v>0</v>
      </c>
      <c r="W229" s="14">
        <f t="shared" si="66"/>
        <v>0</v>
      </c>
      <c r="X229" s="17"/>
      <c r="Y229" s="17"/>
      <c r="Z229" s="17"/>
      <c r="AA229" s="18"/>
      <c r="AB229" s="13"/>
      <c r="AC229" s="13"/>
      <c r="AD229" s="13"/>
      <c r="AE229" s="13"/>
      <c r="AF229" s="13"/>
      <c r="AG229" s="13"/>
      <c r="AH229" s="13"/>
      <c r="AI229" s="19"/>
      <c r="AJ229" s="14"/>
      <c r="AK229" s="13"/>
      <c r="AL229" s="13"/>
      <c r="AM229" s="13"/>
      <c r="AN229" s="13"/>
      <c r="AO229" s="13"/>
      <c r="AP229" s="20"/>
      <c r="AQ229" s="13">
        <f t="shared" si="67"/>
        <v>0</v>
      </c>
      <c r="AR229" s="94">
        <f t="shared" si="68"/>
        <v>0</v>
      </c>
      <c r="AS229" s="127">
        <f t="shared" si="69"/>
        <v>0</v>
      </c>
      <c r="AT229" s="22"/>
      <c r="AU229" s="13"/>
      <c r="AV229" s="13"/>
      <c r="AW229" s="13"/>
      <c r="AX229" s="13"/>
      <c r="AY229" s="13"/>
      <c r="AZ229" s="13"/>
    </row>
    <row r="230" spans="1:52" ht="12.75">
      <c r="A230" s="12"/>
      <c r="B230" s="13"/>
      <c r="C230" s="13"/>
      <c r="D230" s="17" t="s">
        <v>4870</v>
      </c>
      <c r="E230" s="13"/>
      <c r="F230" s="14"/>
      <c r="G230" s="13">
        <v>1</v>
      </c>
      <c r="H230" s="13"/>
      <c r="I230" s="13"/>
      <c r="J230" s="14"/>
      <c r="K230" s="14"/>
      <c r="L230" s="13"/>
      <c r="M230" s="13"/>
      <c r="N230" s="13"/>
      <c r="O230" s="14"/>
      <c r="P230" s="14"/>
      <c r="Q230" s="14"/>
      <c r="R230" s="14"/>
      <c r="S230" s="14"/>
      <c r="T230" s="14"/>
      <c r="U230" s="14"/>
      <c r="V230" s="14">
        <f t="shared" si="65"/>
        <v>0</v>
      </c>
      <c r="W230" s="14">
        <f t="shared" si="66"/>
        <v>0</v>
      </c>
      <c r="X230" s="17"/>
      <c r="Y230" s="17"/>
      <c r="Z230" s="17"/>
      <c r="AA230" s="18"/>
      <c r="AB230" s="13"/>
      <c r="AC230" s="13"/>
      <c r="AD230" s="13"/>
      <c r="AE230" s="13"/>
      <c r="AF230" s="13"/>
      <c r="AG230" s="13"/>
      <c r="AH230" s="13"/>
      <c r="AI230" s="19"/>
      <c r="AJ230" s="14"/>
      <c r="AK230" s="13"/>
      <c r="AL230" s="13"/>
      <c r="AM230" s="13"/>
      <c r="AN230" s="13"/>
      <c r="AO230" s="13"/>
      <c r="AP230" s="20"/>
      <c r="AQ230" s="13">
        <f t="shared" si="67"/>
        <v>0</v>
      </c>
      <c r="AR230" s="94">
        <f t="shared" si="68"/>
        <v>0</v>
      </c>
      <c r="AS230" s="127">
        <f t="shared" si="69"/>
        <v>0</v>
      </c>
      <c r="AT230" s="22"/>
      <c r="AU230" s="13"/>
      <c r="AV230" s="13"/>
      <c r="AW230" s="13"/>
      <c r="AX230" s="13"/>
      <c r="AY230" s="13"/>
      <c r="AZ230" s="13"/>
    </row>
    <row r="231" spans="1:52" ht="12.75">
      <c r="A231" s="12">
        <v>44845</v>
      </c>
      <c r="B231" s="13" t="s">
        <v>557</v>
      </c>
      <c r="C231" s="13" t="s">
        <v>128</v>
      </c>
      <c r="D231" s="17"/>
      <c r="E231" s="13"/>
      <c r="F231" s="14" t="s">
        <v>4850</v>
      </c>
      <c r="G231" s="13"/>
      <c r="H231" s="13"/>
      <c r="I231" s="13"/>
      <c r="J231" s="14"/>
      <c r="K231" s="14"/>
      <c r="L231" s="13"/>
      <c r="M231" s="13"/>
      <c r="N231" s="13"/>
      <c r="O231" s="14" t="s">
        <v>76</v>
      </c>
      <c r="P231" s="14" t="s">
        <v>77</v>
      </c>
      <c r="Q231" s="14" t="s">
        <v>238</v>
      </c>
      <c r="R231" s="14">
        <v>1</v>
      </c>
      <c r="S231" s="14">
        <v>1</v>
      </c>
      <c r="T231" s="14"/>
      <c r="U231" s="14" t="s">
        <v>22</v>
      </c>
      <c r="V231" s="14">
        <f t="shared" si="65"/>
        <v>0.01</v>
      </c>
      <c r="W231" s="14">
        <f t="shared" si="66"/>
        <v>1664.9999999999998</v>
      </c>
      <c r="X231" s="17"/>
      <c r="Y231" s="17"/>
      <c r="Z231" s="17" t="s">
        <v>4871</v>
      </c>
      <c r="AA231" s="18">
        <v>0.04</v>
      </c>
      <c r="AB231" s="13"/>
      <c r="AC231" s="13"/>
      <c r="AD231" s="13"/>
      <c r="AE231" s="13"/>
      <c r="AF231" s="13"/>
      <c r="AG231" s="13"/>
      <c r="AH231" s="13"/>
      <c r="AI231" s="19"/>
      <c r="AJ231" s="14"/>
      <c r="AK231" s="13"/>
      <c r="AL231" s="13"/>
      <c r="AM231" s="13"/>
      <c r="AN231" s="13"/>
      <c r="AO231" s="13"/>
      <c r="AP231" s="20"/>
      <c r="AQ231" s="13">
        <f t="shared" si="67"/>
        <v>0</v>
      </c>
      <c r="AR231" s="94">
        <f t="shared" si="68"/>
        <v>0</v>
      </c>
      <c r="AS231" s="127">
        <f t="shared" si="69"/>
        <v>0</v>
      </c>
      <c r="AT231" s="22"/>
      <c r="AU231" s="13" t="s">
        <v>4872</v>
      </c>
      <c r="AV231" s="13" t="s">
        <v>4873</v>
      </c>
      <c r="AW231" s="13" t="s">
        <v>4874</v>
      </c>
      <c r="AX231" s="13" t="s">
        <v>4875</v>
      </c>
      <c r="AY231" s="13"/>
      <c r="AZ231" s="13"/>
    </row>
    <row r="232" spans="1:52" ht="12.75">
      <c r="A232" s="12">
        <v>44845</v>
      </c>
      <c r="B232" s="13"/>
      <c r="C232" s="13" t="s">
        <v>128</v>
      </c>
      <c r="D232" s="17"/>
      <c r="E232" s="13"/>
      <c r="F232" s="14" t="s">
        <v>4850</v>
      </c>
      <c r="G232" s="13"/>
      <c r="H232" s="13"/>
      <c r="I232" s="13"/>
      <c r="J232" s="14"/>
      <c r="K232" s="14"/>
      <c r="L232" s="13">
        <v>1</v>
      </c>
      <c r="M232" s="13"/>
      <c r="N232" s="13"/>
      <c r="O232" s="14" t="s">
        <v>76</v>
      </c>
      <c r="P232" s="14" t="s">
        <v>77</v>
      </c>
      <c r="Q232" s="14" t="s">
        <v>238</v>
      </c>
      <c r="R232" s="14">
        <v>1</v>
      </c>
      <c r="S232" s="14">
        <v>1</v>
      </c>
      <c r="T232" s="14"/>
      <c r="U232" s="14" t="s">
        <v>22</v>
      </c>
      <c r="V232" s="14">
        <f t="shared" si="65"/>
        <v>0.01</v>
      </c>
      <c r="W232" s="14">
        <f t="shared" si="66"/>
        <v>1664.9999999999998</v>
      </c>
      <c r="X232" s="17"/>
      <c r="Y232" s="17"/>
      <c r="Z232" s="17" t="s">
        <v>4876</v>
      </c>
      <c r="AA232" s="18">
        <v>0.04</v>
      </c>
      <c r="AB232" s="13"/>
      <c r="AC232" s="13"/>
      <c r="AD232" s="13"/>
      <c r="AE232" s="13"/>
      <c r="AF232" s="13"/>
      <c r="AG232" s="13"/>
      <c r="AH232" s="13"/>
      <c r="AI232" s="19"/>
      <c r="AJ232" s="14"/>
      <c r="AK232" s="13"/>
      <c r="AL232" s="13"/>
      <c r="AM232" s="13"/>
      <c r="AN232" s="13"/>
      <c r="AO232" s="13"/>
      <c r="AP232" s="20"/>
      <c r="AQ232" s="13">
        <f t="shared" si="67"/>
        <v>0</v>
      </c>
      <c r="AR232" s="94">
        <f t="shared" si="68"/>
        <v>0</v>
      </c>
      <c r="AS232" s="127">
        <f t="shared" si="69"/>
        <v>0</v>
      </c>
      <c r="AT232" s="22"/>
      <c r="AU232" s="17" t="s">
        <v>4877</v>
      </c>
      <c r="AV232" s="13"/>
      <c r="AW232" s="13" t="s">
        <v>4874</v>
      </c>
      <c r="AX232" s="13"/>
      <c r="AY232" s="13"/>
      <c r="AZ232" s="13"/>
    </row>
    <row r="233" spans="1:52" ht="12.75">
      <c r="A233" s="12">
        <v>44845</v>
      </c>
      <c r="B233" s="13"/>
      <c r="C233" s="13" t="s">
        <v>128</v>
      </c>
      <c r="D233" s="17"/>
      <c r="E233" s="13"/>
      <c r="F233" s="14" t="s">
        <v>4234</v>
      </c>
      <c r="G233" s="13"/>
      <c r="H233" s="13"/>
      <c r="I233" s="13"/>
      <c r="J233" s="14"/>
      <c r="K233" s="14"/>
      <c r="L233" s="13">
        <v>1</v>
      </c>
      <c r="M233" s="13"/>
      <c r="N233" s="13"/>
      <c r="O233" s="14" t="s">
        <v>76</v>
      </c>
      <c r="P233" s="14" t="s">
        <v>77</v>
      </c>
      <c r="Q233" s="14" t="s">
        <v>238</v>
      </c>
      <c r="R233" s="14"/>
      <c r="S233" s="14"/>
      <c r="T233" s="14"/>
      <c r="U233" s="14"/>
      <c r="V233" s="14">
        <f t="shared" si="65"/>
        <v>0.01</v>
      </c>
      <c r="W233" s="14">
        <f t="shared" si="66"/>
        <v>1664.9999999999998</v>
      </c>
      <c r="X233" s="17"/>
      <c r="Y233" s="17"/>
      <c r="Z233" s="17"/>
      <c r="AA233" s="18"/>
      <c r="AB233" s="13"/>
      <c r="AC233" s="13"/>
      <c r="AD233" s="13"/>
      <c r="AE233" s="13"/>
      <c r="AF233" s="13"/>
      <c r="AG233" s="13"/>
      <c r="AH233" s="13"/>
      <c r="AI233" s="19"/>
      <c r="AJ233" s="14"/>
      <c r="AK233" s="13"/>
      <c r="AL233" s="13"/>
      <c r="AM233" s="13"/>
      <c r="AN233" s="13"/>
      <c r="AO233" s="13"/>
      <c r="AP233" s="20"/>
      <c r="AQ233" s="13">
        <f t="shared" si="67"/>
        <v>0</v>
      </c>
      <c r="AR233" s="94">
        <f t="shared" si="68"/>
        <v>0</v>
      </c>
      <c r="AS233" s="127">
        <f t="shared" si="69"/>
        <v>0</v>
      </c>
      <c r="AT233" s="22"/>
      <c r="AU233" s="13" t="s">
        <v>4878</v>
      </c>
      <c r="AV233" s="13" t="s">
        <v>4879</v>
      </c>
      <c r="AW233" s="13" t="s">
        <v>4874</v>
      </c>
      <c r="AX233" s="13"/>
      <c r="AY233" s="13"/>
      <c r="AZ233" s="13"/>
    </row>
    <row r="234" spans="1:52" ht="12.75">
      <c r="A234" s="12">
        <v>44845</v>
      </c>
      <c r="B234" s="13"/>
      <c r="C234" s="13" t="s">
        <v>128</v>
      </c>
      <c r="D234" s="17" t="s">
        <v>4880</v>
      </c>
      <c r="E234" s="13" t="s">
        <v>130</v>
      </c>
      <c r="F234" s="14"/>
      <c r="G234" s="13"/>
      <c r="H234" s="13"/>
      <c r="I234" s="13">
        <v>1</v>
      </c>
      <c r="J234" s="14"/>
      <c r="K234" s="14"/>
      <c r="L234" s="13"/>
      <c r="M234" s="13"/>
      <c r="N234" s="13"/>
      <c r="O234" s="14"/>
      <c r="P234" s="14"/>
      <c r="Q234" s="14"/>
      <c r="R234" s="14"/>
      <c r="S234" s="14"/>
      <c r="T234" s="14"/>
      <c r="U234" s="14"/>
      <c r="V234" s="14">
        <f t="shared" si="65"/>
        <v>0</v>
      </c>
      <c r="W234" s="14">
        <f t="shared" si="66"/>
        <v>0</v>
      </c>
      <c r="X234" s="17"/>
      <c r="Y234" s="17"/>
      <c r="Z234" s="17"/>
      <c r="AA234" s="18"/>
      <c r="AB234" s="13"/>
      <c r="AC234" s="13"/>
      <c r="AD234" s="13"/>
      <c r="AE234" s="13"/>
      <c r="AF234" s="13"/>
      <c r="AG234" s="13"/>
      <c r="AH234" s="13"/>
      <c r="AI234" s="19"/>
      <c r="AJ234" s="14"/>
      <c r="AK234" s="13"/>
      <c r="AL234" s="13"/>
      <c r="AM234" s="13"/>
      <c r="AN234" s="13"/>
      <c r="AO234" s="13"/>
      <c r="AP234" s="20"/>
      <c r="AQ234" s="13">
        <f t="shared" si="67"/>
        <v>0</v>
      </c>
      <c r="AR234" s="94">
        <f t="shared" si="68"/>
        <v>0</v>
      </c>
      <c r="AS234" s="127">
        <f t="shared" si="69"/>
        <v>0</v>
      </c>
      <c r="AT234" s="22"/>
      <c r="AU234" s="17"/>
      <c r="AV234" s="13"/>
      <c r="AW234" s="13"/>
      <c r="AX234" s="17" t="s">
        <v>131</v>
      </c>
      <c r="AY234" s="13" t="s">
        <v>132</v>
      </c>
      <c r="AZ234" s="13"/>
    </row>
    <row r="235" spans="1:52" ht="12.75">
      <c r="A235" s="12">
        <v>44845</v>
      </c>
      <c r="B235" s="13"/>
      <c r="C235" s="13" t="s">
        <v>128</v>
      </c>
      <c r="D235" s="17"/>
      <c r="E235" s="13"/>
      <c r="F235" s="14" t="s">
        <v>2126</v>
      </c>
      <c r="G235" s="13"/>
      <c r="H235" s="13"/>
      <c r="I235" s="13"/>
      <c r="J235" s="14"/>
      <c r="K235" s="14"/>
      <c r="L235" s="13"/>
      <c r="M235" s="13"/>
      <c r="N235" s="13"/>
      <c r="O235" s="14"/>
      <c r="P235" s="14"/>
      <c r="Q235" s="14"/>
      <c r="R235" s="14"/>
      <c r="S235" s="14"/>
      <c r="T235" s="14"/>
      <c r="U235" s="14"/>
      <c r="V235" s="14">
        <f t="shared" si="65"/>
        <v>0</v>
      </c>
      <c r="W235" s="14">
        <f t="shared" si="66"/>
        <v>0</v>
      </c>
      <c r="X235" s="17"/>
      <c r="Y235" s="17"/>
      <c r="Z235" s="17"/>
      <c r="AA235" s="18"/>
      <c r="AB235" s="13"/>
      <c r="AC235" s="13"/>
      <c r="AD235" s="13"/>
      <c r="AE235" s="13"/>
      <c r="AF235" s="13"/>
      <c r="AG235" s="13"/>
      <c r="AH235" s="13"/>
      <c r="AI235" s="19"/>
      <c r="AJ235" s="14"/>
      <c r="AK235" s="13"/>
      <c r="AL235" s="13"/>
      <c r="AM235" s="13"/>
      <c r="AN235" s="13"/>
      <c r="AO235" s="13"/>
      <c r="AP235" s="20"/>
      <c r="AQ235" s="13">
        <f t="shared" si="67"/>
        <v>0</v>
      </c>
      <c r="AR235" s="94">
        <f t="shared" si="68"/>
        <v>0</v>
      </c>
      <c r="AS235" s="127">
        <f t="shared" si="69"/>
        <v>0</v>
      </c>
      <c r="AT235" s="22"/>
      <c r="AU235" s="13" t="s">
        <v>4881</v>
      </c>
      <c r="AV235" s="13"/>
      <c r="AW235" s="13" t="s">
        <v>4874</v>
      </c>
      <c r="AX235" s="13"/>
      <c r="AY235" s="13"/>
      <c r="AZ235" s="13"/>
    </row>
    <row r="236" spans="1:52" ht="12.75">
      <c r="A236" s="12">
        <v>44846</v>
      </c>
      <c r="B236" s="13" t="s">
        <v>2642</v>
      </c>
      <c r="C236" s="13" t="s">
        <v>133</v>
      </c>
      <c r="D236" s="17" t="s">
        <v>4882</v>
      </c>
      <c r="E236" s="13" t="s">
        <v>4883</v>
      </c>
      <c r="F236" s="14"/>
      <c r="G236" s="13"/>
      <c r="H236" s="13"/>
      <c r="I236" s="13"/>
      <c r="J236" s="14"/>
      <c r="K236" s="14"/>
      <c r="L236" s="13"/>
      <c r="M236" s="13"/>
      <c r="N236" s="13"/>
      <c r="O236" s="14"/>
      <c r="P236" s="14"/>
      <c r="Q236" s="14"/>
      <c r="R236" s="14"/>
      <c r="S236" s="14"/>
      <c r="T236" s="14"/>
      <c r="U236" s="14"/>
      <c r="V236" s="14">
        <f t="shared" si="65"/>
        <v>0</v>
      </c>
      <c r="W236" s="14">
        <f t="shared" si="66"/>
        <v>0</v>
      </c>
      <c r="X236" s="17"/>
      <c r="Y236" s="17"/>
      <c r="Z236" s="17"/>
      <c r="AA236" s="18"/>
      <c r="AB236" s="13"/>
      <c r="AC236" s="13"/>
      <c r="AD236" s="13"/>
      <c r="AE236" s="13"/>
      <c r="AF236" s="13"/>
      <c r="AG236" s="13"/>
      <c r="AH236" s="13"/>
      <c r="AI236" s="19"/>
      <c r="AJ236" s="14"/>
      <c r="AK236" s="13"/>
      <c r="AL236" s="13"/>
      <c r="AM236" s="13"/>
      <c r="AN236" s="13"/>
      <c r="AO236" s="13"/>
      <c r="AP236" s="20"/>
      <c r="AQ236" s="13">
        <f t="shared" si="67"/>
        <v>0</v>
      </c>
      <c r="AR236" s="94">
        <f t="shared" si="68"/>
        <v>0</v>
      </c>
      <c r="AS236" s="127">
        <f t="shared" si="69"/>
        <v>0</v>
      </c>
      <c r="AT236" s="22"/>
      <c r="AU236" s="13"/>
      <c r="AV236" s="13"/>
      <c r="AW236" s="13"/>
      <c r="AX236" s="13"/>
      <c r="AY236" s="13"/>
      <c r="AZ236" s="13"/>
    </row>
    <row r="237" spans="1:52" ht="12.75">
      <c r="A237" s="12"/>
      <c r="B237" s="13"/>
      <c r="C237" s="13"/>
      <c r="D237" s="17" t="s">
        <v>4884</v>
      </c>
      <c r="E237" s="13"/>
      <c r="F237" s="14"/>
      <c r="G237" s="13"/>
      <c r="H237" s="13"/>
      <c r="I237" s="13"/>
      <c r="J237" s="14"/>
      <c r="K237" s="14"/>
      <c r="L237" s="13"/>
      <c r="M237" s="13"/>
      <c r="N237" s="13"/>
      <c r="O237" s="14"/>
      <c r="P237" s="14"/>
      <c r="Q237" s="14"/>
      <c r="R237" s="14"/>
      <c r="S237" s="14"/>
      <c r="T237" s="14"/>
      <c r="U237" s="14"/>
      <c r="V237" s="14">
        <f t="shared" si="65"/>
        <v>0</v>
      </c>
      <c r="W237" s="14">
        <f t="shared" si="66"/>
        <v>0</v>
      </c>
      <c r="X237" s="17"/>
      <c r="Y237" s="17"/>
      <c r="Z237" s="17"/>
      <c r="AA237" s="18"/>
      <c r="AB237" s="13"/>
      <c r="AC237" s="13"/>
      <c r="AD237" s="13"/>
      <c r="AE237" s="13"/>
      <c r="AF237" s="13"/>
      <c r="AG237" s="13"/>
      <c r="AH237" s="13"/>
      <c r="AI237" s="19"/>
      <c r="AJ237" s="14"/>
      <c r="AK237" s="13"/>
      <c r="AL237" s="13"/>
      <c r="AM237" s="13"/>
      <c r="AN237" s="13"/>
      <c r="AO237" s="13"/>
      <c r="AP237" s="20"/>
      <c r="AQ237" s="13">
        <f t="shared" si="67"/>
        <v>0</v>
      </c>
      <c r="AR237" s="94">
        <f t="shared" si="68"/>
        <v>0</v>
      </c>
      <c r="AS237" s="127">
        <f t="shared" si="69"/>
        <v>0</v>
      </c>
      <c r="AT237" s="22"/>
      <c r="AU237" s="13"/>
      <c r="AV237" s="13"/>
      <c r="AW237" s="13"/>
      <c r="AX237" s="13"/>
      <c r="AY237" s="13"/>
      <c r="AZ237" s="13"/>
    </row>
    <row r="238" spans="1:52" ht="12.75">
      <c r="A238" s="12">
        <v>44847</v>
      </c>
      <c r="B238" s="13"/>
      <c r="C238" s="13" t="s">
        <v>74</v>
      </c>
      <c r="D238" s="17" t="s">
        <v>4885</v>
      </c>
      <c r="E238" s="13"/>
      <c r="F238" s="14"/>
      <c r="G238" s="13"/>
      <c r="H238" s="13"/>
      <c r="I238" s="13"/>
      <c r="J238" s="14"/>
      <c r="K238" s="14"/>
      <c r="L238" s="13"/>
      <c r="M238" s="13"/>
      <c r="N238" s="13"/>
      <c r="O238" s="14"/>
      <c r="P238" s="14"/>
      <c r="Q238" s="14"/>
      <c r="R238" s="14"/>
      <c r="S238" s="14"/>
      <c r="T238" s="14"/>
      <c r="U238" s="14"/>
      <c r="V238" s="14">
        <f t="shared" si="65"/>
        <v>0</v>
      </c>
      <c r="W238" s="14">
        <f t="shared" si="66"/>
        <v>0</v>
      </c>
      <c r="X238" s="17"/>
      <c r="Y238" s="17"/>
      <c r="Z238" s="17"/>
      <c r="AA238" s="18"/>
      <c r="AB238" s="13"/>
      <c r="AC238" s="13"/>
      <c r="AD238" s="13"/>
      <c r="AE238" s="13"/>
      <c r="AF238" s="13"/>
      <c r="AG238" s="13"/>
      <c r="AH238" s="13"/>
      <c r="AI238" s="19"/>
      <c r="AJ238" s="14"/>
      <c r="AK238" s="13"/>
      <c r="AL238" s="13"/>
      <c r="AM238" s="13"/>
      <c r="AN238" s="13"/>
      <c r="AO238" s="13"/>
      <c r="AP238" s="20"/>
      <c r="AQ238" s="13">
        <f t="shared" si="67"/>
        <v>0</v>
      </c>
      <c r="AR238" s="94">
        <f t="shared" si="68"/>
        <v>0</v>
      </c>
      <c r="AS238" s="127">
        <f t="shared" si="69"/>
        <v>0</v>
      </c>
      <c r="AT238" s="22"/>
      <c r="AU238" s="17" t="s">
        <v>4886</v>
      </c>
      <c r="AV238" s="17" t="s">
        <v>4887</v>
      </c>
      <c r="AW238" s="13" t="s">
        <v>4888</v>
      </c>
      <c r="AX238" s="13"/>
      <c r="AY238" s="13"/>
      <c r="AZ238" s="13"/>
    </row>
    <row r="239" spans="1:52" ht="12.75">
      <c r="A239" s="26">
        <v>44847</v>
      </c>
      <c r="B239" s="13"/>
      <c r="C239" s="13" t="s">
        <v>74</v>
      </c>
      <c r="D239" s="17"/>
      <c r="E239" s="13"/>
      <c r="F239" s="14" t="s">
        <v>2264</v>
      </c>
      <c r="G239" s="13"/>
      <c r="H239" s="13"/>
      <c r="I239" s="13"/>
      <c r="J239" s="14"/>
      <c r="K239" s="14"/>
      <c r="L239" s="13">
        <v>1</v>
      </c>
      <c r="M239" s="13">
        <v>1</v>
      </c>
      <c r="N239" s="13"/>
      <c r="O239" s="14" t="s">
        <v>76</v>
      </c>
      <c r="P239" s="14" t="s">
        <v>119</v>
      </c>
      <c r="Q239" s="14" t="s">
        <v>238</v>
      </c>
      <c r="R239" s="14">
        <v>1</v>
      </c>
      <c r="S239" s="14">
        <v>1</v>
      </c>
      <c r="T239" s="14"/>
      <c r="U239" s="14" t="s">
        <v>78</v>
      </c>
      <c r="V239" s="14">
        <f t="shared" si="65"/>
        <v>0.01</v>
      </c>
      <c r="W239" s="14">
        <f t="shared" si="66"/>
        <v>1664.9999999999998</v>
      </c>
      <c r="X239" s="17"/>
      <c r="Y239" s="17"/>
      <c r="Z239" s="17" t="s">
        <v>4889</v>
      </c>
      <c r="AA239" s="18">
        <v>7.0000000000000007E-2</v>
      </c>
      <c r="AB239" s="13"/>
      <c r="AC239" s="13"/>
      <c r="AD239" s="13"/>
      <c r="AE239" s="13"/>
      <c r="AF239" s="13"/>
      <c r="AG239" s="13"/>
      <c r="AH239" s="13"/>
      <c r="AI239" s="19"/>
      <c r="AJ239" s="14"/>
      <c r="AK239" s="13"/>
      <c r="AL239" s="13"/>
      <c r="AM239" s="13"/>
      <c r="AN239" s="13"/>
      <c r="AO239" s="13"/>
      <c r="AP239" s="20"/>
      <c r="AQ239" s="13">
        <f t="shared" si="67"/>
        <v>0</v>
      </c>
      <c r="AR239" s="94">
        <f t="shared" si="68"/>
        <v>0</v>
      </c>
      <c r="AS239" s="127">
        <f t="shared" si="69"/>
        <v>0</v>
      </c>
      <c r="AT239" s="22"/>
      <c r="AU239" s="17" t="s">
        <v>4890</v>
      </c>
      <c r="AV239" s="17" t="s">
        <v>4891</v>
      </c>
      <c r="AW239" s="17" t="s">
        <v>4892</v>
      </c>
      <c r="AX239" s="13"/>
      <c r="AY239" s="13"/>
      <c r="AZ239" s="13"/>
    </row>
    <row r="240" spans="1:52" ht="12.75">
      <c r="A240" s="12">
        <v>44847</v>
      </c>
      <c r="B240" s="13"/>
      <c r="C240" s="13" t="s">
        <v>74</v>
      </c>
      <c r="D240" s="17"/>
      <c r="E240" s="13"/>
      <c r="F240" s="14"/>
      <c r="G240" s="13"/>
      <c r="H240" s="13"/>
      <c r="I240" s="13"/>
      <c r="J240" s="14"/>
      <c r="K240" s="14"/>
      <c r="L240" s="13"/>
      <c r="M240" s="13"/>
      <c r="N240" s="13"/>
      <c r="O240" s="14"/>
      <c r="P240" s="14"/>
      <c r="Q240" s="14"/>
      <c r="R240" s="14"/>
      <c r="S240" s="14"/>
      <c r="T240" s="14"/>
      <c r="U240" s="14"/>
      <c r="V240" s="14">
        <f t="shared" si="65"/>
        <v>0</v>
      </c>
      <c r="W240" s="14">
        <f t="shared" si="66"/>
        <v>0</v>
      </c>
      <c r="X240" s="17"/>
      <c r="Y240" s="17"/>
      <c r="Z240" s="17"/>
      <c r="AA240" s="18"/>
      <c r="AB240" s="13"/>
      <c r="AC240" s="13"/>
      <c r="AD240" s="13"/>
      <c r="AE240" s="13"/>
      <c r="AF240" s="13"/>
      <c r="AG240" s="13"/>
      <c r="AH240" s="13"/>
      <c r="AI240" s="19"/>
      <c r="AJ240" s="14"/>
      <c r="AK240" s="13"/>
      <c r="AL240" s="13"/>
      <c r="AM240" s="13"/>
      <c r="AN240" s="13"/>
      <c r="AO240" s="13"/>
      <c r="AP240" s="20"/>
      <c r="AQ240" s="13">
        <f t="shared" si="67"/>
        <v>0</v>
      </c>
      <c r="AR240" s="94">
        <f t="shared" si="68"/>
        <v>0</v>
      </c>
      <c r="AS240" s="127">
        <f t="shared" si="69"/>
        <v>0</v>
      </c>
      <c r="AT240" s="22"/>
      <c r="AU240" s="13"/>
      <c r="AV240" s="13"/>
      <c r="AW240" s="13"/>
      <c r="AX240" s="13"/>
      <c r="AY240" s="13"/>
      <c r="AZ240" s="13"/>
    </row>
    <row r="241" spans="1:52" ht="12.75">
      <c r="A241" s="12">
        <v>44847</v>
      </c>
      <c r="B241" s="33">
        <v>0.75</v>
      </c>
      <c r="C241" s="13" t="s">
        <v>74</v>
      </c>
      <c r="D241" s="17" t="s">
        <v>146</v>
      </c>
      <c r="E241" s="13" t="s">
        <v>147</v>
      </c>
      <c r="F241" s="14"/>
      <c r="G241" s="13">
        <v>1</v>
      </c>
      <c r="H241" s="13"/>
      <c r="I241" s="13"/>
      <c r="J241" s="14"/>
      <c r="K241" s="14"/>
      <c r="L241" s="13"/>
      <c r="M241" s="13"/>
      <c r="N241" s="13"/>
      <c r="O241" s="14"/>
      <c r="P241" s="14"/>
      <c r="Q241" s="14"/>
      <c r="R241" s="14"/>
      <c r="S241" s="14"/>
      <c r="T241" s="14"/>
      <c r="U241" s="14"/>
      <c r="V241" s="14">
        <f t="shared" si="65"/>
        <v>0</v>
      </c>
      <c r="W241" s="14">
        <f t="shared" si="66"/>
        <v>0</v>
      </c>
      <c r="X241" s="17"/>
      <c r="Y241" s="17"/>
      <c r="Z241" s="17"/>
      <c r="AA241" s="18"/>
      <c r="AB241" s="13"/>
      <c r="AC241" s="13"/>
      <c r="AD241" s="13"/>
      <c r="AE241" s="13"/>
      <c r="AF241" s="13"/>
      <c r="AG241" s="13"/>
      <c r="AH241" s="13"/>
      <c r="AI241" s="19"/>
      <c r="AJ241" s="19">
        <f t="shared" ref="AJ241:AJ242" si="70">AI241*R241</f>
        <v>0</v>
      </c>
      <c r="AK241" s="13"/>
      <c r="AL241" s="13"/>
      <c r="AM241" s="13"/>
      <c r="AN241" s="13"/>
      <c r="AO241" s="13"/>
      <c r="AP241" s="20"/>
      <c r="AQ241" s="13">
        <f t="shared" si="67"/>
        <v>0</v>
      </c>
      <c r="AR241" s="94">
        <f t="shared" si="68"/>
        <v>0</v>
      </c>
      <c r="AS241" s="127">
        <f t="shared" si="69"/>
        <v>0</v>
      </c>
      <c r="AT241" s="22"/>
      <c r="AU241" s="13" t="s">
        <v>148</v>
      </c>
      <c r="AV241" s="13" t="s">
        <v>149</v>
      </c>
      <c r="AW241" s="13"/>
      <c r="AX241" s="13"/>
      <c r="AY241" s="13"/>
      <c r="AZ241" s="13" t="s">
        <v>150</v>
      </c>
    </row>
    <row r="242" spans="1:52" ht="12.75">
      <c r="A242" s="12"/>
      <c r="B242" s="13"/>
      <c r="C242" s="13"/>
      <c r="D242" s="17" t="s">
        <v>151</v>
      </c>
      <c r="E242" s="13" t="s">
        <v>152</v>
      </c>
      <c r="F242" s="14"/>
      <c r="G242" s="13">
        <v>1</v>
      </c>
      <c r="H242" s="13"/>
      <c r="I242" s="13"/>
      <c r="J242" s="14"/>
      <c r="K242" s="14"/>
      <c r="L242" s="13"/>
      <c r="M242" s="13"/>
      <c r="N242" s="13"/>
      <c r="O242" s="14"/>
      <c r="P242" s="14"/>
      <c r="Q242" s="14"/>
      <c r="R242" s="14"/>
      <c r="S242" s="14"/>
      <c r="T242" s="14"/>
      <c r="U242" s="14"/>
      <c r="V242" s="14">
        <f t="shared" si="65"/>
        <v>0</v>
      </c>
      <c r="W242" s="14">
        <f t="shared" si="66"/>
        <v>0</v>
      </c>
      <c r="X242" s="17"/>
      <c r="Y242" s="17"/>
      <c r="Z242" s="17"/>
      <c r="AA242" s="18"/>
      <c r="AB242" s="13"/>
      <c r="AC242" s="13"/>
      <c r="AD242" s="13"/>
      <c r="AE242" s="13"/>
      <c r="AF242" s="13"/>
      <c r="AG242" s="13"/>
      <c r="AH242" s="13"/>
      <c r="AI242" s="19"/>
      <c r="AJ242" s="19">
        <f t="shared" si="70"/>
        <v>0</v>
      </c>
      <c r="AK242" s="13"/>
      <c r="AL242" s="13"/>
      <c r="AM242" s="13"/>
      <c r="AN242" s="13"/>
      <c r="AO242" s="13"/>
      <c r="AP242" s="20"/>
      <c r="AQ242" s="13">
        <f t="shared" si="67"/>
        <v>0</v>
      </c>
      <c r="AR242" s="94">
        <f t="shared" si="68"/>
        <v>0</v>
      </c>
      <c r="AS242" s="127">
        <f t="shared" si="69"/>
        <v>0</v>
      </c>
      <c r="AT242" s="22"/>
      <c r="AU242" s="13"/>
      <c r="AV242" s="13"/>
      <c r="AW242" s="13"/>
      <c r="AX242" s="13"/>
      <c r="AY242" s="13"/>
      <c r="AZ242" s="13"/>
    </row>
    <row r="243" spans="1:52" ht="12.75">
      <c r="A243" s="12"/>
      <c r="B243" s="13"/>
      <c r="C243" s="13"/>
      <c r="D243" s="17"/>
      <c r="E243" s="13" t="s">
        <v>4893</v>
      </c>
      <c r="F243" s="14"/>
      <c r="G243" s="13"/>
      <c r="H243" s="13"/>
      <c r="I243" s="13"/>
      <c r="J243" s="14"/>
      <c r="K243" s="14"/>
      <c r="L243" s="13"/>
      <c r="M243" s="13"/>
      <c r="N243" s="13"/>
      <c r="O243" s="14" t="s">
        <v>76</v>
      </c>
      <c r="P243" s="14"/>
      <c r="Q243" s="14"/>
      <c r="R243" s="14">
        <v>1</v>
      </c>
      <c r="S243" s="14">
        <v>1</v>
      </c>
      <c r="T243" s="14"/>
      <c r="U243" s="14" t="s">
        <v>22</v>
      </c>
      <c r="V243" s="14">
        <f t="shared" si="65"/>
        <v>0.01</v>
      </c>
      <c r="W243" s="14">
        <f t="shared" si="66"/>
        <v>1664.9999999999998</v>
      </c>
      <c r="X243" s="17"/>
      <c r="Y243" s="17"/>
      <c r="Z243" s="17" t="s">
        <v>80</v>
      </c>
      <c r="AA243" s="18"/>
      <c r="AB243" s="13"/>
      <c r="AC243" s="13"/>
      <c r="AD243" s="13"/>
      <c r="AE243" s="13"/>
      <c r="AF243" s="13"/>
      <c r="AG243" s="13"/>
      <c r="AH243" s="13"/>
      <c r="AI243" s="19"/>
      <c r="AJ243" s="14"/>
      <c r="AK243" s="13"/>
      <c r="AL243" s="13"/>
      <c r="AM243" s="13"/>
      <c r="AN243" s="13"/>
      <c r="AO243" s="13"/>
      <c r="AP243" s="20"/>
      <c r="AQ243" s="13">
        <f t="shared" si="67"/>
        <v>0</v>
      </c>
      <c r="AR243" s="94">
        <f t="shared" si="68"/>
        <v>0</v>
      </c>
      <c r="AS243" s="127">
        <f t="shared" si="69"/>
        <v>0</v>
      </c>
      <c r="AT243" s="22"/>
      <c r="AU243" s="13"/>
      <c r="AV243" s="13"/>
      <c r="AW243" s="13"/>
      <c r="AX243" s="13" t="s">
        <v>4893</v>
      </c>
      <c r="AY243" s="13"/>
      <c r="AZ243" s="13"/>
    </row>
    <row r="244" spans="1:52" ht="12.75">
      <c r="A244" s="12">
        <v>44858</v>
      </c>
      <c r="B244" s="33">
        <v>0.33333333333333331</v>
      </c>
      <c r="C244" s="13" t="s">
        <v>114</v>
      </c>
      <c r="D244" s="17"/>
      <c r="E244" s="13"/>
      <c r="F244" s="14" t="s">
        <v>118</v>
      </c>
      <c r="G244" s="13"/>
      <c r="H244" s="13"/>
      <c r="I244" s="13"/>
      <c r="J244" s="14"/>
      <c r="K244" s="14"/>
      <c r="L244" s="13"/>
      <c r="M244" s="13"/>
      <c r="N244" s="13"/>
      <c r="O244" s="14"/>
      <c r="P244" s="14"/>
      <c r="Q244" s="14"/>
      <c r="R244" s="14"/>
      <c r="S244" s="14"/>
      <c r="T244" s="14"/>
      <c r="U244" s="14"/>
      <c r="V244" s="14">
        <f t="shared" si="65"/>
        <v>0</v>
      </c>
      <c r="W244" s="14">
        <f t="shared" si="66"/>
        <v>0</v>
      </c>
      <c r="X244" s="17"/>
      <c r="Y244" s="17"/>
      <c r="Z244" s="17"/>
      <c r="AA244" s="18"/>
      <c r="AB244" s="13"/>
      <c r="AC244" s="13"/>
      <c r="AD244" s="13"/>
      <c r="AE244" s="13"/>
      <c r="AF244" s="13"/>
      <c r="AG244" s="13"/>
      <c r="AH244" s="13"/>
      <c r="AI244" s="19"/>
      <c r="AJ244" s="14"/>
      <c r="AK244" s="13"/>
      <c r="AL244" s="13"/>
      <c r="AM244" s="13"/>
      <c r="AN244" s="13"/>
      <c r="AO244" s="13"/>
      <c r="AP244" s="20"/>
      <c r="AQ244" s="13">
        <f t="shared" si="67"/>
        <v>0</v>
      </c>
      <c r="AR244" s="94">
        <f t="shared" si="68"/>
        <v>0</v>
      </c>
      <c r="AS244" s="127">
        <f t="shared" si="69"/>
        <v>0</v>
      </c>
      <c r="AT244" s="22"/>
      <c r="AU244" s="13" t="s">
        <v>4894</v>
      </c>
      <c r="AV244" s="13" t="s">
        <v>4895</v>
      </c>
      <c r="AW244" s="13"/>
      <c r="AX244" s="13"/>
      <c r="AY244" s="13"/>
      <c r="AZ244" s="13"/>
    </row>
    <row r="245" spans="1:52" ht="12.75">
      <c r="A245" s="12">
        <v>44861</v>
      </c>
      <c r="B245" s="13"/>
      <c r="C245" s="13" t="s">
        <v>74</v>
      </c>
      <c r="D245" s="139" t="s">
        <v>290</v>
      </c>
      <c r="E245" s="13"/>
      <c r="F245" s="14" t="s">
        <v>4896</v>
      </c>
      <c r="G245" s="13"/>
      <c r="H245" s="13"/>
      <c r="I245" s="13"/>
      <c r="J245" s="14"/>
      <c r="K245" s="14"/>
      <c r="L245" s="13">
        <v>1</v>
      </c>
      <c r="M245" s="13">
        <v>1</v>
      </c>
      <c r="N245" s="13"/>
      <c r="O245" s="14" t="s">
        <v>76</v>
      </c>
      <c r="P245" s="14" t="s">
        <v>77</v>
      </c>
      <c r="Q245" s="14" t="s">
        <v>78</v>
      </c>
      <c r="R245" s="14">
        <v>1</v>
      </c>
      <c r="S245" s="14">
        <v>1</v>
      </c>
      <c r="T245" s="14"/>
      <c r="U245" s="14" t="s">
        <v>22</v>
      </c>
      <c r="V245" s="14">
        <f t="shared" si="65"/>
        <v>0.01</v>
      </c>
      <c r="W245" s="14">
        <f t="shared" si="66"/>
        <v>1664.9999999999998</v>
      </c>
      <c r="X245" s="17"/>
      <c r="Y245" s="17" t="s">
        <v>4897</v>
      </c>
      <c r="Z245" s="17"/>
      <c r="AA245" s="18">
        <v>0.62</v>
      </c>
      <c r="AB245" s="13"/>
      <c r="AC245" s="13">
        <v>60</v>
      </c>
      <c r="AD245" s="13"/>
      <c r="AE245" s="13"/>
      <c r="AF245" s="13" t="s">
        <v>4898</v>
      </c>
      <c r="AG245" s="13"/>
      <c r="AH245" s="13"/>
      <c r="AI245" s="19"/>
      <c r="AJ245" s="14"/>
      <c r="AK245" s="13"/>
      <c r="AL245" s="13"/>
      <c r="AM245" s="13"/>
      <c r="AN245" s="13"/>
      <c r="AO245" s="13"/>
      <c r="AP245" s="20">
        <v>0.6</v>
      </c>
      <c r="AQ245" s="20">
        <f t="shared" si="67"/>
        <v>-2.0000000000000018E-2</v>
      </c>
      <c r="AR245" s="94">
        <f t="shared" si="68"/>
        <v>-33.300000000000026</v>
      </c>
      <c r="AS245" s="127">
        <f t="shared" si="69"/>
        <v>-33.300000000000026</v>
      </c>
      <c r="AT245" s="22" t="s">
        <v>211</v>
      </c>
      <c r="AU245" s="29" t="s">
        <v>4899</v>
      </c>
      <c r="AV245" s="13" t="s">
        <v>4900</v>
      </c>
      <c r="AW245" s="13" t="s">
        <v>4901</v>
      </c>
      <c r="AX245" s="13" t="s">
        <v>4902</v>
      </c>
      <c r="AY245" s="13"/>
      <c r="AZ245" s="13"/>
    </row>
    <row r="246" spans="1:52" ht="12.75">
      <c r="A246" s="12">
        <v>44861</v>
      </c>
      <c r="B246" s="13"/>
      <c r="C246" s="13" t="s">
        <v>74</v>
      </c>
      <c r="D246" s="17"/>
      <c r="E246" s="13"/>
      <c r="F246" s="113" t="s">
        <v>1225</v>
      </c>
      <c r="G246" s="13"/>
      <c r="H246" s="13"/>
      <c r="I246" s="13"/>
      <c r="J246" s="14"/>
      <c r="K246" s="14"/>
      <c r="L246" s="13"/>
      <c r="M246" s="13">
        <v>1</v>
      </c>
      <c r="N246" s="13"/>
      <c r="O246" s="14" t="s">
        <v>76</v>
      </c>
      <c r="P246" s="14" t="s">
        <v>77</v>
      </c>
      <c r="Q246" s="14" t="s">
        <v>238</v>
      </c>
      <c r="R246" s="14">
        <v>2</v>
      </c>
      <c r="S246" s="14">
        <v>2</v>
      </c>
      <c r="T246" s="14"/>
      <c r="U246" s="14" t="s">
        <v>22</v>
      </c>
      <c r="V246" s="14">
        <f t="shared" si="65"/>
        <v>0.01</v>
      </c>
      <c r="W246" s="14">
        <f t="shared" si="66"/>
        <v>1664.9999999999998</v>
      </c>
      <c r="X246" s="17"/>
      <c r="Y246" s="17"/>
      <c r="Z246" s="17" t="s">
        <v>4903</v>
      </c>
      <c r="AA246" s="18">
        <v>0.04</v>
      </c>
      <c r="AB246" s="28" t="s">
        <v>4904</v>
      </c>
      <c r="AC246" s="13"/>
      <c r="AD246" s="13"/>
      <c r="AE246" s="13">
        <v>6</v>
      </c>
      <c r="AF246" s="13"/>
      <c r="AG246" s="13"/>
      <c r="AH246" s="13"/>
      <c r="AI246" s="19"/>
      <c r="AJ246" s="14"/>
      <c r="AK246" s="13"/>
      <c r="AL246" s="13"/>
      <c r="AM246" s="13"/>
      <c r="AN246" s="13" t="s">
        <v>97</v>
      </c>
      <c r="AO246" s="13"/>
      <c r="AP246" s="20">
        <v>0.06</v>
      </c>
      <c r="AQ246" s="20">
        <f t="shared" si="67"/>
        <v>1.9999999999999997E-2</v>
      </c>
      <c r="AR246" s="94">
        <f t="shared" si="68"/>
        <v>66.59999999999998</v>
      </c>
      <c r="AS246" s="127">
        <f t="shared" si="69"/>
        <v>33.29999999999999</v>
      </c>
      <c r="AT246" s="22" t="s">
        <v>77</v>
      </c>
      <c r="AU246" s="13" t="s">
        <v>4905</v>
      </c>
      <c r="AV246" s="13" t="s">
        <v>4900</v>
      </c>
      <c r="AW246" s="13" t="s">
        <v>4906</v>
      </c>
      <c r="AX246" s="13" t="s">
        <v>4907</v>
      </c>
      <c r="AY246" s="13"/>
      <c r="AZ246" s="13"/>
    </row>
    <row r="247" spans="1:52" ht="12.75">
      <c r="A247" s="12">
        <v>44861</v>
      </c>
      <c r="B247" s="13"/>
      <c r="C247" s="13" t="s">
        <v>74</v>
      </c>
      <c r="D247" s="17"/>
      <c r="E247" s="13"/>
      <c r="F247" s="14" t="s">
        <v>4908</v>
      </c>
      <c r="G247" s="13"/>
      <c r="H247" s="13"/>
      <c r="I247" s="13"/>
      <c r="J247" s="14"/>
      <c r="K247" s="14"/>
      <c r="L247" s="13">
        <v>1</v>
      </c>
      <c r="M247" s="13"/>
      <c r="N247" s="13"/>
      <c r="O247" s="14" t="s">
        <v>76</v>
      </c>
      <c r="P247" s="14" t="s">
        <v>119</v>
      </c>
      <c r="Q247" s="14" t="s">
        <v>78</v>
      </c>
      <c r="R247" s="14">
        <v>1</v>
      </c>
      <c r="S247" s="14">
        <v>1</v>
      </c>
      <c r="T247" s="14"/>
      <c r="U247" s="14" t="s">
        <v>22</v>
      </c>
      <c r="V247" s="14">
        <f t="shared" si="65"/>
        <v>0.01</v>
      </c>
      <c r="W247" s="14">
        <f t="shared" si="66"/>
        <v>1664.9999999999998</v>
      </c>
      <c r="X247" s="17"/>
      <c r="Y247" s="17"/>
      <c r="Z247" s="17" t="s">
        <v>980</v>
      </c>
      <c r="AA247" s="18">
        <v>-0.08</v>
      </c>
      <c r="AB247" s="13"/>
      <c r="AC247" s="13">
        <v>-9</v>
      </c>
      <c r="AD247" s="13"/>
      <c r="AE247" s="13">
        <v>-7</v>
      </c>
      <c r="AF247" s="13"/>
      <c r="AG247" s="13"/>
      <c r="AH247" s="13"/>
      <c r="AI247" s="19"/>
      <c r="AJ247" s="14"/>
      <c r="AK247" s="13"/>
      <c r="AL247" s="13"/>
      <c r="AM247" s="13"/>
      <c r="AN247" s="13" t="s">
        <v>97</v>
      </c>
      <c r="AO247" s="13"/>
      <c r="AP247" s="20">
        <v>-0.08</v>
      </c>
      <c r="AQ247" s="20">
        <f t="shared" si="67"/>
        <v>0</v>
      </c>
      <c r="AR247" s="94">
        <f t="shared" si="68"/>
        <v>0</v>
      </c>
      <c r="AS247" s="127">
        <f t="shared" si="69"/>
        <v>0</v>
      </c>
      <c r="AT247" s="22" t="s">
        <v>97</v>
      </c>
      <c r="AU247" s="13"/>
      <c r="AV247" s="13"/>
      <c r="AW247" s="13"/>
      <c r="AX247" s="13"/>
      <c r="AY247" s="13"/>
      <c r="AZ247" s="13"/>
    </row>
    <row r="248" spans="1:52" ht="12.75">
      <c r="A248" s="12">
        <v>44861</v>
      </c>
      <c r="B248" s="13"/>
      <c r="C248" s="13" t="s">
        <v>74</v>
      </c>
      <c r="D248" s="17"/>
      <c r="E248" s="13"/>
      <c r="F248" s="14" t="s">
        <v>739</v>
      </c>
      <c r="G248" s="13"/>
      <c r="H248" s="13"/>
      <c r="I248" s="13"/>
      <c r="J248" s="14"/>
      <c r="K248" s="14"/>
      <c r="L248" s="13">
        <v>1</v>
      </c>
      <c r="M248" s="13"/>
      <c r="N248" s="13"/>
      <c r="O248" s="14" t="s">
        <v>76</v>
      </c>
      <c r="P248" s="14" t="s">
        <v>119</v>
      </c>
      <c r="Q248" s="14" t="s">
        <v>78</v>
      </c>
      <c r="R248" s="14">
        <v>1</v>
      </c>
      <c r="S248" s="14">
        <v>1</v>
      </c>
      <c r="T248" s="14"/>
      <c r="U248" s="14" t="s">
        <v>22</v>
      </c>
      <c r="V248" s="14">
        <f t="shared" si="65"/>
        <v>0.01</v>
      </c>
      <c r="W248" s="14">
        <f t="shared" si="66"/>
        <v>1664.9999999999998</v>
      </c>
      <c r="X248" s="17"/>
      <c r="Y248" s="17"/>
      <c r="Z248" s="17" t="s">
        <v>980</v>
      </c>
      <c r="AA248" s="18">
        <v>0.02</v>
      </c>
      <c r="AB248" s="13"/>
      <c r="AC248" s="13">
        <v>0</v>
      </c>
      <c r="AD248" s="13"/>
      <c r="AE248" s="13">
        <v>3</v>
      </c>
      <c r="AF248" s="13"/>
      <c r="AG248" s="13"/>
      <c r="AH248" s="13"/>
      <c r="AI248" s="19"/>
      <c r="AJ248" s="14"/>
      <c r="AK248" s="13"/>
      <c r="AL248" s="13"/>
      <c r="AM248" s="13"/>
      <c r="AN248" s="13"/>
      <c r="AO248" s="13"/>
      <c r="AP248" s="20">
        <v>0.03</v>
      </c>
      <c r="AQ248" s="20">
        <f t="shared" si="67"/>
        <v>9.9999999999999985E-3</v>
      </c>
      <c r="AR248" s="94">
        <f t="shared" si="68"/>
        <v>16.649999999999995</v>
      </c>
      <c r="AS248" s="127">
        <f t="shared" si="69"/>
        <v>16.649999999999995</v>
      </c>
      <c r="AT248" s="22" t="s">
        <v>77</v>
      </c>
      <c r="AU248" s="13" t="s">
        <v>4909</v>
      </c>
      <c r="AV248" s="13" t="s">
        <v>4900</v>
      </c>
      <c r="AW248" s="13"/>
      <c r="AX248" s="13"/>
      <c r="AY248" s="13"/>
      <c r="AZ248" s="13"/>
    </row>
    <row r="249" spans="1:52" ht="12.75">
      <c r="A249" s="12">
        <v>44861</v>
      </c>
      <c r="B249" s="13" t="s">
        <v>4910</v>
      </c>
      <c r="C249" s="13" t="s">
        <v>74</v>
      </c>
      <c r="D249" s="17"/>
      <c r="E249" s="13"/>
      <c r="F249" s="14" t="s">
        <v>118</v>
      </c>
      <c r="G249" s="13"/>
      <c r="H249" s="13"/>
      <c r="I249" s="13"/>
      <c r="J249" s="14"/>
      <c r="K249" s="14"/>
      <c r="L249" s="13">
        <v>1</v>
      </c>
      <c r="M249" s="13"/>
      <c r="N249" s="13"/>
      <c r="O249" s="14" t="s">
        <v>76</v>
      </c>
      <c r="P249" s="14" t="s">
        <v>119</v>
      </c>
      <c r="Q249" s="14" t="s">
        <v>78</v>
      </c>
      <c r="R249" s="14">
        <v>1</v>
      </c>
      <c r="S249" s="14">
        <v>1</v>
      </c>
      <c r="T249" s="14"/>
      <c r="U249" s="14" t="s">
        <v>22</v>
      </c>
      <c r="V249" s="14">
        <f t="shared" si="65"/>
        <v>0.01</v>
      </c>
      <c r="W249" s="14">
        <f t="shared" si="66"/>
        <v>1664.9999999999998</v>
      </c>
      <c r="X249" s="17"/>
      <c r="Y249" s="17"/>
      <c r="Z249" s="17" t="s">
        <v>980</v>
      </c>
      <c r="AA249" s="18">
        <v>-0.08</v>
      </c>
      <c r="AB249" s="13"/>
      <c r="AC249" s="13">
        <v>-10</v>
      </c>
      <c r="AD249" s="13"/>
      <c r="AE249" s="13">
        <v>-7</v>
      </c>
      <c r="AF249" s="13"/>
      <c r="AG249" s="13"/>
      <c r="AH249" s="13"/>
      <c r="AI249" s="19"/>
      <c r="AJ249" s="14"/>
      <c r="AK249" s="13"/>
      <c r="AL249" s="13"/>
      <c r="AM249" s="13"/>
      <c r="AN249" s="13" t="s">
        <v>97</v>
      </c>
      <c r="AO249" s="13"/>
      <c r="AP249" s="20">
        <v>-7.0000000000000007E-2</v>
      </c>
      <c r="AQ249" s="20">
        <f t="shared" si="67"/>
        <v>9.999999999999995E-3</v>
      </c>
      <c r="AR249" s="94">
        <f t="shared" si="68"/>
        <v>16.649999999999988</v>
      </c>
      <c r="AS249" s="127">
        <f t="shared" si="69"/>
        <v>16.649999999999988</v>
      </c>
      <c r="AT249" s="22" t="s">
        <v>77</v>
      </c>
      <c r="AU249" s="13"/>
      <c r="AV249" s="13"/>
      <c r="AW249" s="13"/>
      <c r="AX249" s="13"/>
      <c r="AY249" s="13"/>
      <c r="AZ249" s="13"/>
    </row>
    <row r="250" spans="1:52" ht="12.75">
      <c r="A250" s="12"/>
      <c r="B250" s="13"/>
      <c r="C250" s="13"/>
      <c r="D250" s="17"/>
      <c r="E250" s="13"/>
      <c r="F250" s="14"/>
      <c r="G250" s="13"/>
      <c r="H250" s="13"/>
      <c r="I250" s="13"/>
      <c r="J250" s="14"/>
      <c r="K250" s="14"/>
      <c r="L250" s="13"/>
      <c r="M250" s="13"/>
      <c r="N250" s="13"/>
      <c r="O250" s="14"/>
      <c r="P250" s="14"/>
      <c r="Q250" s="14"/>
      <c r="R250" s="14"/>
      <c r="S250" s="14"/>
      <c r="T250" s="14"/>
      <c r="U250" s="14"/>
      <c r="V250" s="14">
        <f t="shared" si="65"/>
        <v>0</v>
      </c>
      <c r="W250" s="14">
        <f t="shared" si="66"/>
        <v>0</v>
      </c>
      <c r="X250" s="17"/>
      <c r="Y250" s="17"/>
      <c r="Z250" s="17"/>
      <c r="AA250" s="18"/>
      <c r="AB250" s="13"/>
      <c r="AC250" s="13"/>
      <c r="AD250" s="13"/>
      <c r="AE250" s="13"/>
      <c r="AF250" s="13"/>
      <c r="AG250" s="13"/>
      <c r="AH250" s="13"/>
      <c r="AI250" s="19"/>
      <c r="AJ250" s="14"/>
      <c r="AK250" s="13"/>
      <c r="AL250" s="13"/>
      <c r="AM250" s="13"/>
      <c r="AN250" s="13"/>
      <c r="AO250" s="13"/>
      <c r="AP250" s="20"/>
      <c r="AQ250" s="13">
        <f t="shared" si="67"/>
        <v>0</v>
      </c>
      <c r="AR250" s="94">
        <f t="shared" si="68"/>
        <v>0</v>
      </c>
      <c r="AS250" s="127">
        <f t="shared" si="69"/>
        <v>0</v>
      </c>
      <c r="AT250" s="22"/>
      <c r="AU250" s="13"/>
      <c r="AV250" s="13"/>
      <c r="AW250" s="13"/>
      <c r="AX250" s="13"/>
      <c r="AY250" s="13"/>
      <c r="AZ250" s="13"/>
    </row>
    <row r="251" spans="1:52" ht="12.75">
      <c r="A251" s="12"/>
      <c r="B251" s="13"/>
      <c r="C251" s="13"/>
      <c r="D251" s="17"/>
      <c r="E251" s="13"/>
      <c r="F251" s="14"/>
      <c r="G251" s="13"/>
      <c r="H251" s="13"/>
      <c r="I251" s="13"/>
      <c r="J251" s="14"/>
      <c r="K251" s="14"/>
      <c r="L251" s="13"/>
      <c r="M251" s="13"/>
      <c r="N251" s="13"/>
      <c r="O251" s="14"/>
      <c r="P251" s="14"/>
      <c r="Q251" s="14"/>
      <c r="R251" s="14"/>
      <c r="S251" s="14"/>
      <c r="T251" s="14"/>
      <c r="U251" s="14"/>
      <c r="V251" s="14">
        <f t="shared" si="65"/>
        <v>0</v>
      </c>
      <c r="W251" s="14">
        <f t="shared" si="66"/>
        <v>0</v>
      </c>
      <c r="X251" s="17"/>
      <c r="Y251" s="17"/>
      <c r="Z251" s="17"/>
      <c r="AA251" s="18"/>
      <c r="AB251" s="13"/>
      <c r="AC251" s="13"/>
      <c r="AD251" s="13"/>
      <c r="AE251" s="13"/>
      <c r="AF251" s="13"/>
      <c r="AG251" s="13"/>
      <c r="AH251" s="13"/>
      <c r="AI251" s="19"/>
      <c r="AJ251" s="14"/>
      <c r="AK251" s="13"/>
      <c r="AL251" s="13"/>
      <c r="AM251" s="13"/>
      <c r="AN251" s="13"/>
      <c r="AO251" s="13"/>
      <c r="AP251" s="20"/>
      <c r="AQ251" s="13">
        <f t="shared" si="67"/>
        <v>0</v>
      </c>
      <c r="AR251" s="94">
        <f t="shared" si="68"/>
        <v>0</v>
      </c>
      <c r="AS251" s="127">
        <f t="shared" si="69"/>
        <v>0</v>
      </c>
      <c r="AT251" s="22"/>
      <c r="AU251" s="13"/>
      <c r="AV251" s="13"/>
      <c r="AW251" s="13"/>
      <c r="AX251" s="13"/>
      <c r="AY251" s="13"/>
      <c r="AZ251" s="13"/>
    </row>
    <row r="252" spans="1:52" ht="12.75">
      <c r="A252" s="12"/>
      <c r="B252" s="13"/>
      <c r="C252" s="13"/>
      <c r="D252" s="17"/>
      <c r="E252" s="13"/>
      <c r="F252" s="14"/>
      <c r="G252" s="13"/>
      <c r="H252" s="13"/>
      <c r="I252" s="13"/>
      <c r="J252" s="14"/>
      <c r="K252" s="14"/>
      <c r="L252" s="13"/>
      <c r="M252" s="13"/>
      <c r="N252" s="13"/>
      <c r="O252" s="14"/>
      <c r="P252" s="14"/>
      <c r="Q252" s="14"/>
      <c r="R252" s="14"/>
      <c r="S252" s="14"/>
      <c r="T252" s="14"/>
      <c r="U252" s="14"/>
      <c r="V252" s="14">
        <f t="shared" si="65"/>
        <v>0</v>
      </c>
      <c r="W252" s="14">
        <f t="shared" si="66"/>
        <v>0</v>
      </c>
      <c r="X252" s="17"/>
      <c r="Y252" s="17"/>
      <c r="Z252" s="17"/>
      <c r="AA252" s="18"/>
      <c r="AB252" s="13"/>
      <c r="AC252" s="13"/>
      <c r="AD252" s="13"/>
      <c r="AE252" s="13"/>
      <c r="AF252" s="13"/>
      <c r="AG252" s="13"/>
      <c r="AH252" s="13"/>
      <c r="AI252" s="19"/>
      <c r="AJ252" s="14"/>
      <c r="AK252" s="13"/>
      <c r="AL252" s="13"/>
      <c r="AM252" s="13"/>
      <c r="AN252" s="13"/>
      <c r="AO252" s="13"/>
      <c r="AP252" s="20"/>
      <c r="AQ252" s="13">
        <f t="shared" si="67"/>
        <v>0</v>
      </c>
      <c r="AR252" s="94">
        <f t="shared" si="68"/>
        <v>0</v>
      </c>
      <c r="AS252" s="127">
        <f t="shared" si="69"/>
        <v>0</v>
      </c>
      <c r="AT252" s="22"/>
      <c r="AU252" s="13"/>
      <c r="AV252" s="13"/>
      <c r="AW252" s="13"/>
      <c r="AX252" s="13"/>
      <c r="AY252" s="13"/>
      <c r="AZ252" s="13"/>
    </row>
    <row r="253" spans="1:52" ht="12.75">
      <c r="A253" s="12"/>
      <c r="B253" s="13"/>
      <c r="C253" s="13"/>
      <c r="D253" s="17"/>
      <c r="E253" s="13"/>
      <c r="F253" s="14"/>
      <c r="G253" s="13"/>
      <c r="H253" s="13"/>
      <c r="I253" s="13"/>
      <c r="J253" s="14"/>
      <c r="K253" s="14"/>
      <c r="L253" s="13"/>
      <c r="M253" s="13"/>
      <c r="N253" s="13"/>
      <c r="O253" s="14"/>
      <c r="P253" s="14"/>
      <c r="Q253" s="14"/>
      <c r="R253" s="14"/>
      <c r="S253" s="14"/>
      <c r="T253" s="14"/>
      <c r="U253" s="14"/>
      <c r="V253" s="14">
        <f t="shared" si="65"/>
        <v>0</v>
      </c>
      <c r="W253" s="14">
        <f t="shared" si="66"/>
        <v>0</v>
      </c>
      <c r="X253" s="17"/>
      <c r="Y253" s="17"/>
      <c r="Z253" s="17"/>
      <c r="AA253" s="18"/>
      <c r="AB253" s="13"/>
      <c r="AC253" s="13"/>
      <c r="AD253" s="13"/>
      <c r="AE253" s="13"/>
      <c r="AF253" s="13"/>
      <c r="AG253" s="13"/>
      <c r="AH253" s="13"/>
      <c r="AI253" s="19"/>
      <c r="AJ253" s="14"/>
      <c r="AK253" s="13"/>
      <c r="AL253" s="13"/>
      <c r="AM253" s="13"/>
      <c r="AN253" s="13"/>
      <c r="AO253" s="13"/>
      <c r="AP253" s="20"/>
      <c r="AQ253" s="13">
        <f t="shared" si="67"/>
        <v>0</v>
      </c>
      <c r="AR253" s="94">
        <f t="shared" si="68"/>
        <v>0</v>
      </c>
      <c r="AS253" s="127">
        <f t="shared" si="69"/>
        <v>0</v>
      </c>
      <c r="AT253" s="22"/>
      <c r="AU253" s="124" t="s">
        <v>4911</v>
      </c>
      <c r="AV253" s="124" t="s">
        <v>4912</v>
      </c>
      <c r="AW253" s="124" t="s">
        <v>4892</v>
      </c>
      <c r="AX253" s="124" t="s">
        <v>4913</v>
      </c>
      <c r="AY253" s="13"/>
      <c r="AZ253" s="13"/>
    </row>
    <row r="254" spans="1:52" ht="12.75">
      <c r="A254" s="83">
        <v>44887</v>
      </c>
      <c r="B254" s="121"/>
      <c r="C254" s="121"/>
      <c r="D254" s="132"/>
      <c r="E254" s="121"/>
      <c r="F254" s="133"/>
      <c r="G254" s="121"/>
      <c r="H254" s="121"/>
      <c r="I254" s="121"/>
      <c r="J254" s="121"/>
      <c r="K254" s="121"/>
      <c r="L254" s="121"/>
      <c r="M254" s="121"/>
      <c r="N254" s="121"/>
      <c r="O254" s="133"/>
      <c r="P254" s="133"/>
      <c r="Q254" s="133"/>
      <c r="R254" s="133"/>
      <c r="S254" s="133"/>
      <c r="T254" s="133"/>
      <c r="U254" s="133"/>
      <c r="V254" s="132">
        <f t="shared" si="65"/>
        <v>0</v>
      </c>
      <c r="W254" s="132">
        <f t="shared" si="66"/>
        <v>0</v>
      </c>
      <c r="X254" s="132"/>
      <c r="Y254" s="132"/>
      <c r="Z254" s="132"/>
      <c r="AA254" s="134"/>
      <c r="AB254" s="121"/>
      <c r="AC254" s="121"/>
      <c r="AD254" s="121"/>
      <c r="AE254" s="121"/>
      <c r="AF254" s="121"/>
      <c r="AG254" s="121"/>
      <c r="AH254" s="121"/>
      <c r="AI254" s="135"/>
      <c r="AJ254" s="133"/>
      <c r="AK254" s="121"/>
      <c r="AL254" s="121"/>
      <c r="AM254" s="121"/>
      <c r="AN254" s="121"/>
      <c r="AO254" s="121"/>
      <c r="AP254" s="136"/>
      <c r="AQ254" s="121">
        <f t="shared" si="67"/>
        <v>0</v>
      </c>
      <c r="AR254" s="121"/>
      <c r="AS254" s="121">
        <f t="shared" si="69"/>
        <v>0</v>
      </c>
      <c r="AT254" s="93"/>
      <c r="AU254" s="121"/>
      <c r="AV254" s="121"/>
      <c r="AW254" s="121"/>
      <c r="AX254" s="121"/>
      <c r="AY254" s="121"/>
      <c r="AZ254" s="121"/>
    </row>
    <row r="255" spans="1:52" ht="12.75">
      <c r="A255" s="12">
        <v>44866</v>
      </c>
      <c r="B255" s="13" t="s">
        <v>128</v>
      </c>
      <c r="C255" s="13" t="s">
        <v>4914</v>
      </c>
      <c r="D255" s="17"/>
      <c r="E255" s="13"/>
      <c r="F255" s="14" t="s">
        <v>2126</v>
      </c>
      <c r="G255" s="13"/>
      <c r="H255" s="13"/>
      <c r="I255" s="13"/>
      <c r="J255" s="14"/>
      <c r="K255" s="14"/>
      <c r="L255" s="13">
        <v>1</v>
      </c>
      <c r="M255" s="13"/>
      <c r="N255" s="13"/>
      <c r="O255" s="14" t="s">
        <v>76</v>
      </c>
      <c r="P255" s="14" t="s">
        <v>119</v>
      </c>
      <c r="Q255" s="14" t="s">
        <v>78</v>
      </c>
      <c r="R255" s="14">
        <v>2</v>
      </c>
      <c r="S255" s="14">
        <v>2</v>
      </c>
      <c r="T255" s="14"/>
      <c r="U255" s="15" t="s">
        <v>78</v>
      </c>
      <c r="V255" s="14">
        <f t="shared" si="65"/>
        <v>0.01</v>
      </c>
      <c r="W255" s="14">
        <f t="shared" si="66"/>
        <v>1664.9999999999998</v>
      </c>
      <c r="X255" s="17"/>
      <c r="Y255" s="17"/>
      <c r="Z255" s="17" t="s">
        <v>980</v>
      </c>
      <c r="AA255" s="18">
        <v>-0.03</v>
      </c>
      <c r="AB255" s="13"/>
      <c r="AC255" s="13"/>
      <c r="AD255" s="13"/>
      <c r="AE255" s="13"/>
      <c r="AF255" s="13"/>
      <c r="AG255" s="13"/>
      <c r="AH255" s="13"/>
      <c r="AI255" s="19"/>
      <c r="AJ255" s="14"/>
      <c r="AK255" s="13"/>
      <c r="AL255" s="13"/>
      <c r="AM255" s="13" t="s">
        <v>4915</v>
      </c>
      <c r="AN255" s="13" t="s">
        <v>376</v>
      </c>
      <c r="AO255" s="13"/>
      <c r="AP255" s="20">
        <v>-0.04</v>
      </c>
      <c r="AQ255" s="20">
        <f t="shared" si="67"/>
        <v>1.0000000000000002E-2</v>
      </c>
      <c r="AR255" s="94">
        <f t="shared" ref="AR255:AR263" si="71">AS255*R255</f>
        <v>33.300000000000004</v>
      </c>
      <c r="AS255" s="127">
        <f t="shared" si="69"/>
        <v>16.650000000000002</v>
      </c>
      <c r="AT255" s="22" t="s">
        <v>77</v>
      </c>
      <c r="AU255" s="13" t="s">
        <v>4916</v>
      </c>
      <c r="AV255" s="13" t="s">
        <v>4917</v>
      </c>
      <c r="AW255" s="13" t="s">
        <v>4918</v>
      </c>
      <c r="AX255" s="13" t="s">
        <v>4919</v>
      </c>
      <c r="AY255" s="13" t="s">
        <v>4920</v>
      </c>
      <c r="AZ255" s="13" t="s">
        <v>4921</v>
      </c>
    </row>
    <row r="256" spans="1:52" ht="12.75">
      <c r="A256" s="12">
        <v>44866</v>
      </c>
      <c r="B256" s="13" t="s">
        <v>128</v>
      </c>
      <c r="C256" s="13">
        <v>4.45</v>
      </c>
      <c r="D256" s="17"/>
      <c r="E256" s="13"/>
      <c r="F256" s="14" t="s">
        <v>347</v>
      </c>
      <c r="G256" s="13"/>
      <c r="H256" s="13"/>
      <c r="I256" s="13"/>
      <c r="J256" s="14"/>
      <c r="K256" s="14"/>
      <c r="L256" s="13">
        <v>1</v>
      </c>
      <c r="M256" s="13"/>
      <c r="N256" s="13"/>
      <c r="O256" s="14" t="s">
        <v>76</v>
      </c>
      <c r="P256" s="14" t="s">
        <v>119</v>
      </c>
      <c r="Q256" s="14" t="s">
        <v>78</v>
      </c>
      <c r="R256" s="14">
        <v>2</v>
      </c>
      <c r="S256" s="14">
        <v>2</v>
      </c>
      <c r="T256" s="14"/>
      <c r="U256" s="14" t="s">
        <v>22</v>
      </c>
      <c r="V256" s="14">
        <f t="shared" si="65"/>
        <v>0.01</v>
      </c>
      <c r="W256" s="14">
        <f t="shared" si="66"/>
        <v>1664.9999999999998</v>
      </c>
      <c r="X256" s="17"/>
      <c r="Y256" s="17"/>
      <c r="Z256" s="17" t="s">
        <v>980</v>
      </c>
      <c r="AA256" s="18">
        <v>-0.04</v>
      </c>
      <c r="AB256" s="13"/>
      <c r="AC256" s="13"/>
      <c r="AD256" s="13"/>
      <c r="AE256" s="13"/>
      <c r="AF256" s="13"/>
      <c r="AG256" s="13"/>
      <c r="AH256" s="13"/>
      <c r="AI256" s="19"/>
      <c r="AJ256" s="14"/>
      <c r="AK256" s="13"/>
      <c r="AL256" s="13"/>
      <c r="AM256" s="13" t="s">
        <v>4922</v>
      </c>
      <c r="AN256" s="13" t="s">
        <v>87</v>
      </c>
      <c r="AO256" s="13" t="s">
        <v>4923</v>
      </c>
      <c r="AP256" s="20">
        <v>-0.03</v>
      </c>
      <c r="AQ256" s="20">
        <f t="shared" si="67"/>
        <v>1.0000000000000002E-2</v>
      </c>
      <c r="AR256" s="94">
        <f t="shared" si="71"/>
        <v>33.300000000000004</v>
      </c>
      <c r="AS256" s="127">
        <f t="shared" si="69"/>
        <v>16.650000000000002</v>
      </c>
      <c r="AT256" s="22" t="s">
        <v>77</v>
      </c>
      <c r="AU256" s="13" t="s">
        <v>4919</v>
      </c>
      <c r="AV256" s="13" t="s">
        <v>4924</v>
      </c>
      <c r="AW256" s="13" t="s">
        <v>4925</v>
      </c>
      <c r="AX256" s="13"/>
      <c r="AY256" s="13"/>
      <c r="AZ256" s="13"/>
    </row>
    <row r="257" spans="1:52" ht="12.75">
      <c r="A257" s="12">
        <v>44866</v>
      </c>
      <c r="B257" s="13" t="s">
        <v>128</v>
      </c>
      <c r="C257" s="13">
        <v>4.45</v>
      </c>
      <c r="D257" s="17"/>
      <c r="E257" s="13"/>
      <c r="F257" s="14" t="s">
        <v>4926</v>
      </c>
      <c r="G257" s="13"/>
      <c r="H257" s="13"/>
      <c r="I257" s="13"/>
      <c r="J257" s="14"/>
      <c r="K257" s="14"/>
      <c r="L257" s="13">
        <v>1</v>
      </c>
      <c r="M257" s="13"/>
      <c r="N257" s="13"/>
      <c r="O257" s="14" t="s">
        <v>76</v>
      </c>
      <c r="P257" s="14" t="s">
        <v>77</v>
      </c>
      <c r="Q257" s="14" t="s">
        <v>78</v>
      </c>
      <c r="R257" s="14">
        <v>2</v>
      </c>
      <c r="S257" s="14">
        <v>2</v>
      </c>
      <c r="T257" s="14"/>
      <c r="U257" s="14" t="s">
        <v>22</v>
      </c>
      <c r="V257" s="14">
        <f t="shared" si="65"/>
        <v>0.01</v>
      </c>
      <c r="W257" s="14">
        <f t="shared" si="66"/>
        <v>1664.9999999999998</v>
      </c>
      <c r="X257" s="17"/>
      <c r="Y257" s="17"/>
      <c r="Z257" s="17" t="s">
        <v>980</v>
      </c>
      <c r="AA257" s="18">
        <v>0.01</v>
      </c>
      <c r="AB257" s="13"/>
      <c r="AC257" s="13"/>
      <c r="AD257" s="13"/>
      <c r="AE257" s="13"/>
      <c r="AF257" s="13"/>
      <c r="AG257" s="13"/>
      <c r="AH257" s="13"/>
      <c r="AI257" s="19"/>
      <c r="AJ257" s="14"/>
      <c r="AK257" s="13"/>
      <c r="AL257" s="13"/>
      <c r="AM257" s="13" t="s">
        <v>334</v>
      </c>
      <c r="AN257" s="13" t="s">
        <v>87</v>
      </c>
      <c r="AO257" s="32">
        <v>44867.208333333336</v>
      </c>
      <c r="AP257" s="20">
        <v>0.02</v>
      </c>
      <c r="AQ257" s="20">
        <f t="shared" si="67"/>
        <v>0.01</v>
      </c>
      <c r="AR257" s="94">
        <f t="shared" si="71"/>
        <v>33.299999999999997</v>
      </c>
      <c r="AS257" s="127">
        <f t="shared" si="69"/>
        <v>16.649999999999999</v>
      </c>
      <c r="AT257" s="22" t="s">
        <v>77</v>
      </c>
      <c r="AU257" s="13"/>
      <c r="AV257" s="13"/>
      <c r="AW257" s="13"/>
      <c r="AX257" s="13"/>
      <c r="AY257" s="13" t="s">
        <v>340</v>
      </c>
      <c r="AZ257" s="13"/>
    </row>
    <row r="258" spans="1:52" ht="12.75">
      <c r="A258" s="12">
        <v>44867</v>
      </c>
      <c r="B258" s="13" t="s">
        <v>133</v>
      </c>
      <c r="C258" s="13" t="s">
        <v>4927</v>
      </c>
      <c r="D258" s="17"/>
      <c r="E258" s="13"/>
      <c r="F258" s="14" t="s">
        <v>4928</v>
      </c>
      <c r="G258" s="13"/>
      <c r="H258" s="13"/>
      <c r="I258" s="13"/>
      <c r="J258" s="14"/>
      <c r="K258" s="14"/>
      <c r="L258" s="13">
        <v>1</v>
      </c>
      <c r="M258" s="13"/>
      <c r="N258" s="13"/>
      <c r="O258" s="14" t="s">
        <v>76</v>
      </c>
      <c r="P258" s="14" t="s">
        <v>119</v>
      </c>
      <c r="Q258" s="14" t="s">
        <v>78</v>
      </c>
      <c r="R258" s="14">
        <v>2</v>
      </c>
      <c r="S258" s="14">
        <v>2</v>
      </c>
      <c r="T258" s="14"/>
      <c r="U258" s="14" t="s">
        <v>22</v>
      </c>
      <c r="V258" s="14">
        <f t="shared" si="65"/>
        <v>0.01</v>
      </c>
      <c r="W258" s="14">
        <f t="shared" si="66"/>
        <v>1664.9999999999998</v>
      </c>
      <c r="X258" s="17"/>
      <c r="Y258" s="17"/>
      <c r="Z258" s="17" t="s">
        <v>980</v>
      </c>
      <c r="AA258" s="18">
        <v>-0.08</v>
      </c>
      <c r="AB258" s="13"/>
      <c r="AC258" s="13"/>
      <c r="AD258" s="13"/>
      <c r="AE258" s="13"/>
      <c r="AF258" s="13"/>
      <c r="AG258" s="13"/>
      <c r="AH258" s="13"/>
      <c r="AI258" s="19"/>
      <c r="AJ258" s="14"/>
      <c r="AK258" s="13"/>
      <c r="AL258" s="13"/>
      <c r="AM258" s="13" t="s">
        <v>4929</v>
      </c>
      <c r="AN258" s="13" t="s">
        <v>87</v>
      </c>
      <c r="AO258" s="13"/>
      <c r="AP258" s="20">
        <v>-7.0000000000000007E-2</v>
      </c>
      <c r="AQ258" s="20">
        <f t="shared" si="67"/>
        <v>9.999999999999995E-3</v>
      </c>
      <c r="AR258" s="94">
        <f t="shared" si="71"/>
        <v>33.299999999999976</v>
      </c>
      <c r="AS258" s="127">
        <f t="shared" si="69"/>
        <v>16.649999999999988</v>
      </c>
      <c r="AT258" s="22" t="s">
        <v>77</v>
      </c>
      <c r="AU258" s="13"/>
      <c r="AV258" s="13"/>
      <c r="AW258" s="13"/>
      <c r="AX258" s="13"/>
      <c r="AY258" s="13"/>
      <c r="AZ258" s="13"/>
    </row>
    <row r="259" spans="1:52" ht="12.75">
      <c r="A259" s="12">
        <v>44867</v>
      </c>
      <c r="B259" s="13" t="s">
        <v>133</v>
      </c>
      <c r="C259" s="13" t="s">
        <v>4927</v>
      </c>
      <c r="D259" s="17"/>
      <c r="E259" s="13"/>
      <c r="F259" s="14" t="s">
        <v>4930</v>
      </c>
      <c r="G259" s="13"/>
      <c r="H259" s="13"/>
      <c r="I259" s="13"/>
      <c r="J259" s="14"/>
      <c r="K259" s="14"/>
      <c r="L259" s="13">
        <v>1</v>
      </c>
      <c r="M259" s="13"/>
      <c r="N259" s="13"/>
      <c r="O259" s="14" t="s">
        <v>76</v>
      </c>
      <c r="P259" s="14" t="s">
        <v>119</v>
      </c>
      <c r="Q259" s="14" t="s">
        <v>78</v>
      </c>
      <c r="R259" s="14">
        <v>2</v>
      </c>
      <c r="S259" s="14">
        <v>2</v>
      </c>
      <c r="T259" s="14"/>
      <c r="U259" s="14" t="s">
        <v>22</v>
      </c>
      <c r="V259" s="14">
        <f t="shared" si="65"/>
        <v>0.01</v>
      </c>
      <c r="W259" s="14">
        <f t="shared" si="66"/>
        <v>1664.9999999999998</v>
      </c>
      <c r="X259" s="17"/>
      <c r="Y259" s="17"/>
      <c r="Z259" s="17" t="s">
        <v>980</v>
      </c>
      <c r="AA259" s="18">
        <v>-0.08</v>
      </c>
      <c r="AB259" s="13"/>
      <c r="AC259" s="13"/>
      <c r="AD259" s="13"/>
      <c r="AE259" s="13"/>
      <c r="AF259" s="13"/>
      <c r="AG259" s="13"/>
      <c r="AH259" s="13"/>
      <c r="AI259" s="19"/>
      <c r="AJ259" s="14"/>
      <c r="AK259" s="13"/>
      <c r="AL259" s="13"/>
      <c r="AM259" s="13" t="s">
        <v>4929</v>
      </c>
      <c r="AN259" s="13" t="s">
        <v>87</v>
      </c>
      <c r="AO259" s="13"/>
      <c r="AP259" s="20">
        <v>-7.0000000000000007E-2</v>
      </c>
      <c r="AQ259" s="20">
        <f t="shared" si="67"/>
        <v>9.999999999999995E-3</v>
      </c>
      <c r="AR259" s="94">
        <f t="shared" si="71"/>
        <v>33.299999999999976</v>
      </c>
      <c r="AS259" s="127">
        <f t="shared" si="69"/>
        <v>16.649999999999988</v>
      </c>
      <c r="AT259" s="22" t="s">
        <v>77</v>
      </c>
      <c r="AU259" s="13"/>
      <c r="AV259" s="13"/>
      <c r="AW259" s="13"/>
      <c r="AX259" s="13"/>
      <c r="AY259" s="13"/>
      <c r="AZ259" s="13"/>
    </row>
    <row r="260" spans="1:52" ht="12.75">
      <c r="A260" s="12">
        <v>44867</v>
      </c>
      <c r="B260" s="13" t="s">
        <v>133</v>
      </c>
      <c r="C260" s="13"/>
      <c r="D260" s="17"/>
      <c r="E260" s="13"/>
      <c r="F260" s="14" t="s">
        <v>4931</v>
      </c>
      <c r="G260" s="13"/>
      <c r="H260" s="13"/>
      <c r="I260" s="13"/>
      <c r="J260" s="14"/>
      <c r="K260" s="14"/>
      <c r="L260" s="13"/>
      <c r="M260" s="13"/>
      <c r="N260" s="13"/>
      <c r="O260" s="14"/>
      <c r="P260" s="14"/>
      <c r="Q260" s="14"/>
      <c r="R260" s="14"/>
      <c r="S260" s="14"/>
      <c r="T260" s="14"/>
      <c r="U260" s="14" t="s">
        <v>22</v>
      </c>
      <c r="V260" s="14">
        <f t="shared" si="65"/>
        <v>0</v>
      </c>
      <c r="W260" s="14">
        <f t="shared" si="66"/>
        <v>0</v>
      </c>
      <c r="X260" s="17"/>
      <c r="Y260" s="17"/>
      <c r="Z260" s="17" t="s">
        <v>4774</v>
      </c>
      <c r="AA260" s="18">
        <v>0.02</v>
      </c>
      <c r="AB260" s="13"/>
      <c r="AC260" s="13"/>
      <c r="AD260" s="13"/>
      <c r="AE260" s="13"/>
      <c r="AF260" s="13"/>
      <c r="AG260" s="13"/>
      <c r="AH260" s="13"/>
      <c r="AI260" s="19"/>
      <c r="AJ260" s="14"/>
      <c r="AK260" s="13"/>
      <c r="AL260" s="13"/>
      <c r="AM260" s="13"/>
      <c r="AN260" s="13"/>
      <c r="AO260" s="13"/>
      <c r="AP260" s="20"/>
      <c r="AQ260" s="13">
        <f t="shared" si="67"/>
        <v>0</v>
      </c>
      <c r="AR260" s="94">
        <f t="shared" si="71"/>
        <v>0</v>
      </c>
      <c r="AS260" s="127">
        <f t="shared" si="69"/>
        <v>0</v>
      </c>
      <c r="AT260" s="22"/>
      <c r="AU260" s="13" t="s">
        <v>4932</v>
      </c>
      <c r="AV260" s="13" t="s">
        <v>4933</v>
      </c>
      <c r="AW260" s="13" t="s">
        <v>4934</v>
      </c>
      <c r="AX260" s="13" t="s">
        <v>4935</v>
      </c>
      <c r="AY260" s="13" t="s">
        <v>4936</v>
      </c>
      <c r="AZ260" s="13"/>
    </row>
    <row r="261" spans="1:52" ht="12.75">
      <c r="A261" s="12">
        <v>44867</v>
      </c>
      <c r="B261" s="13" t="s">
        <v>133</v>
      </c>
      <c r="C261" s="13"/>
      <c r="D261" s="17"/>
      <c r="E261" s="13"/>
      <c r="F261" s="14" t="s">
        <v>4937</v>
      </c>
      <c r="G261" s="13"/>
      <c r="H261" s="13"/>
      <c r="I261" s="13"/>
      <c r="J261" s="14"/>
      <c r="K261" s="14"/>
      <c r="L261" s="13">
        <v>1</v>
      </c>
      <c r="M261" s="13"/>
      <c r="N261" s="13"/>
      <c r="O261" s="14" t="s">
        <v>76</v>
      </c>
      <c r="P261" s="14" t="s">
        <v>77</v>
      </c>
      <c r="Q261" s="14" t="s">
        <v>78</v>
      </c>
      <c r="R261" s="14">
        <v>2</v>
      </c>
      <c r="S261" s="14">
        <v>2</v>
      </c>
      <c r="T261" s="14"/>
      <c r="U261" s="14" t="s">
        <v>78</v>
      </c>
      <c r="V261" s="14">
        <f t="shared" si="65"/>
        <v>0.01</v>
      </c>
      <c r="W261" s="14">
        <f t="shared" si="66"/>
        <v>1664.9999999999998</v>
      </c>
      <c r="X261" s="17"/>
      <c r="Y261" s="17"/>
      <c r="Z261" s="17" t="s">
        <v>980</v>
      </c>
      <c r="AA261" s="18">
        <v>0.02</v>
      </c>
      <c r="AB261" s="13"/>
      <c r="AC261" s="13"/>
      <c r="AD261" s="13"/>
      <c r="AE261" s="13"/>
      <c r="AF261" s="13"/>
      <c r="AG261" s="13"/>
      <c r="AH261" s="13"/>
      <c r="AI261" s="19"/>
      <c r="AJ261" s="14"/>
      <c r="AK261" s="13"/>
      <c r="AL261" s="13"/>
      <c r="AM261" s="13"/>
      <c r="AN261" s="13"/>
      <c r="AO261" s="13"/>
      <c r="AP261" s="20">
        <v>0.02</v>
      </c>
      <c r="AQ261" s="20">
        <f t="shared" si="67"/>
        <v>0</v>
      </c>
      <c r="AR261" s="94">
        <f t="shared" si="71"/>
        <v>0</v>
      </c>
      <c r="AS261" s="127">
        <f t="shared" si="69"/>
        <v>0</v>
      </c>
      <c r="AT261" s="22" t="s">
        <v>97</v>
      </c>
      <c r="AU261" s="13"/>
      <c r="AV261" s="13"/>
      <c r="AW261" s="13"/>
      <c r="AX261" s="13"/>
      <c r="AY261" s="13"/>
      <c r="AZ261" s="13"/>
    </row>
    <row r="262" spans="1:52" ht="12.75">
      <c r="A262" s="12">
        <v>44867</v>
      </c>
      <c r="B262" s="13" t="s">
        <v>133</v>
      </c>
      <c r="C262" s="13"/>
      <c r="D262" s="17"/>
      <c r="E262" s="13"/>
      <c r="F262" s="14" t="s">
        <v>347</v>
      </c>
      <c r="G262" s="13"/>
      <c r="H262" s="13"/>
      <c r="I262" s="13"/>
      <c r="J262" s="14"/>
      <c r="K262" s="14"/>
      <c r="L262" s="13">
        <v>1</v>
      </c>
      <c r="M262" s="13"/>
      <c r="N262" s="13"/>
      <c r="O262" s="14" t="s">
        <v>76</v>
      </c>
      <c r="P262" s="14" t="s">
        <v>77</v>
      </c>
      <c r="Q262" s="14" t="s">
        <v>78</v>
      </c>
      <c r="R262" s="14">
        <v>2</v>
      </c>
      <c r="S262" s="14">
        <v>2</v>
      </c>
      <c r="T262" s="14"/>
      <c r="U262" s="15" t="s">
        <v>78</v>
      </c>
      <c r="V262" s="14">
        <f t="shared" si="65"/>
        <v>0.01</v>
      </c>
      <c r="W262" s="14">
        <f t="shared" si="66"/>
        <v>1664.9999999999998</v>
      </c>
      <c r="X262" s="17"/>
      <c r="Y262" s="17"/>
      <c r="Z262" s="17" t="s">
        <v>980</v>
      </c>
      <c r="AA262" s="18">
        <v>-0.02</v>
      </c>
      <c r="AB262" s="13"/>
      <c r="AC262" s="13"/>
      <c r="AD262" s="13"/>
      <c r="AE262" s="13"/>
      <c r="AF262" s="13"/>
      <c r="AG262" s="13"/>
      <c r="AH262" s="13"/>
      <c r="AI262" s="19"/>
      <c r="AJ262" s="14"/>
      <c r="AK262" s="13"/>
      <c r="AL262" s="13"/>
      <c r="AM262" s="13"/>
      <c r="AN262" s="13"/>
      <c r="AO262" s="13"/>
      <c r="AP262" s="20"/>
      <c r="AQ262" s="13">
        <f t="shared" si="67"/>
        <v>0</v>
      </c>
      <c r="AR262" s="94">
        <f t="shared" si="71"/>
        <v>0</v>
      </c>
      <c r="AS262" s="127">
        <f t="shared" si="69"/>
        <v>0</v>
      </c>
      <c r="AT262" s="22"/>
      <c r="AU262" s="13" t="s">
        <v>4938</v>
      </c>
      <c r="AV262" s="13"/>
      <c r="AW262" s="13"/>
      <c r="AX262" s="13"/>
      <c r="AY262" s="13"/>
      <c r="AZ262" s="13"/>
    </row>
    <row r="263" spans="1:52" ht="12.75">
      <c r="A263" s="12">
        <v>44874</v>
      </c>
      <c r="B263" s="13" t="s">
        <v>133</v>
      </c>
      <c r="C263" s="13"/>
      <c r="D263" s="17"/>
      <c r="E263" s="13"/>
      <c r="F263" s="14" t="s">
        <v>405</v>
      </c>
      <c r="G263" s="13"/>
      <c r="H263" s="13"/>
      <c r="I263" s="13"/>
      <c r="J263" s="14"/>
      <c r="K263" s="14"/>
      <c r="L263" s="13"/>
      <c r="M263" s="13">
        <v>1</v>
      </c>
      <c r="N263" s="13"/>
      <c r="O263" s="14" t="s">
        <v>76</v>
      </c>
      <c r="P263" s="14" t="s">
        <v>77</v>
      </c>
      <c r="Q263" s="14" t="s">
        <v>238</v>
      </c>
      <c r="R263" s="14">
        <v>2</v>
      </c>
      <c r="S263" s="14">
        <v>2</v>
      </c>
      <c r="T263" s="14">
        <v>1</v>
      </c>
      <c r="U263" s="14" t="s">
        <v>22</v>
      </c>
      <c r="V263" s="14">
        <f t="shared" si="65"/>
        <v>0.01</v>
      </c>
      <c r="W263" s="14">
        <f t="shared" si="66"/>
        <v>1664.9999999999998</v>
      </c>
      <c r="X263" s="17"/>
      <c r="Y263" s="17"/>
      <c r="Z263" s="17" t="s">
        <v>4774</v>
      </c>
      <c r="AA263" s="18">
        <v>0.03</v>
      </c>
      <c r="AB263" s="13"/>
      <c r="AC263" s="13"/>
      <c r="AD263" s="13"/>
      <c r="AE263" s="13"/>
      <c r="AF263" s="13"/>
      <c r="AG263" s="13"/>
      <c r="AH263" s="13"/>
      <c r="AI263" s="19"/>
      <c r="AJ263" s="14"/>
      <c r="AK263" s="13"/>
      <c r="AL263" s="13"/>
      <c r="AM263" s="13"/>
      <c r="AN263" s="13"/>
      <c r="AO263" s="13"/>
      <c r="AP263" s="20">
        <v>7.0000000000000007E-2</v>
      </c>
      <c r="AQ263" s="20">
        <f t="shared" si="67"/>
        <v>4.0000000000000008E-2</v>
      </c>
      <c r="AR263" s="94">
        <f t="shared" si="71"/>
        <v>133.20000000000002</v>
      </c>
      <c r="AS263" s="127">
        <f t="shared" si="69"/>
        <v>66.600000000000009</v>
      </c>
      <c r="AT263" s="22" t="s">
        <v>77</v>
      </c>
      <c r="AU263" s="13" t="s">
        <v>4939</v>
      </c>
      <c r="AV263" s="13"/>
      <c r="AW263" s="13"/>
      <c r="AX263" s="13"/>
      <c r="AY263" s="13"/>
      <c r="AZ263" s="13"/>
    </row>
    <row r="264" spans="1:52" ht="12.75">
      <c r="A264" s="140" t="s">
        <v>4940</v>
      </c>
      <c r="B264" s="141"/>
      <c r="C264" s="141"/>
      <c r="D264" s="142"/>
      <c r="E264" s="141"/>
      <c r="F264" s="143"/>
      <c r="G264" s="141"/>
      <c r="H264" s="141"/>
      <c r="I264" s="141"/>
      <c r="J264" s="141"/>
      <c r="K264" s="141"/>
      <c r="L264" s="141"/>
      <c r="M264" s="141"/>
      <c r="N264" s="141"/>
      <c r="O264" s="143"/>
      <c r="P264" s="143"/>
      <c r="Q264" s="143"/>
      <c r="R264" s="143"/>
      <c r="S264" s="143"/>
      <c r="T264" s="143"/>
      <c r="U264" s="143"/>
      <c r="V264" s="142">
        <f t="shared" si="65"/>
        <v>0</v>
      </c>
      <c r="W264" s="142">
        <f t="shared" si="66"/>
        <v>0</v>
      </c>
      <c r="X264" s="142"/>
      <c r="Y264" s="142"/>
      <c r="Z264" s="142"/>
      <c r="AA264" s="144"/>
      <c r="AB264" s="141"/>
      <c r="AC264" s="141"/>
      <c r="AD264" s="141"/>
      <c r="AE264" s="141"/>
      <c r="AF264" s="141"/>
      <c r="AG264" s="141"/>
      <c r="AH264" s="141"/>
      <c r="AI264" s="145"/>
      <c r="AJ264" s="143"/>
      <c r="AK264" s="141"/>
      <c r="AL264" s="141"/>
      <c r="AM264" s="141"/>
      <c r="AN264" s="141"/>
      <c r="AO264" s="141"/>
      <c r="AP264" s="146"/>
      <c r="AQ264" s="146"/>
      <c r="AR264" s="146"/>
      <c r="AS264" s="146"/>
      <c r="AT264" s="147"/>
      <c r="AU264" s="141"/>
      <c r="AV264" s="141"/>
      <c r="AW264" s="141"/>
      <c r="AX264" s="141"/>
      <c r="AY264" s="141"/>
      <c r="AZ264" s="141"/>
    </row>
    <row r="265" spans="1:52" ht="12.75">
      <c r="A265" s="17" t="s">
        <v>4941</v>
      </c>
      <c r="B265" s="13"/>
      <c r="C265" s="13"/>
      <c r="D265" s="17"/>
      <c r="E265" s="13"/>
      <c r="F265" s="14"/>
      <c r="G265" s="13"/>
      <c r="H265" s="13"/>
      <c r="I265" s="13"/>
      <c r="J265" s="14"/>
      <c r="K265" s="14"/>
      <c r="L265" s="13"/>
      <c r="M265" s="13"/>
      <c r="N265" s="13"/>
      <c r="O265" s="14"/>
      <c r="P265" s="14"/>
      <c r="Q265" s="14"/>
      <c r="R265" s="14"/>
      <c r="S265" s="14"/>
      <c r="T265" s="14"/>
      <c r="U265" s="14"/>
      <c r="V265" s="14">
        <f t="shared" si="65"/>
        <v>0</v>
      </c>
      <c r="W265" s="14">
        <f t="shared" si="66"/>
        <v>0</v>
      </c>
      <c r="X265" s="17"/>
      <c r="Y265" s="17"/>
      <c r="Z265" s="17"/>
      <c r="AA265" s="18"/>
      <c r="AB265" s="13"/>
      <c r="AC265" s="13"/>
      <c r="AD265" s="13"/>
      <c r="AE265" s="13"/>
      <c r="AF265" s="13"/>
      <c r="AG265" s="13"/>
      <c r="AH265" s="13"/>
      <c r="AI265" s="19"/>
      <c r="AJ265" s="14"/>
      <c r="AK265" s="13"/>
      <c r="AL265" s="13"/>
      <c r="AM265" s="13"/>
      <c r="AN265" s="13"/>
      <c r="AO265" s="13"/>
      <c r="AP265" s="20"/>
      <c r="AQ265" s="13">
        <f t="shared" ref="AQ265:AQ289" si="72">IF(ISBLANK(AP265),,IF(U265="S",AA265-AP265,AP265-AA265))</f>
        <v>0</v>
      </c>
      <c r="AR265" s="94">
        <f t="shared" ref="AR265:AR268" si="73">AS265*R265</f>
        <v>0</v>
      </c>
      <c r="AS265" s="127">
        <f t="shared" ref="AS265:AS289" si="74">IF(ISBLANK(AP265),,(AQ265*W265))</f>
        <v>0</v>
      </c>
      <c r="AT265" s="22"/>
      <c r="AU265" s="124" t="s">
        <v>4942</v>
      </c>
      <c r="AV265" s="124" t="s">
        <v>4943</v>
      </c>
      <c r="AW265" s="124" t="s">
        <v>4944</v>
      </c>
      <c r="AX265" s="124" t="s">
        <v>4945</v>
      </c>
      <c r="AY265" s="124" t="s">
        <v>499</v>
      </c>
      <c r="AZ265" s="13"/>
    </row>
    <row r="266" spans="1:52" ht="12.75">
      <c r="A266" s="12">
        <v>44887</v>
      </c>
      <c r="B266" s="13" t="s">
        <v>128</v>
      </c>
      <c r="C266" s="13"/>
      <c r="D266" s="17"/>
      <c r="E266" s="13"/>
      <c r="F266" s="14" t="s">
        <v>262</v>
      </c>
      <c r="G266" s="13"/>
      <c r="H266" s="13"/>
      <c r="I266" s="13"/>
      <c r="J266" s="14"/>
      <c r="K266" s="14"/>
      <c r="L266" s="13"/>
      <c r="M266" s="13"/>
      <c r="N266" s="13"/>
      <c r="O266" s="14" t="s">
        <v>76</v>
      </c>
      <c r="P266" s="14" t="s">
        <v>119</v>
      </c>
      <c r="Q266" s="14" t="s">
        <v>78</v>
      </c>
      <c r="R266" s="14">
        <v>5</v>
      </c>
      <c r="S266" s="14">
        <v>5</v>
      </c>
      <c r="T266" s="14">
        <v>5</v>
      </c>
      <c r="U266" s="14" t="s">
        <v>78</v>
      </c>
      <c r="V266" s="14">
        <f t="shared" si="65"/>
        <v>0.01</v>
      </c>
      <c r="W266" s="14">
        <f t="shared" si="66"/>
        <v>1664.9999999999998</v>
      </c>
      <c r="X266" s="17"/>
      <c r="Y266" s="17"/>
      <c r="Z266" s="17" t="s">
        <v>4946</v>
      </c>
      <c r="AA266" s="18">
        <v>-7.0000000000000007E-2</v>
      </c>
      <c r="AB266" s="13"/>
      <c r="AC266" s="13"/>
      <c r="AD266" s="13"/>
      <c r="AE266" s="13"/>
      <c r="AF266" s="13"/>
      <c r="AG266" s="13"/>
      <c r="AH266" s="13"/>
      <c r="AI266" s="19"/>
      <c r="AJ266" s="14"/>
      <c r="AK266" s="13"/>
      <c r="AL266" s="13"/>
      <c r="AM266" s="13"/>
      <c r="AN266" s="13"/>
      <c r="AO266" s="13"/>
      <c r="AP266" s="20">
        <v>-7.0000000000000007E-2</v>
      </c>
      <c r="AQ266" s="20">
        <f t="shared" si="72"/>
        <v>0</v>
      </c>
      <c r="AR266" s="94">
        <f t="shared" si="73"/>
        <v>0</v>
      </c>
      <c r="AS266" s="127">
        <f t="shared" si="74"/>
        <v>0</v>
      </c>
      <c r="AT266" s="22" t="s">
        <v>97</v>
      </c>
      <c r="AU266" s="13" t="s">
        <v>4947</v>
      </c>
      <c r="AV266" s="13" t="s">
        <v>4948</v>
      </c>
      <c r="AW266" s="13"/>
      <c r="AX266" s="13"/>
      <c r="AY266" s="13"/>
      <c r="AZ266" s="13"/>
    </row>
    <row r="267" spans="1:52" ht="12.75">
      <c r="A267" s="12">
        <v>44887</v>
      </c>
      <c r="B267" s="13" t="s">
        <v>128</v>
      </c>
      <c r="C267" s="13"/>
      <c r="D267" s="17"/>
      <c r="E267" s="13"/>
      <c r="F267" s="14" t="s">
        <v>115</v>
      </c>
      <c r="G267" s="13"/>
      <c r="H267" s="13"/>
      <c r="I267" s="13"/>
      <c r="J267" s="14"/>
      <c r="K267" s="14"/>
      <c r="L267" s="13"/>
      <c r="M267" s="13"/>
      <c r="N267" s="13"/>
      <c r="O267" s="14" t="s">
        <v>76</v>
      </c>
      <c r="P267" s="14" t="s">
        <v>119</v>
      </c>
      <c r="Q267" s="14" t="s">
        <v>78</v>
      </c>
      <c r="R267" s="14">
        <v>5</v>
      </c>
      <c r="S267" s="14">
        <v>5</v>
      </c>
      <c r="T267" s="14">
        <v>5</v>
      </c>
      <c r="U267" s="14" t="s">
        <v>78</v>
      </c>
      <c r="V267" s="14">
        <f t="shared" si="65"/>
        <v>0.01</v>
      </c>
      <c r="W267" s="14">
        <f t="shared" si="66"/>
        <v>1664.9999999999998</v>
      </c>
      <c r="X267" s="17"/>
      <c r="Y267" s="17"/>
      <c r="Z267" s="17" t="s">
        <v>4946</v>
      </c>
      <c r="AA267" s="18">
        <v>0.01</v>
      </c>
      <c r="AB267" s="13"/>
      <c r="AC267" s="13"/>
      <c r="AD267" s="13"/>
      <c r="AE267" s="13"/>
      <c r="AF267" s="13"/>
      <c r="AG267" s="13"/>
      <c r="AH267" s="13"/>
      <c r="AI267" s="19"/>
      <c r="AJ267" s="14"/>
      <c r="AK267" s="13"/>
      <c r="AL267" s="13"/>
      <c r="AM267" s="13"/>
      <c r="AN267" s="13"/>
      <c r="AO267" s="13"/>
      <c r="AP267" s="20">
        <v>0.01</v>
      </c>
      <c r="AQ267" s="20">
        <f t="shared" si="72"/>
        <v>0</v>
      </c>
      <c r="AR267" s="94">
        <f t="shared" si="73"/>
        <v>0</v>
      </c>
      <c r="AS267" s="127">
        <f t="shared" si="74"/>
        <v>0</v>
      </c>
      <c r="AT267" s="22" t="s">
        <v>97</v>
      </c>
      <c r="AU267" s="13" t="s">
        <v>4947</v>
      </c>
      <c r="AV267" s="13"/>
      <c r="AW267" s="13"/>
      <c r="AX267" s="13"/>
      <c r="AY267" s="13"/>
      <c r="AZ267" s="13"/>
    </row>
    <row r="268" spans="1:52" ht="12.75">
      <c r="A268" s="12">
        <v>44888</v>
      </c>
      <c r="B268" s="13" t="s">
        <v>133</v>
      </c>
      <c r="C268" s="13"/>
      <c r="D268" s="17"/>
      <c r="E268" s="13"/>
      <c r="F268" s="14" t="s">
        <v>192</v>
      </c>
      <c r="G268" s="13"/>
      <c r="H268" s="13"/>
      <c r="I268" s="13"/>
      <c r="J268" s="14"/>
      <c r="K268" s="14"/>
      <c r="L268" s="13"/>
      <c r="M268" s="13"/>
      <c r="N268" s="13"/>
      <c r="O268" s="14" t="s">
        <v>76</v>
      </c>
      <c r="P268" s="14" t="s">
        <v>77</v>
      </c>
      <c r="Q268" s="14" t="s">
        <v>78</v>
      </c>
      <c r="R268" s="14">
        <v>1</v>
      </c>
      <c r="S268" s="14">
        <v>1</v>
      </c>
      <c r="T268" s="14">
        <v>1</v>
      </c>
      <c r="U268" s="14" t="s">
        <v>22</v>
      </c>
      <c r="V268" s="14">
        <f t="shared" si="65"/>
        <v>0.01</v>
      </c>
      <c r="W268" s="14">
        <f t="shared" si="66"/>
        <v>1664.9999999999998</v>
      </c>
      <c r="X268" s="17" t="s">
        <v>4949</v>
      </c>
      <c r="Y268" s="17"/>
      <c r="Z268" s="17"/>
      <c r="AA268" s="18">
        <v>0.42</v>
      </c>
      <c r="AB268" s="13"/>
      <c r="AC268" s="13">
        <v>40</v>
      </c>
      <c r="AD268" s="13" t="s">
        <v>4950</v>
      </c>
      <c r="AE268" s="13">
        <v>44</v>
      </c>
      <c r="AF268" s="13" t="s">
        <v>4951</v>
      </c>
      <c r="AG268" s="13"/>
      <c r="AH268" s="13"/>
      <c r="AI268" s="19"/>
      <c r="AJ268" s="14"/>
      <c r="AK268" s="13"/>
      <c r="AL268" s="13"/>
      <c r="AM268" s="13"/>
      <c r="AN268" s="13" t="s">
        <v>87</v>
      </c>
      <c r="AO268" s="13"/>
      <c r="AP268" s="20">
        <v>0.44</v>
      </c>
      <c r="AQ268" s="20">
        <f t="shared" si="72"/>
        <v>2.0000000000000018E-2</v>
      </c>
      <c r="AR268" s="94">
        <f t="shared" si="73"/>
        <v>33.300000000000026</v>
      </c>
      <c r="AS268" s="127">
        <f t="shared" si="74"/>
        <v>33.300000000000026</v>
      </c>
      <c r="AT268" s="22" t="s">
        <v>77</v>
      </c>
      <c r="AU268" s="13"/>
      <c r="AV268" s="13"/>
      <c r="AW268" s="13"/>
      <c r="AX268" s="13"/>
      <c r="AY268" s="13"/>
      <c r="AZ268" s="13"/>
    </row>
    <row r="269" spans="1:52" ht="12.75">
      <c r="A269" s="12">
        <v>44888</v>
      </c>
      <c r="B269" s="13" t="s">
        <v>133</v>
      </c>
      <c r="C269" s="13" t="s">
        <v>482</v>
      </c>
      <c r="D269" s="17" t="s">
        <v>567</v>
      </c>
      <c r="E269" s="13"/>
      <c r="F269" s="14"/>
      <c r="G269" s="13"/>
      <c r="H269" s="13"/>
      <c r="I269" s="13"/>
      <c r="J269" s="14"/>
      <c r="K269" s="14"/>
      <c r="L269" s="13"/>
      <c r="M269" s="13"/>
      <c r="N269" s="13"/>
      <c r="O269" s="14"/>
      <c r="P269" s="14"/>
      <c r="Q269" s="14"/>
      <c r="R269" s="14"/>
      <c r="S269" s="14"/>
      <c r="T269" s="14"/>
      <c r="U269" s="14"/>
      <c r="V269" s="14">
        <f t="shared" si="65"/>
        <v>0</v>
      </c>
      <c r="W269" s="14">
        <f t="shared" si="66"/>
        <v>0</v>
      </c>
      <c r="X269" s="17"/>
      <c r="Y269" s="17"/>
      <c r="Z269" s="17"/>
      <c r="AA269" s="18"/>
      <c r="AB269" s="13"/>
      <c r="AC269" s="13"/>
      <c r="AD269" s="13"/>
      <c r="AE269" s="13"/>
      <c r="AF269" s="13"/>
      <c r="AG269" s="13"/>
      <c r="AH269" s="13"/>
      <c r="AI269" s="19"/>
      <c r="AJ269" s="14"/>
      <c r="AK269" s="13"/>
      <c r="AL269" s="13"/>
      <c r="AM269" s="13"/>
      <c r="AN269" s="13"/>
      <c r="AO269" s="13"/>
      <c r="AP269" s="20"/>
      <c r="AQ269" s="13">
        <f t="shared" si="72"/>
        <v>0</v>
      </c>
      <c r="AR269" s="94"/>
      <c r="AS269" s="127">
        <f t="shared" si="74"/>
        <v>0</v>
      </c>
      <c r="AT269" s="22"/>
      <c r="AU269" s="13"/>
      <c r="AV269" s="13" t="s">
        <v>4952</v>
      </c>
      <c r="AW269" s="13"/>
      <c r="AX269" s="13"/>
      <c r="AY269" s="13"/>
      <c r="AZ269" s="13"/>
    </row>
    <row r="270" spans="1:52" ht="12.75">
      <c r="A270" s="12">
        <v>44888</v>
      </c>
      <c r="B270" s="13" t="s">
        <v>133</v>
      </c>
      <c r="C270" s="13"/>
      <c r="D270" s="17"/>
      <c r="E270" s="13"/>
      <c r="F270" s="14" t="s">
        <v>4953</v>
      </c>
      <c r="G270" s="13"/>
      <c r="H270" s="13"/>
      <c r="I270" s="13"/>
      <c r="J270" s="14"/>
      <c r="K270" s="14"/>
      <c r="L270" s="13"/>
      <c r="M270" s="13"/>
      <c r="N270" s="13"/>
      <c r="O270" s="14" t="s">
        <v>76</v>
      </c>
      <c r="P270" s="14" t="s">
        <v>119</v>
      </c>
      <c r="Q270" s="14" t="s">
        <v>78</v>
      </c>
      <c r="R270" s="14">
        <v>5</v>
      </c>
      <c r="S270" s="14">
        <v>5</v>
      </c>
      <c r="T270" s="14">
        <v>5</v>
      </c>
      <c r="U270" s="14" t="s">
        <v>22</v>
      </c>
      <c r="V270" s="14">
        <f t="shared" si="65"/>
        <v>0.01</v>
      </c>
      <c r="W270" s="14">
        <f t="shared" si="66"/>
        <v>1664.9999999999998</v>
      </c>
      <c r="X270" s="17"/>
      <c r="Y270" s="17"/>
      <c r="Z270" s="17" t="s">
        <v>80</v>
      </c>
      <c r="AA270" s="18">
        <v>-0.08</v>
      </c>
      <c r="AB270" s="13"/>
      <c r="AC270" s="13">
        <v>-0.1</v>
      </c>
      <c r="AD270" s="13"/>
      <c r="AE270" s="13">
        <v>-7.0000000000000007E-2</v>
      </c>
      <c r="AF270" s="13"/>
      <c r="AG270" s="13"/>
      <c r="AH270" s="13"/>
      <c r="AI270" s="19"/>
      <c r="AJ270" s="14"/>
      <c r="AK270" s="13"/>
      <c r="AL270" s="13"/>
      <c r="AM270" s="13"/>
      <c r="AN270" s="13"/>
      <c r="AO270" s="13" t="s">
        <v>609</v>
      </c>
      <c r="AP270" s="20">
        <v>-0.09</v>
      </c>
      <c r="AQ270" s="20">
        <f t="shared" si="72"/>
        <v>-9.999999999999995E-3</v>
      </c>
      <c r="AR270" s="94">
        <f t="shared" ref="AR270:AR277" si="75">AS270*R270</f>
        <v>-83.249999999999943</v>
      </c>
      <c r="AS270" s="127">
        <f t="shared" si="74"/>
        <v>-16.649999999999988</v>
      </c>
      <c r="AT270" s="22" t="s">
        <v>211</v>
      </c>
      <c r="AU270" s="13"/>
      <c r="AV270" s="13"/>
      <c r="AW270" s="13"/>
      <c r="AX270" s="13"/>
      <c r="AY270" s="13"/>
      <c r="AZ270" s="13"/>
    </row>
    <row r="271" spans="1:52" ht="12.75">
      <c r="A271" s="12">
        <v>44888</v>
      </c>
      <c r="B271" s="13" t="s">
        <v>133</v>
      </c>
      <c r="C271" s="13"/>
      <c r="D271" s="17"/>
      <c r="E271" s="13"/>
      <c r="F271" s="14" t="s">
        <v>4954</v>
      </c>
      <c r="G271" s="13"/>
      <c r="H271" s="13"/>
      <c r="I271" s="13"/>
      <c r="J271" s="14"/>
      <c r="K271" s="14"/>
      <c r="L271" s="13"/>
      <c r="M271" s="13"/>
      <c r="N271" s="13"/>
      <c r="O271" s="14" t="s">
        <v>76</v>
      </c>
      <c r="P271" s="14" t="s">
        <v>119</v>
      </c>
      <c r="Q271" s="14" t="s">
        <v>78</v>
      </c>
      <c r="R271" s="14">
        <v>5</v>
      </c>
      <c r="S271" s="14">
        <v>5</v>
      </c>
      <c r="T271" s="14">
        <v>5</v>
      </c>
      <c r="U271" s="14" t="s">
        <v>22</v>
      </c>
      <c r="V271" s="14">
        <f t="shared" si="65"/>
        <v>0.01</v>
      </c>
      <c r="W271" s="14">
        <f t="shared" si="66"/>
        <v>1664.9999999999998</v>
      </c>
      <c r="X271" s="17"/>
      <c r="Y271" s="17"/>
      <c r="Z271" s="17" t="s">
        <v>80</v>
      </c>
      <c r="AA271" s="18">
        <v>-7.0000000000000007E-2</v>
      </c>
      <c r="AB271" s="13"/>
      <c r="AC271" s="13">
        <v>-0.11</v>
      </c>
      <c r="AD271" s="13"/>
      <c r="AE271" s="13">
        <v>-0.05</v>
      </c>
      <c r="AF271" s="13"/>
      <c r="AG271" s="13"/>
      <c r="AH271" s="13"/>
      <c r="AI271" s="19"/>
      <c r="AJ271" s="14"/>
      <c r="AK271" s="13"/>
      <c r="AL271" s="13"/>
      <c r="AM271" s="13" t="s">
        <v>4955</v>
      </c>
      <c r="AN271" s="13" t="s">
        <v>97</v>
      </c>
      <c r="AO271" s="13" t="s">
        <v>4956</v>
      </c>
      <c r="AP271" s="20">
        <v>-7.0000000000000007E-2</v>
      </c>
      <c r="AQ271" s="20">
        <f t="shared" si="72"/>
        <v>0</v>
      </c>
      <c r="AR271" s="94">
        <f t="shared" si="75"/>
        <v>0</v>
      </c>
      <c r="AS271" s="127">
        <f t="shared" si="74"/>
        <v>0</v>
      </c>
      <c r="AT271" s="22" t="s">
        <v>97</v>
      </c>
      <c r="AU271" s="13"/>
      <c r="AV271" s="13"/>
      <c r="AW271" s="13"/>
      <c r="AX271" s="13"/>
      <c r="AY271" s="13"/>
      <c r="AZ271" s="13"/>
    </row>
    <row r="272" spans="1:52" ht="12.75">
      <c r="A272" s="12">
        <v>44888</v>
      </c>
      <c r="B272" s="13" t="s">
        <v>133</v>
      </c>
      <c r="C272" s="13"/>
      <c r="D272" s="17"/>
      <c r="E272" s="13"/>
      <c r="F272" s="14" t="s">
        <v>4957</v>
      </c>
      <c r="G272" s="13"/>
      <c r="H272" s="13"/>
      <c r="I272" s="13"/>
      <c r="J272" s="14"/>
      <c r="K272" s="14"/>
      <c r="L272" s="13"/>
      <c r="M272" s="13"/>
      <c r="N272" s="13"/>
      <c r="O272" s="14" t="s">
        <v>76</v>
      </c>
      <c r="P272" s="14" t="s">
        <v>119</v>
      </c>
      <c r="Q272" s="14" t="s">
        <v>78</v>
      </c>
      <c r="R272" s="14">
        <v>5</v>
      </c>
      <c r="S272" s="14">
        <v>5</v>
      </c>
      <c r="T272" s="14">
        <v>5</v>
      </c>
      <c r="U272" s="14" t="s">
        <v>22</v>
      </c>
      <c r="V272" s="14">
        <f t="shared" si="65"/>
        <v>0.01</v>
      </c>
      <c r="W272" s="14">
        <f t="shared" si="66"/>
        <v>1664.9999999999998</v>
      </c>
      <c r="X272" s="17"/>
      <c r="Y272" s="17"/>
      <c r="Z272" s="17" t="s">
        <v>80</v>
      </c>
      <c r="AA272" s="18">
        <v>-0.09</v>
      </c>
      <c r="AB272" s="13"/>
      <c r="AC272" s="13">
        <v>-0.12</v>
      </c>
      <c r="AD272" s="13"/>
      <c r="AE272" s="13">
        <v>-7.0000000000000007E-2</v>
      </c>
      <c r="AF272" s="13"/>
      <c r="AG272" s="13"/>
      <c r="AH272" s="13"/>
      <c r="AI272" s="19"/>
      <c r="AJ272" s="14"/>
      <c r="AK272" s="13"/>
      <c r="AL272" s="13"/>
      <c r="AM272" s="13" t="s">
        <v>576</v>
      </c>
      <c r="AN272" s="13" t="s">
        <v>97</v>
      </c>
      <c r="AO272" s="13" t="s">
        <v>4958</v>
      </c>
      <c r="AP272" s="20">
        <v>-0.08</v>
      </c>
      <c r="AQ272" s="20">
        <f t="shared" si="72"/>
        <v>9.999999999999995E-3</v>
      </c>
      <c r="AR272" s="94">
        <f t="shared" si="75"/>
        <v>83.249999999999943</v>
      </c>
      <c r="AS272" s="127">
        <f t="shared" si="74"/>
        <v>16.649999999999988</v>
      </c>
      <c r="AT272" s="22" t="s">
        <v>77</v>
      </c>
      <c r="AU272" s="13" t="s">
        <v>4959</v>
      </c>
      <c r="AV272" s="13"/>
      <c r="AW272" s="13"/>
      <c r="AX272" s="13"/>
      <c r="AY272" s="13"/>
      <c r="AZ272" s="13"/>
    </row>
    <row r="273" spans="1:52" ht="12.75">
      <c r="A273" s="12">
        <v>44888</v>
      </c>
      <c r="B273" s="13" t="s">
        <v>133</v>
      </c>
      <c r="C273" s="13"/>
      <c r="D273" s="17"/>
      <c r="E273" s="13"/>
      <c r="F273" s="14" t="s">
        <v>192</v>
      </c>
      <c r="G273" s="13"/>
      <c r="H273" s="13"/>
      <c r="I273" s="13"/>
      <c r="J273" s="14"/>
      <c r="K273" s="14"/>
      <c r="L273" s="13"/>
      <c r="M273" s="13"/>
      <c r="N273" s="13"/>
      <c r="O273" s="14" t="s">
        <v>76</v>
      </c>
      <c r="P273" s="14" t="s">
        <v>77</v>
      </c>
      <c r="Q273" s="14" t="s">
        <v>78</v>
      </c>
      <c r="R273" s="14">
        <v>1</v>
      </c>
      <c r="S273" s="14">
        <v>1</v>
      </c>
      <c r="T273" s="14">
        <v>1</v>
      </c>
      <c r="U273" s="14" t="s">
        <v>22</v>
      </c>
      <c r="V273" s="14">
        <f t="shared" si="65"/>
        <v>0.01</v>
      </c>
      <c r="W273" s="14">
        <f t="shared" si="66"/>
        <v>1664.9999999999998</v>
      </c>
      <c r="X273" s="17" t="s">
        <v>4960</v>
      </c>
      <c r="Y273" s="17"/>
      <c r="Z273" s="17"/>
      <c r="AA273" s="18">
        <v>0.48499999999999999</v>
      </c>
      <c r="AB273" s="13"/>
      <c r="AC273" s="13">
        <v>0.46</v>
      </c>
      <c r="AD273" s="13" t="s">
        <v>4961</v>
      </c>
      <c r="AE273" s="13" t="s">
        <v>4962</v>
      </c>
      <c r="AF273" s="13"/>
      <c r="AG273" s="13"/>
      <c r="AH273" s="13"/>
      <c r="AI273" s="19"/>
      <c r="AJ273" s="14"/>
      <c r="AK273" s="13"/>
      <c r="AL273" s="13"/>
      <c r="AM273" s="13"/>
      <c r="AN273" s="13" t="s">
        <v>87</v>
      </c>
      <c r="AO273" s="13"/>
      <c r="AP273" s="20">
        <v>0.49</v>
      </c>
      <c r="AQ273" s="20">
        <f t="shared" si="72"/>
        <v>5.0000000000000044E-3</v>
      </c>
      <c r="AR273" s="94">
        <f t="shared" si="75"/>
        <v>8.3250000000000064</v>
      </c>
      <c r="AS273" s="127">
        <f t="shared" si="74"/>
        <v>8.3250000000000064</v>
      </c>
      <c r="AT273" s="22" t="s">
        <v>77</v>
      </c>
      <c r="AU273" s="13" t="s">
        <v>4963</v>
      </c>
      <c r="AV273" s="13" t="s">
        <v>4964</v>
      </c>
      <c r="AW273" s="13"/>
      <c r="AX273" s="13"/>
      <c r="AY273" s="13"/>
      <c r="AZ273" s="13"/>
    </row>
    <row r="274" spans="1:52" ht="12.75">
      <c r="A274" s="12">
        <v>44888</v>
      </c>
      <c r="B274" s="13" t="s">
        <v>133</v>
      </c>
      <c r="C274" s="13"/>
      <c r="D274" s="17"/>
      <c r="E274" s="13"/>
      <c r="F274" s="14" t="s">
        <v>4953</v>
      </c>
      <c r="G274" s="13"/>
      <c r="H274" s="13"/>
      <c r="I274" s="13"/>
      <c r="J274" s="14"/>
      <c r="K274" s="14"/>
      <c r="L274" s="13"/>
      <c r="M274" s="13"/>
      <c r="N274" s="13"/>
      <c r="O274" s="14" t="s">
        <v>76</v>
      </c>
      <c r="P274" s="14" t="s">
        <v>119</v>
      </c>
      <c r="Q274" s="14" t="s">
        <v>78</v>
      </c>
      <c r="R274" s="14">
        <v>5</v>
      </c>
      <c r="S274" s="14">
        <v>5</v>
      </c>
      <c r="T274" s="14">
        <v>5</v>
      </c>
      <c r="U274" s="14" t="s">
        <v>22</v>
      </c>
      <c r="V274" s="14">
        <f t="shared" si="65"/>
        <v>0.01</v>
      </c>
      <c r="W274" s="14">
        <f t="shared" si="66"/>
        <v>1664.9999999999998</v>
      </c>
      <c r="X274" s="17"/>
      <c r="Y274" s="17"/>
      <c r="Z274" s="17" t="s">
        <v>80</v>
      </c>
      <c r="AA274" s="18">
        <v>-0.09</v>
      </c>
      <c r="AB274" s="13"/>
      <c r="AC274" s="13">
        <v>-0.1</v>
      </c>
      <c r="AD274" s="13"/>
      <c r="AE274" s="13">
        <v>-7.0000000000000007E-2</v>
      </c>
      <c r="AF274" s="13"/>
      <c r="AG274" s="13"/>
      <c r="AH274" s="13"/>
      <c r="AI274" s="19"/>
      <c r="AJ274" s="14"/>
      <c r="AK274" s="13"/>
      <c r="AL274" s="13"/>
      <c r="AM274" s="13"/>
      <c r="AN274" s="13"/>
      <c r="AO274" s="13" t="s">
        <v>609</v>
      </c>
      <c r="AP274" s="20">
        <v>-0.09</v>
      </c>
      <c r="AQ274" s="20">
        <f t="shared" si="72"/>
        <v>0</v>
      </c>
      <c r="AR274" s="94">
        <f t="shared" si="75"/>
        <v>0</v>
      </c>
      <c r="AS274" s="127">
        <f t="shared" si="74"/>
        <v>0</v>
      </c>
      <c r="AT274" s="22" t="s">
        <v>97</v>
      </c>
      <c r="AU274" s="13"/>
      <c r="AV274" s="13"/>
      <c r="AW274" s="13"/>
      <c r="AX274" s="13"/>
      <c r="AY274" s="13"/>
      <c r="AZ274" s="13"/>
    </row>
    <row r="275" spans="1:52" ht="12.75">
      <c r="A275" s="13" t="s">
        <v>4965</v>
      </c>
      <c r="B275" s="13" t="s">
        <v>4966</v>
      </c>
      <c r="C275" s="13" t="s">
        <v>4967</v>
      </c>
      <c r="D275" s="17"/>
      <c r="E275" s="13"/>
      <c r="F275" s="14" t="s">
        <v>614</v>
      </c>
      <c r="G275" s="13"/>
      <c r="H275" s="13"/>
      <c r="I275" s="13"/>
      <c r="J275" s="14"/>
      <c r="K275" s="14"/>
      <c r="L275" s="13"/>
      <c r="M275" s="13"/>
      <c r="N275" s="13"/>
      <c r="O275" s="14" t="s">
        <v>76</v>
      </c>
      <c r="P275" s="14" t="s">
        <v>77</v>
      </c>
      <c r="Q275" s="14" t="s">
        <v>238</v>
      </c>
      <c r="R275" s="14">
        <v>3</v>
      </c>
      <c r="S275" s="14">
        <v>3</v>
      </c>
      <c r="T275" s="14">
        <v>1</v>
      </c>
      <c r="U275" s="14" t="s">
        <v>22</v>
      </c>
      <c r="V275" s="14">
        <f t="shared" si="65"/>
        <v>0.01</v>
      </c>
      <c r="W275" s="14">
        <f t="shared" si="66"/>
        <v>1664.9999999999998</v>
      </c>
      <c r="X275" s="17"/>
      <c r="Y275" s="17" t="s">
        <v>4968</v>
      </c>
      <c r="Z275" s="17" t="s">
        <v>4969</v>
      </c>
      <c r="AA275" s="18">
        <v>0</v>
      </c>
      <c r="AB275" s="13"/>
      <c r="AC275" s="13"/>
      <c r="AD275" s="13"/>
      <c r="AE275" s="13"/>
      <c r="AF275" s="13"/>
      <c r="AG275" s="13"/>
      <c r="AH275" s="13"/>
      <c r="AI275" s="19"/>
      <c r="AJ275" s="14"/>
      <c r="AK275" s="13"/>
      <c r="AL275" s="13"/>
      <c r="AM275" s="13"/>
      <c r="AN275" s="13"/>
      <c r="AO275" s="13"/>
      <c r="AP275" s="20">
        <v>0.09</v>
      </c>
      <c r="AQ275" s="20">
        <f t="shared" si="72"/>
        <v>0.09</v>
      </c>
      <c r="AR275" s="94">
        <f t="shared" si="75"/>
        <v>449.5499999999999</v>
      </c>
      <c r="AS275" s="127">
        <f t="shared" si="74"/>
        <v>149.84999999999997</v>
      </c>
      <c r="AT275" s="22" t="s">
        <v>77</v>
      </c>
      <c r="AU275" s="13" t="s">
        <v>4970</v>
      </c>
      <c r="AV275" s="13" t="s">
        <v>4971</v>
      </c>
      <c r="AW275" s="13"/>
      <c r="AX275" s="13"/>
      <c r="AY275" s="13"/>
      <c r="AZ275" s="13"/>
    </row>
    <row r="276" spans="1:52" ht="12.75">
      <c r="A276" s="12"/>
      <c r="B276" s="13"/>
      <c r="C276" s="13"/>
      <c r="D276" s="17"/>
      <c r="E276" s="13"/>
      <c r="F276" s="14"/>
      <c r="G276" s="13"/>
      <c r="H276" s="13"/>
      <c r="I276" s="13"/>
      <c r="J276" s="14"/>
      <c r="K276" s="14"/>
      <c r="L276" s="13"/>
      <c r="M276" s="13"/>
      <c r="N276" s="13"/>
      <c r="O276" s="14"/>
      <c r="P276" s="14"/>
      <c r="Q276" s="14"/>
      <c r="R276" s="14"/>
      <c r="S276" s="14"/>
      <c r="T276" s="14"/>
      <c r="U276" s="14"/>
      <c r="V276" s="14">
        <f t="shared" si="65"/>
        <v>0</v>
      </c>
      <c r="W276" s="14">
        <f t="shared" si="66"/>
        <v>0</v>
      </c>
      <c r="X276" s="17"/>
      <c r="Y276" s="17"/>
      <c r="Z276" s="17"/>
      <c r="AA276" s="18"/>
      <c r="AB276" s="13"/>
      <c r="AC276" s="13"/>
      <c r="AD276" s="13"/>
      <c r="AE276" s="13"/>
      <c r="AF276" s="13"/>
      <c r="AG276" s="13"/>
      <c r="AH276" s="13"/>
      <c r="AI276" s="19"/>
      <c r="AJ276" s="14"/>
      <c r="AK276" s="13"/>
      <c r="AL276" s="13"/>
      <c r="AM276" s="13"/>
      <c r="AN276" s="13"/>
      <c r="AO276" s="13"/>
      <c r="AP276" s="20"/>
      <c r="AQ276" s="13">
        <f t="shared" si="72"/>
        <v>0</v>
      </c>
      <c r="AR276" s="94">
        <f t="shared" si="75"/>
        <v>0</v>
      </c>
      <c r="AS276" s="127">
        <f t="shared" si="74"/>
        <v>0</v>
      </c>
      <c r="AT276" s="22"/>
      <c r="AU276" s="13"/>
      <c r="AV276" s="13"/>
      <c r="AW276" s="13"/>
      <c r="AX276" s="13"/>
      <c r="AY276" s="13"/>
      <c r="AZ276" s="13"/>
    </row>
    <row r="277" spans="1:52" ht="12.75">
      <c r="A277" s="12"/>
      <c r="B277" s="13"/>
      <c r="C277" s="13"/>
      <c r="D277" s="17"/>
      <c r="E277" s="13"/>
      <c r="F277" s="14"/>
      <c r="G277" s="13"/>
      <c r="H277" s="13"/>
      <c r="I277" s="13"/>
      <c r="J277" s="14"/>
      <c r="K277" s="14"/>
      <c r="L277" s="13"/>
      <c r="M277" s="13"/>
      <c r="N277" s="13"/>
      <c r="O277" s="14"/>
      <c r="P277" s="14"/>
      <c r="Q277" s="14"/>
      <c r="R277" s="14"/>
      <c r="S277" s="14"/>
      <c r="T277" s="14"/>
      <c r="U277" s="14"/>
      <c r="V277" s="14">
        <f t="shared" si="65"/>
        <v>0</v>
      </c>
      <c r="W277" s="14">
        <f t="shared" si="66"/>
        <v>0</v>
      </c>
      <c r="X277" s="17"/>
      <c r="Y277" s="17"/>
      <c r="Z277" s="17"/>
      <c r="AA277" s="18"/>
      <c r="AB277" s="13"/>
      <c r="AC277" s="13"/>
      <c r="AD277" s="13"/>
      <c r="AE277" s="13"/>
      <c r="AF277" s="13"/>
      <c r="AG277" s="13"/>
      <c r="AH277" s="13"/>
      <c r="AI277" s="19"/>
      <c r="AJ277" s="14"/>
      <c r="AK277" s="13"/>
      <c r="AL277" s="13"/>
      <c r="AM277" s="13"/>
      <c r="AN277" s="13"/>
      <c r="AO277" s="13"/>
      <c r="AP277" s="20"/>
      <c r="AQ277" s="13">
        <f t="shared" si="72"/>
        <v>0</v>
      </c>
      <c r="AR277" s="94">
        <f t="shared" si="75"/>
        <v>0</v>
      </c>
      <c r="AS277" s="127">
        <f t="shared" si="74"/>
        <v>0</v>
      </c>
      <c r="AT277" s="22"/>
      <c r="AU277" s="13"/>
      <c r="AV277" s="13"/>
      <c r="AW277" s="13"/>
      <c r="AX277" s="13"/>
      <c r="AY277" s="13"/>
      <c r="AZ277" s="13"/>
    </row>
    <row r="278" spans="1:52" ht="12.75">
      <c r="A278" s="83">
        <v>44917</v>
      </c>
      <c r="B278" s="121"/>
      <c r="C278" s="121"/>
      <c r="D278" s="132"/>
      <c r="E278" s="121"/>
      <c r="F278" s="133"/>
      <c r="G278" s="121"/>
      <c r="H278" s="121"/>
      <c r="I278" s="121"/>
      <c r="J278" s="121"/>
      <c r="K278" s="121"/>
      <c r="L278" s="121"/>
      <c r="M278" s="121"/>
      <c r="N278" s="121"/>
      <c r="O278" s="133"/>
      <c r="P278" s="133"/>
      <c r="Q278" s="133"/>
      <c r="R278" s="133"/>
      <c r="S278" s="133"/>
      <c r="T278" s="133"/>
      <c r="U278" s="133"/>
      <c r="V278" s="132"/>
      <c r="W278" s="132"/>
      <c r="X278" s="132"/>
      <c r="Y278" s="132"/>
      <c r="Z278" s="132"/>
      <c r="AA278" s="134"/>
      <c r="AB278" s="121"/>
      <c r="AC278" s="121"/>
      <c r="AD278" s="121"/>
      <c r="AE278" s="121"/>
      <c r="AF278" s="121"/>
      <c r="AG278" s="121"/>
      <c r="AH278" s="121"/>
      <c r="AI278" s="135"/>
      <c r="AJ278" s="133"/>
      <c r="AK278" s="121"/>
      <c r="AL278" s="121"/>
      <c r="AM278" s="121"/>
      <c r="AN278" s="121"/>
      <c r="AO278" s="121"/>
      <c r="AP278" s="136"/>
      <c r="AQ278" s="136">
        <f t="shared" si="72"/>
        <v>0</v>
      </c>
      <c r="AR278" s="136"/>
      <c r="AS278" s="136">
        <f t="shared" si="74"/>
        <v>0</v>
      </c>
      <c r="AT278" s="93"/>
      <c r="AU278" s="121"/>
      <c r="AV278" s="121"/>
      <c r="AW278" s="121"/>
      <c r="AX278" s="121"/>
      <c r="AY278" s="121"/>
      <c r="AZ278" s="121"/>
    </row>
    <row r="279" spans="1:52" ht="12.75">
      <c r="A279" s="12">
        <v>44896</v>
      </c>
      <c r="B279" s="13" t="s">
        <v>74</v>
      </c>
      <c r="C279" s="13" t="s">
        <v>4972</v>
      </c>
      <c r="D279" s="17"/>
      <c r="E279" s="13"/>
      <c r="F279" s="14" t="s">
        <v>4080</v>
      </c>
      <c r="G279" s="13"/>
      <c r="H279" s="13"/>
      <c r="I279" s="13"/>
      <c r="J279" s="14"/>
      <c r="K279" s="14"/>
      <c r="L279" s="13"/>
      <c r="M279" s="13"/>
      <c r="N279" s="13"/>
      <c r="O279" s="14" t="s">
        <v>76</v>
      </c>
      <c r="P279" s="14" t="s">
        <v>77</v>
      </c>
      <c r="Q279" s="14" t="s">
        <v>666</v>
      </c>
      <c r="R279" s="14">
        <v>1</v>
      </c>
      <c r="S279" s="14">
        <v>1</v>
      </c>
      <c r="T279" s="14">
        <v>1</v>
      </c>
      <c r="U279" s="14" t="s">
        <v>22</v>
      </c>
      <c r="V279" s="14">
        <f t="shared" ref="V279:V290" si="76">IF(ISBLANK(O279),,(IF(O279=UPPER("IB"),0.005,0.01)))</f>
        <v>0.01</v>
      </c>
      <c r="W279" s="14">
        <f t="shared" ref="W279:W290" si="77">IF(ISBLANK(O279),,IF(O279=UPPER("IB"),8.63*200,16.65*100))</f>
        <v>1664.9999999999998</v>
      </c>
      <c r="X279" s="17" t="s">
        <v>4973</v>
      </c>
      <c r="Y279" s="17"/>
      <c r="Z279" s="17"/>
      <c r="AA279" s="18">
        <v>96.26</v>
      </c>
      <c r="AB279" s="13"/>
      <c r="AC279" s="13"/>
      <c r="AD279" s="13"/>
      <c r="AE279" s="13"/>
      <c r="AF279" s="13"/>
      <c r="AG279" s="13"/>
      <c r="AH279" s="13"/>
      <c r="AI279" s="19"/>
      <c r="AJ279" s="14"/>
      <c r="AK279" s="13"/>
      <c r="AL279" s="13"/>
      <c r="AM279" s="13" t="s">
        <v>362</v>
      </c>
      <c r="AN279" s="13" t="s">
        <v>87</v>
      </c>
      <c r="AO279" s="13" t="s">
        <v>2287</v>
      </c>
      <c r="AP279" s="20">
        <v>96.23</v>
      </c>
      <c r="AQ279" s="20">
        <f t="shared" si="72"/>
        <v>-3.0000000000001137E-2</v>
      </c>
      <c r="AR279" s="94">
        <f t="shared" ref="AR279:AR289" si="78">AS279*R279</f>
        <v>-49.950000000001886</v>
      </c>
      <c r="AS279" s="127">
        <f t="shared" si="74"/>
        <v>-49.950000000001886</v>
      </c>
      <c r="AT279" s="22" t="s">
        <v>211</v>
      </c>
      <c r="AU279" s="13" t="s">
        <v>213</v>
      </c>
      <c r="AV279" s="13"/>
      <c r="AW279" s="13"/>
      <c r="AX279" s="13"/>
      <c r="AY279" s="13"/>
      <c r="AZ279" s="13"/>
    </row>
    <row r="280" spans="1:52" ht="12.75">
      <c r="A280" s="12">
        <v>44897</v>
      </c>
      <c r="B280" s="13" t="s">
        <v>93</v>
      </c>
      <c r="C280" s="33">
        <v>0.375</v>
      </c>
      <c r="D280" s="17"/>
      <c r="E280" s="13"/>
      <c r="F280" s="14" t="s">
        <v>4974</v>
      </c>
      <c r="G280" s="13"/>
      <c r="H280" s="13"/>
      <c r="I280" s="13"/>
      <c r="J280" s="14"/>
      <c r="K280" s="14"/>
      <c r="L280" s="13"/>
      <c r="M280" s="13"/>
      <c r="N280" s="13"/>
      <c r="O280" s="14" t="s">
        <v>1039</v>
      </c>
      <c r="P280" s="14"/>
      <c r="Q280" s="14"/>
      <c r="R280" s="14">
        <v>1</v>
      </c>
      <c r="S280" s="14">
        <v>1</v>
      </c>
      <c r="T280" s="14">
        <v>1</v>
      </c>
      <c r="U280" s="14" t="s">
        <v>78</v>
      </c>
      <c r="V280" s="14">
        <f t="shared" si="76"/>
        <v>5.0000000000000001E-3</v>
      </c>
      <c r="W280" s="14">
        <f t="shared" si="77"/>
        <v>1726.0000000000002</v>
      </c>
      <c r="X280" s="17"/>
      <c r="Y280" s="17" t="s">
        <v>4975</v>
      </c>
      <c r="Z280" s="17"/>
      <c r="AA280" s="18">
        <v>96.88</v>
      </c>
      <c r="AB280" s="13"/>
      <c r="AC280" s="13"/>
      <c r="AD280" s="13"/>
      <c r="AE280" s="13"/>
      <c r="AF280" s="13"/>
      <c r="AG280" s="13"/>
      <c r="AH280" s="13"/>
      <c r="AI280" s="19"/>
      <c r="AJ280" s="14"/>
      <c r="AK280" s="13"/>
      <c r="AL280" s="13"/>
      <c r="AM280" s="13"/>
      <c r="AN280" s="13"/>
      <c r="AO280" s="13"/>
      <c r="AP280" s="20">
        <v>96.825000000000003</v>
      </c>
      <c r="AQ280" s="20">
        <f t="shared" si="72"/>
        <v>5.499999999999261E-2</v>
      </c>
      <c r="AR280" s="94">
        <f t="shared" si="78"/>
        <v>94.92999999998726</v>
      </c>
      <c r="AS280" s="127">
        <f t="shared" si="74"/>
        <v>94.92999999998726</v>
      </c>
      <c r="AT280" s="22" t="s">
        <v>77</v>
      </c>
      <c r="AU280" s="13" t="s">
        <v>4976</v>
      </c>
      <c r="AV280" s="13"/>
      <c r="AW280" s="13"/>
      <c r="AX280" s="13"/>
      <c r="AY280" s="13"/>
      <c r="AZ280" s="13"/>
    </row>
    <row r="281" spans="1:52" ht="12.75">
      <c r="A281" s="12">
        <v>44897</v>
      </c>
      <c r="B281" s="13" t="s">
        <v>93</v>
      </c>
      <c r="C281" s="33">
        <v>0.375</v>
      </c>
      <c r="D281" s="17"/>
      <c r="E281" s="13"/>
      <c r="F281" s="14" t="s">
        <v>4977</v>
      </c>
      <c r="G281" s="13"/>
      <c r="H281" s="13"/>
      <c r="I281" s="13"/>
      <c r="J281" s="14"/>
      <c r="K281" s="14"/>
      <c r="L281" s="13"/>
      <c r="M281" s="13"/>
      <c r="N281" s="13"/>
      <c r="O281" s="14" t="s">
        <v>1039</v>
      </c>
      <c r="P281" s="14"/>
      <c r="Q281" s="14"/>
      <c r="R281" s="14">
        <v>1</v>
      </c>
      <c r="S281" s="14">
        <v>1</v>
      </c>
      <c r="T281" s="14">
        <v>1</v>
      </c>
      <c r="U281" s="14" t="s">
        <v>78</v>
      </c>
      <c r="V281" s="14">
        <f t="shared" si="76"/>
        <v>5.0000000000000001E-3</v>
      </c>
      <c r="W281" s="14">
        <f t="shared" si="77"/>
        <v>1726.0000000000002</v>
      </c>
      <c r="X281" s="17"/>
      <c r="Y281" s="17" t="s">
        <v>4975</v>
      </c>
      <c r="Z281" s="17"/>
      <c r="AA281" s="18">
        <v>97.034999999999997</v>
      </c>
      <c r="AB281" s="13"/>
      <c r="AC281" s="13"/>
      <c r="AD281" s="13"/>
      <c r="AE281" s="13"/>
      <c r="AF281" s="13"/>
      <c r="AG281" s="13"/>
      <c r="AH281" s="13"/>
      <c r="AI281" s="19"/>
      <c r="AJ281" s="14"/>
      <c r="AK281" s="13"/>
      <c r="AL281" s="13"/>
      <c r="AM281" s="13"/>
      <c r="AN281" s="13"/>
      <c r="AO281" s="13"/>
      <c r="AP281" s="20">
        <v>96.99</v>
      </c>
      <c r="AQ281" s="20">
        <f t="shared" si="72"/>
        <v>4.5000000000001705E-2</v>
      </c>
      <c r="AR281" s="94">
        <f t="shared" si="78"/>
        <v>77.670000000002958</v>
      </c>
      <c r="AS281" s="127">
        <f t="shared" si="74"/>
        <v>77.670000000002958</v>
      </c>
      <c r="AT281" s="22" t="s">
        <v>77</v>
      </c>
      <c r="AU281" s="13"/>
      <c r="AV281" s="13"/>
      <c r="AW281" s="13"/>
      <c r="AX281" s="13"/>
      <c r="AY281" s="13"/>
      <c r="AZ281" s="13"/>
    </row>
    <row r="282" spans="1:52" ht="17.25">
      <c r="A282" s="23">
        <v>44908</v>
      </c>
      <c r="B282" s="24" t="s">
        <v>703</v>
      </c>
      <c r="C282" s="24" t="s">
        <v>128</v>
      </c>
      <c r="D282" s="31" t="s">
        <v>704</v>
      </c>
      <c r="E282" s="24" t="s">
        <v>705</v>
      </c>
      <c r="F282" s="25" t="s">
        <v>253</v>
      </c>
      <c r="G282" s="13"/>
      <c r="H282" s="13"/>
      <c r="I282" s="13">
        <v>1</v>
      </c>
      <c r="J282" s="14" t="s">
        <v>97</v>
      </c>
      <c r="K282" s="14"/>
      <c r="L282" s="14"/>
      <c r="M282" s="13">
        <v>1</v>
      </c>
      <c r="N282" s="13">
        <v>1</v>
      </c>
      <c r="O282" s="13"/>
      <c r="P282" s="14"/>
      <c r="Q282" s="14"/>
      <c r="R282" s="14"/>
      <c r="S282" s="14"/>
      <c r="T282" s="14"/>
      <c r="U282" s="14"/>
      <c r="V282" s="14">
        <f t="shared" si="76"/>
        <v>0</v>
      </c>
      <c r="W282" s="14">
        <f t="shared" si="77"/>
        <v>0</v>
      </c>
      <c r="X282" s="16"/>
      <c r="Y282" s="17"/>
      <c r="Z282" s="17"/>
      <c r="AA282" s="17"/>
      <c r="AB282" s="18"/>
      <c r="AC282" s="13"/>
      <c r="AD282" s="13"/>
      <c r="AE282" s="13"/>
      <c r="AF282" s="13"/>
      <c r="AG282" s="13"/>
      <c r="AH282" s="13"/>
      <c r="AI282" s="13"/>
      <c r="AJ282" s="19"/>
      <c r="AK282" s="14"/>
      <c r="AL282" s="13"/>
      <c r="AM282" s="13"/>
      <c r="AN282" s="13"/>
      <c r="AO282" s="13"/>
      <c r="AP282" s="13"/>
      <c r="AQ282" s="13">
        <f t="shared" si="72"/>
        <v>0</v>
      </c>
      <c r="AR282" s="94">
        <f t="shared" si="78"/>
        <v>0</v>
      </c>
      <c r="AS282" s="127">
        <f t="shared" si="74"/>
        <v>0</v>
      </c>
      <c r="AT282" s="21"/>
      <c r="AU282" s="22"/>
      <c r="AV282" s="13"/>
      <c r="AW282" s="13"/>
      <c r="AX282" s="13"/>
      <c r="AY282" s="13"/>
      <c r="AZ282" s="13"/>
    </row>
    <row r="283" spans="1:52" ht="12.75">
      <c r="A283" s="23"/>
      <c r="B283" s="24"/>
      <c r="C283" s="24"/>
      <c r="D283" s="31" t="s">
        <v>706</v>
      </c>
      <c r="E283" s="24" t="s">
        <v>707</v>
      </c>
      <c r="F283" s="25"/>
      <c r="G283" s="13"/>
      <c r="H283" s="13"/>
      <c r="I283" s="13">
        <v>1</v>
      </c>
      <c r="J283" s="14" t="s">
        <v>97</v>
      </c>
      <c r="K283" s="14"/>
      <c r="L283" s="14"/>
      <c r="M283" s="13"/>
      <c r="N283" s="13"/>
      <c r="O283" s="13"/>
      <c r="P283" s="14"/>
      <c r="Q283" s="14"/>
      <c r="R283" s="14"/>
      <c r="S283" s="14"/>
      <c r="T283" s="14"/>
      <c r="U283" s="14"/>
      <c r="V283" s="14">
        <f t="shared" si="76"/>
        <v>0</v>
      </c>
      <c r="W283" s="14">
        <f t="shared" si="77"/>
        <v>0</v>
      </c>
      <c r="X283" s="14"/>
      <c r="Y283" s="17"/>
      <c r="Z283" s="17"/>
      <c r="AA283" s="17"/>
      <c r="AB283" s="18"/>
      <c r="AC283" s="13"/>
      <c r="AD283" s="13"/>
      <c r="AE283" s="13"/>
      <c r="AF283" s="13"/>
      <c r="AG283" s="13"/>
      <c r="AH283" s="13"/>
      <c r="AI283" s="13"/>
      <c r="AJ283" s="19"/>
      <c r="AK283" s="14"/>
      <c r="AL283" s="13"/>
      <c r="AM283" s="13"/>
      <c r="AN283" s="13"/>
      <c r="AO283" s="13"/>
      <c r="AP283" s="13"/>
      <c r="AQ283" s="13">
        <f t="shared" si="72"/>
        <v>0</v>
      </c>
      <c r="AR283" s="94">
        <f t="shared" si="78"/>
        <v>0</v>
      </c>
      <c r="AS283" s="127">
        <f t="shared" si="74"/>
        <v>0</v>
      </c>
      <c r="AT283" s="21"/>
      <c r="AU283" s="22"/>
      <c r="AV283" s="13"/>
      <c r="AW283" s="13"/>
      <c r="AX283" s="13"/>
      <c r="AY283" s="13"/>
      <c r="AZ283" s="13"/>
    </row>
    <row r="284" spans="1:52" ht="12.75">
      <c r="A284" s="23">
        <v>44908</v>
      </c>
      <c r="B284" s="33">
        <v>0.79166666666666663</v>
      </c>
      <c r="C284" s="13" t="s">
        <v>128</v>
      </c>
      <c r="D284" s="17"/>
      <c r="E284" s="13"/>
      <c r="F284" s="14" t="s">
        <v>1185</v>
      </c>
      <c r="G284" s="13"/>
      <c r="H284" s="13"/>
      <c r="I284" s="13"/>
      <c r="J284" s="14"/>
      <c r="K284" s="14" t="s">
        <v>20</v>
      </c>
      <c r="L284" s="13"/>
      <c r="M284" s="13"/>
      <c r="N284" s="13">
        <v>1</v>
      </c>
      <c r="O284" s="14" t="s">
        <v>76</v>
      </c>
      <c r="P284" s="14" t="s">
        <v>119</v>
      </c>
      <c r="Q284" s="14" t="s">
        <v>666</v>
      </c>
      <c r="R284" s="14">
        <v>1</v>
      </c>
      <c r="S284" s="14">
        <v>1</v>
      </c>
      <c r="T284" s="14">
        <v>1</v>
      </c>
      <c r="U284" s="14" t="s">
        <v>78</v>
      </c>
      <c r="V284" s="14">
        <f t="shared" si="76"/>
        <v>0.01</v>
      </c>
      <c r="W284" s="14">
        <f t="shared" si="77"/>
        <v>1664.9999999999998</v>
      </c>
      <c r="X284" s="17" t="s">
        <v>4978</v>
      </c>
      <c r="Y284" s="17"/>
      <c r="Z284" s="17"/>
      <c r="AA284" s="18">
        <v>96.35</v>
      </c>
      <c r="AB284" s="13" t="s">
        <v>4979</v>
      </c>
      <c r="AC284" s="13"/>
      <c r="AD284" s="13"/>
      <c r="AE284" s="13"/>
      <c r="AF284" s="13"/>
      <c r="AG284" s="13"/>
      <c r="AH284" s="13"/>
      <c r="AI284" s="19"/>
      <c r="AJ284" s="14"/>
      <c r="AK284" s="13"/>
      <c r="AL284" s="13"/>
      <c r="AM284" s="13"/>
      <c r="AN284" s="13"/>
      <c r="AO284" s="13" t="s">
        <v>4980</v>
      </c>
      <c r="AP284" s="20">
        <v>96.34</v>
      </c>
      <c r="AQ284" s="20">
        <f t="shared" si="72"/>
        <v>9.9999999999909051E-3</v>
      </c>
      <c r="AR284" s="94">
        <f t="shared" si="78"/>
        <v>16.649999999984853</v>
      </c>
      <c r="AS284" s="127">
        <f t="shared" si="74"/>
        <v>16.649999999984853</v>
      </c>
      <c r="AT284" s="22" t="s">
        <v>77</v>
      </c>
      <c r="AU284" s="13"/>
      <c r="AV284" s="13" t="s">
        <v>4981</v>
      </c>
      <c r="AW284" s="13"/>
      <c r="AX284" s="13" t="s">
        <v>4982</v>
      </c>
      <c r="AY284" s="13" t="s">
        <v>4983</v>
      </c>
      <c r="AZ284" s="13" t="s">
        <v>4984</v>
      </c>
    </row>
    <row r="285" spans="1:52" ht="12.75">
      <c r="A285" s="23">
        <v>44908</v>
      </c>
      <c r="B285" s="33">
        <v>0.79166666666666663</v>
      </c>
      <c r="C285" s="13" t="s">
        <v>128</v>
      </c>
      <c r="D285" s="17"/>
      <c r="E285" s="13"/>
      <c r="F285" s="14" t="s">
        <v>813</v>
      </c>
      <c r="G285" s="13"/>
      <c r="H285" s="13"/>
      <c r="I285" s="13"/>
      <c r="J285" s="14"/>
      <c r="K285" s="14" t="s">
        <v>20</v>
      </c>
      <c r="L285" s="13"/>
      <c r="M285" s="13"/>
      <c r="N285" s="13">
        <v>1</v>
      </c>
      <c r="O285" s="14" t="s">
        <v>76</v>
      </c>
      <c r="P285" s="14" t="s">
        <v>119</v>
      </c>
      <c r="Q285" s="14" t="s">
        <v>666</v>
      </c>
      <c r="R285" s="14">
        <v>1</v>
      </c>
      <c r="S285" s="14">
        <v>1</v>
      </c>
      <c r="T285" s="14">
        <v>1</v>
      </c>
      <c r="U285" s="14" t="s">
        <v>78</v>
      </c>
      <c r="V285" s="14">
        <f t="shared" si="76"/>
        <v>0.01</v>
      </c>
      <c r="W285" s="14">
        <f t="shared" si="77"/>
        <v>1664.9999999999998</v>
      </c>
      <c r="X285" s="17" t="s">
        <v>4978</v>
      </c>
      <c r="Y285" s="17"/>
      <c r="Z285" s="17"/>
      <c r="AA285" s="18">
        <v>96.28</v>
      </c>
      <c r="AB285" s="13" t="s">
        <v>4979</v>
      </c>
      <c r="AC285" s="13"/>
      <c r="AD285" s="13"/>
      <c r="AE285" s="13"/>
      <c r="AF285" s="13"/>
      <c r="AG285" s="13"/>
      <c r="AH285" s="13"/>
      <c r="AI285" s="19"/>
      <c r="AJ285" s="14"/>
      <c r="AK285" s="13"/>
      <c r="AL285" s="13"/>
      <c r="AM285" s="13"/>
      <c r="AN285" s="13"/>
      <c r="AO285" s="13" t="s">
        <v>4980</v>
      </c>
      <c r="AP285" s="20">
        <v>96.25</v>
      </c>
      <c r="AQ285" s="20">
        <f t="shared" si="72"/>
        <v>3.0000000000001137E-2</v>
      </c>
      <c r="AR285" s="94">
        <f t="shared" si="78"/>
        <v>49.950000000001886</v>
      </c>
      <c r="AS285" s="127">
        <f t="shared" si="74"/>
        <v>49.950000000001886</v>
      </c>
      <c r="AT285" s="22" t="s">
        <v>77</v>
      </c>
      <c r="AU285" s="13"/>
      <c r="AV285" s="13" t="s">
        <v>4985</v>
      </c>
      <c r="AW285" s="13"/>
      <c r="AX285" s="13" t="s">
        <v>4986</v>
      </c>
      <c r="AY285" s="13" t="s">
        <v>4987</v>
      </c>
      <c r="AZ285" s="13"/>
    </row>
    <row r="286" spans="1:52" ht="12.75">
      <c r="A286" s="23">
        <v>44908</v>
      </c>
      <c r="B286" s="13" t="s">
        <v>4988</v>
      </c>
      <c r="C286" s="13" t="s">
        <v>128</v>
      </c>
      <c r="D286" s="17"/>
      <c r="E286" s="13"/>
      <c r="F286" s="14" t="s">
        <v>927</v>
      </c>
      <c r="G286" s="13"/>
      <c r="H286" s="13"/>
      <c r="I286" s="13"/>
      <c r="J286" s="14"/>
      <c r="K286" s="14" t="s">
        <v>20</v>
      </c>
      <c r="L286" s="13"/>
      <c r="M286" s="13"/>
      <c r="N286" s="13">
        <v>1</v>
      </c>
      <c r="O286" s="14" t="s">
        <v>76</v>
      </c>
      <c r="P286" s="14" t="s">
        <v>119</v>
      </c>
      <c r="Q286" s="14" t="s">
        <v>666</v>
      </c>
      <c r="R286" s="14">
        <v>1</v>
      </c>
      <c r="S286" s="14">
        <v>1</v>
      </c>
      <c r="T286" s="14">
        <v>1</v>
      </c>
      <c r="U286" s="14" t="s">
        <v>78</v>
      </c>
      <c r="V286" s="14">
        <f t="shared" si="76"/>
        <v>0.01</v>
      </c>
      <c r="W286" s="14">
        <f t="shared" si="77"/>
        <v>1664.9999999999998</v>
      </c>
      <c r="X286" s="17" t="s">
        <v>4978</v>
      </c>
      <c r="Y286" s="17"/>
      <c r="Z286" s="17"/>
      <c r="AA286" s="18">
        <v>96.44</v>
      </c>
      <c r="AB286" s="13" t="s">
        <v>4979</v>
      </c>
      <c r="AC286" s="13"/>
      <c r="AD286" s="13"/>
      <c r="AE286" s="13"/>
      <c r="AF286" s="13"/>
      <c r="AG286" s="13"/>
      <c r="AH286" s="13"/>
      <c r="AI286" s="19"/>
      <c r="AJ286" s="14"/>
      <c r="AK286" s="13"/>
      <c r="AL286" s="13"/>
      <c r="AM286" s="13"/>
      <c r="AN286" s="13"/>
      <c r="AO286" s="13" t="s">
        <v>4980</v>
      </c>
      <c r="AP286" s="20">
        <v>96.41</v>
      </c>
      <c r="AQ286" s="20">
        <f t="shared" si="72"/>
        <v>3.0000000000001137E-2</v>
      </c>
      <c r="AR286" s="94">
        <f t="shared" si="78"/>
        <v>49.950000000001886</v>
      </c>
      <c r="AS286" s="127">
        <f t="shared" si="74"/>
        <v>49.950000000001886</v>
      </c>
      <c r="AT286" s="22" t="s">
        <v>77</v>
      </c>
      <c r="AU286" s="13"/>
      <c r="AV286" s="13" t="s">
        <v>4989</v>
      </c>
      <c r="AW286" s="13"/>
      <c r="AX286" s="13"/>
      <c r="AY286" s="13"/>
      <c r="AZ286" s="13"/>
    </row>
    <row r="287" spans="1:52" ht="12.75">
      <c r="A287" s="23">
        <v>44908</v>
      </c>
      <c r="B287" s="13" t="s">
        <v>984</v>
      </c>
      <c r="C287" s="13" t="s">
        <v>128</v>
      </c>
      <c r="D287" s="17"/>
      <c r="E287" s="13"/>
      <c r="F287" s="14" t="s">
        <v>1185</v>
      </c>
      <c r="G287" s="13"/>
      <c r="H287" s="13"/>
      <c r="I287" s="13"/>
      <c r="J287" s="14"/>
      <c r="K287" s="14" t="s">
        <v>20</v>
      </c>
      <c r="L287" s="13"/>
      <c r="M287" s="13"/>
      <c r="N287" s="13">
        <v>1</v>
      </c>
      <c r="O287" s="14" t="s">
        <v>76</v>
      </c>
      <c r="P287" s="14" t="s">
        <v>119</v>
      </c>
      <c r="Q287" s="14" t="s">
        <v>666</v>
      </c>
      <c r="R287" s="14">
        <v>1</v>
      </c>
      <c r="S287" s="14">
        <v>1</v>
      </c>
      <c r="T287" s="14">
        <v>1</v>
      </c>
      <c r="U287" s="14" t="s">
        <v>78</v>
      </c>
      <c r="V287" s="14">
        <f t="shared" si="76"/>
        <v>0.01</v>
      </c>
      <c r="W287" s="14">
        <f t="shared" si="77"/>
        <v>1664.9999999999998</v>
      </c>
      <c r="X287" s="17" t="s">
        <v>4978</v>
      </c>
      <c r="Y287" s="17"/>
      <c r="Z287" s="17"/>
      <c r="AA287" s="18">
        <v>96.38</v>
      </c>
      <c r="AB287" s="13" t="s">
        <v>4990</v>
      </c>
      <c r="AC287" s="13"/>
      <c r="AD287" s="13"/>
      <c r="AE287" s="13"/>
      <c r="AF287" s="13"/>
      <c r="AG287" s="13"/>
      <c r="AH287" s="13"/>
      <c r="AI287" s="19"/>
      <c r="AJ287" s="14"/>
      <c r="AK287" s="13"/>
      <c r="AL287" s="13"/>
      <c r="AM287" s="13"/>
      <c r="AN287" s="13"/>
      <c r="AO287" s="13" t="s">
        <v>4980</v>
      </c>
      <c r="AP287" s="20">
        <v>96.34</v>
      </c>
      <c r="AQ287" s="20">
        <f t="shared" si="72"/>
        <v>3.9999999999992042E-2</v>
      </c>
      <c r="AR287" s="94">
        <f t="shared" si="78"/>
        <v>66.599999999986736</v>
      </c>
      <c r="AS287" s="127">
        <f t="shared" si="74"/>
        <v>66.599999999986736</v>
      </c>
      <c r="AT287" s="22" t="s">
        <v>77</v>
      </c>
      <c r="AU287" s="13"/>
      <c r="AV287" s="13" t="s">
        <v>4981</v>
      </c>
      <c r="AW287" s="13"/>
      <c r="AX287" s="13"/>
      <c r="AY287" s="13"/>
      <c r="AZ287" s="13"/>
    </row>
    <row r="288" spans="1:52" ht="12.75">
      <c r="A288" s="23">
        <v>44908</v>
      </c>
      <c r="B288" s="13" t="s">
        <v>4991</v>
      </c>
      <c r="C288" s="13" t="s">
        <v>128</v>
      </c>
      <c r="D288" s="17"/>
      <c r="E288" s="13"/>
      <c r="F288" s="14" t="s">
        <v>813</v>
      </c>
      <c r="G288" s="13"/>
      <c r="H288" s="13"/>
      <c r="I288" s="13"/>
      <c r="J288" s="14"/>
      <c r="K288" s="14" t="s">
        <v>20</v>
      </c>
      <c r="L288" s="13"/>
      <c r="M288" s="13"/>
      <c r="N288" s="13">
        <v>1</v>
      </c>
      <c r="O288" s="14" t="s">
        <v>76</v>
      </c>
      <c r="P288" s="14" t="s">
        <v>119</v>
      </c>
      <c r="Q288" s="14" t="s">
        <v>666</v>
      </c>
      <c r="R288" s="14">
        <v>1</v>
      </c>
      <c r="S288" s="14">
        <v>1</v>
      </c>
      <c r="T288" s="14">
        <v>1</v>
      </c>
      <c r="U288" s="14" t="s">
        <v>78</v>
      </c>
      <c r="V288" s="14">
        <f t="shared" si="76"/>
        <v>0.01</v>
      </c>
      <c r="W288" s="14">
        <f t="shared" si="77"/>
        <v>1664.9999999999998</v>
      </c>
      <c r="X288" s="17" t="s">
        <v>4978</v>
      </c>
      <c r="Y288" s="17"/>
      <c r="Z288" s="17"/>
      <c r="AA288" s="18">
        <v>96.3</v>
      </c>
      <c r="AB288" s="13" t="s">
        <v>4990</v>
      </c>
      <c r="AC288" s="13"/>
      <c r="AD288" s="13"/>
      <c r="AE288" s="13"/>
      <c r="AF288" s="13"/>
      <c r="AG288" s="13"/>
      <c r="AH288" s="13"/>
      <c r="AI288" s="19"/>
      <c r="AJ288" s="14"/>
      <c r="AK288" s="13"/>
      <c r="AL288" s="13"/>
      <c r="AM288" s="13"/>
      <c r="AN288" s="13"/>
      <c r="AO288" s="13" t="s">
        <v>4980</v>
      </c>
      <c r="AP288" s="20">
        <v>96.25</v>
      </c>
      <c r="AQ288" s="20">
        <f t="shared" si="72"/>
        <v>4.9999999999997158E-2</v>
      </c>
      <c r="AR288" s="94">
        <f t="shared" si="78"/>
        <v>83.249999999995254</v>
      </c>
      <c r="AS288" s="127">
        <f t="shared" si="74"/>
        <v>83.249999999995254</v>
      </c>
      <c r="AT288" s="22" t="s">
        <v>77</v>
      </c>
      <c r="AU288" s="13"/>
      <c r="AV288" s="13" t="s">
        <v>4985</v>
      </c>
      <c r="AW288" s="13"/>
      <c r="AX288" s="13"/>
      <c r="AY288" s="13"/>
      <c r="AZ288" s="13"/>
    </row>
    <row r="289" spans="1:52" ht="12.75">
      <c r="A289" s="23">
        <v>44908</v>
      </c>
      <c r="B289" s="13" t="s">
        <v>4992</v>
      </c>
      <c r="C289" s="13" t="s">
        <v>128</v>
      </c>
      <c r="D289" s="17"/>
      <c r="E289" s="13"/>
      <c r="F289" s="14" t="s">
        <v>927</v>
      </c>
      <c r="G289" s="13"/>
      <c r="H289" s="13"/>
      <c r="I289" s="13"/>
      <c r="J289" s="14"/>
      <c r="K289" s="14" t="s">
        <v>20</v>
      </c>
      <c r="L289" s="13"/>
      <c r="M289" s="13"/>
      <c r="N289" s="13">
        <v>1</v>
      </c>
      <c r="O289" s="14" t="s">
        <v>76</v>
      </c>
      <c r="P289" s="14" t="s">
        <v>119</v>
      </c>
      <c r="Q289" s="14" t="s">
        <v>666</v>
      </c>
      <c r="R289" s="14">
        <v>1</v>
      </c>
      <c r="S289" s="14">
        <v>1</v>
      </c>
      <c r="T289" s="14">
        <v>1</v>
      </c>
      <c r="U289" s="14" t="s">
        <v>78</v>
      </c>
      <c r="V289" s="14">
        <f t="shared" si="76"/>
        <v>0.01</v>
      </c>
      <c r="W289" s="14">
        <f t="shared" si="77"/>
        <v>1664.9999999999998</v>
      </c>
      <c r="X289" s="17" t="s">
        <v>4978</v>
      </c>
      <c r="Y289" s="17"/>
      <c r="Z289" s="17"/>
      <c r="AA289" s="18">
        <v>96.47</v>
      </c>
      <c r="AB289" s="13" t="s">
        <v>4990</v>
      </c>
      <c r="AC289" s="13"/>
      <c r="AD289" s="13"/>
      <c r="AE289" s="13"/>
      <c r="AF289" s="13"/>
      <c r="AG289" s="13"/>
      <c r="AH289" s="13"/>
      <c r="AI289" s="19"/>
      <c r="AJ289" s="14"/>
      <c r="AK289" s="13"/>
      <c r="AL289" s="13"/>
      <c r="AM289" s="13"/>
      <c r="AN289" s="13"/>
      <c r="AO289" s="13" t="s">
        <v>4980</v>
      </c>
      <c r="AP289" s="20">
        <v>96.41</v>
      </c>
      <c r="AQ289" s="20">
        <f t="shared" si="72"/>
        <v>6.0000000000002274E-2</v>
      </c>
      <c r="AR289" s="94">
        <f t="shared" si="78"/>
        <v>99.900000000003772</v>
      </c>
      <c r="AS289" s="127">
        <f t="shared" si="74"/>
        <v>99.900000000003772</v>
      </c>
      <c r="AT289" s="22" t="s">
        <v>77</v>
      </c>
      <c r="AU289" s="13"/>
      <c r="AV289" s="13" t="s">
        <v>4989</v>
      </c>
      <c r="AW289" s="13"/>
      <c r="AX289" s="13"/>
      <c r="AY289" s="13"/>
      <c r="AZ289" s="13"/>
    </row>
    <row r="290" spans="1:52" ht="12.75">
      <c r="A290" s="23">
        <v>44908</v>
      </c>
      <c r="B290" s="13" t="s">
        <v>703</v>
      </c>
      <c r="C290" s="13" t="s">
        <v>128</v>
      </c>
      <c r="D290" s="17"/>
      <c r="E290" s="13"/>
      <c r="F290" s="14" t="s">
        <v>965</v>
      </c>
      <c r="G290" s="13"/>
      <c r="H290" s="13"/>
      <c r="I290" s="13"/>
      <c r="J290" s="14"/>
      <c r="K290" s="14" t="s">
        <v>20</v>
      </c>
      <c r="L290" s="13"/>
      <c r="M290" s="13"/>
      <c r="N290" s="13">
        <v>1</v>
      </c>
      <c r="O290" s="14" t="s">
        <v>76</v>
      </c>
      <c r="P290" s="14" t="s">
        <v>77</v>
      </c>
      <c r="Q290" s="14" t="s">
        <v>666</v>
      </c>
      <c r="R290" s="14">
        <v>1</v>
      </c>
      <c r="S290" s="14">
        <v>1</v>
      </c>
      <c r="T290" s="14">
        <v>1</v>
      </c>
      <c r="U290" s="14" t="s">
        <v>78</v>
      </c>
      <c r="V290" s="14">
        <f t="shared" si="76"/>
        <v>0.01</v>
      </c>
      <c r="W290" s="14">
        <f t="shared" si="77"/>
        <v>1664.9999999999998</v>
      </c>
      <c r="X290" s="17" t="s">
        <v>4978</v>
      </c>
      <c r="Y290" s="17"/>
      <c r="Z290" s="17"/>
      <c r="AA290" s="18">
        <v>96.25</v>
      </c>
      <c r="AB290" s="13" t="s">
        <v>4979</v>
      </c>
      <c r="AC290" s="13"/>
      <c r="AD290" s="13"/>
      <c r="AE290" s="13"/>
      <c r="AF290" s="13"/>
      <c r="AG290" s="13"/>
      <c r="AH290" s="13"/>
      <c r="AI290" s="19"/>
      <c r="AJ290" s="14"/>
      <c r="AK290" s="13"/>
      <c r="AL290" s="13"/>
      <c r="AM290" s="13"/>
      <c r="AN290" s="13"/>
      <c r="AO290" s="13" t="s">
        <v>4980</v>
      </c>
      <c r="AP290" s="20">
        <v>96.2</v>
      </c>
      <c r="AQ290" s="20"/>
      <c r="AR290" s="94"/>
      <c r="AS290" s="127"/>
      <c r="AT290" s="22" t="s">
        <v>77</v>
      </c>
      <c r="AU290" s="13"/>
      <c r="AV290" s="13" t="s">
        <v>4993</v>
      </c>
      <c r="AW290" s="13"/>
      <c r="AX290" s="13"/>
      <c r="AY290" s="13"/>
      <c r="AZ290" s="13"/>
    </row>
    <row r="291" spans="1:52" ht="12.75">
      <c r="A291" s="12">
        <v>44910</v>
      </c>
      <c r="B291" s="27">
        <v>0.25</v>
      </c>
      <c r="C291" s="24" t="s">
        <v>74</v>
      </c>
      <c r="D291" s="31" t="s">
        <v>734</v>
      </c>
      <c r="E291" s="13"/>
      <c r="F291" s="14" t="s">
        <v>1725</v>
      </c>
      <c r="G291" s="13"/>
      <c r="H291" s="13"/>
      <c r="I291" s="13"/>
      <c r="J291" s="14"/>
      <c r="K291" s="14" t="s">
        <v>20</v>
      </c>
      <c r="L291" s="13"/>
      <c r="M291" s="13"/>
      <c r="N291" s="13"/>
      <c r="O291" s="14"/>
      <c r="P291" s="14"/>
      <c r="Q291" s="14"/>
      <c r="R291" s="14"/>
      <c r="S291" s="14"/>
      <c r="T291" s="14"/>
      <c r="U291" s="14"/>
      <c r="V291" s="14">
        <f>IF(ISBLANK(O291),,(IF(O291=UPPER("IB"),0.005,0.01)))</f>
        <v>0</v>
      </c>
      <c r="W291" s="14">
        <f>IF(ISBLANK(O291),,IF(O291=UPPER("IB"),8.63*200,16.65*100))</f>
        <v>0</v>
      </c>
      <c r="X291" s="17" t="s">
        <v>4994</v>
      </c>
      <c r="Y291" s="17"/>
      <c r="Z291" s="17"/>
      <c r="AA291" s="18">
        <v>96.12</v>
      </c>
      <c r="AB291" s="13" t="s">
        <v>4995</v>
      </c>
      <c r="AC291" s="13"/>
      <c r="AD291" s="13"/>
      <c r="AE291" s="13"/>
      <c r="AF291" s="13"/>
      <c r="AG291" s="13"/>
      <c r="AH291" s="13"/>
      <c r="AI291" s="19"/>
      <c r="AJ291" s="14"/>
      <c r="AK291" s="13"/>
      <c r="AL291" s="13"/>
      <c r="AM291" s="13"/>
      <c r="AN291" s="13"/>
      <c r="AO291" s="13"/>
      <c r="AP291" s="20"/>
      <c r="AQ291" s="20"/>
      <c r="AR291" s="94"/>
      <c r="AS291" s="127"/>
      <c r="AT291" s="22"/>
      <c r="AU291" s="13"/>
      <c r="AV291" s="13" t="s">
        <v>4996</v>
      </c>
      <c r="AW291" s="13" t="s">
        <v>4997</v>
      </c>
      <c r="AX291" s="13"/>
      <c r="AY291" s="13"/>
      <c r="AZ291" s="13"/>
    </row>
    <row r="292" spans="1:52" ht="12.75">
      <c r="A292" s="12"/>
      <c r="B292" s="24"/>
      <c r="C292" s="24"/>
      <c r="D292" s="31" t="s">
        <v>737</v>
      </c>
      <c r="E292" s="13"/>
      <c r="F292" s="14"/>
      <c r="G292" s="13"/>
      <c r="H292" s="13"/>
      <c r="I292" s="13"/>
      <c r="J292" s="14"/>
      <c r="K292" s="14"/>
      <c r="L292" s="13"/>
      <c r="M292" s="13"/>
      <c r="N292" s="13"/>
      <c r="O292" s="14"/>
      <c r="P292" s="14"/>
      <c r="Q292" s="14"/>
      <c r="R292" s="14"/>
      <c r="S292" s="14"/>
      <c r="T292" s="14"/>
      <c r="U292" s="14"/>
      <c r="V292" s="14">
        <f>IF(ISBLANK(O292),,(IF(O292=UPPER("IB"),0.005,0.01)))</f>
        <v>0</v>
      </c>
      <c r="W292" s="14">
        <f>IF(ISBLANK(O292),,IF(O292=UPPER("IB"),8.63*200,16.65*100))</f>
        <v>0</v>
      </c>
      <c r="X292" s="17"/>
      <c r="Y292" s="17"/>
      <c r="Z292" s="17"/>
      <c r="AA292" s="18"/>
      <c r="AB292" s="13"/>
      <c r="AC292" s="13"/>
      <c r="AD292" s="13"/>
      <c r="AE292" s="13"/>
      <c r="AF292" s="13"/>
      <c r="AG292" s="13"/>
      <c r="AH292" s="13"/>
      <c r="AI292" s="19"/>
      <c r="AJ292" s="14"/>
      <c r="AK292" s="13"/>
      <c r="AL292" s="13"/>
      <c r="AM292" s="13"/>
      <c r="AN292" s="13"/>
      <c r="AO292" s="13"/>
      <c r="AP292" s="20"/>
      <c r="AQ292" s="20"/>
      <c r="AR292" s="94"/>
      <c r="AS292" s="127"/>
      <c r="AT292" s="22"/>
      <c r="AU292" s="13"/>
      <c r="AV292" s="13"/>
      <c r="AW292" s="13"/>
      <c r="AX292" s="13"/>
      <c r="AY292" s="13"/>
      <c r="AZ292" s="13"/>
    </row>
    <row r="293" spans="1:52" ht="12.75">
      <c r="A293" s="12"/>
      <c r="B293" s="13"/>
      <c r="C293" s="13"/>
      <c r="D293" s="17"/>
      <c r="E293" s="13"/>
      <c r="F293" s="14"/>
      <c r="G293" s="13"/>
      <c r="H293" s="13"/>
      <c r="I293" s="13"/>
      <c r="J293" s="14"/>
      <c r="K293" s="14"/>
      <c r="L293" s="13"/>
      <c r="M293" s="13"/>
      <c r="N293" s="13"/>
      <c r="O293" s="14"/>
      <c r="P293" s="14"/>
      <c r="Q293" s="14"/>
      <c r="R293" s="14"/>
      <c r="S293" s="14"/>
      <c r="T293" s="14"/>
      <c r="U293" s="14"/>
      <c r="V293" s="14">
        <f>IF(ISBLANK(O293),,(IF(O293=UPPER("IB"),0.005,0.01)))</f>
        <v>0</v>
      </c>
      <c r="W293" s="14">
        <f>IF(ISBLANK(O293),,IF(O293=UPPER("IB"),8.63*200,16.65*100))</f>
        <v>0</v>
      </c>
      <c r="X293" s="17"/>
      <c r="Y293" s="17"/>
      <c r="Z293" s="17"/>
      <c r="AA293" s="18"/>
      <c r="AB293" s="13"/>
      <c r="AC293" s="13"/>
      <c r="AD293" s="13"/>
      <c r="AE293" s="13"/>
      <c r="AF293" s="13"/>
      <c r="AG293" s="13"/>
      <c r="AH293" s="13"/>
      <c r="AI293" s="19"/>
      <c r="AJ293" s="14"/>
      <c r="AK293" s="13"/>
      <c r="AL293" s="13"/>
      <c r="AM293" s="13"/>
      <c r="AN293" s="13"/>
      <c r="AO293" s="13"/>
      <c r="AP293" s="20"/>
      <c r="AQ293" s="20"/>
      <c r="AR293" s="94"/>
      <c r="AS293" s="127"/>
      <c r="AT293" s="22"/>
      <c r="AU293" s="30" t="s">
        <v>4998</v>
      </c>
      <c r="AV293" s="30" t="s">
        <v>4999</v>
      </c>
      <c r="AW293" s="30" t="s">
        <v>5000</v>
      </c>
      <c r="AX293" s="13"/>
      <c r="AY293" s="13"/>
      <c r="AZ293" s="13"/>
    </row>
    <row r="294" spans="1:52" ht="12.75">
      <c r="A294" s="83">
        <v>44980</v>
      </c>
      <c r="B294" s="121"/>
      <c r="C294" s="121"/>
      <c r="D294" s="132"/>
      <c r="E294" s="121"/>
      <c r="F294" s="133"/>
      <c r="G294" s="121"/>
      <c r="H294" s="121"/>
      <c r="I294" s="121"/>
      <c r="J294" s="121"/>
      <c r="K294" s="121"/>
      <c r="L294" s="121"/>
      <c r="M294" s="121"/>
      <c r="N294" s="121"/>
      <c r="O294" s="133"/>
      <c r="P294" s="133"/>
      <c r="Q294" s="133"/>
      <c r="R294" s="133"/>
      <c r="S294" s="133"/>
      <c r="T294" s="133"/>
      <c r="U294" s="133"/>
      <c r="V294" s="132"/>
      <c r="W294" s="132"/>
      <c r="X294" s="132"/>
      <c r="Y294" s="132"/>
      <c r="Z294" s="132"/>
      <c r="AA294" s="134"/>
      <c r="AB294" s="121"/>
      <c r="AC294" s="121"/>
      <c r="AD294" s="121"/>
      <c r="AE294" s="121"/>
      <c r="AF294" s="121"/>
      <c r="AG294" s="121"/>
      <c r="AH294" s="121"/>
      <c r="AI294" s="135"/>
      <c r="AJ294" s="133"/>
      <c r="AK294" s="121"/>
      <c r="AL294" s="121"/>
      <c r="AM294" s="121"/>
      <c r="AN294" s="121"/>
      <c r="AO294" s="121"/>
      <c r="AP294" s="136"/>
      <c r="AQ294" s="136"/>
      <c r="AR294" s="136"/>
      <c r="AS294" s="136"/>
      <c r="AT294" s="93"/>
      <c r="AU294" s="121"/>
      <c r="AV294" s="121"/>
      <c r="AW294" s="121"/>
      <c r="AX294" s="121"/>
      <c r="AY294" s="121"/>
      <c r="AZ294" s="121"/>
    </row>
    <row r="295" spans="1:52" ht="12.75">
      <c r="A295" s="12">
        <v>44985</v>
      </c>
      <c r="B295" s="13" t="s">
        <v>5001</v>
      </c>
      <c r="C295" s="13" t="s">
        <v>128</v>
      </c>
      <c r="D295" s="17"/>
      <c r="E295" s="13"/>
      <c r="F295" s="14" t="s">
        <v>2526</v>
      </c>
      <c r="G295" s="13"/>
      <c r="H295" s="13"/>
      <c r="I295" s="13"/>
      <c r="J295" s="14"/>
      <c r="K295" s="14"/>
      <c r="L295" s="13">
        <v>1</v>
      </c>
      <c r="M295" s="13"/>
      <c r="N295" s="13"/>
      <c r="O295" s="14" t="s">
        <v>76</v>
      </c>
      <c r="P295" s="14" t="s">
        <v>77</v>
      </c>
      <c r="Q295" s="14" t="s">
        <v>78</v>
      </c>
      <c r="R295" s="14">
        <v>1</v>
      </c>
      <c r="S295" s="14">
        <v>1</v>
      </c>
      <c r="T295" s="14">
        <v>1</v>
      </c>
      <c r="U295" s="14" t="s">
        <v>78</v>
      </c>
      <c r="V295" s="14">
        <f>IF(ISBLANK(O295),,(IF(O295=UPPER("IB"),0.005,0.01)))</f>
        <v>0.01</v>
      </c>
      <c r="W295" s="14">
        <f>IF(ISBLANK(O295),,IF(O295=UPPER("IB"),8.63*200,16.65*100))</f>
        <v>1664.9999999999998</v>
      </c>
      <c r="X295" s="17"/>
      <c r="Y295" s="17"/>
      <c r="Z295" s="17" t="s">
        <v>5002</v>
      </c>
      <c r="AA295" s="18">
        <v>0.24</v>
      </c>
      <c r="AB295" s="13"/>
      <c r="AC295" s="13"/>
      <c r="AD295" s="13"/>
      <c r="AE295" s="13"/>
      <c r="AF295" s="13"/>
      <c r="AG295" s="13"/>
      <c r="AH295" s="13"/>
      <c r="AI295" s="19"/>
      <c r="AJ295" s="14"/>
      <c r="AK295" s="13"/>
      <c r="AL295" s="13"/>
      <c r="AM295" s="13"/>
      <c r="AN295" s="13"/>
      <c r="AO295" s="13"/>
      <c r="AP295" s="20">
        <v>0.27</v>
      </c>
      <c r="AQ295" s="20">
        <f t="shared" ref="AQ295" si="79">IF(ISBLANK(AP295),,IF(U295="S",AA295-AP295,AP295-AA295))</f>
        <v>-3.0000000000000027E-2</v>
      </c>
      <c r="AR295" s="94">
        <f t="shared" ref="AR295" si="80">AS295*R295</f>
        <v>-49.950000000000038</v>
      </c>
      <c r="AS295" s="127">
        <f t="shared" ref="AS295" si="81">IF(ISBLANK(AP295),,(AQ295*W295))</f>
        <v>-49.950000000000038</v>
      </c>
      <c r="AT295" s="22" t="s">
        <v>211</v>
      </c>
      <c r="AU295" s="13" t="s">
        <v>5003</v>
      </c>
      <c r="AV295" s="13"/>
      <c r="AW295" s="13"/>
      <c r="AX295" s="13"/>
      <c r="AY295" s="13"/>
      <c r="AZ295" s="13"/>
    </row>
    <row r="296" spans="1:52" ht="12.75">
      <c r="A296" s="338">
        <v>45008</v>
      </c>
      <c r="B296" s="121"/>
      <c r="C296" s="121"/>
      <c r="D296" s="132"/>
      <c r="E296" s="121"/>
      <c r="F296" s="133"/>
      <c r="G296" s="121"/>
      <c r="H296" s="121"/>
      <c r="I296" s="121"/>
      <c r="J296" s="121"/>
      <c r="K296" s="121"/>
      <c r="L296" s="121"/>
      <c r="M296" s="121"/>
      <c r="N296" s="121"/>
      <c r="O296" s="133"/>
      <c r="P296" s="133"/>
      <c r="Q296" s="133"/>
      <c r="R296" s="133"/>
      <c r="S296" s="133"/>
      <c r="T296" s="133"/>
      <c r="U296" s="133"/>
      <c r="V296" s="132"/>
      <c r="W296" s="132"/>
      <c r="X296" s="132"/>
      <c r="Y296" s="132"/>
      <c r="Z296" s="132"/>
      <c r="AA296" s="134"/>
      <c r="AB296" s="121"/>
      <c r="AC296" s="121"/>
      <c r="AD296" s="121"/>
      <c r="AE296" s="121"/>
      <c r="AF296" s="121"/>
      <c r="AG296" s="121"/>
      <c r="AH296" s="121"/>
      <c r="AI296" s="135"/>
      <c r="AJ296" s="133"/>
      <c r="AK296" s="121"/>
      <c r="AL296" s="121"/>
      <c r="AM296" s="121"/>
      <c r="AN296" s="121"/>
      <c r="AO296" s="121"/>
      <c r="AP296" s="136"/>
      <c r="AQ296" s="136"/>
      <c r="AR296" s="136"/>
      <c r="AS296" s="136"/>
      <c r="AT296" s="93"/>
      <c r="AU296" s="121"/>
      <c r="AV296" s="121"/>
      <c r="AW296" s="121"/>
      <c r="AX296" s="121"/>
      <c r="AY296" s="121"/>
      <c r="AZ296" s="121"/>
    </row>
    <row r="297" spans="1:52" ht="12.75">
      <c r="A297" s="12">
        <v>44986</v>
      </c>
      <c r="B297" s="13" t="s">
        <v>2216</v>
      </c>
      <c r="C297" s="13"/>
      <c r="D297" s="17"/>
      <c r="E297" s="13"/>
      <c r="F297" s="14" t="s">
        <v>813</v>
      </c>
      <c r="G297" s="13"/>
      <c r="H297" s="13"/>
      <c r="I297" s="13"/>
      <c r="J297" s="14"/>
      <c r="K297" s="14"/>
      <c r="L297" s="13">
        <v>1</v>
      </c>
      <c r="M297" s="13"/>
      <c r="N297" s="13"/>
      <c r="O297" s="14" t="s">
        <v>76</v>
      </c>
      <c r="P297" s="14" t="s">
        <v>119</v>
      </c>
      <c r="Q297" s="14" t="s">
        <v>666</v>
      </c>
      <c r="R297" s="14">
        <v>7</v>
      </c>
      <c r="S297" s="14">
        <v>7</v>
      </c>
      <c r="T297" s="14">
        <v>7</v>
      </c>
      <c r="U297" s="14" t="s">
        <v>78</v>
      </c>
      <c r="V297" s="14">
        <f t="shared" ref="V297" si="82">IF(ISBLANK(O297),,(IF(O297=UPPER("IB"),0.005,0.01)))</f>
        <v>0.01</v>
      </c>
      <c r="W297" s="14">
        <f t="shared" ref="W297" si="83">IF(ISBLANK(O297),,IF(O297=UPPER("IB"),8.63*200,16.65*100))</f>
        <v>1664.9999999999998</v>
      </c>
      <c r="X297" s="17" t="s">
        <v>5004</v>
      </c>
      <c r="Y297" s="17"/>
      <c r="Z297" s="17"/>
      <c r="AA297" s="18">
        <v>95.74</v>
      </c>
      <c r="AB297" s="13"/>
      <c r="AC297" s="13"/>
      <c r="AD297" s="13"/>
      <c r="AE297" s="13"/>
      <c r="AF297" s="13"/>
      <c r="AG297" s="13"/>
      <c r="AH297" s="13"/>
      <c r="AI297" s="19"/>
      <c r="AJ297" s="14"/>
      <c r="AK297" s="13"/>
      <c r="AL297" s="13"/>
      <c r="AM297" s="13"/>
      <c r="AN297" s="13"/>
      <c r="AO297" s="13"/>
      <c r="AP297" s="20"/>
      <c r="AQ297" s="20"/>
      <c r="AR297" s="94"/>
      <c r="AS297" s="127"/>
      <c r="AT297" s="22"/>
      <c r="AU297" s="13"/>
      <c r="AV297" s="13"/>
      <c r="AW297" s="13"/>
      <c r="AX297" s="13"/>
      <c r="AY297" s="13"/>
      <c r="AZ297" s="13"/>
    </row>
    <row r="298" spans="1:52" ht="12.75">
      <c r="A298" s="12">
        <v>44987</v>
      </c>
      <c r="B298" s="13" t="s">
        <v>5005</v>
      </c>
      <c r="C298" s="13"/>
      <c r="D298" s="17"/>
      <c r="E298" s="13"/>
      <c r="F298" s="14" t="s">
        <v>2526</v>
      </c>
      <c r="G298" s="13"/>
      <c r="H298" s="13"/>
      <c r="I298" s="13"/>
      <c r="J298" s="14"/>
      <c r="K298" s="14"/>
      <c r="L298" s="13">
        <v>1</v>
      </c>
      <c r="M298" s="13"/>
      <c r="N298" s="13"/>
      <c r="O298" s="14" t="s">
        <v>76</v>
      </c>
      <c r="P298" s="14" t="s">
        <v>77</v>
      </c>
      <c r="Q298" s="14" t="s">
        <v>78</v>
      </c>
      <c r="R298" s="14">
        <v>1</v>
      </c>
      <c r="S298" s="14">
        <v>1</v>
      </c>
      <c r="T298" s="14">
        <v>1</v>
      </c>
      <c r="U298" s="14" t="s">
        <v>22</v>
      </c>
      <c r="V298" s="14">
        <f t="shared" ref="V298" si="84">IF(ISBLANK(O298),,(IF(O298=UPPER("IB"),0.005,0.01)))</f>
        <v>0.01</v>
      </c>
      <c r="W298" s="14">
        <f t="shared" ref="W298" si="85">IF(ISBLANK(O298),,IF(O298=UPPER("IB"),8.63*200,16.65*100))</f>
        <v>1664.9999999999998</v>
      </c>
      <c r="X298" s="17"/>
      <c r="Y298" s="17" t="s">
        <v>5006</v>
      </c>
      <c r="Z298" s="17"/>
      <c r="AA298" s="18">
        <f>(96.44-96.155)</f>
        <v>0.28499999999999659</v>
      </c>
      <c r="AB298" s="13"/>
      <c r="AC298" s="13"/>
      <c r="AD298" s="13"/>
      <c r="AE298" s="13"/>
      <c r="AF298" s="13"/>
      <c r="AG298" s="13"/>
      <c r="AH298" s="13"/>
      <c r="AI298" s="19"/>
      <c r="AJ298" s="14"/>
      <c r="AK298" s="13"/>
      <c r="AL298" s="13"/>
      <c r="AM298" s="13"/>
      <c r="AN298" s="13"/>
      <c r="AO298" s="13"/>
      <c r="AP298" s="20">
        <v>0.25</v>
      </c>
      <c r="AQ298" s="20">
        <f t="shared" ref="AQ298" si="86">IF(ISBLANK(AP298),,IF(U298="S",AA298-AP298,AP298-AA298))</f>
        <v>-3.4999999999996589E-2</v>
      </c>
      <c r="AR298" s="94">
        <f t="shared" ref="AR298" si="87">AS298*R298</f>
        <v>-58.274999999994314</v>
      </c>
      <c r="AS298" s="127">
        <f t="shared" ref="AS298" si="88">IF(ISBLANK(AP298),,(AQ298*W298))</f>
        <v>-58.274999999994314</v>
      </c>
      <c r="AT298" s="22" t="s">
        <v>211</v>
      </c>
      <c r="AU298" s="13" t="s">
        <v>5007</v>
      </c>
      <c r="AV298" s="13"/>
      <c r="AW298" s="13"/>
      <c r="AX298" s="13"/>
      <c r="AY298" s="13"/>
      <c r="AZ298" s="13"/>
    </row>
    <row r="299" spans="1:52" ht="12.75">
      <c r="A299" s="12">
        <v>44991</v>
      </c>
      <c r="B299" s="13" t="s">
        <v>5008</v>
      </c>
      <c r="C299" s="13" t="s">
        <v>114</v>
      </c>
      <c r="D299" s="17"/>
      <c r="E299" s="13"/>
      <c r="F299" s="14" t="s">
        <v>2526</v>
      </c>
      <c r="G299" s="13"/>
      <c r="H299" s="13"/>
      <c r="I299" s="13"/>
      <c r="J299" s="14"/>
      <c r="K299" s="14"/>
      <c r="L299" s="13"/>
      <c r="M299" s="13"/>
      <c r="N299" s="13"/>
      <c r="O299" s="14"/>
      <c r="P299" s="14"/>
      <c r="Q299" s="14"/>
      <c r="R299" s="14"/>
      <c r="S299" s="14"/>
      <c r="T299" s="14"/>
      <c r="U299" s="14"/>
      <c r="V299" s="14">
        <f t="shared" ref="V299:V300" si="89">IF(ISBLANK(O299),,(IF(O299=UPPER("IB"),0.005,0.01)))</f>
        <v>0</v>
      </c>
      <c r="W299" s="14">
        <f t="shared" ref="W299:W300" si="90">IF(ISBLANK(O299),,IF(O299=UPPER("IB"),8.63*200,16.65*100))</f>
        <v>0</v>
      </c>
      <c r="X299" s="17"/>
      <c r="Y299" s="17"/>
      <c r="Z299" s="17"/>
      <c r="AA299" s="18"/>
      <c r="AB299" s="13"/>
      <c r="AC299" s="13"/>
      <c r="AD299" s="13"/>
      <c r="AE299" s="13"/>
      <c r="AF299" s="13"/>
      <c r="AG299" s="13"/>
      <c r="AH299" s="13"/>
      <c r="AI299" s="19"/>
      <c r="AJ299" s="14"/>
      <c r="AK299" s="13"/>
      <c r="AL299" s="13"/>
      <c r="AM299" s="13"/>
      <c r="AN299" s="13"/>
      <c r="AO299" s="13"/>
      <c r="AP299" s="20"/>
      <c r="AQ299" s="20">
        <f t="shared" ref="AQ299:AQ300" si="91">IF(ISBLANK(AP299),,IF(U299="S",AA299-AP299,AP299-AA299))</f>
        <v>0</v>
      </c>
      <c r="AR299" s="94">
        <f t="shared" ref="AR299:AR300" si="92">AS299*R299</f>
        <v>0</v>
      </c>
      <c r="AS299" s="127">
        <f t="shared" ref="AS299:AS300" si="93">IF(ISBLANK(AP299),,(AQ299*W299))</f>
        <v>0</v>
      </c>
      <c r="AT299" s="22"/>
      <c r="AU299" s="13" t="s">
        <v>5009</v>
      </c>
      <c r="AV299" s="13"/>
      <c r="AW299" s="13"/>
      <c r="AX299" s="13" t="s">
        <v>5010</v>
      </c>
      <c r="AY299" s="13"/>
      <c r="AZ299" s="13"/>
    </row>
    <row r="300" spans="1:52" ht="12.75">
      <c r="A300" s="12">
        <v>44993</v>
      </c>
      <c r="B300" s="13" t="s">
        <v>5011</v>
      </c>
      <c r="C300" s="13" t="s">
        <v>133</v>
      </c>
      <c r="D300" s="17"/>
      <c r="E300" s="13"/>
      <c r="F300" s="14" t="s">
        <v>2526</v>
      </c>
      <c r="G300" s="13"/>
      <c r="H300" s="13"/>
      <c r="I300" s="13"/>
      <c r="J300" s="14"/>
      <c r="K300" s="14"/>
      <c r="L300" s="13">
        <v>1</v>
      </c>
      <c r="M300" s="13">
        <v>1</v>
      </c>
      <c r="N300" s="13"/>
      <c r="O300" s="14" t="s">
        <v>76</v>
      </c>
      <c r="P300" s="14" t="s">
        <v>77</v>
      </c>
      <c r="Q300" s="14" t="s">
        <v>78</v>
      </c>
      <c r="R300" s="14">
        <v>1</v>
      </c>
      <c r="S300" s="14">
        <v>1</v>
      </c>
      <c r="T300" s="14">
        <v>1</v>
      </c>
      <c r="U300" s="14" t="s">
        <v>22</v>
      </c>
      <c r="V300" s="14">
        <f t="shared" si="89"/>
        <v>0.01</v>
      </c>
      <c r="W300" s="14">
        <f t="shared" si="90"/>
        <v>1664.9999999999998</v>
      </c>
      <c r="X300" s="17"/>
      <c r="Y300" s="17" t="s">
        <v>5012</v>
      </c>
      <c r="Z300" s="17" t="s">
        <v>511</v>
      </c>
      <c r="AA300" s="18">
        <v>0.27</v>
      </c>
      <c r="AB300" s="13"/>
      <c r="AC300" s="13">
        <v>0.24</v>
      </c>
      <c r="AD300" s="13" t="s">
        <v>721</v>
      </c>
      <c r="AE300" s="13">
        <v>0.31</v>
      </c>
      <c r="AF300" s="13" t="s">
        <v>5013</v>
      </c>
      <c r="AG300" s="13" t="s">
        <v>511</v>
      </c>
      <c r="AH300" s="13"/>
      <c r="AI300" s="19"/>
      <c r="AJ300" s="14"/>
      <c r="AK300" s="13"/>
      <c r="AL300" s="13"/>
      <c r="AM300" s="13"/>
      <c r="AN300" s="13"/>
      <c r="AO300" s="13"/>
      <c r="AP300" s="20">
        <v>0.29499999999999998</v>
      </c>
      <c r="AQ300" s="20">
        <f t="shared" si="91"/>
        <v>2.4999999999999967E-2</v>
      </c>
      <c r="AR300" s="94">
        <f t="shared" si="92"/>
        <v>41.624999999999936</v>
      </c>
      <c r="AS300" s="127">
        <f t="shared" si="93"/>
        <v>41.624999999999936</v>
      </c>
      <c r="AT300" s="22" t="s">
        <v>77</v>
      </c>
      <c r="AU300" s="13"/>
      <c r="AV300" s="13"/>
      <c r="AW300" s="13"/>
      <c r="AX300" s="13"/>
      <c r="AY300" s="13"/>
      <c r="AZ300" s="13"/>
    </row>
    <row r="301" spans="1:52" ht="12.75">
      <c r="A301" s="12">
        <v>45005</v>
      </c>
      <c r="B301" s="13" t="s">
        <v>2842</v>
      </c>
      <c r="C301" s="13" t="s">
        <v>114</v>
      </c>
      <c r="D301" s="17"/>
      <c r="E301" s="13"/>
      <c r="F301" s="14" t="s">
        <v>5014</v>
      </c>
      <c r="G301" s="13"/>
      <c r="H301" s="13"/>
      <c r="I301" s="13"/>
      <c r="J301" s="14"/>
      <c r="K301" s="14"/>
      <c r="L301" s="13"/>
      <c r="M301" s="13"/>
      <c r="N301" s="13"/>
      <c r="O301" s="14" t="s">
        <v>2413</v>
      </c>
      <c r="P301" s="14"/>
      <c r="Q301" s="14"/>
      <c r="R301" s="14">
        <v>1</v>
      </c>
      <c r="S301" s="14">
        <v>1</v>
      </c>
      <c r="T301" s="14">
        <v>1</v>
      </c>
      <c r="U301" s="14" t="s">
        <v>78</v>
      </c>
      <c r="V301" s="14">
        <f t="shared" ref="V301:V302" si="94">IF(ISBLANK(O301),,(IF(O301=UPPER("IB"),0.005,0.01)))</f>
        <v>0.01</v>
      </c>
      <c r="W301" s="14">
        <f t="shared" ref="W301:W306" si="95">IF(ISBLANK(O301),,IF(O301=UPPER("IB"),8.63*200,16.65*100))</f>
        <v>1664.9999999999998</v>
      </c>
      <c r="X301" s="17" t="s">
        <v>5015</v>
      </c>
      <c r="Y301" s="17"/>
      <c r="Z301" s="17"/>
      <c r="AA301" s="18">
        <v>97.19</v>
      </c>
      <c r="AB301" s="13"/>
      <c r="AC301" s="13">
        <v>97.23</v>
      </c>
      <c r="AD301" s="13" t="s">
        <v>5016</v>
      </c>
      <c r="AE301" s="13">
        <v>97.13</v>
      </c>
      <c r="AF301" s="13"/>
      <c r="AG301" s="13"/>
      <c r="AH301" s="341" t="s">
        <v>5017</v>
      </c>
      <c r="AI301" s="19"/>
      <c r="AJ301" s="14"/>
      <c r="AK301" s="13"/>
      <c r="AL301" s="13"/>
      <c r="AM301" s="13"/>
      <c r="AN301" s="13"/>
      <c r="AO301" s="13" t="s">
        <v>5018</v>
      </c>
      <c r="AP301" s="20">
        <v>97.31</v>
      </c>
      <c r="AQ301" s="20">
        <f t="shared" ref="AQ301" si="96">IF(ISBLANK(AP301),,IF(U301="S",AA301-AP301,AP301-AA301))</f>
        <v>-0.12000000000000455</v>
      </c>
      <c r="AR301" s="94">
        <f t="shared" ref="AR301" si="97">AS301*R301</f>
        <v>-199.80000000000754</v>
      </c>
      <c r="AS301" s="127">
        <f t="shared" ref="AS301" si="98">IF(ISBLANK(AP301),,(AQ301*W301))</f>
        <v>-199.80000000000754</v>
      </c>
      <c r="AT301" s="22" t="s">
        <v>211</v>
      </c>
      <c r="AU301" s="13"/>
      <c r="AV301" s="13"/>
      <c r="AW301" s="13"/>
      <c r="AX301" s="13"/>
      <c r="AY301" s="13"/>
      <c r="AZ301" s="13"/>
    </row>
    <row r="302" spans="1:52" ht="12.75">
      <c r="A302" s="12">
        <v>45009</v>
      </c>
      <c r="B302" s="13" t="s">
        <v>2062</v>
      </c>
      <c r="C302" s="13" t="s">
        <v>93</v>
      </c>
      <c r="D302" s="17"/>
      <c r="E302" s="13"/>
      <c r="F302" s="14" t="s">
        <v>5019</v>
      </c>
      <c r="G302" s="13"/>
      <c r="H302" s="13"/>
      <c r="I302" s="13"/>
      <c r="J302" s="14"/>
      <c r="K302" s="14"/>
      <c r="L302" s="13">
        <v>1</v>
      </c>
      <c r="M302" s="13"/>
      <c r="N302" s="13"/>
      <c r="O302" s="14" t="s">
        <v>2413</v>
      </c>
      <c r="P302" s="14" t="s">
        <v>77</v>
      </c>
      <c r="Q302" s="14" t="s">
        <v>78</v>
      </c>
      <c r="R302" s="14">
        <v>1</v>
      </c>
      <c r="S302" s="14">
        <v>1</v>
      </c>
      <c r="T302" s="14">
        <v>1</v>
      </c>
      <c r="U302" s="14" t="s">
        <v>22</v>
      </c>
      <c r="V302" s="14">
        <f t="shared" si="94"/>
        <v>0.01</v>
      </c>
      <c r="W302" s="14">
        <f t="shared" si="95"/>
        <v>1664.9999999999998</v>
      </c>
      <c r="X302" s="17"/>
      <c r="Y302" s="17" t="s">
        <v>5020</v>
      </c>
      <c r="Z302" s="17" t="s">
        <v>511</v>
      </c>
      <c r="AA302" s="18">
        <v>0.41499999999999998</v>
      </c>
      <c r="AB302" s="13"/>
      <c r="AC302" s="13"/>
      <c r="AD302" s="13"/>
      <c r="AE302" s="13"/>
      <c r="AF302" s="13"/>
      <c r="AG302" s="13"/>
      <c r="AH302" s="13"/>
      <c r="AI302" s="19"/>
      <c r="AJ302" s="14"/>
      <c r="AK302" s="13"/>
      <c r="AL302" s="13"/>
      <c r="AM302" s="13"/>
      <c r="AN302" s="13"/>
      <c r="AO302" s="13" t="s">
        <v>5021</v>
      </c>
      <c r="AP302" s="20">
        <v>0.41</v>
      </c>
      <c r="AQ302" s="20">
        <f t="shared" ref="AQ302:AQ303" si="99">IF(ISBLANK(AP302),,IF(U302="S",AA302-AP302,AP302-AA302))</f>
        <v>-5.0000000000000044E-3</v>
      </c>
      <c r="AR302" s="94">
        <f t="shared" ref="AR302:AR303" si="100">AS302*R302</f>
        <v>-8.3250000000000064</v>
      </c>
      <c r="AS302" s="127">
        <f t="shared" ref="AS302:AS303" si="101">IF(ISBLANK(AP302),,(AQ302*W302))</f>
        <v>-8.3250000000000064</v>
      </c>
      <c r="AT302" s="22"/>
      <c r="AU302" s="13"/>
      <c r="AV302" s="13"/>
      <c r="AW302" s="13"/>
      <c r="AX302" s="13"/>
      <c r="AY302" s="13"/>
      <c r="AZ302" s="13"/>
    </row>
    <row r="303" spans="1:52" ht="12.75">
      <c r="A303" s="12"/>
      <c r="B303" s="13"/>
      <c r="C303" s="13"/>
      <c r="D303" s="17"/>
      <c r="E303" s="13"/>
      <c r="F303" s="14" t="s">
        <v>5022</v>
      </c>
      <c r="G303" s="13"/>
      <c r="H303" s="13"/>
      <c r="I303" s="13"/>
      <c r="J303" s="14"/>
      <c r="K303" s="14"/>
      <c r="L303" s="13">
        <v>1</v>
      </c>
      <c r="M303" s="13"/>
      <c r="N303" s="13"/>
      <c r="O303" s="14" t="s">
        <v>2413</v>
      </c>
      <c r="P303" s="14" t="s">
        <v>77</v>
      </c>
      <c r="Q303" s="14" t="s">
        <v>78</v>
      </c>
      <c r="R303" s="14">
        <v>1</v>
      </c>
      <c r="S303" s="14">
        <v>1</v>
      </c>
      <c r="T303" s="14">
        <v>1</v>
      </c>
      <c r="U303" s="14" t="s">
        <v>22</v>
      </c>
      <c r="V303" s="14">
        <f t="shared" ref="V303" si="102">IF(ISBLANK(O303),,(IF(O303=UPPER("IB"),0.005,0.01)))</f>
        <v>0.01</v>
      </c>
      <c r="W303" s="14">
        <f t="shared" si="95"/>
        <v>1664.9999999999998</v>
      </c>
      <c r="X303" s="17"/>
      <c r="Y303" s="17" t="s">
        <v>5023</v>
      </c>
      <c r="Z303" s="17" t="s">
        <v>511</v>
      </c>
      <c r="AA303" s="18">
        <v>97.18</v>
      </c>
      <c r="AB303" s="13"/>
      <c r="AC303" s="13"/>
      <c r="AD303" s="13"/>
      <c r="AE303" s="13"/>
      <c r="AF303" s="13"/>
      <c r="AG303" s="13"/>
      <c r="AH303" s="13"/>
      <c r="AI303" s="19"/>
      <c r="AJ303" s="14"/>
      <c r="AK303" s="13"/>
      <c r="AL303" s="13"/>
      <c r="AM303" s="13"/>
      <c r="AN303" s="13"/>
      <c r="AO303" s="13"/>
      <c r="AP303" s="20">
        <v>97.3</v>
      </c>
      <c r="AQ303" s="20">
        <f t="shared" si="99"/>
        <v>0.11999999999999034</v>
      </c>
      <c r="AR303" s="94">
        <f t="shared" si="100"/>
        <v>199.7999999999839</v>
      </c>
      <c r="AS303" s="127">
        <f t="shared" si="101"/>
        <v>199.7999999999839</v>
      </c>
      <c r="AT303" s="22" t="s">
        <v>77</v>
      </c>
      <c r="AU303" s="13"/>
      <c r="AV303" s="13"/>
      <c r="AW303" s="13"/>
      <c r="AX303" s="13"/>
      <c r="AY303" s="13"/>
      <c r="AZ303" s="13"/>
    </row>
    <row r="304" spans="1:52" ht="12.75">
      <c r="A304" s="12">
        <v>45013</v>
      </c>
      <c r="B304" s="13"/>
      <c r="C304" s="13"/>
      <c r="D304" s="17"/>
      <c r="E304" s="13"/>
      <c r="F304" s="14" t="s">
        <v>5024</v>
      </c>
      <c r="G304" s="13"/>
      <c r="H304" s="13"/>
      <c r="I304" s="13"/>
      <c r="J304" s="14"/>
      <c r="K304" s="14"/>
      <c r="L304" s="13">
        <v>1</v>
      </c>
      <c r="M304" s="13"/>
      <c r="N304" s="13"/>
      <c r="O304" s="14" t="s">
        <v>2413</v>
      </c>
      <c r="P304" s="14" t="s">
        <v>77</v>
      </c>
      <c r="Q304" s="14" t="s">
        <v>78</v>
      </c>
      <c r="R304" s="14">
        <v>2</v>
      </c>
      <c r="S304" s="14">
        <v>2</v>
      </c>
      <c r="T304" s="14">
        <v>2</v>
      </c>
      <c r="U304" s="14" t="s">
        <v>22</v>
      </c>
      <c r="V304" s="14">
        <f t="shared" ref="V304" si="103">IF(ISBLANK(O304),,(IF(O304=UPPER("IB"),0.005,0.01)))</f>
        <v>0.01</v>
      </c>
      <c r="W304" s="14">
        <f t="shared" si="95"/>
        <v>1664.9999999999998</v>
      </c>
      <c r="X304" s="17" t="s">
        <v>5025</v>
      </c>
      <c r="Y304" s="17"/>
      <c r="Z304" s="17"/>
      <c r="AA304" s="18">
        <v>97.075000000000003</v>
      </c>
      <c r="AB304" s="13"/>
      <c r="AC304" s="13"/>
      <c r="AD304" s="13"/>
      <c r="AE304" s="13"/>
      <c r="AF304" s="13"/>
      <c r="AG304" s="13"/>
      <c r="AH304" s="13"/>
      <c r="AI304" s="19"/>
      <c r="AJ304" s="14"/>
      <c r="AK304" s="13"/>
      <c r="AL304" s="13"/>
      <c r="AM304" s="13"/>
      <c r="AN304" s="13"/>
      <c r="AO304" s="13" t="s">
        <v>5026</v>
      </c>
      <c r="AP304" s="20">
        <v>97.12</v>
      </c>
      <c r="AQ304" s="20">
        <f t="shared" ref="AQ304" si="104">IF(ISBLANK(AP304),,IF(U304="S",AA304-AP304,AP304-AA304))</f>
        <v>4.5000000000001705E-2</v>
      </c>
      <c r="AR304" s="94">
        <f t="shared" ref="AR304" si="105">AS304*R304</f>
        <v>149.85000000000565</v>
      </c>
      <c r="AS304" s="127">
        <f t="shared" ref="AS304" si="106">IF(ISBLANK(AP304),,(AQ304*W304))</f>
        <v>74.925000000002825</v>
      </c>
      <c r="AT304" s="22" t="s">
        <v>77</v>
      </c>
      <c r="AU304" s="13"/>
      <c r="AV304" s="13"/>
      <c r="AW304" s="13"/>
      <c r="AX304" s="13"/>
      <c r="AY304" s="13"/>
      <c r="AZ304" s="13"/>
    </row>
    <row r="305" spans="1:55" ht="12.75">
      <c r="A305" s="348" t="s">
        <v>1504</v>
      </c>
      <c r="B305" s="204">
        <v>45015</v>
      </c>
      <c r="C305" s="205" t="s">
        <v>1709</v>
      </c>
      <c r="D305" s="205" t="s">
        <v>74</v>
      </c>
      <c r="E305" s="254" t="s">
        <v>2007</v>
      </c>
      <c r="F305" s="207" t="s">
        <v>5027</v>
      </c>
      <c r="G305" s="208"/>
      <c r="H305" s="209">
        <v>1</v>
      </c>
      <c r="I305" s="209"/>
      <c r="J305" s="209"/>
      <c r="K305" s="210"/>
      <c r="L305" s="209"/>
      <c r="M305" s="209"/>
      <c r="N305" s="209"/>
      <c r="O305" s="14"/>
      <c r="P305" s="210"/>
      <c r="Q305" s="210"/>
      <c r="R305" s="210"/>
      <c r="S305" s="210"/>
      <c r="T305" s="210"/>
      <c r="U305" s="210"/>
      <c r="V305" s="14">
        <f t="shared" ref="V305:V308" si="107">IF(ISBLANK(O305),,(IF(O305=UPPER("IB"),0.005,0.01)))</f>
        <v>0</v>
      </c>
      <c r="W305" s="14">
        <f t="shared" si="95"/>
        <v>0</v>
      </c>
      <c r="X305" s="212"/>
      <c r="Y305" s="212"/>
      <c r="Z305" s="212"/>
      <c r="AA305" s="213"/>
      <c r="AB305" s="209"/>
      <c r="AC305" s="345"/>
      <c r="AD305" s="209"/>
      <c r="AE305" s="209"/>
      <c r="AF305" s="209"/>
      <c r="AG305" s="209"/>
      <c r="AH305" s="209"/>
      <c r="AI305" s="214"/>
      <c r="AJ305" s="210"/>
      <c r="AK305" s="209"/>
      <c r="AL305" s="209"/>
      <c r="AM305" s="209"/>
      <c r="AN305" s="209"/>
      <c r="AO305" s="209"/>
      <c r="AP305" s="215"/>
      <c r="AQ305" s="20">
        <f t="shared" ref="AQ305:AQ313" si="108">IF(ISBLANK(AP305),,IF(U305="S",AA305-AP305,AP305-AA305))</f>
        <v>0</v>
      </c>
      <c r="AR305" s="94">
        <f t="shared" ref="AR305:AR313" si="109">AS305*R305</f>
        <v>0</v>
      </c>
      <c r="AS305" s="127">
        <f t="shared" ref="AS305:AS313" si="110">IF(ISBLANK(AP305),,(AQ305*W305))</f>
        <v>0</v>
      </c>
      <c r="AT305" s="217"/>
      <c r="AU305" s="209"/>
      <c r="AV305" s="209"/>
      <c r="AW305" s="209"/>
      <c r="AX305" s="331"/>
      <c r="AY305" s="331"/>
      <c r="AZ305" s="331"/>
      <c r="BA305" s="331"/>
      <c r="BB305" s="331"/>
      <c r="BC305" s="331"/>
    </row>
    <row r="306" spans="1:55" ht="12.75">
      <c r="A306" s="348" t="s">
        <v>1504</v>
      </c>
      <c r="B306" s="204"/>
      <c r="C306" s="205"/>
      <c r="D306" s="205"/>
      <c r="E306" s="254" t="s">
        <v>2009</v>
      </c>
      <c r="F306" s="207"/>
      <c r="G306" s="208"/>
      <c r="H306" s="209"/>
      <c r="I306" s="209"/>
      <c r="J306" s="209">
        <v>1</v>
      </c>
      <c r="K306" s="210"/>
      <c r="L306" s="209"/>
      <c r="M306" s="209"/>
      <c r="N306" s="209"/>
      <c r="O306" s="14"/>
      <c r="P306" s="210"/>
      <c r="Q306" s="210"/>
      <c r="R306" s="210"/>
      <c r="S306" s="210"/>
      <c r="T306" s="210"/>
      <c r="U306" s="210"/>
      <c r="V306" s="14">
        <f t="shared" si="107"/>
        <v>0</v>
      </c>
      <c r="W306" s="14">
        <f t="shared" si="95"/>
        <v>0</v>
      </c>
      <c r="X306" s="212"/>
      <c r="Y306" s="212"/>
      <c r="Z306" s="212"/>
      <c r="AA306" s="213"/>
      <c r="AB306" s="209"/>
      <c r="AC306" s="345"/>
      <c r="AD306" s="209"/>
      <c r="AE306" s="209"/>
      <c r="AF306" s="209"/>
      <c r="AG306" s="209"/>
      <c r="AH306" s="209"/>
      <c r="AI306" s="214"/>
      <c r="AJ306" s="210"/>
      <c r="AK306" s="209"/>
      <c r="AL306" s="209"/>
      <c r="AM306" s="209"/>
      <c r="AN306" s="209"/>
      <c r="AO306" s="209"/>
      <c r="AP306" s="215"/>
      <c r="AQ306" s="20">
        <f t="shared" si="108"/>
        <v>0</v>
      </c>
      <c r="AR306" s="94">
        <f t="shared" si="109"/>
        <v>0</v>
      </c>
      <c r="AS306" s="127">
        <f t="shared" si="110"/>
        <v>0</v>
      </c>
      <c r="AT306" s="217"/>
      <c r="AU306" s="209"/>
      <c r="AV306" s="209"/>
      <c r="AW306" s="209"/>
      <c r="AX306" s="331"/>
      <c r="AY306" s="331"/>
      <c r="AZ306" s="331"/>
      <c r="BA306" s="331"/>
      <c r="BB306" s="331"/>
      <c r="BC306" s="331"/>
    </row>
    <row r="307" spans="1:55" ht="12.75">
      <c r="A307" s="351">
        <v>45015</v>
      </c>
      <c r="B307" s="351"/>
      <c r="C307" s="352"/>
      <c r="D307" s="352"/>
      <c r="E307" s="353"/>
      <c r="F307" s="14" t="s">
        <v>5028</v>
      </c>
      <c r="G307" s="354"/>
      <c r="H307" s="355"/>
      <c r="I307" s="355"/>
      <c r="J307" s="355"/>
      <c r="K307" s="356"/>
      <c r="L307" s="355"/>
      <c r="M307" s="355"/>
      <c r="N307" s="355"/>
      <c r="O307" s="14"/>
      <c r="P307" s="356"/>
      <c r="Q307" s="356"/>
      <c r="R307" s="356"/>
      <c r="S307" s="356"/>
      <c r="T307" s="356"/>
      <c r="U307" s="356"/>
      <c r="V307" s="14"/>
      <c r="W307" s="14"/>
      <c r="X307" s="357"/>
      <c r="Y307" s="357"/>
      <c r="Z307" s="357"/>
      <c r="AA307" s="358"/>
      <c r="AB307" s="355"/>
      <c r="AC307" s="359"/>
      <c r="AD307" s="355"/>
      <c r="AE307" s="355"/>
      <c r="AF307" s="355"/>
      <c r="AG307" s="355"/>
      <c r="AH307" s="355"/>
      <c r="AI307" s="360"/>
      <c r="AJ307" s="356"/>
      <c r="AK307" s="355"/>
      <c r="AL307" s="355"/>
      <c r="AM307" s="355"/>
      <c r="AN307" s="355"/>
      <c r="AO307" s="355"/>
      <c r="AP307" s="361"/>
      <c r="AQ307" s="20">
        <f t="shared" si="108"/>
        <v>0</v>
      </c>
      <c r="AR307" s="94">
        <f t="shared" si="109"/>
        <v>0</v>
      </c>
      <c r="AS307" s="127">
        <f t="shared" si="110"/>
        <v>0</v>
      </c>
      <c r="AT307" s="362"/>
      <c r="AU307" s="355" t="s">
        <v>5029</v>
      </c>
      <c r="AV307" s="355" t="s">
        <v>5030</v>
      </c>
      <c r="AW307" s="355"/>
      <c r="AX307" s="363"/>
      <c r="AY307" s="363"/>
      <c r="AZ307" s="363"/>
      <c r="BA307" s="363"/>
      <c r="BB307" s="363"/>
      <c r="BC307" s="363"/>
    </row>
    <row r="308" spans="1:55" ht="12.75">
      <c r="A308" s="351" t="s">
        <v>5031</v>
      </c>
      <c r="B308" s="351"/>
      <c r="C308" s="352"/>
      <c r="D308" s="352"/>
      <c r="E308" s="353"/>
      <c r="F308" s="14" t="s">
        <v>5032</v>
      </c>
      <c r="G308" s="354"/>
      <c r="H308" s="355"/>
      <c r="I308" s="355"/>
      <c r="J308" s="355"/>
      <c r="K308" s="356"/>
      <c r="L308" s="355"/>
      <c r="M308" s="355">
        <v>1</v>
      </c>
      <c r="N308" s="355"/>
      <c r="O308" s="14" t="s">
        <v>76</v>
      </c>
      <c r="P308" s="356" t="s">
        <v>77</v>
      </c>
      <c r="Q308" s="356" t="s">
        <v>666</v>
      </c>
      <c r="R308" s="356">
        <v>1</v>
      </c>
      <c r="S308" s="356">
        <v>1</v>
      </c>
      <c r="T308" s="356">
        <v>1</v>
      </c>
      <c r="U308" s="356" t="s">
        <v>22</v>
      </c>
      <c r="V308" s="14">
        <f t="shared" si="107"/>
        <v>0.01</v>
      </c>
      <c r="W308" s="14">
        <f>IF(ISBLANK(O308),"",IF(O308="IB",8.63*200,IF(O308="IR",16*100,IF(O308="YT",20))))</f>
        <v>1600</v>
      </c>
      <c r="X308" s="357" t="s">
        <v>5033</v>
      </c>
      <c r="Y308" s="357"/>
      <c r="Z308" s="357"/>
      <c r="AA308" s="358">
        <v>96.38</v>
      </c>
      <c r="AB308" s="355"/>
      <c r="AC308" s="359"/>
      <c r="AD308" s="355"/>
      <c r="AE308" s="355"/>
      <c r="AF308" s="355"/>
      <c r="AG308" s="355"/>
      <c r="AH308" s="355"/>
      <c r="AI308" s="360"/>
      <c r="AJ308" s="356"/>
      <c r="AK308" s="355"/>
      <c r="AL308" s="355"/>
      <c r="AM308" s="355"/>
      <c r="AN308" s="355"/>
      <c r="AO308" s="355"/>
      <c r="AP308" s="361"/>
      <c r="AQ308" s="20">
        <f t="shared" si="108"/>
        <v>0</v>
      </c>
      <c r="AR308" s="94">
        <f t="shared" si="109"/>
        <v>0</v>
      </c>
      <c r="AS308" s="127">
        <f t="shared" si="110"/>
        <v>0</v>
      </c>
      <c r="AT308" s="362"/>
      <c r="AU308" s="355"/>
      <c r="AV308" s="355"/>
      <c r="AW308" s="355"/>
      <c r="AX308" s="363"/>
      <c r="AY308" s="363"/>
      <c r="AZ308" s="363"/>
      <c r="BA308" s="363"/>
      <c r="BB308" s="363"/>
      <c r="BC308" s="363"/>
    </row>
    <row r="309" spans="1:55" ht="12.75">
      <c r="A309" s="12"/>
      <c r="B309" s="13"/>
      <c r="C309" s="13"/>
      <c r="D309" s="17"/>
      <c r="E309" s="13"/>
      <c r="F309" s="14"/>
      <c r="G309" s="13"/>
      <c r="H309" s="13"/>
      <c r="I309" s="13"/>
      <c r="J309" s="14"/>
      <c r="K309" s="14"/>
      <c r="L309" s="13"/>
      <c r="M309" s="13"/>
      <c r="N309" s="13"/>
      <c r="O309" s="14"/>
      <c r="P309" s="14"/>
      <c r="Q309" s="14"/>
      <c r="R309" s="14"/>
      <c r="S309" s="14"/>
      <c r="T309" s="14"/>
      <c r="U309" s="14"/>
      <c r="V309" s="14">
        <f t="shared" ref="V309:V313" si="111">IF(ISBLANK(O309),,(IF(O309=UPPER("IB"),0.005,0.01)))</f>
        <v>0</v>
      </c>
      <c r="W309" s="14" t="str">
        <f t="shared" ref="W309:W311" si="112">IF(ISBLANK(O309),"",IF(O309="IB",8.63*200,IF(O309="IR",16*100,IF(O309="YT",20))))</f>
        <v/>
      </c>
      <c r="X309" s="17"/>
      <c r="Y309" s="17"/>
      <c r="Z309" s="17"/>
      <c r="AA309" s="18"/>
      <c r="AB309" s="13"/>
      <c r="AC309" s="13"/>
      <c r="AD309" s="13"/>
      <c r="AE309" s="13"/>
      <c r="AF309" s="13"/>
      <c r="AG309" s="13"/>
      <c r="AH309" s="13"/>
      <c r="AI309" s="19"/>
      <c r="AJ309" s="14"/>
      <c r="AK309" s="13"/>
      <c r="AL309" s="13"/>
      <c r="AM309" s="13"/>
      <c r="AN309" s="13"/>
      <c r="AO309" s="13"/>
      <c r="AP309" s="20"/>
      <c r="AQ309" s="20">
        <f t="shared" si="108"/>
        <v>0</v>
      </c>
      <c r="AR309" s="94">
        <f t="shared" si="109"/>
        <v>0</v>
      </c>
      <c r="AS309" s="127">
        <f t="shared" si="110"/>
        <v>0</v>
      </c>
      <c r="AT309" s="22"/>
      <c r="AU309" s="13"/>
      <c r="AV309" s="13"/>
      <c r="AW309" s="13"/>
      <c r="AX309" s="13"/>
      <c r="AY309" s="13"/>
      <c r="AZ309" s="13"/>
    </row>
    <row r="310" spans="1:55" ht="12.75">
      <c r="A310" s="12"/>
      <c r="B310" s="13"/>
      <c r="C310" s="13"/>
      <c r="D310" s="17"/>
      <c r="E310" s="13"/>
      <c r="F310" s="14"/>
      <c r="G310" s="13"/>
      <c r="H310" s="13"/>
      <c r="I310" s="13"/>
      <c r="J310" s="14"/>
      <c r="K310" s="14"/>
      <c r="L310" s="13"/>
      <c r="M310" s="13"/>
      <c r="N310" s="13"/>
      <c r="O310" s="14"/>
      <c r="P310" s="14"/>
      <c r="Q310" s="14"/>
      <c r="R310" s="14"/>
      <c r="S310" s="14"/>
      <c r="T310" s="14"/>
      <c r="U310" s="14"/>
      <c r="V310" s="14">
        <f t="shared" si="111"/>
        <v>0</v>
      </c>
      <c r="W310" s="14" t="str">
        <f t="shared" si="112"/>
        <v/>
      </c>
      <c r="X310" s="17"/>
      <c r="Y310" s="17"/>
      <c r="Z310" s="17"/>
      <c r="AA310" s="18"/>
      <c r="AB310" s="13"/>
      <c r="AC310" s="13"/>
      <c r="AD310" s="13"/>
      <c r="AE310" s="13"/>
      <c r="AF310" s="13"/>
      <c r="AG310" s="13"/>
      <c r="AH310" s="13"/>
      <c r="AI310" s="19"/>
      <c r="AJ310" s="14"/>
      <c r="AK310" s="13"/>
      <c r="AL310" s="13"/>
      <c r="AM310" s="13"/>
      <c r="AN310" s="13"/>
      <c r="AO310" s="13"/>
      <c r="AP310" s="20"/>
      <c r="AQ310" s="20">
        <f t="shared" si="108"/>
        <v>0</v>
      </c>
      <c r="AR310" s="94">
        <f t="shared" si="109"/>
        <v>0</v>
      </c>
      <c r="AS310" s="127">
        <f t="shared" si="110"/>
        <v>0</v>
      </c>
      <c r="AT310" s="22"/>
      <c r="AU310" s="13"/>
      <c r="AV310" s="13"/>
      <c r="AW310" s="13"/>
      <c r="AX310" s="13"/>
      <c r="AY310" s="13"/>
      <c r="AZ310" s="13"/>
    </row>
    <row r="311" spans="1:55" ht="12.75">
      <c r="A311" s="12"/>
      <c r="B311" s="13"/>
      <c r="C311" s="13"/>
      <c r="D311" s="17"/>
      <c r="E311" s="13"/>
      <c r="F311" s="14"/>
      <c r="G311" s="13"/>
      <c r="H311" s="13"/>
      <c r="I311" s="13"/>
      <c r="J311" s="14"/>
      <c r="K311" s="14"/>
      <c r="L311" s="13"/>
      <c r="M311" s="13"/>
      <c r="N311" s="13"/>
      <c r="O311" s="14"/>
      <c r="P311" s="14"/>
      <c r="Q311" s="14"/>
      <c r="R311" s="14"/>
      <c r="S311" s="14"/>
      <c r="T311" s="14"/>
      <c r="U311" s="14"/>
      <c r="V311" s="14">
        <f t="shared" si="111"/>
        <v>0</v>
      </c>
      <c r="W311" s="14" t="str">
        <f t="shared" si="112"/>
        <v/>
      </c>
      <c r="X311" s="17"/>
      <c r="Y311" s="17"/>
      <c r="Z311" s="17"/>
      <c r="AA311" s="18"/>
      <c r="AB311" s="13"/>
      <c r="AC311" s="13"/>
      <c r="AD311" s="13"/>
      <c r="AE311" s="13"/>
      <c r="AF311" s="13"/>
      <c r="AG311" s="13"/>
      <c r="AH311" s="13"/>
      <c r="AI311" s="19"/>
      <c r="AJ311" s="14"/>
      <c r="AK311" s="13"/>
      <c r="AL311" s="13"/>
      <c r="AM311" s="13"/>
      <c r="AN311" s="13"/>
      <c r="AO311" s="13"/>
      <c r="AP311" s="20"/>
      <c r="AQ311" s="20">
        <f t="shared" si="108"/>
        <v>0</v>
      </c>
      <c r="AR311" s="94">
        <f t="shared" si="109"/>
        <v>0</v>
      </c>
      <c r="AS311" s="127">
        <f t="shared" si="110"/>
        <v>0</v>
      </c>
      <c r="AT311" s="22"/>
      <c r="AU311" s="13"/>
      <c r="AV311" s="13"/>
      <c r="AW311" s="13"/>
      <c r="AX311" s="13"/>
      <c r="AY311" s="13"/>
      <c r="AZ311" s="13"/>
    </row>
    <row r="312" spans="1:55" ht="12.75">
      <c r="A312" s="338">
        <v>45039</v>
      </c>
      <c r="B312" s="121"/>
      <c r="C312" s="121"/>
      <c r="D312" s="132"/>
      <c r="E312" s="121"/>
      <c r="F312" s="133"/>
      <c r="G312" s="121"/>
      <c r="H312" s="121"/>
      <c r="I312" s="121"/>
      <c r="J312" s="121"/>
      <c r="K312" s="121"/>
      <c r="L312" s="121"/>
      <c r="M312" s="121"/>
      <c r="N312" s="121"/>
      <c r="O312" s="121"/>
      <c r="P312" s="133"/>
      <c r="Q312" s="133"/>
      <c r="R312" s="133"/>
      <c r="S312" s="133"/>
      <c r="T312" s="133"/>
      <c r="U312" s="133"/>
      <c r="V312" s="132"/>
      <c r="W312" s="132"/>
      <c r="X312" s="132"/>
      <c r="Y312" s="132"/>
      <c r="Z312" s="132"/>
      <c r="AA312" s="134"/>
      <c r="AB312" s="121"/>
      <c r="AC312" s="121"/>
      <c r="AD312" s="121"/>
      <c r="AE312" s="121"/>
      <c r="AF312" s="121"/>
      <c r="AG312" s="121"/>
      <c r="AH312" s="121"/>
      <c r="AI312" s="135"/>
      <c r="AJ312" s="133"/>
      <c r="AK312" s="121"/>
      <c r="AL312" s="121"/>
      <c r="AM312" s="121"/>
      <c r="AN312" s="121"/>
      <c r="AO312" s="121"/>
      <c r="AP312" s="136"/>
      <c r="AQ312" s="136"/>
      <c r="AR312" s="136"/>
      <c r="AS312" s="136"/>
      <c r="AT312" s="93"/>
      <c r="AU312" s="121"/>
      <c r="AV312" s="121"/>
      <c r="AW312" s="121"/>
      <c r="AX312" s="121"/>
      <c r="AY312" s="121"/>
      <c r="AZ312" s="121"/>
    </row>
    <row r="313" spans="1:55" ht="12.75">
      <c r="A313" s="12">
        <v>45019</v>
      </c>
      <c r="B313" s="13" t="s">
        <v>2001</v>
      </c>
      <c r="C313" s="13"/>
      <c r="D313" s="17"/>
      <c r="E313" s="13"/>
      <c r="F313" s="365" t="s">
        <v>2526</v>
      </c>
      <c r="G313" s="13"/>
      <c r="H313" s="13"/>
      <c r="I313" s="13"/>
      <c r="J313" s="14"/>
      <c r="K313" s="14"/>
      <c r="L313" s="13"/>
      <c r="M313" s="13"/>
      <c r="N313" s="13"/>
      <c r="O313" s="14" t="s">
        <v>2413</v>
      </c>
      <c r="P313" s="14"/>
      <c r="Q313" s="14"/>
      <c r="R313" s="14">
        <v>1</v>
      </c>
      <c r="S313" s="14">
        <v>1</v>
      </c>
      <c r="T313" s="14">
        <v>1</v>
      </c>
      <c r="U313" s="14" t="s">
        <v>22</v>
      </c>
      <c r="V313" s="14">
        <f t="shared" si="111"/>
        <v>0.01</v>
      </c>
      <c r="W313" s="14">
        <f>IF(ISBLANK(O313),"",IF(O313="IB",8.63*200,IF(O313="IR",16*100,IF(O313="YT",20*100,IF(O313="TED",80*100,IF(O313="XT",30*100))))))</f>
        <v>2000</v>
      </c>
      <c r="X313" s="17" t="s">
        <v>5034</v>
      </c>
      <c r="Y313" s="17"/>
      <c r="Z313" s="17"/>
      <c r="AA313" s="18">
        <v>0.37</v>
      </c>
      <c r="AB313" s="13"/>
      <c r="AC313" s="13"/>
      <c r="AD313" s="13"/>
      <c r="AE313" s="13"/>
      <c r="AF313" s="13"/>
      <c r="AG313" s="13"/>
      <c r="AH313" s="13"/>
      <c r="AI313" s="19"/>
      <c r="AJ313" s="14"/>
      <c r="AK313" s="13"/>
      <c r="AL313" s="13"/>
      <c r="AM313" s="13"/>
      <c r="AN313" s="13"/>
      <c r="AO313" s="13"/>
      <c r="AP313" s="20">
        <v>0.37</v>
      </c>
      <c r="AQ313" s="20">
        <f t="shared" si="108"/>
        <v>0</v>
      </c>
      <c r="AR313" s="94">
        <f t="shared" si="109"/>
        <v>0</v>
      </c>
      <c r="AS313" s="127">
        <f t="shared" si="110"/>
        <v>0</v>
      </c>
      <c r="AT313" s="22" t="s">
        <v>97</v>
      </c>
      <c r="AU313" s="13" t="s">
        <v>5035</v>
      </c>
      <c r="AV313" s="13"/>
      <c r="AW313" s="13"/>
      <c r="AX313" s="13"/>
      <c r="AY313" s="13"/>
      <c r="AZ313" s="13"/>
    </row>
    <row r="314" spans="1:55" ht="12.75">
      <c r="A314" s="12">
        <v>45033</v>
      </c>
      <c r="B314" s="13" t="s">
        <v>2062</v>
      </c>
      <c r="C314" s="13"/>
      <c r="D314" s="17"/>
      <c r="E314" s="13"/>
      <c r="F314" s="365" t="s">
        <v>2526</v>
      </c>
      <c r="G314" s="13"/>
      <c r="H314" s="13"/>
      <c r="I314" s="13"/>
      <c r="J314" s="14"/>
      <c r="K314" s="14"/>
      <c r="L314" s="13"/>
      <c r="M314" s="13"/>
      <c r="N314" s="13"/>
      <c r="O314" s="14" t="s">
        <v>2240</v>
      </c>
      <c r="P314" s="14"/>
      <c r="Q314" s="14"/>
      <c r="R314" s="14">
        <v>1</v>
      </c>
      <c r="S314" s="14">
        <v>1</v>
      </c>
      <c r="T314" s="14">
        <v>1</v>
      </c>
      <c r="U314" s="14" t="s">
        <v>22</v>
      </c>
      <c r="V314" s="14">
        <f t="shared" ref="V314" si="113">IF(ISBLANK(O314),,(IF(O314=UPPER("IB"),0.005,0.01)))</f>
        <v>0.01</v>
      </c>
      <c r="W314" s="14">
        <f>IF(ISBLANK(O314),"",IF(O314="IB",8.63*200,IF(O314="IR",16*100,IF(O314="YT",48*100,IF(O314="YT-XT",24*200)))))</f>
        <v>4800</v>
      </c>
      <c r="X314" s="17" t="s">
        <v>5036</v>
      </c>
      <c r="Y314" s="17"/>
      <c r="Z314" s="17"/>
      <c r="AA314" s="18">
        <v>0.39500000000000002</v>
      </c>
      <c r="AB314" s="13"/>
      <c r="AC314" s="13"/>
      <c r="AD314" s="13"/>
      <c r="AE314" s="13"/>
      <c r="AF314" s="13"/>
      <c r="AG314" s="13"/>
      <c r="AH314" s="13"/>
      <c r="AI314" s="19"/>
      <c r="AJ314" s="14"/>
      <c r="AK314" s="13"/>
      <c r="AL314" s="13"/>
      <c r="AM314" s="13"/>
      <c r="AN314" s="13"/>
      <c r="AO314" s="13" t="s">
        <v>4980</v>
      </c>
      <c r="AP314" s="20">
        <v>0.4</v>
      </c>
      <c r="AQ314" s="20">
        <f t="shared" ref="AQ314:AQ315" si="114">IF(ISBLANK(AP314),,IF(U314="S",AA314-AP314,AP314-AA314))</f>
        <v>5.0000000000000044E-3</v>
      </c>
      <c r="AR314" s="94">
        <f t="shared" ref="AR314:AR315" si="115">AS314*R314</f>
        <v>24.000000000000021</v>
      </c>
      <c r="AS314" s="127">
        <f t="shared" ref="AS314:AS315" si="116">IF(ISBLANK(AP314),,(AQ314*W314))</f>
        <v>24.000000000000021</v>
      </c>
      <c r="AT314" s="22" t="s">
        <v>77</v>
      </c>
      <c r="AU314" s="13"/>
      <c r="AV314" s="13"/>
      <c r="AW314" s="13"/>
      <c r="AX314" s="13"/>
      <c r="AY314" s="13"/>
      <c r="AZ314" s="13"/>
    </row>
    <row r="315" spans="1:55" ht="12.75">
      <c r="A315" s="12">
        <v>45033</v>
      </c>
      <c r="B315" s="13" t="s">
        <v>611</v>
      </c>
      <c r="C315" s="13"/>
      <c r="D315" s="17"/>
      <c r="E315" s="13"/>
      <c r="F315" s="365" t="s">
        <v>5037</v>
      </c>
      <c r="G315" s="13"/>
      <c r="H315" s="13"/>
      <c r="I315" s="13"/>
      <c r="J315" s="14"/>
      <c r="K315" s="14"/>
      <c r="L315" s="13"/>
      <c r="M315" s="13"/>
      <c r="N315" s="13"/>
      <c r="O315" s="14" t="s">
        <v>2633</v>
      </c>
      <c r="P315" s="14"/>
      <c r="Q315" s="14"/>
      <c r="R315" s="14">
        <v>1</v>
      </c>
      <c r="S315" s="14">
        <v>1</v>
      </c>
      <c r="T315" s="14">
        <v>1</v>
      </c>
      <c r="U315" s="14" t="s">
        <v>22</v>
      </c>
      <c r="V315" s="14">
        <f t="shared" ref="V315" si="117">IF(ISBLANK(O315),,(IF(O315=UPPER("IB"),0.005,0.01)))</f>
        <v>0.01</v>
      </c>
      <c r="W315" s="14">
        <f t="shared" ref="W315" si="118">IF(ISBLANK(O315),"",IF(O315="IB",8.63*200,IF(O315="IR",16*100,IF(O315="YT",20*100,IF(O315="TED",80*100)))))</f>
        <v>8000</v>
      </c>
      <c r="X315" s="17" t="s">
        <v>5038</v>
      </c>
      <c r="Y315" s="17"/>
      <c r="Z315" s="17"/>
      <c r="AA315" s="18">
        <v>-0.72</v>
      </c>
      <c r="AB315" s="13"/>
      <c r="AC315" s="13"/>
      <c r="AD315" s="13"/>
      <c r="AE315" s="13"/>
      <c r="AF315" s="13"/>
      <c r="AG315" s="13"/>
      <c r="AH315" s="13"/>
      <c r="AI315" s="19"/>
      <c r="AJ315" s="14"/>
      <c r="AK315" s="13"/>
      <c r="AL315" s="13"/>
      <c r="AM315" s="13"/>
      <c r="AN315" s="13"/>
      <c r="AO315" s="13" t="s">
        <v>4980</v>
      </c>
      <c r="AP315" s="20">
        <v>-0.71</v>
      </c>
      <c r="AQ315" s="20">
        <f t="shared" si="114"/>
        <v>1.0000000000000009E-2</v>
      </c>
      <c r="AR315" s="94">
        <f t="shared" si="115"/>
        <v>80.000000000000071</v>
      </c>
      <c r="AS315" s="127">
        <f t="shared" si="116"/>
        <v>80.000000000000071</v>
      </c>
      <c r="AT315" s="22" t="s">
        <v>77</v>
      </c>
      <c r="AU315" s="13"/>
      <c r="AV315" s="13"/>
      <c r="AW315" s="13"/>
      <c r="AX315" s="13"/>
      <c r="AY315" s="13"/>
      <c r="AZ315" s="13"/>
    </row>
    <row r="316" spans="1:55" ht="12.75">
      <c r="A316" s="12">
        <v>45035</v>
      </c>
      <c r="B316" s="13" t="s">
        <v>2234</v>
      </c>
      <c r="C316" s="13"/>
      <c r="D316" s="17"/>
      <c r="E316" s="13"/>
      <c r="F316" s="365" t="s">
        <v>2526</v>
      </c>
      <c r="G316" s="13"/>
      <c r="H316" s="13"/>
      <c r="I316" s="13"/>
      <c r="J316" s="14"/>
      <c r="K316" s="14"/>
      <c r="L316" s="13"/>
      <c r="M316" s="13"/>
      <c r="N316" s="13"/>
      <c r="O316" s="14"/>
      <c r="P316" s="14"/>
      <c r="Q316" s="14"/>
      <c r="R316" s="14"/>
      <c r="S316" s="14"/>
      <c r="T316" s="14"/>
      <c r="U316" s="14"/>
      <c r="V316" s="14"/>
      <c r="W316" s="14"/>
      <c r="X316" s="17"/>
      <c r="Y316" s="17"/>
      <c r="Z316" s="17"/>
      <c r="AA316" s="18"/>
      <c r="AB316" s="13"/>
      <c r="AC316" s="13"/>
      <c r="AD316" s="13"/>
      <c r="AE316" s="13"/>
      <c r="AF316" s="13"/>
      <c r="AG316" s="13"/>
      <c r="AH316" s="13"/>
      <c r="AI316" s="19"/>
      <c r="AJ316" s="14"/>
      <c r="AK316" s="13"/>
      <c r="AL316" s="13"/>
      <c r="AM316" s="13"/>
      <c r="AN316" s="13"/>
      <c r="AO316" s="13"/>
      <c r="AP316" s="20"/>
      <c r="AQ316" s="20"/>
      <c r="AR316" s="94"/>
      <c r="AS316" s="127"/>
      <c r="AT316" s="22"/>
      <c r="AU316" s="13" t="s">
        <v>5039</v>
      </c>
      <c r="AV316" s="13" t="s">
        <v>5040</v>
      </c>
      <c r="AW316" s="13" t="s">
        <v>5041</v>
      </c>
      <c r="AX316" s="13"/>
      <c r="AY316" s="13"/>
      <c r="AZ316" s="13"/>
    </row>
    <row r="317" spans="1:55" ht="12.75">
      <c r="A317" s="12"/>
      <c r="B317" s="13"/>
      <c r="C317" s="13"/>
      <c r="D317" s="17"/>
      <c r="E317" s="13"/>
      <c r="F317" s="365"/>
      <c r="G317" s="13"/>
      <c r="H317" s="13"/>
      <c r="I317" s="13"/>
      <c r="J317" s="14"/>
      <c r="K317" s="14"/>
      <c r="L317" s="13"/>
      <c r="M317" s="13"/>
      <c r="N317" s="13"/>
      <c r="O317" s="14"/>
      <c r="P317" s="14"/>
      <c r="Q317" s="14"/>
      <c r="R317" s="14"/>
      <c r="S317" s="14"/>
      <c r="T317" s="14"/>
      <c r="U317" s="14"/>
      <c r="V317" s="14"/>
      <c r="W317" s="14"/>
      <c r="X317" s="17"/>
      <c r="Y317" s="17"/>
      <c r="Z317" s="17"/>
      <c r="AA317" s="18"/>
      <c r="AB317" s="13"/>
      <c r="AC317" s="13"/>
      <c r="AD317" s="13"/>
      <c r="AE317" s="13"/>
      <c r="AF317" s="13"/>
      <c r="AG317" s="13"/>
      <c r="AH317" s="13"/>
      <c r="AI317" s="19"/>
      <c r="AJ317" s="14"/>
      <c r="AK317" s="13"/>
      <c r="AL317" s="13"/>
      <c r="AM317" s="13"/>
      <c r="AN317" s="13"/>
      <c r="AO317" s="13"/>
      <c r="AP317" s="20"/>
      <c r="AQ317" s="20"/>
      <c r="AR317" s="94"/>
      <c r="AS317" s="127"/>
      <c r="AT317" s="22"/>
      <c r="AU317" s="13"/>
      <c r="AV317" s="13"/>
      <c r="AW317" s="13"/>
      <c r="AX317" s="13"/>
      <c r="AY317" s="13"/>
      <c r="AZ317" s="13"/>
    </row>
    <row r="318" spans="1:55" ht="12.75">
      <c r="A318" s="338">
        <v>45100</v>
      </c>
      <c r="B318" s="121"/>
      <c r="C318" s="121"/>
      <c r="D318" s="132"/>
      <c r="E318" s="121"/>
      <c r="F318" s="133"/>
      <c r="G318" s="121"/>
      <c r="H318" s="121"/>
      <c r="I318" s="121"/>
      <c r="J318" s="121"/>
      <c r="K318" s="121"/>
      <c r="L318" s="121"/>
      <c r="M318" s="121"/>
      <c r="N318" s="121"/>
      <c r="O318" s="121"/>
      <c r="P318" s="133"/>
      <c r="Q318" s="133"/>
      <c r="R318" s="133"/>
      <c r="S318" s="133"/>
      <c r="T318" s="133"/>
      <c r="U318" s="133"/>
      <c r="V318" s="132"/>
      <c r="W318" s="132"/>
      <c r="X318" s="132"/>
      <c r="Y318" s="132"/>
      <c r="Z318" s="132"/>
      <c r="AA318" s="134"/>
      <c r="AB318" s="121"/>
      <c r="AC318" s="121"/>
      <c r="AD318" s="121"/>
      <c r="AE318" s="121"/>
      <c r="AF318" s="121"/>
      <c r="AG318" s="121"/>
      <c r="AH318" s="121"/>
      <c r="AI318" s="135"/>
      <c r="AJ318" s="133"/>
      <c r="AK318" s="121"/>
      <c r="AL318" s="121"/>
      <c r="AM318" s="121"/>
      <c r="AN318" s="121"/>
      <c r="AO318" s="121"/>
      <c r="AP318" s="136"/>
      <c r="AQ318" s="136"/>
      <c r="AR318" s="136"/>
      <c r="AS318" s="136"/>
      <c r="AT318" s="93"/>
      <c r="AU318" s="121"/>
      <c r="AV318" s="121"/>
      <c r="AW318" s="121"/>
      <c r="AX318" s="121"/>
      <c r="AY318" s="121"/>
      <c r="AZ318" s="121"/>
    </row>
    <row r="319" spans="1:55" ht="12.75">
      <c r="A319" s="12"/>
      <c r="B319" s="13"/>
      <c r="C319" s="13"/>
      <c r="D319" s="17"/>
      <c r="E319" s="13"/>
      <c r="F319" s="365"/>
      <c r="G319" s="13"/>
      <c r="H319" s="13"/>
      <c r="I319" s="13"/>
      <c r="J319" s="14"/>
      <c r="K319" s="14"/>
      <c r="L319" s="13"/>
      <c r="M319" s="13"/>
      <c r="N319" s="13"/>
      <c r="O319" s="14"/>
      <c r="P319" s="14"/>
      <c r="Q319" s="14"/>
      <c r="R319" s="14"/>
      <c r="S319" s="14"/>
      <c r="T319" s="14"/>
      <c r="U319" s="14"/>
      <c r="V319" s="14"/>
      <c r="W319" s="14"/>
      <c r="X319" s="17"/>
      <c r="Y319" s="17"/>
      <c r="Z319" s="17"/>
      <c r="AA319" s="18"/>
      <c r="AB319" s="13"/>
      <c r="AC319" s="13"/>
      <c r="AD319" s="13"/>
      <c r="AE319" s="13"/>
      <c r="AF319" s="13"/>
      <c r="AG319" s="13"/>
      <c r="AH319" s="13"/>
      <c r="AI319" s="19"/>
      <c r="AJ319" s="14"/>
      <c r="AK319" s="13"/>
      <c r="AL319" s="13"/>
      <c r="AM319" s="13"/>
      <c r="AN319" s="13"/>
      <c r="AO319" s="13"/>
      <c r="AP319" s="20"/>
      <c r="AQ319" s="20"/>
      <c r="AR319" s="94"/>
      <c r="AS319" s="127"/>
      <c r="AT319" s="22"/>
      <c r="AU319" s="13"/>
      <c r="AV319" s="13"/>
      <c r="AW319" s="13"/>
      <c r="AX319" s="13"/>
      <c r="AY319" s="13"/>
      <c r="AZ319" s="13"/>
    </row>
    <row r="320" spans="1:55" ht="12.75">
      <c r="A320" s="12"/>
      <c r="B320" s="13"/>
      <c r="C320" s="13"/>
      <c r="D320" s="17"/>
      <c r="E320" s="13"/>
      <c r="F320" s="365"/>
      <c r="G320" s="13"/>
      <c r="H320" s="13"/>
      <c r="I320" s="13"/>
      <c r="J320" s="14"/>
      <c r="K320" s="14"/>
      <c r="L320" s="13"/>
      <c r="M320" s="13"/>
      <c r="N320" s="13"/>
      <c r="O320" s="14"/>
      <c r="P320" s="14"/>
      <c r="Q320" s="14"/>
      <c r="R320" s="14"/>
      <c r="S320" s="14"/>
      <c r="T320" s="14"/>
      <c r="U320" s="14"/>
      <c r="V320" s="14"/>
      <c r="W320" s="14"/>
      <c r="X320" s="17"/>
      <c r="Y320" s="17"/>
      <c r="Z320" s="17"/>
      <c r="AA320" s="18"/>
      <c r="AB320" s="13"/>
      <c r="AC320" s="13"/>
      <c r="AD320" s="13"/>
      <c r="AE320" s="13"/>
      <c r="AF320" s="13"/>
      <c r="AG320" s="13"/>
      <c r="AH320" s="13"/>
      <c r="AI320" s="19"/>
      <c r="AJ320" s="14"/>
      <c r="AK320" s="13"/>
      <c r="AL320" s="13"/>
      <c r="AM320" s="13"/>
      <c r="AN320" s="13"/>
      <c r="AO320" s="13"/>
      <c r="AP320" s="20"/>
      <c r="AQ320" s="20"/>
      <c r="AR320" s="94"/>
      <c r="AS320" s="127"/>
      <c r="AT320" s="22"/>
      <c r="AU320" s="13"/>
      <c r="AV320" s="13"/>
      <c r="AW320" s="13"/>
      <c r="AX320" s="13"/>
      <c r="AY320" s="13"/>
      <c r="AZ320" s="13"/>
    </row>
    <row r="321" spans="1:52" ht="12.75">
      <c r="A321" s="12"/>
      <c r="B321" s="13"/>
      <c r="C321" s="13"/>
      <c r="D321" s="17"/>
      <c r="E321" s="13"/>
      <c r="F321" s="14"/>
      <c r="G321" s="13"/>
      <c r="H321" s="13"/>
      <c r="I321" s="13"/>
      <c r="J321" s="14"/>
      <c r="K321" s="14"/>
      <c r="L321" s="13"/>
      <c r="M321" s="13"/>
      <c r="N321" s="13"/>
      <c r="O321" s="14"/>
      <c r="P321" s="14"/>
      <c r="Q321" s="14"/>
      <c r="R321" s="14"/>
      <c r="S321" s="14"/>
      <c r="T321" s="14"/>
      <c r="U321" s="14"/>
      <c r="V321" s="14"/>
      <c r="W321" s="14"/>
      <c r="X321" s="17"/>
      <c r="Y321" s="17"/>
      <c r="Z321" s="17"/>
      <c r="AA321" s="18"/>
      <c r="AB321" s="13"/>
      <c r="AC321" s="13"/>
      <c r="AD321" s="13"/>
      <c r="AE321" s="13"/>
      <c r="AF321" s="13"/>
      <c r="AG321" s="13"/>
      <c r="AH321" s="13"/>
      <c r="AI321" s="19"/>
      <c r="AJ321" s="14"/>
      <c r="AK321" s="13"/>
      <c r="AL321" s="13"/>
      <c r="AM321" s="13"/>
      <c r="AN321" s="13"/>
      <c r="AO321" s="13"/>
      <c r="AP321" s="20"/>
      <c r="AQ321" s="13"/>
      <c r="AR321" s="79"/>
      <c r="AS321" s="21"/>
      <c r="AT321" s="22"/>
      <c r="AU321" s="13"/>
      <c r="AV321" s="13"/>
      <c r="AW321" s="13"/>
      <c r="AX321" s="13"/>
      <c r="AY321" s="13"/>
      <c r="AZ321" s="13"/>
    </row>
    <row r="322" spans="1:52" ht="12.75">
      <c r="A322" s="12"/>
      <c r="B322" s="13"/>
      <c r="C322" s="13"/>
      <c r="D322" s="17"/>
      <c r="E322" s="13"/>
      <c r="F322" s="14"/>
      <c r="G322" s="13"/>
      <c r="H322" s="13"/>
      <c r="I322" s="13"/>
      <c r="J322" s="14"/>
      <c r="K322" s="14"/>
      <c r="L322" s="13"/>
      <c r="M322" s="13"/>
      <c r="N322" s="13"/>
      <c r="O322" s="14"/>
      <c r="P322" s="14"/>
      <c r="Q322" s="14"/>
      <c r="R322" s="14"/>
      <c r="S322" s="14"/>
      <c r="T322" s="14"/>
      <c r="U322" s="14"/>
      <c r="V322" s="14"/>
      <c r="W322" s="14"/>
      <c r="X322" s="17"/>
      <c r="Y322" s="17"/>
      <c r="Z322" s="17"/>
      <c r="AA322" s="18"/>
      <c r="AB322" s="13"/>
      <c r="AC322" s="13"/>
      <c r="AD322" s="13"/>
      <c r="AE322" s="13"/>
      <c r="AF322" s="13"/>
      <c r="AG322" s="13"/>
      <c r="AH322" s="13"/>
      <c r="AI322" s="19"/>
      <c r="AJ322" s="14"/>
      <c r="AK322" s="13"/>
      <c r="AL322" s="13"/>
      <c r="AM322" s="13"/>
      <c r="AN322" s="13"/>
      <c r="AO322" s="13"/>
      <c r="AP322" s="20"/>
      <c r="AQ322" s="13"/>
      <c r="AR322" s="79"/>
      <c r="AS322" s="21"/>
      <c r="AT322" s="22"/>
      <c r="AU322" s="13"/>
      <c r="AV322" s="13"/>
      <c r="AW322" s="13"/>
      <c r="AX322" s="13"/>
      <c r="AY322" s="13"/>
      <c r="AZ322" s="13"/>
    </row>
    <row r="323" spans="1:52" ht="12.75">
      <c r="A323" s="12"/>
      <c r="B323" s="13"/>
      <c r="C323" s="13"/>
      <c r="D323" s="17"/>
      <c r="E323" s="13"/>
      <c r="F323" s="14"/>
      <c r="G323" s="13"/>
      <c r="H323" s="13"/>
      <c r="I323" s="13"/>
      <c r="J323" s="14"/>
      <c r="K323" s="14"/>
      <c r="L323" s="13"/>
      <c r="M323" s="13"/>
      <c r="N323" s="13"/>
      <c r="O323" s="14"/>
      <c r="P323" s="14"/>
      <c r="Q323" s="14"/>
      <c r="R323" s="14"/>
      <c r="S323" s="14"/>
      <c r="T323" s="14"/>
      <c r="U323" s="14"/>
      <c r="V323" s="14"/>
      <c r="W323" s="14"/>
      <c r="X323" s="17"/>
      <c r="Y323" s="17"/>
      <c r="Z323" s="17"/>
      <c r="AA323" s="18"/>
      <c r="AB323" s="13"/>
      <c r="AC323" s="13"/>
      <c r="AD323" s="13"/>
      <c r="AE323" s="13"/>
      <c r="AF323" s="13"/>
      <c r="AG323" s="13"/>
      <c r="AH323" s="13"/>
      <c r="AI323" s="19"/>
      <c r="AJ323" s="14"/>
      <c r="AK323" s="13"/>
      <c r="AL323" s="13"/>
      <c r="AM323" s="13"/>
      <c r="AN323" s="13"/>
      <c r="AO323" s="13"/>
      <c r="AP323" s="20"/>
      <c r="AQ323" s="13"/>
      <c r="AR323" s="79"/>
      <c r="AS323" s="21"/>
      <c r="AT323" s="22"/>
      <c r="AU323" s="13"/>
      <c r="AV323" s="13"/>
      <c r="AW323" s="13"/>
      <c r="AX323" s="13"/>
      <c r="AY323" s="13"/>
      <c r="AZ323" s="13"/>
    </row>
    <row r="324" spans="1:52" ht="12.75">
      <c r="A324" s="38"/>
      <c r="B324" s="38"/>
      <c r="C324" s="38"/>
      <c r="D324" s="39"/>
      <c r="E324" s="38"/>
      <c r="F324" s="40"/>
      <c r="G324" s="38"/>
      <c r="H324" s="38"/>
      <c r="I324" s="67"/>
      <c r="J324" s="14"/>
      <c r="K324" s="14"/>
      <c r="L324" s="38"/>
      <c r="M324" s="38"/>
      <c r="N324" s="38"/>
      <c r="O324" s="40"/>
      <c r="P324" s="40"/>
      <c r="Q324" s="40"/>
      <c r="R324" s="40"/>
      <c r="S324" s="40"/>
      <c r="T324" s="40"/>
      <c r="U324" s="40"/>
      <c r="V324" s="40">
        <f>IF(ISBLANK(O324),,(IF(O324=UPPER("IB"),0.005,0.01)))</f>
        <v>0</v>
      </c>
      <c r="W324" s="40">
        <f>IF(ISBLANK(O324),,IF(O324=UPPER("IB"),8.52,16.65))</f>
        <v>0</v>
      </c>
      <c r="X324" s="39"/>
      <c r="Y324" s="39"/>
      <c r="Z324" s="39"/>
      <c r="AA324" s="41"/>
      <c r="AB324" s="38"/>
      <c r="AC324" s="38"/>
      <c r="AD324" s="38"/>
      <c r="AE324" s="38"/>
      <c r="AF324" s="38"/>
      <c r="AG324" s="38"/>
      <c r="AH324" s="38"/>
      <c r="AI324" s="38"/>
      <c r="AJ324" s="38"/>
      <c r="AK324" s="38"/>
      <c r="AL324" s="38"/>
      <c r="AM324" s="38"/>
      <c r="AN324" s="38"/>
      <c r="AO324" s="38"/>
      <c r="AP324" s="42"/>
      <c r="AQ324" s="38">
        <f>IF(ISBLANK(AP324),,IF(U324="S",AA324-AP324,AP324-AA324))</f>
        <v>0</v>
      </c>
      <c r="AR324" s="43"/>
      <c r="AS324" s="44"/>
      <c r="AT324" s="40"/>
      <c r="AU324" s="38"/>
      <c r="AV324" s="38"/>
      <c r="AW324" s="38"/>
      <c r="AX324" s="38"/>
      <c r="AY324" s="38"/>
      <c r="AZ324" s="38"/>
    </row>
    <row r="325" spans="1:52" ht="12.75">
      <c r="A325" s="38"/>
      <c r="B325" s="38"/>
      <c r="C325" s="38"/>
      <c r="D325" s="39"/>
      <c r="E325" s="38"/>
      <c r="F325" s="40"/>
      <c r="G325" s="38"/>
      <c r="H325" s="38"/>
      <c r="I325" s="39" t="s">
        <v>5042</v>
      </c>
      <c r="J325" s="14"/>
      <c r="K325" s="14"/>
      <c r="L325" s="38">
        <f>SUM(L4:L324)</f>
        <v>185</v>
      </c>
      <c r="M325" s="38">
        <f>SUM(M4:M324)</f>
        <v>114</v>
      </c>
      <c r="N325" s="38">
        <f>SUM(N4:N324)</f>
        <v>63</v>
      </c>
      <c r="O325" s="40"/>
      <c r="P325" s="40"/>
      <c r="Q325" s="40"/>
      <c r="R325" s="40"/>
      <c r="S325" s="40"/>
      <c r="T325" s="40">
        <f>COUNTIF(U4:U324,"B")</f>
        <v>112</v>
      </c>
      <c r="U325" s="39" t="s">
        <v>22</v>
      </c>
      <c r="V325" s="40"/>
      <c r="W325" s="45" t="s">
        <v>5043</v>
      </c>
      <c r="X325" s="39">
        <f>COUNTA(X4:X324)</f>
        <v>81</v>
      </c>
      <c r="Y325" s="39">
        <f>COUNTA(Y4:Y324)</f>
        <v>37</v>
      </c>
      <c r="Z325" s="39">
        <f>COUNTA(Z4:Z324)</f>
        <v>102</v>
      </c>
      <c r="AA325" s="41"/>
      <c r="AB325" s="38"/>
      <c r="AC325" s="38"/>
      <c r="AD325" s="38"/>
      <c r="AE325" s="38"/>
      <c r="AF325" s="38"/>
      <c r="AG325" s="38"/>
      <c r="AH325" s="38"/>
      <c r="AI325" s="38"/>
      <c r="AJ325" s="38"/>
      <c r="AK325" s="38"/>
      <c r="AL325" s="38"/>
      <c r="AM325" s="38" t="s">
        <v>376</v>
      </c>
      <c r="AN325" s="38">
        <f>COUNTIF(AN4:AN313,"M")</f>
        <v>16</v>
      </c>
      <c r="AO325" s="38"/>
      <c r="AP325" s="42"/>
      <c r="AQ325" s="38"/>
      <c r="AR325" s="148">
        <f>SUM(AR4:AR324)</f>
        <v>-5564.366199999994</v>
      </c>
      <c r="AS325" s="48"/>
      <c r="AT325" s="40"/>
      <c r="AU325" s="38"/>
      <c r="AV325" s="38"/>
      <c r="AW325" s="38"/>
      <c r="AX325" s="38"/>
      <c r="AY325" s="38"/>
      <c r="AZ325" s="38"/>
    </row>
    <row r="326" spans="1:52" ht="12.75">
      <c r="A326" s="38"/>
      <c r="B326" s="38"/>
      <c r="C326" s="38"/>
      <c r="D326" s="39"/>
      <c r="E326" s="38"/>
      <c r="F326" s="40"/>
      <c r="G326" s="38"/>
      <c r="H326" s="38"/>
      <c r="I326" s="39"/>
      <c r="J326" s="14"/>
      <c r="K326" s="14"/>
      <c r="L326" s="39"/>
      <c r="M326" s="39"/>
      <c r="N326" s="39"/>
      <c r="O326" s="40"/>
      <c r="P326" s="40"/>
      <c r="Q326" s="40"/>
      <c r="R326" s="40"/>
      <c r="S326" s="40"/>
      <c r="T326" s="40"/>
      <c r="U326" s="39"/>
      <c r="V326" s="40"/>
      <c r="W326" s="45"/>
      <c r="X326" s="39"/>
      <c r="Y326" s="39"/>
      <c r="Z326" s="39"/>
      <c r="AA326" s="41"/>
      <c r="AB326" s="38"/>
      <c r="AC326" s="38"/>
      <c r="AD326" s="38"/>
      <c r="AE326" s="38"/>
      <c r="AF326" s="38"/>
      <c r="AG326" s="38"/>
      <c r="AH326" s="38"/>
      <c r="AI326" s="38"/>
      <c r="AJ326" s="38"/>
      <c r="AK326" s="38"/>
      <c r="AL326" s="38"/>
      <c r="AM326" s="38"/>
      <c r="AN326" s="38"/>
      <c r="AO326" s="38"/>
      <c r="AP326" s="42"/>
      <c r="AQ326" s="38"/>
      <c r="AR326" s="43"/>
      <c r="AS326" s="44"/>
      <c r="AT326" s="40"/>
      <c r="AU326" s="38"/>
      <c r="AV326" s="38"/>
      <c r="AW326" s="38"/>
      <c r="AX326" s="38"/>
      <c r="AY326" s="38"/>
      <c r="AZ326" s="38"/>
    </row>
    <row r="327" spans="1:52" ht="12.75">
      <c r="A327" s="38"/>
      <c r="B327" s="38"/>
      <c r="C327" s="38"/>
      <c r="D327" s="39"/>
      <c r="E327" s="38"/>
      <c r="F327" s="40"/>
      <c r="G327" s="38"/>
      <c r="H327" s="38"/>
      <c r="I327" s="39" t="s">
        <v>5043</v>
      </c>
      <c r="J327" s="14"/>
      <c r="K327" s="14"/>
      <c r="L327" s="39">
        <f>COUNTA(L4:L324)</f>
        <v>138</v>
      </c>
      <c r="M327" s="39">
        <f>COUNTA(M4:M324)</f>
        <v>66</v>
      </c>
      <c r="N327" s="39">
        <f>COUNTA(N4:N324)</f>
        <v>43</v>
      </c>
      <c r="O327" s="40"/>
      <c r="P327" s="40"/>
      <c r="Q327" s="40"/>
      <c r="R327" s="40"/>
      <c r="S327" s="40"/>
      <c r="T327" s="40">
        <f>COUNTIF(U4:U324,"S")</f>
        <v>95</v>
      </c>
      <c r="U327" s="39" t="s">
        <v>78</v>
      </c>
      <c r="V327" s="40"/>
      <c r="W327" s="45" t="s">
        <v>3935</v>
      </c>
      <c r="X327" s="39">
        <f>COUNTIFS(X4:X324,"&lt;&gt;",$AT4:$AT324,"W")</f>
        <v>35</v>
      </c>
      <c r="Y327" s="39">
        <f>COUNTIFS(Y4:Y324,"&lt;&gt;",$AT4:$AT324,"W")</f>
        <v>10</v>
      </c>
      <c r="Z327" s="39">
        <f>COUNTIFS(Z4:Z324,"&lt;&gt;",$AT4:$AT324,"W")</f>
        <v>59</v>
      </c>
      <c r="AA327" s="41"/>
      <c r="AB327" s="38"/>
      <c r="AC327" s="38"/>
      <c r="AD327" s="38"/>
      <c r="AE327" s="38"/>
      <c r="AF327" s="38"/>
      <c r="AG327" s="38"/>
      <c r="AH327" s="38"/>
      <c r="AI327" s="38"/>
      <c r="AJ327" s="38"/>
      <c r="AK327" s="38"/>
      <c r="AL327" s="38"/>
      <c r="AM327" s="38" t="s">
        <v>87</v>
      </c>
      <c r="AN327" s="38">
        <f>COUNTIF(AN5:AN324,"H")</f>
        <v>63</v>
      </c>
      <c r="AO327" s="38"/>
      <c r="AP327" s="42"/>
      <c r="AQ327" s="38"/>
      <c r="AR327" s="43"/>
      <c r="AS327" s="44"/>
      <c r="AT327" s="40"/>
      <c r="AU327" s="38"/>
      <c r="AV327" s="38"/>
      <c r="AW327" s="38"/>
      <c r="AX327" s="38"/>
      <c r="AY327" s="38"/>
      <c r="AZ327" s="38"/>
    </row>
    <row r="328" spans="1:52" ht="15">
      <c r="A328" s="38"/>
      <c r="B328" s="38"/>
      <c r="C328" s="38"/>
      <c r="D328" s="39"/>
      <c r="E328" s="38"/>
      <c r="F328" s="40"/>
      <c r="G328" s="38"/>
      <c r="H328" s="38"/>
      <c r="I328" s="39" t="s">
        <v>5044</v>
      </c>
      <c r="J328" s="14"/>
      <c r="K328" s="14"/>
      <c r="L328" s="39">
        <f t="shared" ref="L328:N328" si="119">L327*3</f>
        <v>414</v>
      </c>
      <c r="M328" s="39">
        <f t="shared" si="119"/>
        <v>198</v>
      </c>
      <c r="N328" s="39">
        <f t="shared" si="119"/>
        <v>129</v>
      </c>
      <c r="O328" s="40"/>
      <c r="P328" s="40">
        <f>COUNTIF(P4:P313,"W")</f>
        <v>97</v>
      </c>
      <c r="Q328" s="40"/>
      <c r="R328" s="40"/>
      <c r="S328" s="40"/>
      <c r="T328" s="40">
        <f>COUNTIFS(U4:U324,"B",$AT4:$AT324,"W")</f>
        <v>57</v>
      </c>
      <c r="U328" s="38" t="s">
        <v>5045</v>
      </c>
      <c r="V328" s="40"/>
      <c r="W328" s="45" t="s">
        <v>3966</v>
      </c>
      <c r="X328" s="52">
        <f>COUNTIFS(X4:X324,"&lt;&gt;",$AT4:$AT324,"L")</f>
        <v>23</v>
      </c>
      <c r="Y328" s="52">
        <f>COUNTIFS(Y4:Y324,"&lt;&gt;",$AT4:$AT324,"L")</f>
        <v>14</v>
      </c>
      <c r="Z328" s="52">
        <f>COUNTIFS(Z4:Z313,"&lt;&gt;",$AT4:$AT313,"L")</f>
        <v>5</v>
      </c>
      <c r="AA328" s="41"/>
      <c r="AB328" s="38"/>
      <c r="AC328" s="38"/>
      <c r="AD328" s="38"/>
      <c r="AE328" s="38"/>
      <c r="AF328" s="38"/>
      <c r="AG328" s="38"/>
      <c r="AH328" s="38"/>
      <c r="AI328" s="38"/>
      <c r="AJ328" s="38"/>
      <c r="AK328" s="38"/>
      <c r="AL328" s="38"/>
      <c r="AM328" s="38" t="s">
        <v>97</v>
      </c>
      <c r="AN328" s="38">
        <f>COUNTIF(AN6:AN325,"D")</f>
        <v>34</v>
      </c>
      <c r="AO328" s="38"/>
      <c r="AP328" s="42"/>
      <c r="AQ328" s="38"/>
      <c r="AR328" s="149">
        <f>SUM(AR71:AR313)</f>
        <v>-3512.1912000000953</v>
      </c>
      <c r="AS328" s="44"/>
      <c r="AT328" s="40"/>
      <c r="AU328" s="38"/>
      <c r="AV328" s="38"/>
      <c r="AW328" s="38"/>
      <c r="AX328" s="38"/>
      <c r="AY328" s="38"/>
      <c r="AZ328" s="38"/>
    </row>
    <row r="329" spans="1:52" ht="15">
      <c r="A329" s="38"/>
      <c r="B329" s="38"/>
      <c r="C329" s="38"/>
      <c r="D329" s="39"/>
      <c r="E329" s="38"/>
      <c r="F329" s="40"/>
      <c r="G329" s="38"/>
      <c r="H329" s="38"/>
      <c r="I329" s="39" t="s">
        <v>3935</v>
      </c>
      <c r="J329" s="14"/>
      <c r="K329" s="14"/>
      <c r="L329" s="38">
        <f>COUNTIFS($AT4:$AT324,"W",L4:L324,1)+COUNTIFS($AT4:$AT324,"W",L4:L324,2)+COUNTIFS($AT4:$AT324,"W",L4:L324,3)</f>
        <v>74</v>
      </c>
      <c r="M329" s="38">
        <f>COUNTIFS($AT4:$AT324,"W",M4:M324,1)+COUNTIFS($AT4:$AT324,"W",M4:M324,2)+COUNTIFS($AT4:$AT324,"W",M4:M324,3)</f>
        <v>19</v>
      </c>
      <c r="N329" s="38">
        <f>COUNTIFS($AT4:$AT324,"W",N4:N324,1)+COUNTIFS($AT4:$AT324,"W",N4:N324,2)+COUNTIFS($AT4:$AT324,"W",N4:N324,3)</f>
        <v>18</v>
      </c>
      <c r="O329" s="40"/>
      <c r="P329" s="40">
        <f>COUNTIFS(P4:P313,"W",AT4:AT313,"W")</f>
        <v>37</v>
      </c>
      <c r="Q329" s="40"/>
      <c r="R329" s="40"/>
      <c r="S329" s="40"/>
      <c r="T329" s="40">
        <f>COUNTIFS(U4:U324,"S",$AT4:$AT324,"W")</f>
        <v>40</v>
      </c>
      <c r="U329" s="38" t="s">
        <v>5046</v>
      </c>
      <c r="V329" s="40"/>
      <c r="W329" s="45" t="s">
        <v>5047</v>
      </c>
      <c r="X329" s="56">
        <f>COUNTIFS(X4:X313,"&lt;&gt;",Y4:Y313,"&lt;&gt;")</f>
        <v>12</v>
      </c>
      <c r="Y329" s="56">
        <f>COUNTIFS(Y4:Y324,"&lt;&gt;",X4:X324,"&lt;&gt;",$AT4:$AT324,"W")</f>
        <v>3</v>
      </c>
      <c r="Z329" s="56">
        <f>COUNTIFS(X4:X313,"&lt;&gt;",Y4:Y313,"&lt;&gt;",$AT4:$AT313,"L")</f>
        <v>3</v>
      </c>
      <c r="AA329" s="52"/>
      <c r="AB329" s="38"/>
      <c r="AC329" s="38"/>
      <c r="AD329" s="38"/>
      <c r="AE329" s="38"/>
      <c r="AF329" s="38"/>
      <c r="AG329" s="38"/>
      <c r="AH329" s="38"/>
      <c r="AI329" s="38"/>
      <c r="AJ329" s="38"/>
      <c r="AK329" s="38"/>
      <c r="AL329" s="38"/>
      <c r="AM329" s="38" t="s">
        <v>77</v>
      </c>
      <c r="AN329" s="38">
        <f>COUNTIF(AN7:AN327,"W")</f>
        <v>8</v>
      </c>
      <c r="AO329" s="38"/>
      <c r="AP329" s="42"/>
      <c r="AQ329" s="38"/>
      <c r="AR329" s="43"/>
      <c r="AS329" s="44"/>
      <c r="AT329" s="40"/>
      <c r="AU329" s="38"/>
      <c r="AV329" s="38"/>
      <c r="AW329" s="38"/>
      <c r="AX329" s="38"/>
      <c r="AY329" s="38"/>
      <c r="AZ329" s="38"/>
    </row>
    <row r="330" spans="1:52" ht="15">
      <c r="A330" s="38"/>
      <c r="B330" s="38"/>
      <c r="C330" s="38"/>
      <c r="D330" s="39"/>
      <c r="E330" s="38"/>
      <c r="F330" s="40"/>
      <c r="G330" s="38"/>
      <c r="H330" s="38"/>
      <c r="I330" s="39" t="s">
        <v>3966</v>
      </c>
      <c r="J330" s="14"/>
      <c r="K330" s="14"/>
      <c r="L330" s="52">
        <f>COUNTIFS($AT4:$AT324,"L",L4:L324,1)+COUNTIFS($AT4:$AT324,"L",L4:L324,2)+COUNTIFS($AT4:$AT324,"L",L4:L324,3)</f>
        <v>19</v>
      </c>
      <c r="M330" s="52">
        <f>COUNTIFS($AT4:$AT324,"L",M4:M324,1)+COUNTIFS($AT4:$AT324,"L",M4:M324,2)+COUNTIFS($AT4:$AT324,"L",M4:M324,3)</f>
        <v>18</v>
      </c>
      <c r="N330" s="52">
        <f>COUNTIFS($AT4:$AT324,"L",N4:N324,1)+COUNTIFS($AT4:$AT324,"L",N4:N324,2)+COUNTIFS($AT4:$AT324,"L",N4:N324,3)</f>
        <v>9</v>
      </c>
      <c r="O330" s="40"/>
      <c r="P330" s="40">
        <f>COUNTIFS(P4:P313,"W",AT4:AT313,"L")</f>
        <v>24</v>
      </c>
      <c r="Q330" s="40"/>
      <c r="R330" s="40"/>
      <c r="S330" s="40"/>
      <c r="T330" s="40">
        <f>COUNTIFS(U4:U324,"B",$AT4:$AT324,"L")</f>
        <v>22</v>
      </c>
      <c r="U330" s="38" t="s">
        <v>5048</v>
      </c>
      <c r="V330" s="40"/>
      <c r="W330" s="45" t="s">
        <v>5049</v>
      </c>
      <c r="X330" s="56">
        <f>COUNTIFS(X4:X313,"&lt;&gt;",Z4:Z313,"&lt;&gt;")</f>
        <v>3</v>
      </c>
      <c r="Y330" s="56">
        <f>COUNTIFS(X4:X313,"&lt;&gt;",Z4:Z313,"&lt;&gt;",$AT4:$AT313,"W")</f>
        <v>1</v>
      </c>
      <c r="Z330" s="56">
        <f>COUNTIFS(X4:X313,"&lt;&gt;",Z4:Z313,"&lt;&gt;",$AT4:$AT313,"L")</f>
        <v>0</v>
      </c>
      <c r="AA330" s="41"/>
      <c r="AB330" s="38"/>
      <c r="AC330" s="38"/>
      <c r="AD330" s="38"/>
      <c r="AE330" s="38"/>
      <c r="AF330" s="38"/>
      <c r="AG330" s="38"/>
      <c r="AH330" s="38"/>
      <c r="AI330" s="38"/>
      <c r="AJ330" s="38"/>
      <c r="AK330" s="38"/>
      <c r="AL330" s="38"/>
      <c r="AM330" s="38" t="s">
        <v>3935</v>
      </c>
      <c r="AN330" s="38"/>
      <c r="AO330" s="38"/>
      <c r="AP330" s="42"/>
      <c r="AQ330" s="38"/>
      <c r="AR330" s="43"/>
      <c r="AS330" s="44"/>
      <c r="AT330" s="40"/>
      <c r="AU330" s="38"/>
      <c r="AV330" s="38"/>
      <c r="AW330" s="38"/>
      <c r="AX330" s="38"/>
      <c r="AY330" s="38"/>
      <c r="AZ330" s="38"/>
    </row>
    <row r="331" spans="1:52" ht="15">
      <c r="I331" s="38" t="s">
        <v>5050</v>
      </c>
      <c r="J331" s="14"/>
      <c r="K331" s="14"/>
      <c r="L331" s="39">
        <f>SUMIFS(L4:L324,$AT4:$AT324,"W")</f>
        <v>100</v>
      </c>
      <c r="M331" s="39">
        <f>SUMIFS(M4:M324,$AT4:$AT324,"W")</f>
        <v>28</v>
      </c>
      <c r="N331" s="39">
        <f>SUMIFS(N4:N324,$AT4:$AT324,"W")</f>
        <v>20</v>
      </c>
      <c r="O331" s="40"/>
      <c r="P331" s="49">
        <f>COUNTIF(P4:P313,"R")</f>
        <v>102</v>
      </c>
      <c r="Q331" s="40"/>
      <c r="R331" s="40"/>
      <c r="S331" s="40"/>
      <c r="T331" s="40">
        <f>COUNTIFS(U4:U324,"S",$AT4:$AT324,"L")</f>
        <v>20</v>
      </c>
      <c r="U331" s="38" t="s">
        <v>5051</v>
      </c>
      <c r="V331" s="40"/>
      <c r="W331" s="45" t="s">
        <v>5052</v>
      </c>
      <c r="X331" s="56">
        <f>COUNTIFS(Z4:Z313,"&lt;&gt;",Y4:Y313,"&lt;&gt;")</f>
        <v>9</v>
      </c>
      <c r="Y331" s="56">
        <f>COUNTIFS(Z4:Z313,"&lt;&gt;",Y4:Y313,"&lt;&gt;",$AT4:$AT313,"W")</f>
        <v>6</v>
      </c>
      <c r="Z331" s="56">
        <f>COUNTIFS(Y4:Y313,"&lt;&gt;",Z4:Z313,"&lt;&gt;",$AT4:$AT313,"L")</f>
        <v>0</v>
      </c>
      <c r="AA331" s="41"/>
      <c r="AB331" s="38"/>
      <c r="AC331" s="38"/>
      <c r="AD331" s="38"/>
      <c r="AE331" s="38"/>
      <c r="AF331" s="38"/>
      <c r="AG331" s="38"/>
      <c r="AH331" s="38"/>
      <c r="AI331" s="38"/>
      <c r="AJ331" s="38"/>
      <c r="AK331" s="38"/>
      <c r="AL331" s="38"/>
      <c r="AM331" s="38" t="s">
        <v>376</v>
      </c>
      <c r="AN331" s="38">
        <f>COUNTIFS(AN4:AN313,"M",AT4:AT313,"W")</f>
        <v>12</v>
      </c>
      <c r="AO331" s="38"/>
      <c r="AP331" s="42"/>
      <c r="AQ331" s="38" t="s">
        <v>5053</v>
      </c>
      <c r="AR331" s="70">
        <f>SUM(AR173:AR313)</f>
        <v>3323.8704999999168</v>
      </c>
    </row>
    <row r="332" spans="1:52" ht="15">
      <c r="I332" s="38" t="s">
        <v>5054</v>
      </c>
      <c r="J332" s="14"/>
      <c r="K332" s="14"/>
      <c r="L332" s="52">
        <f>SUMIFS(L4:L324,$AT4:$AT324,"L")</f>
        <v>26</v>
      </c>
      <c r="M332" s="52">
        <f>SUMIFS(M4:M324,$AT4:$AT324,"L")</f>
        <v>38</v>
      </c>
      <c r="N332" s="52">
        <f>SUMIFS(N4:N324,$AT4:$AT324,"L")</f>
        <v>18</v>
      </c>
      <c r="O332" s="40"/>
      <c r="P332" s="40">
        <f>COUNTIFS(P4:P313,"R",AT4:AT313,"W")</f>
        <v>56</v>
      </c>
      <c r="Q332" s="40"/>
      <c r="R332" s="40"/>
      <c r="S332" s="40"/>
      <c r="T332" s="40"/>
      <c r="U332" s="40"/>
      <c r="V332" s="40"/>
      <c r="W332" s="45" t="s">
        <v>5055</v>
      </c>
      <c r="X332" s="56">
        <f>COUNTIFS(X4:X313,"&lt;&gt;",Y4:Y313,"&lt;&gt;",Z4:Z313,"&lt;&gt;")</f>
        <v>2</v>
      </c>
      <c r="Y332" s="56">
        <f>COUNTIFS(X4:X313,"&lt;&gt;",Y4:Y313,"&lt;&gt;",Z4:Z313,"&lt;&gt;", $AT4:$AT313,"W")</f>
        <v>1</v>
      </c>
      <c r="Z332" s="56">
        <f>COUNTIFS(X4:X313,"&lt;&gt;",Y4:Y313,"&lt;&gt;",Z4:Z313,"&lt;&gt;",$AT4:$AT313,"L")</f>
        <v>0</v>
      </c>
      <c r="AA332" s="41"/>
      <c r="AB332" s="38"/>
      <c r="AC332" s="38"/>
      <c r="AD332" s="38"/>
      <c r="AE332" s="38"/>
      <c r="AF332" s="38"/>
      <c r="AG332" s="38"/>
      <c r="AH332" s="38"/>
      <c r="AI332" s="38"/>
      <c r="AJ332" s="38"/>
      <c r="AK332" s="38"/>
      <c r="AL332" s="38"/>
      <c r="AM332" s="38" t="s">
        <v>87</v>
      </c>
      <c r="AN332" s="38">
        <f>COUNTIFS(AN5:AN324,"H",AT5:AT324,"W")</f>
        <v>40</v>
      </c>
      <c r="AO332" s="38"/>
      <c r="AP332" s="42"/>
      <c r="AQ332" s="38"/>
      <c r="AR332" s="43"/>
    </row>
    <row r="333" spans="1:52" ht="12.75">
      <c r="I333" s="38" t="s">
        <v>5056</v>
      </c>
      <c r="J333" s="14"/>
      <c r="K333" s="14"/>
      <c r="L333" s="39">
        <f t="shared" ref="L333:N333" si="120">L329*3</f>
        <v>222</v>
      </c>
      <c r="M333" s="39">
        <f t="shared" si="120"/>
        <v>57</v>
      </c>
      <c r="N333" s="39">
        <f t="shared" si="120"/>
        <v>54</v>
      </c>
      <c r="O333" s="40"/>
      <c r="P333" s="40">
        <f>COUNTIFS(P4:P313,"R",AT4:AT313,"L")</f>
        <v>11</v>
      </c>
      <c r="Q333" s="40"/>
      <c r="R333" s="40"/>
      <c r="S333" s="40"/>
      <c r="T333" s="40">
        <f>SUMIFS(AS4:AS313,AT4:AT313,"W",U4:U313,"B")</f>
        <v>3943.8854999999994</v>
      </c>
      <c r="U333" s="40" t="s">
        <v>5057</v>
      </c>
      <c r="V333" s="40"/>
      <c r="W333" s="40"/>
      <c r="X333" s="39"/>
      <c r="Y333" s="39"/>
      <c r="Z333" s="39"/>
      <c r="AA333" s="41"/>
      <c r="AB333" s="38"/>
      <c r="AC333" s="38"/>
      <c r="AD333" s="38"/>
      <c r="AE333" s="38"/>
      <c r="AF333" s="38"/>
      <c r="AG333" s="38"/>
      <c r="AH333" s="38"/>
      <c r="AI333" s="38"/>
      <c r="AJ333" s="38"/>
      <c r="AK333" s="38"/>
      <c r="AL333" s="38"/>
      <c r="AM333" s="38" t="s">
        <v>97</v>
      </c>
      <c r="AN333" s="38">
        <f>COUNTIFS(AN6:AN325,"D",AT6:AT325,"W")</f>
        <v>21</v>
      </c>
      <c r="AO333" s="38"/>
      <c r="AP333" s="42"/>
      <c r="AQ333" s="38"/>
      <c r="AR333" s="43"/>
    </row>
    <row r="334" spans="1:52" ht="15">
      <c r="I334" s="38" t="s">
        <v>5058</v>
      </c>
      <c r="J334" s="14"/>
      <c r="K334" s="14"/>
      <c r="L334" s="39">
        <f t="shared" ref="L334:N334" si="121">L330*3</f>
        <v>57</v>
      </c>
      <c r="M334" s="39">
        <f t="shared" si="121"/>
        <v>54</v>
      </c>
      <c r="N334" s="39">
        <f t="shared" si="121"/>
        <v>27</v>
      </c>
      <c r="O334" s="40"/>
      <c r="P334" s="49">
        <f>COUNTIF(P4:P313,"G")</f>
        <v>2</v>
      </c>
      <c r="Q334" s="40"/>
      <c r="R334" s="40"/>
      <c r="S334" s="40"/>
      <c r="T334" s="65">
        <f>SUMIFS(AS4:AS313,AT4:AT313,"L",U4:U313,"B")</f>
        <v>-1641.5500000000352</v>
      </c>
      <c r="U334" s="40" t="s">
        <v>5048</v>
      </c>
      <c r="V334" s="40"/>
      <c r="W334" s="40"/>
      <c r="X334" s="39"/>
      <c r="Y334" s="39"/>
      <c r="Z334" s="39"/>
      <c r="AA334" s="41"/>
      <c r="AB334" s="38"/>
      <c r="AC334" s="38"/>
      <c r="AD334" s="38"/>
      <c r="AE334" s="38"/>
      <c r="AF334" s="38"/>
      <c r="AG334" s="38"/>
      <c r="AH334" s="38"/>
      <c r="AI334" s="38"/>
      <c r="AJ334" s="38"/>
      <c r="AK334" s="38"/>
      <c r="AL334" s="38"/>
      <c r="AM334" s="38" t="s">
        <v>77</v>
      </c>
      <c r="AN334" s="38">
        <f>COUNTIFS(AN7:AN327,"W",AT7:AT327,"W")</f>
        <v>6</v>
      </c>
      <c r="AO334" s="38"/>
      <c r="AP334" s="42"/>
      <c r="AQ334" s="38"/>
      <c r="AR334" s="43"/>
    </row>
    <row r="335" spans="1:52" ht="12.75">
      <c r="I335" s="38"/>
      <c r="J335" s="14"/>
      <c r="K335" s="14"/>
      <c r="L335" s="38"/>
      <c r="M335" s="38"/>
      <c r="N335" s="38"/>
      <c r="O335" s="40"/>
      <c r="P335" s="40">
        <f>COUNTIFS(P4:P313,"G",AT4:AT313,"W")</f>
        <v>0</v>
      </c>
      <c r="Q335" s="40"/>
      <c r="R335" s="40"/>
      <c r="S335" s="40"/>
      <c r="T335" s="40"/>
      <c r="U335" s="40"/>
      <c r="V335" s="40"/>
      <c r="W335" s="40"/>
      <c r="X335" s="39"/>
      <c r="Y335" s="39"/>
      <c r="Z335" s="39"/>
      <c r="AA335" s="41"/>
      <c r="AB335" s="38"/>
      <c r="AC335" s="38"/>
      <c r="AD335" s="38"/>
      <c r="AE335" s="38"/>
      <c r="AF335" s="38"/>
      <c r="AG335" s="38"/>
      <c r="AH335" s="38"/>
      <c r="AI335" s="38"/>
      <c r="AJ335" s="38"/>
      <c r="AK335" s="38"/>
      <c r="AL335" s="38"/>
      <c r="AM335" s="38" t="s">
        <v>3966</v>
      </c>
      <c r="AN335" s="38"/>
      <c r="AO335" s="38"/>
      <c r="AP335" s="42"/>
      <c r="AQ335" s="38"/>
      <c r="AR335" s="43"/>
    </row>
    <row r="336" spans="1:52" ht="15">
      <c r="I336" s="38"/>
      <c r="J336" s="14"/>
      <c r="K336" s="14"/>
      <c r="L336" s="38"/>
      <c r="M336" s="38"/>
      <c r="N336" s="38"/>
      <c r="O336" s="40"/>
      <c r="P336" s="40">
        <f>COUNTIFS(P4:P313,"G",AT4:AT313,"L")</f>
        <v>2</v>
      </c>
      <c r="Q336" s="40"/>
      <c r="R336" s="40"/>
      <c r="S336" s="40"/>
      <c r="T336" s="65">
        <f>SUMIFS(AS4:AS313,AT4:AT313,"W",U4:U313,"S")</f>
        <v>1487.9499999999796</v>
      </c>
      <c r="U336" s="40" t="s">
        <v>5059</v>
      </c>
      <c r="V336" s="40"/>
      <c r="W336" s="40"/>
      <c r="X336" s="39"/>
      <c r="Y336" s="39"/>
      <c r="Z336" s="39"/>
      <c r="AA336" s="41"/>
      <c r="AB336" s="38"/>
      <c r="AC336" s="38"/>
      <c r="AD336" s="38"/>
      <c r="AE336" s="38"/>
      <c r="AF336" s="38"/>
      <c r="AG336" s="38"/>
      <c r="AH336" s="38"/>
      <c r="AI336" s="38"/>
      <c r="AJ336" s="38"/>
      <c r="AK336" s="38"/>
      <c r="AL336" s="38"/>
      <c r="AM336" s="38" t="s">
        <v>376</v>
      </c>
      <c r="AN336" s="56">
        <f>COUNTIFS(AN4:AN313,"M",AT4:AT313,"L")</f>
        <v>4</v>
      </c>
      <c r="AO336" s="38"/>
      <c r="AP336" s="42"/>
      <c r="AQ336" s="38"/>
      <c r="AR336" s="43"/>
    </row>
    <row r="337" spans="9:44" ht="15">
      <c r="I337" s="38"/>
      <c r="J337" s="14"/>
      <c r="K337" s="14"/>
      <c r="L337" s="38"/>
      <c r="M337" s="38"/>
      <c r="N337" s="38"/>
      <c r="O337" s="40"/>
      <c r="P337" s="40"/>
      <c r="Q337" s="40"/>
      <c r="R337" s="40"/>
      <c r="S337" s="40"/>
      <c r="T337" s="65">
        <f>SUMIFS(AS4:AS313,AT4:AT313,"L",U4:U313,"S")</f>
        <v>-1460.07945000004</v>
      </c>
      <c r="U337" s="40" t="s">
        <v>5051</v>
      </c>
      <c r="V337" s="40"/>
      <c r="W337" s="40"/>
      <c r="X337" s="39"/>
      <c r="Y337" s="39"/>
      <c r="Z337" s="39"/>
      <c r="AA337" s="41"/>
      <c r="AB337" s="38"/>
      <c r="AC337" s="38"/>
      <c r="AD337" s="38"/>
      <c r="AE337" s="38"/>
      <c r="AF337" s="38"/>
      <c r="AG337" s="38"/>
      <c r="AH337" s="38"/>
      <c r="AI337" s="38"/>
      <c r="AJ337" s="38"/>
      <c r="AK337" s="38"/>
      <c r="AL337" s="38"/>
      <c r="AM337" s="38" t="s">
        <v>87</v>
      </c>
      <c r="AN337" s="56">
        <f>COUNTIFS(AN5:AN324,"H",AT5:AT324,"L")</f>
        <v>22</v>
      </c>
      <c r="AO337" s="38"/>
      <c r="AP337" s="42"/>
      <c r="AQ337" s="38"/>
      <c r="AR337" s="43"/>
    </row>
    <row r="338" spans="9:44" ht="15">
      <c r="I338" s="38" t="s">
        <v>5060</v>
      </c>
      <c r="J338" s="14"/>
      <c r="K338" s="14"/>
      <c r="L338" s="38"/>
      <c r="M338" s="38"/>
      <c r="N338" s="38"/>
      <c r="O338" s="40"/>
      <c r="P338" s="40"/>
      <c r="Q338" s="40"/>
      <c r="R338" s="40"/>
      <c r="S338" s="40"/>
      <c r="T338" s="40"/>
      <c r="U338" s="40"/>
      <c r="V338" s="40"/>
      <c r="W338" s="40" t="s">
        <v>5060</v>
      </c>
      <c r="X338" s="39">
        <f>SUMIFS(AS4:AS313,AT4:AT313,"W",X4:X313,"&lt;&gt;")</f>
        <v>3170.1599999999921</v>
      </c>
      <c r="Y338" s="56">
        <f>SUMIFS(AS4:AS313,AT4:AT313,"W",Y4:Y313,"&lt;&gt;")</f>
        <v>846.92499999996539</v>
      </c>
      <c r="Z338" s="56">
        <f>SUMIFS(AS4:AS313,AT4:AT313,"W",Z4:Z313,"&lt;&gt;")</f>
        <v>2072.4254999999876</v>
      </c>
      <c r="AA338" s="41"/>
      <c r="AB338" s="38"/>
      <c r="AC338" s="38"/>
      <c r="AD338" s="38"/>
      <c r="AE338" s="38"/>
      <c r="AF338" s="38"/>
      <c r="AG338" s="38"/>
      <c r="AH338" s="38"/>
      <c r="AI338" s="38"/>
      <c r="AJ338" s="38"/>
      <c r="AK338" s="38"/>
      <c r="AL338" s="38"/>
      <c r="AM338" s="38" t="s">
        <v>97</v>
      </c>
      <c r="AN338" s="56">
        <f>COUNTIFS(AN6:AN325,"D",AT6:AT325,"L")</f>
        <v>7</v>
      </c>
      <c r="AO338" s="38"/>
      <c r="AP338" s="42"/>
      <c r="AQ338" s="38"/>
      <c r="AR338" s="43"/>
    </row>
    <row r="339" spans="9:44" ht="15">
      <c r="I339" s="38" t="s">
        <v>119</v>
      </c>
      <c r="J339" s="14"/>
      <c r="K339" s="14"/>
      <c r="L339" s="38">
        <f>SUMIFS(AS4:AS313,AT4:AT313,"W",L4:L313,"&lt;&gt;")</f>
        <v>4181.9805000000224</v>
      </c>
      <c r="M339" s="38"/>
      <c r="N339" s="38"/>
      <c r="O339" s="49"/>
      <c r="P339" s="49" t="s">
        <v>666</v>
      </c>
      <c r="Q339" s="49">
        <f>COUNTIF(Q4:Q313,"O")</f>
        <v>66</v>
      </c>
      <c r="R339" s="49"/>
      <c r="S339" s="40"/>
      <c r="T339" s="40"/>
      <c r="U339" s="40"/>
      <c r="V339" s="40"/>
      <c r="W339" s="40" t="s">
        <v>3966</v>
      </c>
      <c r="X339" s="56">
        <f>SUMIFS(AS4:AS313,AT4:AT313,"L",X4:X313,"&lt;&gt;")</f>
        <v>-2065.1494500000249</v>
      </c>
      <c r="Y339" s="56">
        <f>SUMIFS(AS4:AS313,AT4:AT313,"L",Y4:Y313,"&lt;&gt;")</f>
        <v>-1171.8944500000143</v>
      </c>
      <c r="Z339" s="56">
        <f>SUMIFS(AS4:AS313,AT4:AT313,"L",Z4:Z313,"&lt;&gt;")</f>
        <v>-124.87500000000853</v>
      </c>
      <c r="AA339" s="41"/>
      <c r="AB339" s="38"/>
      <c r="AC339" s="38"/>
      <c r="AD339" s="38"/>
      <c r="AE339" s="38"/>
      <c r="AF339" s="38"/>
      <c r="AG339" s="38"/>
      <c r="AH339" s="38"/>
      <c r="AI339" s="38"/>
      <c r="AJ339" s="38"/>
      <c r="AK339" s="38"/>
      <c r="AL339" s="38"/>
      <c r="AM339" s="38" t="s">
        <v>77</v>
      </c>
      <c r="AN339" s="56">
        <f>COUNTIFS(AN7:AN327,"W",AT7:AT327,"L")</f>
        <v>1</v>
      </c>
      <c r="AO339" s="38"/>
      <c r="AP339" s="42"/>
      <c r="AQ339" s="38"/>
      <c r="AR339" s="43"/>
    </row>
    <row r="340" spans="9:44" ht="12.75">
      <c r="I340" s="38" t="s">
        <v>5061</v>
      </c>
      <c r="J340" s="14"/>
      <c r="K340" s="14"/>
      <c r="L340" s="38">
        <f>SUMIFS(AS4:AS313,AT4:AT313,"W",M4:M313,"&lt;&gt;")</f>
        <v>993.50550000000089</v>
      </c>
      <c r="M340" s="38"/>
      <c r="N340" s="38"/>
      <c r="O340" s="49"/>
      <c r="P340" s="49" t="s">
        <v>5062</v>
      </c>
      <c r="Q340" s="49">
        <f>COUNTIFS(Q4:Q313,"O",AT4:AT313,"W")</f>
        <v>32</v>
      </c>
      <c r="R340" s="49">
        <f>SUMIFS(AS4:AS313,AT4:AT313,"W",Q4:Q313,"O")</f>
        <v>3145.1849999999845</v>
      </c>
      <c r="S340" s="40"/>
      <c r="T340" s="40"/>
      <c r="U340" s="40"/>
      <c r="V340" s="40"/>
      <c r="W340" s="40"/>
      <c r="X340" s="39"/>
      <c r="Y340" s="39"/>
      <c r="Z340" s="39"/>
      <c r="AA340" s="41"/>
      <c r="AB340" s="38"/>
      <c r="AC340" s="38"/>
      <c r="AD340" s="38"/>
      <c r="AE340" s="38"/>
      <c r="AF340" s="38"/>
      <c r="AG340" s="38"/>
      <c r="AH340" s="38"/>
      <c r="AI340" s="38"/>
      <c r="AJ340" s="38"/>
      <c r="AK340" s="38"/>
      <c r="AL340" s="38"/>
      <c r="AM340" s="38"/>
      <c r="AN340" s="38"/>
      <c r="AO340" s="38"/>
      <c r="AP340" s="42"/>
      <c r="AQ340" s="38"/>
      <c r="AR340" s="43"/>
    </row>
    <row r="341" spans="9:44" ht="15">
      <c r="I341" s="38" t="s">
        <v>78</v>
      </c>
      <c r="J341" s="14"/>
      <c r="K341" s="14"/>
      <c r="L341" s="56">
        <f>SUMIFS(AS4:AS313,AT4:AT313,"W",N4:N313,"&lt;&gt;")</f>
        <v>857.47499999998456</v>
      </c>
      <c r="M341" s="38"/>
      <c r="N341" s="38"/>
      <c r="O341" s="49"/>
      <c r="P341" s="49" t="s">
        <v>5063</v>
      </c>
      <c r="Q341" s="49">
        <f>COUNTIFS(Q4:Q313,"O",AT4:AT313,"L")</f>
        <v>31</v>
      </c>
      <c r="R341" s="49">
        <f>SUMIFS(AS4:AS313,AT4:AT313,"L",Q4:Q313,"O")</f>
        <v>-2505.0100000000707</v>
      </c>
      <c r="S341" s="40"/>
      <c r="T341" s="40"/>
      <c r="U341" s="40"/>
      <c r="V341" s="40"/>
      <c r="W341" s="40"/>
      <c r="X341" s="39"/>
      <c r="Y341" s="39"/>
      <c r="Z341" s="39"/>
      <c r="AA341" s="41"/>
      <c r="AB341" s="38"/>
      <c r="AC341" s="38"/>
      <c r="AD341" s="38"/>
      <c r="AE341" s="38"/>
      <c r="AF341" s="38"/>
      <c r="AG341" s="38"/>
      <c r="AH341" s="38"/>
      <c r="AI341" s="38"/>
      <c r="AJ341" s="38"/>
      <c r="AK341" s="38"/>
      <c r="AL341" s="38"/>
      <c r="AM341" s="38" t="s">
        <v>5060</v>
      </c>
      <c r="AN341" s="38"/>
      <c r="AO341" s="38"/>
      <c r="AP341" s="42"/>
      <c r="AQ341" s="38"/>
      <c r="AR341" s="43"/>
    </row>
    <row r="342" spans="9:44" ht="12.75">
      <c r="I342" s="38"/>
      <c r="J342" s="14"/>
      <c r="K342" s="14"/>
      <c r="L342" s="38"/>
      <c r="M342" s="38"/>
      <c r="N342" s="38"/>
      <c r="O342" s="49"/>
      <c r="P342" s="75"/>
      <c r="Q342" s="49"/>
      <c r="R342" s="49"/>
      <c r="S342" s="40"/>
      <c r="T342" s="40"/>
      <c r="U342" s="40"/>
      <c r="V342" s="40"/>
      <c r="W342" s="40"/>
      <c r="X342" s="39"/>
      <c r="Y342" s="39"/>
      <c r="Z342" s="39"/>
      <c r="AA342" s="41"/>
      <c r="AB342" s="38"/>
      <c r="AC342" s="38"/>
      <c r="AD342" s="38"/>
      <c r="AE342" s="38"/>
      <c r="AF342" s="38"/>
      <c r="AG342" s="38"/>
      <c r="AH342" s="38"/>
      <c r="AI342" s="38"/>
      <c r="AJ342" s="38"/>
      <c r="AK342" s="38"/>
      <c r="AL342" s="38"/>
      <c r="AM342" s="38" t="s">
        <v>376</v>
      </c>
      <c r="AN342" s="38">
        <f>SUMIFS(AS4:AS313,AT4:AT313,"W",AN4:AN313,"M")</f>
        <v>264.73500000003173</v>
      </c>
      <c r="AO342" s="38"/>
      <c r="AP342" s="42"/>
      <c r="AQ342" s="38"/>
      <c r="AR342" s="43"/>
    </row>
    <row r="343" spans="9:44" ht="12.75">
      <c r="I343" s="38" t="s">
        <v>3966</v>
      </c>
      <c r="J343" s="14"/>
      <c r="K343" s="14"/>
      <c r="L343" s="38"/>
      <c r="M343" s="38"/>
      <c r="N343" s="38"/>
      <c r="O343" s="49"/>
      <c r="P343" s="49" t="s">
        <v>78</v>
      </c>
      <c r="Q343" s="49">
        <f>COUNTIFS(Q4:Q313,"S")</f>
        <v>65</v>
      </c>
      <c r="R343" s="49"/>
      <c r="S343" s="40"/>
      <c r="T343" s="40"/>
      <c r="U343" s="40"/>
      <c r="V343" s="40"/>
      <c r="W343" s="40"/>
      <c r="X343" s="39"/>
      <c r="Y343" s="39"/>
      <c r="Z343" s="39"/>
      <c r="AA343" s="41"/>
      <c r="AB343" s="38"/>
      <c r="AC343" s="38"/>
      <c r="AD343" s="38"/>
      <c r="AE343" s="38"/>
      <c r="AF343" s="38"/>
      <c r="AG343" s="38"/>
      <c r="AH343" s="38"/>
      <c r="AI343" s="38"/>
      <c r="AJ343" s="38"/>
      <c r="AK343" s="38"/>
      <c r="AL343" s="38"/>
      <c r="AM343" s="38" t="s">
        <v>87</v>
      </c>
      <c r="AN343" s="38">
        <f>SUMIFS(AS4:AS313,AT4:AT313,"W",AN4:AN313,"H")</f>
        <v>1022.3099999999865</v>
      </c>
      <c r="AO343" s="38"/>
      <c r="AP343" s="42"/>
      <c r="AQ343" s="38"/>
      <c r="AR343" s="43"/>
    </row>
    <row r="344" spans="9:44" ht="17.25">
      <c r="I344" s="38" t="s">
        <v>5061</v>
      </c>
      <c r="J344" s="14"/>
      <c r="K344" s="14"/>
      <c r="L344" s="38">
        <f>SUMIFS(AS4:AS313,AT4:AT313,"L",L4:L313,"&lt;&gt;")</f>
        <v>-1462.0849999999916</v>
      </c>
      <c r="M344" s="38"/>
      <c r="N344" s="38"/>
      <c r="O344" s="49"/>
      <c r="P344" s="49" t="s">
        <v>5064</v>
      </c>
      <c r="Q344" s="49">
        <f>COUNTIFS(Q4:Q313,"S",AT4:AT313,"W")</f>
        <v>44</v>
      </c>
      <c r="R344" s="76">
        <f>SUMIFS(AS4:AS313,AT4:AT313,"W",Q4:Q313,"S")</f>
        <v>1033.9649999999949</v>
      </c>
      <c r="S344" s="40"/>
      <c r="T344" s="40"/>
      <c r="U344" s="40"/>
      <c r="V344" s="40"/>
      <c r="W344" s="40"/>
      <c r="X344" s="39"/>
      <c r="Y344" s="39"/>
      <c r="Z344" s="39"/>
      <c r="AA344" s="41"/>
      <c r="AB344" s="38"/>
      <c r="AC344" s="38"/>
      <c r="AD344" s="38"/>
      <c r="AE344" s="38"/>
      <c r="AF344" s="38"/>
      <c r="AG344" s="38"/>
      <c r="AH344" s="38"/>
      <c r="AI344" s="38"/>
      <c r="AJ344" s="38"/>
      <c r="AK344" s="38"/>
      <c r="AL344" s="38"/>
      <c r="AM344" s="38" t="s">
        <v>97</v>
      </c>
      <c r="AN344" s="38">
        <f>SUMIFS(AS4:AS313,AT4:AT313,"W",AN4:AN313,"D")</f>
        <v>2505.3255000000217</v>
      </c>
      <c r="AO344" s="38"/>
      <c r="AP344" s="42"/>
      <c r="AQ344" s="38"/>
      <c r="AR344" s="43"/>
    </row>
    <row r="345" spans="9:44" ht="15">
      <c r="I345" s="38" t="s">
        <v>119</v>
      </c>
      <c r="J345" s="14"/>
      <c r="K345" s="14"/>
      <c r="L345" s="56">
        <f>SUMIFS(AS4:AS313,AT4:AT313,"L",M4:M313,"&lt;&gt;")</f>
        <v>-1481.5844500000494</v>
      </c>
      <c r="M345" s="38"/>
      <c r="N345" s="38"/>
      <c r="O345" s="49"/>
      <c r="P345" s="49" t="s">
        <v>5065</v>
      </c>
      <c r="Q345" s="49">
        <f>COUNTIFS(Q4:Q313,"S",AT4:AT313,"L")</f>
        <v>9</v>
      </c>
      <c r="R345" s="49">
        <f>SUMIFS(AS4:AS313,AT4:AT313,"L",Q4:Q313,"S")</f>
        <v>-380.16944999998771</v>
      </c>
      <c r="S345" s="40"/>
      <c r="T345" s="40"/>
      <c r="U345" s="40"/>
      <c r="V345" s="40"/>
      <c r="W345" s="40"/>
      <c r="X345" s="39"/>
      <c r="Y345" s="39"/>
      <c r="Z345" s="39"/>
      <c r="AA345" s="41"/>
      <c r="AB345" s="38"/>
      <c r="AC345" s="38"/>
      <c r="AD345" s="38"/>
      <c r="AE345" s="38"/>
      <c r="AF345" s="38"/>
      <c r="AG345" s="38"/>
      <c r="AH345" s="38"/>
      <c r="AI345" s="38"/>
      <c r="AJ345" s="38"/>
      <c r="AK345" s="38"/>
      <c r="AL345" s="38"/>
      <c r="AM345" s="38" t="s">
        <v>77</v>
      </c>
      <c r="AN345" s="38">
        <f>SUMIFS(AS4:AS313,AT4:AT313,"W",AN4:AN313,"W")</f>
        <v>484.51499999999993</v>
      </c>
      <c r="AO345" s="38"/>
      <c r="AP345" s="42"/>
      <c r="AQ345" s="38"/>
      <c r="AR345" s="43"/>
    </row>
    <row r="346" spans="9:44" ht="15">
      <c r="I346" s="38" t="s">
        <v>78</v>
      </c>
      <c r="J346" s="14"/>
      <c r="K346" s="14"/>
      <c r="L346" s="56">
        <f>SUMIFS(AS4:AS313,AT4:AT313,"L",N4:N313,"&lt;&gt;")</f>
        <v>-646.56944999997154</v>
      </c>
      <c r="M346" s="38"/>
      <c r="N346" s="38"/>
      <c r="O346" s="49"/>
      <c r="P346" s="75"/>
      <c r="Q346" s="49"/>
      <c r="R346" s="49"/>
      <c r="S346" s="40"/>
      <c r="T346" s="40"/>
      <c r="U346" s="40"/>
      <c r="V346" s="40"/>
      <c r="W346" s="40"/>
      <c r="X346" s="39"/>
      <c r="Y346" s="39"/>
      <c r="Z346" s="39"/>
      <c r="AA346" s="41"/>
      <c r="AB346" s="38"/>
      <c r="AC346" s="38"/>
      <c r="AD346" s="38"/>
      <c r="AE346" s="38"/>
      <c r="AF346" s="38"/>
      <c r="AG346" s="38"/>
      <c r="AH346" s="38"/>
      <c r="AI346" s="38"/>
      <c r="AJ346" s="38"/>
      <c r="AK346" s="38"/>
      <c r="AL346" s="38"/>
      <c r="AM346" s="38" t="s">
        <v>3966</v>
      </c>
      <c r="AN346" s="38"/>
      <c r="AO346" s="38"/>
      <c r="AP346" s="42"/>
      <c r="AQ346" s="38"/>
      <c r="AR346" s="43"/>
    </row>
    <row r="347" spans="9:44" ht="15">
      <c r="P347" s="49" t="s">
        <v>238</v>
      </c>
      <c r="Q347" s="49">
        <f>COUNTIFS(Q4:Q313,"F")</f>
        <v>32</v>
      </c>
      <c r="R347" s="49"/>
      <c r="S347" s="40"/>
      <c r="T347" s="40"/>
      <c r="U347" s="40"/>
      <c r="V347" s="40"/>
      <c r="W347" s="40"/>
      <c r="X347" s="39"/>
      <c r="Y347" s="39"/>
      <c r="Z347" s="39"/>
      <c r="AA347" s="41"/>
      <c r="AB347" s="38"/>
      <c r="AC347" s="38"/>
      <c r="AD347" s="38"/>
      <c r="AE347" s="38"/>
      <c r="AF347" s="38"/>
      <c r="AG347" s="38"/>
      <c r="AH347" s="38"/>
      <c r="AI347" s="38"/>
      <c r="AJ347" s="38"/>
      <c r="AK347" s="38"/>
      <c r="AL347" s="38"/>
      <c r="AM347" s="38" t="s">
        <v>376</v>
      </c>
      <c r="AN347" s="56">
        <f>SUMIFS(AS4:AS313,AT4:AT313,"L",AN4:AN313,"M")</f>
        <v>-322.47500000000309</v>
      </c>
    </row>
    <row r="348" spans="9:44" ht="17.25">
      <c r="P348" s="49" t="s">
        <v>5066</v>
      </c>
      <c r="Q348" s="49">
        <f>COUNTIFS(Q4:Q313,"F",AT4:AT313,"W")</f>
        <v>17</v>
      </c>
      <c r="R348" s="76">
        <f>SUMIFS(AS4:AS313,AT4:AT313,"W",Q4:Q313,"F")</f>
        <v>1080.0855000000086</v>
      </c>
      <c r="S348" s="40"/>
      <c r="T348" s="40"/>
      <c r="U348" s="77"/>
      <c r="V348" s="77"/>
      <c r="W348" s="77"/>
      <c r="X348" s="37"/>
      <c r="Y348" s="37"/>
      <c r="Z348" s="37"/>
      <c r="AA348" s="78"/>
      <c r="AB348" s="61"/>
      <c r="AC348" s="61"/>
      <c r="AD348" s="61"/>
      <c r="AE348" s="61"/>
      <c r="AF348" s="61"/>
      <c r="AG348" s="61"/>
      <c r="AH348" s="61"/>
      <c r="AI348" s="61"/>
      <c r="AJ348" s="61"/>
      <c r="AK348" s="61"/>
      <c r="AL348" s="38"/>
      <c r="AM348" s="38" t="s">
        <v>87</v>
      </c>
      <c r="AN348" s="56">
        <f>SUMIFS(AS4:AS313,AT4:AT313,"L",AN4:AN313,"H")</f>
        <v>-1262.4794500000689</v>
      </c>
    </row>
    <row r="349" spans="9:44" ht="15.75" customHeight="1">
      <c r="P349" s="49" t="s">
        <v>5067</v>
      </c>
      <c r="Q349" s="49">
        <f>COUNTIFS(Q4:Q313,"F",AT4:AT313,"L")</f>
        <v>1</v>
      </c>
      <c r="R349" s="40">
        <f>SUMIFS(AS4:AS313,AT4:AT313,"L",Q4:Q313,"F")</f>
        <v>-16.650000000008514</v>
      </c>
      <c r="S349" s="40"/>
      <c r="T349" s="40"/>
      <c r="U349" s="77"/>
      <c r="V349" s="77"/>
      <c r="W349" s="77"/>
      <c r="X349" s="37"/>
      <c r="Y349" s="37"/>
      <c r="Z349" s="37"/>
      <c r="AA349" s="78"/>
      <c r="AB349" s="61"/>
      <c r="AC349" s="61"/>
      <c r="AD349" s="61"/>
      <c r="AE349" s="61"/>
      <c r="AF349" s="61"/>
      <c r="AG349" s="61"/>
      <c r="AH349" s="61"/>
      <c r="AI349" s="61"/>
      <c r="AJ349" s="61"/>
      <c r="AK349" s="61"/>
      <c r="AL349" s="38"/>
      <c r="AM349" s="38" t="s">
        <v>97</v>
      </c>
      <c r="AN349" s="56">
        <f>SUMIFS(AS4:AS313,AT4:AT313,"L",AN4:AN313,"D")</f>
        <v>-859.00000000001364</v>
      </c>
    </row>
    <row r="350" spans="9:44" ht="15.75" customHeight="1">
      <c r="P350" s="40"/>
      <c r="Q350" s="40"/>
      <c r="R350" s="40"/>
      <c r="S350" s="40"/>
      <c r="T350" s="40"/>
      <c r="U350" s="77"/>
      <c r="V350" s="77"/>
      <c r="W350" s="77"/>
      <c r="X350" s="37"/>
      <c r="Y350" s="37"/>
      <c r="Z350" s="37"/>
      <c r="AA350" s="78"/>
      <c r="AB350" s="61"/>
      <c r="AC350" s="61"/>
      <c r="AD350" s="61"/>
      <c r="AE350" s="61"/>
      <c r="AF350" s="61"/>
      <c r="AG350" s="61"/>
      <c r="AH350" s="61"/>
      <c r="AI350" s="61"/>
      <c r="AJ350" s="61"/>
      <c r="AK350" s="61"/>
      <c r="AL350" s="38"/>
      <c r="AM350" s="38" t="s">
        <v>77</v>
      </c>
      <c r="AN350" s="56">
        <f>SUMIFS(AS4:AS313,AT4:AT313,"L",AN4:AN313,"W")</f>
        <v>-83.250000000018915</v>
      </c>
    </row>
    <row r="397" spans="23:23" ht="15.75" customHeight="1">
      <c r="W397" t="str">
        <f>IF(ISBLANK(O397),"",IF(O397=UPPER("IB"),8.63*200,16.1*100))</f>
        <v/>
      </c>
    </row>
  </sheetData>
  <autoFilter ref="A2:AZ313" xr:uid="{00000000-0009-0000-0000-000001000000}"/>
  <mergeCells count="9">
    <mergeCell ref="A1:E1"/>
    <mergeCell ref="AU1:AW1"/>
    <mergeCell ref="AX1:AZ1"/>
    <mergeCell ref="G1:I1"/>
    <mergeCell ref="L1:N1"/>
    <mergeCell ref="O1:W1"/>
    <mergeCell ref="X1:Z1"/>
    <mergeCell ref="AA1:AP1"/>
    <mergeCell ref="AQ1:AT1"/>
  </mergeCells>
  <conditionalFormatting sqref="A305:G306 A307:E308 G307:G308">
    <cfRule type="expression" dxfId="44" priority="21">
      <formula>$AT305="D"</formula>
    </cfRule>
  </conditionalFormatting>
  <conditionalFormatting sqref="A305:N306 P305:U308 X305:AP308 AT305:BC308 A307:E308 G307:N308">
    <cfRule type="expression" dxfId="43" priority="11">
      <formula>$AT305="L"</formula>
    </cfRule>
  </conditionalFormatting>
  <conditionalFormatting sqref="A3:AT295 A296:AZ301 A302:V304 A309:N317 AU3:AU292 AV3:AZ295 AU294:AU295 X302:AZ304 W302:W308 V305:V308 O305:O313 AQ305:AS317 P309:AP313 AT309:AZ317 O314:AS315 O316:AP317 A318:AZ323">
    <cfRule type="expression" dxfId="42" priority="33">
      <formula>$AT3="L"</formula>
    </cfRule>
  </conditionalFormatting>
  <conditionalFormatting sqref="A241:AZ242">
    <cfRule type="expression" dxfId="41" priority="37">
      <formula>$AT241="W"</formula>
    </cfRule>
  </conditionalFormatting>
  <conditionalFormatting sqref="B291:D292">
    <cfRule type="expression" dxfId="40" priority="24">
      <formula>$AS291="W"</formula>
    </cfRule>
    <cfRule type="expression" dxfId="39" priority="25">
      <formula>$AS291="L"</formula>
    </cfRule>
  </conditionalFormatting>
  <conditionalFormatting sqref="B282:BD283 AY265 A282:A290">
    <cfRule type="expression" dxfId="38" priority="30">
      <formula>$AU265="W"</formula>
    </cfRule>
  </conditionalFormatting>
  <conditionalFormatting sqref="F307:F308">
    <cfRule type="expression" dxfId="37" priority="1">
      <formula>$AT307="L"</formula>
    </cfRule>
    <cfRule type="expression" dxfId="36" priority="2">
      <formula>$AT307="W"</formula>
    </cfRule>
  </conditionalFormatting>
  <conditionalFormatting sqref="G3:I295 J46:L46 J107:K107 J110:L110 J216:K216 J254:K254 J264:K264 J278:K278 J294:K294 G296:K296 G297:I304 G309:I311 G312:K312 G313:I317 G324:H1323 I335:I1323 G319:I323 G318:K318">
    <cfRule type="cellIs" dxfId="35" priority="38" operator="equal">
      <formula>1</formula>
    </cfRule>
  </conditionalFormatting>
  <conditionalFormatting sqref="H305:J308">
    <cfRule type="cellIs" dxfId="34" priority="17" operator="equal">
      <formula>1</formula>
    </cfRule>
  </conditionalFormatting>
  <conditionalFormatting sqref="H305:N308 P305:U308 X305:AP308 AT305:BC308">
    <cfRule type="expression" dxfId="33" priority="5">
      <formula>$AT305="D"</formula>
    </cfRule>
  </conditionalFormatting>
  <conditionalFormatting sqref="J279:J304 J309:J323">
    <cfRule type="containsText" dxfId="32" priority="32" operator="containsText" text="H">
      <formula>NOT(ISERROR(SEARCH(("H"),(J279))))</formula>
    </cfRule>
    <cfRule type="containsText" dxfId="31" priority="49" operator="containsText" text="D">
      <formula>NOT(ISERROR(SEARCH(("D"),(J279))))</formula>
    </cfRule>
  </conditionalFormatting>
  <conditionalFormatting sqref="J3:K124 D245">
    <cfRule type="expression" dxfId="30" priority="35">
      <formula>$AT3="W"</formula>
    </cfRule>
    <cfRule type="expression" dxfId="29" priority="36">
      <formula>$AT3="L"</formula>
    </cfRule>
  </conditionalFormatting>
  <conditionalFormatting sqref="J9:K9">
    <cfRule type="expression" dxfId="28" priority="26">
      <formula>$AW9="W"</formula>
    </cfRule>
    <cfRule type="expression" dxfId="27" priority="27">
      <formula>$AW9="L"</formula>
    </cfRule>
  </conditionalFormatting>
  <conditionalFormatting sqref="K4:K124">
    <cfRule type="containsText" dxfId="26" priority="28" operator="containsText" text="A">
      <formula>NOT(ISERROR(SEARCH(("A"),(K4))))</formula>
    </cfRule>
  </conditionalFormatting>
  <conditionalFormatting sqref="K305:K308">
    <cfRule type="containsText" dxfId="25" priority="6" operator="containsText" text="H">
      <formula>NOT(ISERROR(SEARCH(("H"),(K305))))</formula>
    </cfRule>
    <cfRule type="containsText" dxfId="24" priority="7" operator="containsText" text="D">
      <formula>NOT(ISERROR(SEARCH(("D"),(K305))))</formula>
    </cfRule>
  </conditionalFormatting>
  <conditionalFormatting sqref="Q3:R304 Q309:R323">
    <cfRule type="cellIs" dxfId="23" priority="41" operator="greaterThanOrEqual">
      <formula>6</formula>
    </cfRule>
  </conditionalFormatting>
  <conditionalFormatting sqref="R305:S308">
    <cfRule type="cellIs" dxfId="22" priority="14" operator="greaterThanOrEqual">
      <formula>15</formula>
    </cfRule>
  </conditionalFormatting>
  <conditionalFormatting sqref="S282:T283">
    <cfRule type="cellIs" dxfId="21" priority="29" operator="greaterThanOrEqual">
      <formula>7</formula>
    </cfRule>
  </conditionalFormatting>
  <conditionalFormatting sqref="T3:T304 U282:U283 T309:T323">
    <cfRule type="cellIs" dxfId="20" priority="44" operator="greaterThan">
      <formula>3</formula>
    </cfRule>
  </conditionalFormatting>
  <conditionalFormatting sqref="T305:T308">
    <cfRule type="cellIs" dxfId="19" priority="18" operator="greaterThan">
      <formula>8</formula>
    </cfRule>
  </conditionalFormatting>
  <conditionalFormatting sqref="U3:U304 V282:V283 U332:U1323 U309:U324">
    <cfRule type="cellIs" dxfId="18" priority="45" operator="equal">
      <formula>"B"</formula>
    </cfRule>
    <cfRule type="cellIs" dxfId="17" priority="46" operator="equal">
      <formula>"S"</formula>
    </cfRule>
  </conditionalFormatting>
  <conditionalFormatting sqref="U305:U308">
    <cfRule type="cellIs" dxfId="16" priority="12" operator="equal">
      <formula>"B"</formula>
    </cfRule>
    <cfRule type="cellIs" dxfId="15" priority="13" operator="equal">
      <formula>"S"</formula>
    </cfRule>
  </conditionalFormatting>
  <conditionalFormatting sqref="AI3:AI304 AJ282:AJ283 AI309:AI323">
    <cfRule type="cellIs" dxfId="14" priority="42" operator="lessThanOrEqual">
      <formula>-50</formula>
    </cfRule>
  </conditionalFormatting>
  <conditionalFormatting sqref="AI305:AI308">
    <cfRule type="cellIs" dxfId="13" priority="15" operator="lessThanOrEqual">
      <formula>-80</formula>
    </cfRule>
  </conditionalFormatting>
  <conditionalFormatting sqref="AJ3:AJ304 AK282:AK283 AJ309:AJ323">
    <cfRule type="cellIs" dxfId="12" priority="43" operator="lessThanOrEqual">
      <formula>-66</formula>
    </cfRule>
  </conditionalFormatting>
  <conditionalFormatting sqref="AJ305:AJ308">
    <cfRule type="cellIs" dxfId="11" priority="16" operator="lessThanOrEqual">
      <formula>$AJ$469</formula>
    </cfRule>
  </conditionalFormatting>
  <conditionalFormatting sqref="AS282:AS283 AR324:AS324 AR3:AR323">
    <cfRule type="cellIs" dxfId="10" priority="47" operator="greaterThan">
      <formula>0</formula>
    </cfRule>
    <cfRule type="cellIs" dxfId="9" priority="48" operator="lessThan">
      <formula>0</formula>
    </cfRule>
  </conditionalFormatting>
  <conditionalFormatting sqref="AT3:AT304 AU282:AU283 AT309:AT1323">
    <cfRule type="cellIs" dxfId="8" priority="39" operator="equal">
      <formula>"W"</formula>
    </cfRule>
    <cfRule type="cellIs" dxfId="7" priority="40" operator="equal">
      <formula>"L"</formula>
    </cfRule>
  </conditionalFormatting>
  <conditionalFormatting sqref="AT305:AT308">
    <cfRule type="cellIs" dxfId="6" priority="8" operator="equal">
      <formula>"W"</formula>
    </cfRule>
    <cfRule type="cellIs" dxfId="5" priority="9" operator="equal">
      <formula>"L"</formula>
    </cfRule>
  </conditionalFormatting>
  <conditionalFormatting sqref="AT305:BC308 A305:N306 G307:N308 P305:U308 X305:AP308 A307:E308">
    <cfRule type="expression" dxfId="4" priority="10">
      <formula>$AT305="W"</formula>
    </cfRule>
  </conditionalFormatting>
  <conditionalFormatting sqref="AU3:AU292 A3:AT295 AV3:AZ295 AU294:AU295 A296:AZ301 A302:V304 X302:AZ304 W302:W308 V305:V308 O305:O313 AQ305:AS317 P309:AP313 AT309:AZ317 A309:N317 O314:AS315 O316:AP317 A318:AZ323">
    <cfRule type="expression" dxfId="3" priority="34">
      <formula>$AT3="W"</formula>
    </cfRule>
  </conditionalFormatting>
  <conditionalFormatting sqref="AU293:AW293">
    <cfRule type="expression" dxfId="2" priority="22">
      <formula>#REF!="W"</formula>
    </cfRule>
    <cfRule type="expression" dxfId="1" priority="23">
      <formula>#REF!="L"</formula>
    </cfRule>
  </conditionalFormatting>
  <conditionalFormatting sqref="AY265 B282:BD283 A282:A290">
    <cfRule type="expression" dxfId="0" priority="31">
      <formula>$AU265="L"</formula>
    </cfRule>
  </conditionalFormatting>
  <dataValidations count="12">
    <dataValidation type="list" allowBlank="1" sqref="Q3:Q281 R282:R283 Q284:Q323" xr:uid="{00000000-0002-0000-0100-000000000000}">
      <formula1>"O,S,F"</formula1>
    </dataValidation>
    <dataValidation type="list" allowBlank="1" sqref="J4:K13 J15:K45 J47:K106 J108:K109 J111:K124 J279:J293 J295 K305:K308 J297:J304 J309:J311 J313:J317 J319:J323" xr:uid="{00000000-0002-0000-0100-000001000000}">
      <formula1>"D,H"</formula1>
    </dataValidation>
    <dataValidation type="list" allowBlank="1" sqref="U3:U281 U284:U323" xr:uid="{00000000-0002-0000-0100-000002000000}">
      <formula1>"B,S"</formula1>
    </dataValidation>
    <dataValidation type="list" allowBlank="1" sqref="P3:P281 Q282:Q283 P284:P323" xr:uid="{00000000-0002-0000-0100-000003000000}">
      <formula1>"W,R,G"</formula1>
    </dataValidation>
    <dataValidation type="list" allowBlank="1" sqref="AN4:AN281 AO282:AO283 AN284:AN323" xr:uid="{00000000-0002-0000-0100-000004000000}">
      <formula1>"M,H,D,W"</formula1>
    </dataValidation>
    <dataValidation type="list" allowBlank="1" sqref="AT3" xr:uid="{00000000-0002-0000-0100-000005000000}">
      <formula1>"W,L"</formula1>
    </dataValidation>
    <dataValidation type="list" allowBlank="1" sqref="K279:K293 K295 K309:K311 K297:K304 K313:K317 K319:K323" xr:uid="{00000000-0002-0000-0100-000006000000}">
      <formula1>"A,B"</formula1>
    </dataValidation>
    <dataValidation type="list" allowBlank="1" sqref="O3:O281 P282:P283 O284:O300 O322:O323" xr:uid="{00000000-0002-0000-0100-000007000000}">
      <formula1>"IB,IR"</formula1>
    </dataValidation>
    <dataValidation type="list" allowBlank="1" sqref="AT4:AT281 AU282:AU283 AT284:AT323" xr:uid="{00000000-0002-0000-0100-000008000000}">
      <formula1>"W,L,D"</formula1>
    </dataValidation>
    <dataValidation type="list" allowBlank="1" sqref="O301:O311 O316:O317 O319:O321" xr:uid="{6E173D84-6E7F-457E-B64B-D20CEC4F50E3}">
      <formula1>"IB,IR,YT"</formula1>
    </dataValidation>
    <dataValidation type="list" allowBlank="1" sqref="O313 O315" xr:uid="{E591D83F-CEDC-47C5-8249-19DEBC02BB54}">
      <formula1>"IB,IR,YT,XT,TED"</formula1>
    </dataValidation>
    <dataValidation type="list" allowBlank="1" sqref="O314" xr:uid="{827F41B3-BABA-4E8C-8069-5EA6273B4206}">
      <formula1>"IB,IR,YT,XT,TED,YT-XT"</formula1>
    </dataValidation>
  </dataValidations>
  <hyperlinks>
    <hyperlink ref="D63" r:id="rId1" xr:uid="{00000000-0004-0000-0100-000000000000}"/>
    <hyperlink ref="D64" r:id="rId2" xr:uid="{00000000-0004-0000-0100-000001000000}"/>
    <hyperlink ref="D92" r:id="rId3" xr:uid="{00000000-0004-0000-0100-000002000000}"/>
    <hyperlink ref="D93" r:id="rId4" xr:uid="{00000000-0004-0000-0100-000003000000}"/>
    <hyperlink ref="D94" r:id="rId5" xr:uid="{00000000-0004-0000-0100-000004000000}"/>
    <hyperlink ref="D95" r:id="rId6" xr:uid="{00000000-0004-0000-0100-000005000000}"/>
    <hyperlink ref="AU100" r:id="rId7" location="lean" xr:uid="{00000000-0004-0000-0100-000006000000}"/>
    <hyperlink ref="AX100" r:id="rId8" location="lean" xr:uid="{00000000-0004-0000-0100-000007000000}"/>
    <hyperlink ref="D127" r:id="rId9" xr:uid="{00000000-0004-0000-0100-000008000000}"/>
    <hyperlink ref="D128" r:id="rId10" xr:uid="{00000000-0004-0000-0100-000009000000}"/>
    <hyperlink ref="D129" r:id="rId11" xr:uid="{00000000-0004-0000-0100-00000A000000}"/>
    <hyperlink ref="D149" r:id="rId12" xr:uid="{00000000-0004-0000-0100-00000B000000}"/>
    <hyperlink ref="D150" r:id="rId13" xr:uid="{00000000-0004-0000-0100-00000C000000}"/>
    <hyperlink ref="D151" r:id="rId14" xr:uid="{00000000-0004-0000-0100-00000D000000}"/>
    <hyperlink ref="D158" r:id="rId15" xr:uid="{00000000-0004-0000-0100-00000E000000}"/>
    <hyperlink ref="D161" r:id="rId16" xr:uid="{00000000-0004-0000-0100-00000F000000}"/>
    <hyperlink ref="D164" r:id="rId17" xr:uid="{00000000-0004-0000-0100-000010000000}"/>
    <hyperlink ref="D165" r:id="rId18" xr:uid="{00000000-0004-0000-0100-000011000000}"/>
    <hyperlink ref="D166" r:id="rId19" xr:uid="{00000000-0004-0000-0100-000012000000}"/>
    <hyperlink ref="D171" r:id="rId20" xr:uid="{00000000-0004-0000-0100-000013000000}"/>
    <hyperlink ref="D213" r:id="rId21" xr:uid="{00000000-0004-0000-0100-000014000000}"/>
    <hyperlink ref="D228" r:id="rId22" xr:uid="{00000000-0004-0000-0100-000015000000}"/>
    <hyperlink ref="D229" r:id="rId23" xr:uid="{00000000-0004-0000-0100-000016000000}"/>
    <hyperlink ref="D230" r:id="rId24" xr:uid="{00000000-0004-0000-0100-000017000000}"/>
    <hyperlink ref="D234" r:id="rId25" xr:uid="{00000000-0004-0000-0100-000018000000}"/>
    <hyperlink ref="F1" location="'Journal Training'!A300" display="PRESENT" xr:uid="{AA305020-F172-41DF-BA13-8397D8DA9CF8}"/>
    <hyperlink ref="E306" r:id="rId26" display="_x000a_GDP (QoQ) (Q4)" xr:uid="{AAE53FDA-A724-4B16-93C2-6DA074E55988}"/>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99d34660-55e9-46d4-82c8-d666ea6d9a3b" xsi:nil="true"/>
    <MigrationWizIdPermissions xmlns="99d34660-55e9-46d4-82c8-d666ea6d9a3b" xsi:nil="true"/>
    <MigrationWizIdVersion xmlns="99d34660-55e9-46d4-82c8-d666ea6d9a3b" xsi:nil="true"/>
    <MigrationWizId xmlns="99d34660-55e9-46d4-82c8-d666ea6d9a3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8A2E3AF6023D84884EED0147DEC427E" ma:contentTypeVersion="14" ma:contentTypeDescription="Create a new document." ma:contentTypeScope="" ma:versionID="98d79341433ce64c321c205afa863699">
  <xsd:schema xmlns:xsd="http://www.w3.org/2001/XMLSchema" xmlns:xs="http://www.w3.org/2001/XMLSchema" xmlns:p="http://schemas.microsoft.com/office/2006/metadata/properties" xmlns:ns3="99d34660-55e9-46d4-82c8-d666ea6d9a3b" xmlns:ns4="7b7a9113-cd69-4797-96ae-245a5283c906" targetNamespace="http://schemas.microsoft.com/office/2006/metadata/properties" ma:root="true" ma:fieldsID="c6d97e5e46ee3be7eb6823f28ee96b5f" ns3:_="" ns4:_="">
    <xsd:import namespace="99d34660-55e9-46d4-82c8-d666ea6d9a3b"/>
    <xsd:import namespace="7b7a9113-cd69-4797-96ae-245a5283c906"/>
    <xsd:element name="properties">
      <xsd:complexType>
        <xsd:sequence>
          <xsd:element name="documentManagement">
            <xsd:complexType>
              <xsd:all>
                <xsd:element ref="ns3:_activity" minOccurs="0"/>
                <xsd:element ref="ns4:SharedWithUsers" minOccurs="0"/>
                <xsd:element ref="ns4:SharedWithDetails" minOccurs="0"/>
                <xsd:element ref="ns4:SharingHintHash"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igrationWizId" minOccurs="0"/>
                <xsd:element ref="ns3:MigrationWizIdPermissions" minOccurs="0"/>
                <xsd:element ref="ns3:MigrationWizIdVersion"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9d34660-55e9-46d4-82c8-d666ea6d9a3b"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igrationWizId" ma:index="18" nillable="true" ma:displayName="MigrationWizId" ma:internalName="MigrationWizId">
      <xsd:simpleType>
        <xsd:restriction base="dms:Text"/>
      </xsd:simpleType>
    </xsd:element>
    <xsd:element name="MigrationWizIdPermissions" ma:index="19" nillable="true" ma:displayName="MigrationWizIdPermissions" ma:internalName="MigrationWizIdPermissions">
      <xsd:simpleType>
        <xsd:restriction base="dms:Text"/>
      </xsd:simpleType>
    </xsd:element>
    <xsd:element name="MigrationWizIdVersion" ma:index="20" nillable="true" ma:displayName="MigrationWizIdVersion" ma:internalName="MigrationWizIdVersion">
      <xsd:simpleType>
        <xsd:restriction base="dms:Text"/>
      </xsd:simpleType>
    </xsd:element>
    <xsd:element name="MediaServiceDateTaken" ma:index="21"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b7a9113-cd69-4797-96ae-245a5283c906"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SharingHintHash" ma:index="1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740F275-1EB1-4B14-A507-83C40D132879}"/>
</file>

<file path=customXml/itemProps2.xml><?xml version="1.0" encoding="utf-8"?>
<ds:datastoreItem xmlns:ds="http://schemas.openxmlformats.org/officeDocument/2006/customXml" ds:itemID="{12EA7482-2ADD-42CC-B764-BE39C4342FAD}"/>
</file>

<file path=customXml/itemProps3.xml><?xml version="1.0" encoding="utf-8"?>
<ds:datastoreItem xmlns:ds="http://schemas.openxmlformats.org/officeDocument/2006/customXml" ds:itemID="{DC725D6F-1501-4325-A97C-E9560FD20DF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Sujay Bhaumik</dc:creator>
  <cp:keywords/>
  <dc:description/>
  <cp:lastModifiedBy/>
  <cp:revision/>
  <dcterms:created xsi:type="dcterms:W3CDTF">2023-02-07T07:26:28Z</dcterms:created>
  <dcterms:modified xsi:type="dcterms:W3CDTF">2023-09-28T01:50:39Z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0x01010078A2E3AF6023D84884EED0147DEC427E</vt:lpwstr>
  </property>
</Properties>
</file>