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1"/>
  <workbookPr/>
  <mc:AlternateContent xmlns:mc="http://schemas.openxmlformats.org/markup-compatibility/2006">
    <mc:Choice Requires="x15">
      <x15ac:absPath xmlns:x15ac="http://schemas.microsoft.com/office/spreadsheetml/2010/11/ac" url="https://hertshtengroup-my.sharepoint.com/personal/sujay_bhaumik_hertshtengroup_com/Documents/FILES/"/>
    </mc:Choice>
  </mc:AlternateContent>
  <xr:revisionPtr revIDLastSave="0" documentId="8_{488D6893-9179-471E-9C98-24DE3795D109}" xr6:coauthVersionLast="47" xr6:coauthVersionMax="47" xr10:uidLastSave="{00000000-0000-0000-0000-000000000000}"/>
  <bookViews>
    <workbookView xWindow="-108" yWindow="-108" windowWidth="23256" windowHeight="12720" firstSheet="3" activeTab="3" xr2:uid="{00000000-000D-0000-FFFF-FFFF00000000}"/>
  </bookViews>
  <sheets>
    <sheet name="Journal Live" sheetId="1" r:id="rId1"/>
    <sheet name="PERFORMANCE ANALYSIS" sheetId="6" r:id="rId2"/>
    <sheet name="Journal Training" sheetId="2" r:id="rId3"/>
    <sheet name="MM" sheetId="7" r:id="rId4"/>
    <sheet name="MM JPX, SGX" sheetId="8" r:id="rId5"/>
    <sheet name="P V I" sheetId="9" r:id="rId6"/>
  </sheets>
  <definedNames>
    <definedName name="_xlnm._FilterDatabase" localSheetId="0" hidden="1">'Journal Live'!$A$2:$BC$351</definedName>
    <definedName name="_xlnm._FilterDatabase" localSheetId="2" hidden="1">'Journal Training'!$A$2:$AZ$307</definedName>
    <definedName name="_xlnm._FilterDatabase" localSheetId="3" hidden="1">MM!$AV$30:$BK$30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L31" i="7" l="1"/>
  <c r="BM31" i="7" s="1"/>
  <c r="BL32" i="7"/>
  <c r="BM32" i="7" s="1"/>
  <c r="BL33" i="7"/>
  <c r="BM33" i="7" s="1"/>
  <c r="BL34" i="7"/>
  <c r="BM34" i="7" s="1"/>
  <c r="BL35" i="7"/>
  <c r="BM35" i="7" s="1"/>
  <c r="BL36" i="7"/>
  <c r="BM36" i="7" s="1"/>
  <c r="AR31" i="7"/>
  <c r="AS31" i="7" s="1"/>
  <c r="AR32" i="7"/>
  <c r="AS32" i="7" s="1"/>
  <c r="AR33" i="7"/>
  <c r="AS33" i="7" s="1"/>
  <c r="AR34" i="7"/>
  <c r="AS34" i="7" s="1"/>
  <c r="AR35" i="7"/>
  <c r="AS35" i="7" s="1"/>
  <c r="AR36" i="7"/>
  <c r="AS36" i="7" s="1"/>
  <c r="AP31" i="7"/>
  <c r="AQ31" i="7" s="1"/>
  <c r="AP32" i="7"/>
  <c r="AQ32" i="7" s="1"/>
  <c r="AP33" i="7"/>
  <c r="AQ33" i="7" s="1"/>
  <c r="AP34" i="7"/>
  <c r="AQ34" i="7" s="1"/>
  <c r="AP35" i="7"/>
  <c r="AQ35" i="7" s="1"/>
  <c r="AP36" i="7"/>
  <c r="AQ36" i="7" s="1"/>
  <c r="AW29" i="7"/>
  <c r="B31" i="7"/>
  <c r="M6" i="7"/>
  <c r="M7" i="7"/>
  <c r="F31" i="7"/>
  <c r="S31" i="7"/>
  <c r="S32" i="7"/>
  <c r="S33" i="7"/>
  <c r="S34" i="7"/>
  <c r="S35" i="7"/>
  <c r="S36" i="7"/>
  <c r="S37" i="7"/>
  <c r="S38" i="7"/>
  <c r="S39" i="7"/>
  <c r="S40" i="7"/>
  <c r="S41" i="7"/>
  <c r="S42" i="7"/>
  <c r="S43" i="7"/>
  <c r="M46" i="7"/>
  <c r="B9" i="7"/>
  <c r="B12" i="7" s="1"/>
  <c r="B8" i="7"/>
  <c r="B11" i="7" s="1"/>
  <c r="C51" i="7"/>
  <c r="B51" i="7"/>
  <c r="F30" i="7" s="1"/>
  <c r="B7" i="7"/>
  <c r="B10" i="7" s="1"/>
  <c r="A51" i="7"/>
  <c r="M45" i="7"/>
  <c r="K37" i="7"/>
  <c r="M44" i="7"/>
  <c r="F12" i="7"/>
  <c r="M37" i="7"/>
  <c r="F29" i="7"/>
  <c r="F63" i="8"/>
  <c r="G63" i="8" s="1"/>
  <c r="C63" i="8"/>
  <c r="D63" i="8" s="1"/>
  <c r="B43" i="8"/>
  <c r="A43" i="8"/>
  <c r="M36" i="8"/>
  <c r="M35" i="8"/>
  <c r="R34" i="8"/>
  <c r="M34" i="8"/>
  <c r="M33" i="8"/>
  <c r="M32" i="8"/>
  <c r="M31" i="8"/>
  <c r="M30" i="8"/>
  <c r="M28" i="8"/>
  <c r="B28" i="8"/>
  <c r="M27" i="8"/>
  <c r="B27" i="8"/>
  <c r="M26" i="8"/>
  <c r="M25" i="8"/>
  <c r="F25" i="8"/>
  <c r="B25" i="8"/>
  <c r="F24" i="8"/>
  <c r="B24" i="8"/>
  <c r="F23" i="8"/>
  <c r="B23" i="8"/>
  <c r="F22" i="8"/>
  <c r="F12" i="8"/>
  <c r="H12" i="8" s="1"/>
  <c r="F11" i="8"/>
  <c r="H11" i="8" s="1"/>
  <c r="F10" i="8"/>
  <c r="H10" i="8" s="1"/>
  <c r="F9" i="8"/>
  <c r="H9" i="8" s="1"/>
  <c r="F8" i="8"/>
  <c r="H8" i="8" s="1"/>
  <c r="B8" i="8"/>
  <c r="B11" i="8" s="1"/>
  <c r="B20" i="8" s="1"/>
  <c r="F7" i="8"/>
  <c r="H7" i="8" s="1"/>
  <c r="B7" i="8"/>
  <c r="B10" i="8" s="1"/>
  <c r="M4" i="8"/>
  <c r="K7" i="8" s="1"/>
  <c r="H4" i="8"/>
  <c r="M3" i="8"/>
  <c r="M7" i="8" s="1"/>
  <c r="H3" i="8"/>
  <c r="G3" i="8"/>
  <c r="M43" i="7"/>
  <c r="B111" i="7"/>
  <c r="G77" i="7"/>
  <c r="G85" i="7"/>
  <c r="G76" i="7"/>
  <c r="H77" i="7"/>
  <c r="H85" i="7"/>
  <c r="B112" i="7"/>
  <c r="G84" i="7"/>
  <c r="H84" i="7" s="1"/>
  <c r="G86" i="7"/>
  <c r="G87" i="7"/>
  <c r="G88" i="7"/>
  <c r="G89" i="7"/>
  <c r="G90" i="7"/>
  <c r="G78" i="7"/>
  <c r="G79" i="7"/>
  <c r="G80" i="7"/>
  <c r="G81" i="7"/>
  <c r="G82" i="7"/>
  <c r="M42" i="7"/>
  <c r="M31" i="7"/>
  <c r="M35" i="7"/>
  <c r="M41" i="7"/>
  <c r="M36" i="7"/>
  <c r="M39" i="7"/>
  <c r="M34" i="7"/>
  <c r="M32" i="7"/>
  <c r="M33" i="7"/>
  <c r="M40" i="7"/>
  <c r="H7" i="7"/>
  <c r="AR351" i="1"/>
  <c r="F17" i="7"/>
  <c r="H17" i="7" s="1"/>
  <c r="F16" i="7"/>
  <c r="H16" i="7" s="1"/>
  <c r="F15" i="7"/>
  <c r="H15" i="7" s="1"/>
  <c r="F14" i="7"/>
  <c r="H14" i="7" s="1"/>
  <c r="F13" i="7"/>
  <c r="H13" i="7" s="1"/>
  <c r="H12" i="7"/>
  <c r="K12" i="7"/>
  <c r="K13" i="7" s="1"/>
  <c r="L13" i="7" s="1"/>
  <c r="M12" i="7"/>
  <c r="M13" i="7" s="1"/>
  <c r="H6" i="7"/>
  <c r="G6" i="7"/>
  <c r="AC36" i="7" l="1"/>
  <c r="AC32" i="7"/>
  <c r="AC33" i="7"/>
  <c r="AC34" i="7"/>
  <c r="AC35" i="7"/>
  <c r="AC31" i="7"/>
  <c r="BA33" i="7"/>
  <c r="BB33" i="7" s="1"/>
  <c r="BA34" i="7"/>
  <c r="BB34" i="7" s="1"/>
  <c r="BA35" i="7"/>
  <c r="BB35" i="7" s="1"/>
  <c r="BA36" i="7"/>
  <c r="BB36" i="7" s="1"/>
  <c r="BA31" i="7"/>
  <c r="BB31" i="7" s="1"/>
  <c r="BE31" i="7" s="1"/>
  <c r="AE31" i="7"/>
  <c r="AI31" i="7" s="1"/>
  <c r="AJ31" i="7" s="1"/>
  <c r="AD31" i="7"/>
  <c r="AG31" i="7" s="1"/>
  <c r="AH31" i="7" s="1"/>
  <c r="AE35" i="7"/>
  <c r="AI35" i="7" s="1"/>
  <c r="AJ35" i="7" s="1"/>
  <c r="AL35" i="7" s="1"/>
  <c r="AD35" i="7"/>
  <c r="AG35" i="7" s="1"/>
  <c r="AH35" i="7" s="1"/>
  <c r="AM35" i="7" s="1"/>
  <c r="AE33" i="7"/>
  <c r="AI33" i="7" s="1"/>
  <c r="AJ33" i="7" s="1"/>
  <c r="AL33" i="7" s="1"/>
  <c r="AD33" i="7"/>
  <c r="AG33" i="7" s="1"/>
  <c r="AH33" i="7" s="1"/>
  <c r="AM33" i="7" s="1"/>
  <c r="AE32" i="7"/>
  <c r="AI32" i="7" s="1"/>
  <c r="AJ32" i="7" s="1"/>
  <c r="AL32" i="7" s="1"/>
  <c r="AD32" i="7"/>
  <c r="AG32" i="7" s="1"/>
  <c r="AH32" i="7" s="1"/>
  <c r="AM32" i="7" s="1"/>
  <c r="AE34" i="7"/>
  <c r="AD34" i="7"/>
  <c r="AG34" i="7" s="1"/>
  <c r="AH34" i="7" s="1"/>
  <c r="AL31" i="7"/>
  <c r="AM31" i="7"/>
  <c r="M17" i="7"/>
  <c r="N17" i="7" s="1"/>
  <c r="M15" i="7"/>
  <c r="N13" i="7"/>
  <c r="K17" i="7"/>
  <c r="L17" i="7" s="1"/>
  <c r="K15" i="7"/>
  <c r="L15" i="7" s="1"/>
  <c r="K14" i="7"/>
  <c r="L12" i="7"/>
  <c r="M12" i="8"/>
  <c r="N12" i="8" s="1"/>
  <c r="M11" i="8"/>
  <c r="N11" i="8" s="1"/>
  <c r="M10" i="8"/>
  <c r="N10" i="8" s="1"/>
  <c r="M9" i="8"/>
  <c r="N9" i="8" s="1"/>
  <c r="M8" i="8"/>
  <c r="N8" i="8" s="1"/>
  <c r="N7" i="8"/>
  <c r="K12" i="8"/>
  <c r="L12" i="8" s="1"/>
  <c r="K11" i="8"/>
  <c r="L11" i="8" s="1"/>
  <c r="K10" i="8"/>
  <c r="L10" i="8" s="1"/>
  <c r="K9" i="8"/>
  <c r="L9" i="8" s="1"/>
  <c r="K8" i="8"/>
  <c r="L8" i="8" s="1"/>
  <c r="L7" i="8"/>
  <c r="C46" i="8"/>
  <c r="A46" i="8"/>
  <c r="C45" i="8"/>
  <c r="A45" i="8"/>
  <c r="C43" i="8"/>
  <c r="A53" i="7"/>
  <c r="B30" i="7"/>
  <c r="I89" i="7" s="1"/>
  <c r="H89" i="7" s="1"/>
  <c r="I79" i="7"/>
  <c r="H79" i="7" s="1"/>
  <c r="B29" i="7"/>
  <c r="M14" i="7"/>
  <c r="N14" i="7" s="1"/>
  <c r="N12" i="7"/>
  <c r="L14" i="7"/>
  <c r="K16" i="7"/>
  <c r="L16" i="7" s="1"/>
  <c r="N15" i="7"/>
  <c r="M16" i="7"/>
  <c r="N16" i="7" s="1"/>
  <c r="AD36" i="7" l="1"/>
  <c r="AG36" i="7" s="1"/>
  <c r="AH36" i="7" s="1"/>
  <c r="AE36" i="7"/>
  <c r="AI36" i="7" s="1"/>
  <c r="AJ36" i="7" s="1"/>
  <c r="AL36" i="7" s="1"/>
  <c r="BA44" i="7"/>
  <c r="BA39" i="7"/>
  <c r="BA40" i="7"/>
  <c r="BA41" i="7"/>
  <c r="BA42" i="7"/>
  <c r="BA43" i="7"/>
  <c r="BA32" i="7"/>
  <c r="AI34" i="7"/>
  <c r="AJ34" i="7" s="1"/>
  <c r="AL34" i="7" s="1"/>
  <c r="AM34" i="7" s="1"/>
  <c r="BC31" i="7"/>
  <c r="BG31" i="7" s="1"/>
  <c r="BF31" i="7"/>
  <c r="BC36" i="7"/>
  <c r="BG36" i="7" s="1"/>
  <c r="BH36" i="7" s="1"/>
  <c r="BJ36" i="7" s="1"/>
  <c r="BE36" i="7"/>
  <c r="BF36" i="7" s="1"/>
  <c r="BK36" i="7" s="1"/>
  <c r="BC35" i="7"/>
  <c r="BG35" i="7" s="1"/>
  <c r="BH35" i="7" s="1"/>
  <c r="BJ35" i="7" s="1"/>
  <c r="BE35" i="7"/>
  <c r="BF35" i="7" s="1"/>
  <c r="BK35" i="7" s="1"/>
  <c r="BC34" i="7"/>
  <c r="BG34" i="7" s="1"/>
  <c r="BH34" i="7" s="1"/>
  <c r="BJ34" i="7" s="1"/>
  <c r="BE34" i="7"/>
  <c r="BF34" i="7" s="1"/>
  <c r="BK34" i="7" s="1"/>
  <c r="BC33" i="7"/>
  <c r="BG33" i="7" s="1"/>
  <c r="BH33" i="7" s="1"/>
  <c r="BJ33" i="7" s="1"/>
  <c r="BE33" i="7"/>
  <c r="BF33" i="7" s="1"/>
  <c r="BK33" i="7" s="1"/>
  <c r="I82" i="7"/>
  <c r="H82" i="7" s="1"/>
  <c r="I76" i="7"/>
  <c r="I90" i="7"/>
  <c r="H90" i="7" s="1"/>
  <c r="H76" i="7"/>
  <c r="F28" i="7"/>
  <c r="B34" i="7"/>
  <c r="B33" i="7"/>
  <c r="I78" i="7" s="1"/>
  <c r="H78" i="7" s="1"/>
  <c r="A54" i="7"/>
  <c r="AQ299" i="2"/>
  <c r="AS299" i="2"/>
  <c r="AR299" i="2" s="1"/>
  <c r="AQ300" i="2"/>
  <c r="AS300" i="2"/>
  <c r="AR300" i="2" s="1"/>
  <c r="V299" i="2"/>
  <c r="W299" i="2"/>
  <c r="V300" i="2"/>
  <c r="W300" i="2"/>
  <c r="AQ337" i="1"/>
  <c r="W337" i="1"/>
  <c r="V337" i="1"/>
  <c r="AQ329" i="1"/>
  <c r="AS329" i="1"/>
  <c r="AR329" i="1" s="1"/>
  <c r="AQ335" i="1"/>
  <c r="AQ336" i="1"/>
  <c r="V336" i="1"/>
  <c r="W336" i="1"/>
  <c r="AS336" i="1" s="1"/>
  <c r="AR336" i="1" s="1"/>
  <c r="W335" i="1"/>
  <c r="V330" i="1"/>
  <c r="W330" i="1"/>
  <c r="V331" i="1"/>
  <c r="W331" i="1"/>
  <c r="V332" i="1"/>
  <c r="W332" i="1"/>
  <c r="V333" i="1"/>
  <c r="W333" i="1"/>
  <c r="V334" i="1"/>
  <c r="W334" i="1"/>
  <c r="V335" i="1"/>
  <c r="W329" i="1"/>
  <c r="AI329" i="1" s="1"/>
  <c r="AJ329" i="1" s="1"/>
  <c r="V329" i="1"/>
  <c r="AQ351" i="1"/>
  <c r="W326" i="1"/>
  <c r="W325" i="1"/>
  <c r="AQ323" i="1"/>
  <c r="AJ358" i="1"/>
  <c r="AQ308" i="1"/>
  <c r="W316" i="1"/>
  <c r="W317" i="1"/>
  <c r="W318" i="1"/>
  <c r="W320" i="1"/>
  <c r="AI320" i="1" s="1"/>
  <c r="W321" i="1"/>
  <c r="AI321" i="1" s="1"/>
  <c r="W323" i="1"/>
  <c r="AS323" i="1" s="1"/>
  <c r="AR323" i="1" s="1"/>
  <c r="W324" i="1"/>
  <c r="AI326" i="1"/>
  <c r="AQ326" i="1"/>
  <c r="AS326" i="1" s="1"/>
  <c r="AR326" i="1" s="1"/>
  <c r="AJ326" i="1"/>
  <c r="V326" i="1"/>
  <c r="AQ316" i="1"/>
  <c r="AQ325" i="1"/>
  <c r="AI325" i="1"/>
  <c r="AJ325" i="1" s="1"/>
  <c r="V325" i="1"/>
  <c r="W322" i="1"/>
  <c r="AQ324" i="1"/>
  <c r="AI324" i="1"/>
  <c r="AJ324" i="1" s="1"/>
  <c r="V324" i="1"/>
  <c r="V323" i="1"/>
  <c r="AQ322" i="1"/>
  <c r="AI322" i="1"/>
  <c r="AJ322" i="1" s="1"/>
  <c r="V322" i="1"/>
  <c r="AQ318" i="1"/>
  <c r="AQ320" i="1"/>
  <c r="AS320" i="1"/>
  <c r="AR320" i="1" s="1"/>
  <c r="AQ321" i="1"/>
  <c r="V321" i="1"/>
  <c r="AJ320" i="1"/>
  <c r="V320" i="1"/>
  <c r="AA298" i="2"/>
  <c r="AQ298" i="2" s="1"/>
  <c r="V298" i="2"/>
  <c r="W298" i="2"/>
  <c r="AQ317" i="1"/>
  <c r="AQ295" i="2"/>
  <c r="AQ307" i="1"/>
  <c r="V297" i="2"/>
  <c r="W297" i="2"/>
  <c r="V318" i="1"/>
  <c r="AS318" i="1"/>
  <c r="AR318" i="1" s="1"/>
  <c r="V317" i="1"/>
  <c r="V316" i="1"/>
  <c r="AQ314" i="1"/>
  <c r="V309" i="1"/>
  <c r="W309" i="1"/>
  <c r="V310" i="1"/>
  <c r="W310" i="1"/>
  <c r="V311" i="1"/>
  <c r="W311" i="1"/>
  <c r="V312" i="1"/>
  <c r="W312" i="1"/>
  <c r="V313" i="1"/>
  <c r="W313" i="1"/>
  <c r="V314" i="1"/>
  <c r="W314" i="1"/>
  <c r="AS314" i="1" s="1"/>
  <c r="AR314" i="1" s="1"/>
  <c r="V308" i="1"/>
  <c r="W308" i="1"/>
  <c r="V307" i="1"/>
  <c r="W307" i="1"/>
  <c r="W304" i="1"/>
  <c r="W306" i="1"/>
  <c r="AQ306" i="1"/>
  <c r="V305" i="1"/>
  <c r="W305" i="1"/>
  <c r="V306" i="1"/>
  <c r="V291" i="2"/>
  <c r="W291" i="2"/>
  <c r="V292" i="2"/>
  <c r="W292" i="2"/>
  <c r="V293" i="2"/>
  <c r="W293" i="2"/>
  <c r="V295" i="2"/>
  <c r="W295" i="2"/>
  <c r="AS295" i="2" s="1"/>
  <c r="AR295" i="2" s="1"/>
  <c r="AQ304" i="1"/>
  <c r="W289" i="1"/>
  <c r="AP289" i="1"/>
  <c r="N13" i="6"/>
  <c r="N12" i="6"/>
  <c r="N11" i="6"/>
  <c r="N10" i="6"/>
  <c r="N9" i="6"/>
  <c r="N8" i="6"/>
  <c r="N7" i="6"/>
  <c r="N6" i="6"/>
  <c r="M13" i="6" a="1"/>
  <c r="M13" i="6" s="1"/>
  <c r="M12" i="6" a="1"/>
  <c r="M12" i="6" s="1"/>
  <c r="M11" i="6" a="1"/>
  <c r="M11" i="6" s="1"/>
  <c r="M10" i="6" a="1"/>
  <c r="M10" i="6" s="1"/>
  <c r="M9" i="6" a="1"/>
  <c r="M9" i="6" s="1"/>
  <c r="M8" i="6" a="1"/>
  <c r="M8" i="6" s="1"/>
  <c r="M6" i="6" a="1"/>
  <c r="M6" i="6" s="1"/>
  <c r="M7" i="6" a="1"/>
  <c r="M7" i="6" s="1"/>
  <c r="V300" i="1"/>
  <c r="W300" i="1"/>
  <c r="V301" i="1"/>
  <c r="W301" i="1"/>
  <c r="V304" i="1"/>
  <c r="W290" i="1"/>
  <c r="I13" i="6"/>
  <c r="H13" i="6"/>
  <c r="D13" i="6"/>
  <c r="D12" i="6"/>
  <c r="D11" i="6"/>
  <c r="C13" i="6"/>
  <c r="J13" i="6" s="1"/>
  <c r="C12" i="6"/>
  <c r="C11" i="6"/>
  <c r="D10" i="6"/>
  <c r="D9" i="6"/>
  <c r="C10" i="6"/>
  <c r="C9" i="6"/>
  <c r="D8" i="6"/>
  <c r="D7" i="6"/>
  <c r="D6" i="6"/>
  <c r="C6" i="6"/>
  <c r="C8" i="6"/>
  <c r="C7" i="6"/>
  <c r="AQ299" i="1"/>
  <c r="V299" i="1"/>
  <c r="W299" i="1"/>
  <c r="AS299" i="1" s="1"/>
  <c r="AR299" i="1" s="1"/>
  <c r="AQ298" i="1"/>
  <c r="V297" i="1"/>
  <c r="W297" i="1"/>
  <c r="V298" i="1"/>
  <c r="W298" i="1"/>
  <c r="W293" i="1"/>
  <c r="W296" i="1"/>
  <c r="AQ296" i="1"/>
  <c r="V294" i="1"/>
  <c r="W294" i="1"/>
  <c r="V296" i="1"/>
  <c r="AQ293" i="1"/>
  <c r="V292" i="1"/>
  <c r="W292" i="1"/>
  <c r="V293" i="1"/>
  <c r="AQ288" i="1"/>
  <c r="AQ289" i="1"/>
  <c r="AQ290" i="1"/>
  <c r="AS290" i="1" s="1"/>
  <c r="AR290" i="1" s="1"/>
  <c r="AQ291" i="1"/>
  <c r="V291" i="1"/>
  <c r="W291" i="1"/>
  <c r="V290" i="1"/>
  <c r="AI290" i="1"/>
  <c r="AJ290" i="1" s="1"/>
  <c r="V289" i="1"/>
  <c r="V288" i="1"/>
  <c r="W288" i="1"/>
  <c r="AQ287" i="1"/>
  <c r="V287" i="1"/>
  <c r="W287" i="1"/>
  <c r="W286" i="1"/>
  <c r="W285" i="1"/>
  <c r="AQ286" i="1"/>
  <c r="AS286" i="1" s="1"/>
  <c r="AR286" i="1" s="1"/>
  <c r="V286" i="1"/>
  <c r="AQ285" i="1"/>
  <c r="AS285" i="1" s="1"/>
  <c r="AR285" i="1" s="1"/>
  <c r="V285" i="1"/>
  <c r="AQ284" i="1"/>
  <c r="AQ283" i="1"/>
  <c r="AQ282" i="1"/>
  <c r="V278" i="1"/>
  <c r="W278" i="1"/>
  <c r="V279" i="1"/>
  <c r="W279" i="1"/>
  <c r="V280" i="1"/>
  <c r="W280" i="1"/>
  <c r="V281" i="1"/>
  <c r="W281" i="1"/>
  <c r="V282" i="1"/>
  <c r="W282" i="1"/>
  <c r="V283" i="1"/>
  <c r="W283" i="1"/>
  <c r="AS283" i="1" s="1"/>
  <c r="AR283" i="1" s="1"/>
  <c r="V284" i="1"/>
  <c r="W284" i="1"/>
  <c r="AQ274" i="1"/>
  <c r="AQ275" i="1"/>
  <c r="AQ276" i="1"/>
  <c r="AQ277" i="1"/>
  <c r="V277" i="1"/>
  <c r="W277" i="1"/>
  <c r="W276" i="1"/>
  <c r="V276" i="1"/>
  <c r="V275" i="1"/>
  <c r="W275" i="1"/>
  <c r="W274" i="1"/>
  <c r="V274" i="1"/>
  <c r="AQ265" i="1"/>
  <c r="AQ266" i="1"/>
  <c r="AQ267" i="1"/>
  <c r="AQ272" i="1"/>
  <c r="AQ273" i="1"/>
  <c r="V273" i="1"/>
  <c r="W273" i="1"/>
  <c r="V268" i="1"/>
  <c r="W268" i="1"/>
  <c r="V269" i="1"/>
  <c r="W269" i="1"/>
  <c r="V270" i="1"/>
  <c r="W270" i="1"/>
  <c r="V271" i="1"/>
  <c r="W271" i="1"/>
  <c r="V272" i="1"/>
  <c r="W272" i="1"/>
  <c r="AI272" i="1" s="1"/>
  <c r="AP254" i="1"/>
  <c r="AQ254" i="1" s="1"/>
  <c r="W254" i="1"/>
  <c r="AI254" i="1" s="1"/>
  <c r="AJ254" i="1" s="1"/>
  <c r="V267" i="1"/>
  <c r="W267" i="1"/>
  <c r="V266" i="1"/>
  <c r="W266" i="1"/>
  <c r="AQ262" i="1"/>
  <c r="V265" i="1"/>
  <c r="W265" i="1"/>
  <c r="AS265" i="1" s="1"/>
  <c r="AR265" i="1" s="1"/>
  <c r="AQ263" i="1"/>
  <c r="W263" i="1"/>
  <c r="AI263" i="1" s="1"/>
  <c r="V263" i="1"/>
  <c r="V261" i="1"/>
  <c r="W261" i="1"/>
  <c r="V262" i="1"/>
  <c r="W262" i="1"/>
  <c r="AQ260" i="1"/>
  <c r="W260" i="1"/>
  <c r="V260" i="1"/>
  <c r="AQ258" i="1"/>
  <c r="AQ259" i="1"/>
  <c r="V259" i="1"/>
  <c r="W259" i="1"/>
  <c r="V258" i="1"/>
  <c r="W258" i="1"/>
  <c r="W248" i="1"/>
  <c r="AP248" i="1"/>
  <c r="AQ248" i="1" s="1"/>
  <c r="AQ251" i="1"/>
  <c r="AQ252" i="1"/>
  <c r="AQ253" i="1"/>
  <c r="AQ255" i="1"/>
  <c r="AQ256" i="1"/>
  <c r="AQ257" i="1"/>
  <c r="W245" i="1"/>
  <c r="W246" i="1"/>
  <c r="W247" i="1"/>
  <c r="W249" i="1"/>
  <c r="W250" i="1"/>
  <c r="W251" i="1"/>
  <c r="W252" i="1"/>
  <c r="W253" i="1"/>
  <c r="W255" i="1"/>
  <c r="AI255" i="1" s="1"/>
  <c r="AJ255" i="1" s="1"/>
  <c r="W256" i="1"/>
  <c r="AI256" i="1" s="1"/>
  <c r="AJ256" i="1" s="1"/>
  <c r="W257" i="1"/>
  <c r="V245" i="1"/>
  <c r="V246" i="1"/>
  <c r="V247" i="1"/>
  <c r="V248" i="1"/>
  <c r="V249" i="1"/>
  <c r="V250" i="1"/>
  <c r="V251" i="1"/>
  <c r="V252" i="1"/>
  <c r="V253" i="1"/>
  <c r="V254" i="1"/>
  <c r="V255" i="1"/>
  <c r="V256" i="1"/>
  <c r="V257" i="1"/>
  <c r="V244" i="1"/>
  <c r="W244" i="1"/>
  <c r="AQ250" i="1"/>
  <c r="AS250" i="1" s="1"/>
  <c r="AR250" i="1" s="1"/>
  <c r="AQ246" i="1"/>
  <c r="AS246" i="1" s="1"/>
  <c r="AR246" i="1" s="1"/>
  <c r="AQ247" i="1"/>
  <c r="AI257" i="1"/>
  <c r="AJ257" i="1" s="1"/>
  <c r="AP244" i="1"/>
  <c r="AQ244" i="1" s="1"/>
  <c r="W18" i="1"/>
  <c r="Q335" i="2"/>
  <c r="Q334" i="2"/>
  <c r="Q333" i="2"/>
  <c r="Q331" i="2"/>
  <c r="Q330" i="2"/>
  <c r="Q329" i="2"/>
  <c r="Q327" i="2"/>
  <c r="Q326" i="2"/>
  <c r="Q325" i="2"/>
  <c r="AN323" i="2"/>
  <c r="AN322" i="2"/>
  <c r="P322" i="2"/>
  <c r="P321" i="2"/>
  <c r="P320" i="2"/>
  <c r="P319" i="2"/>
  <c r="AN318" i="2"/>
  <c r="Z318" i="2"/>
  <c r="Y318" i="2"/>
  <c r="X318" i="2"/>
  <c r="P318" i="2"/>
  <c r="N318" i="2"/>
  <c r="M318" i="2"/>
  <c r="L318" i="2"/>
  <c r="AN317" i="2"/>
  <c r="Z317" i="2"/>
  <c r="Y317" i="2"/>
  <c r="X317" i="2"/>
  <c r="T317" i="2"/>
  <c r="P317" i="2"/>
  <c r="N317" i="2"/>
  <c r="M317" i="2"/>
  <c r="L317" i="2"/>
  <c r="Z316" i="2"/>
  <c r="Y316" i="2"/>
  <c r="X316" i="2"/>
  <c r="T316" i="2"/>
  <c r="P316" i="2"/>
  <c r="N316" i="2"/>
  <c r="N320" i="2" s="1"/>
  <c r="M316" i="2"/>
  <c r="M320" i="2" s="1"/>
  <c r="L316" i="2"/>
  <c r="L320" i="2" s="1"/>
  <c r="Z315" i="2"/>
  <c r="Y315" i="2"/>
  <c r="X315" i="2"/>
  <c r="T315" i="2"/>
  <c r="P315" i="2"/>
  <c r="N315" i="2"/>
  <c r="M315" i="2"/>
  <c r="L315" i="2"/>
  <c r="L319" i="2" s="1"/>
  <c r="Z314" i="2"/>
  <c r="Y314" i="2"/>
  <c r="X314" i="2"/>
  <c r="T314" i="2"/>
  <c r="P314" i="2"/>
  <c r="AN313" i="2"/>
  <c r="Z313" i="2"/>
  <c r="Y313" i="2"/>
  <c r="X313" i="2"/>
  <c r="T313" i="2"/>
  <c r="N313" i="2"/>
  <c r="N314" i="2" s="1"/>
  <c r="M313" i="2"/>
  <c r="M314" i="2" s="1"/>
  <c r="L313" i="2"/>
  <c r="AN311" i="2"/>
  <c r="Z311" i="2"/>
  <c r="Y311" i="2"/>
  <c r="X311" i="2"/>
  <c r="T311" i="2"/>
  <c r="N311" i="2"/>
  <c r="M311" i="2"/>
  <c r="L311" i="2"/>
  <c r="AQ310" i="2"/>
  <c r="W310" i="2"/>
  <c r="V310" i="2"/>
  <c r="W290" i="2"/>
  <c r="V290" i="2"/>
  <c r="AQ289" i="2"/>
  <c r="W289" i="2"/>
  <c r="V289" i="2"/>
  <c r="AQ288" i="2"/>
  <c r="W288" i="2"/>
  <c r="V288" i="2"/>
  <c r="AQ287" i="2"/>
  <c r="W287" i="2"/>
  <c r="AS287" i="2" s="1"/>
  <c r="AR287" i="2" s="1"/>
  <c r="V287" i="2"/>
  <c r="AQ286" i="2"/>
  <c r="W286" i="2"/>
  <c r="V286" i="2"/>
  <c r="AQ285" i="2"/>
  <c r="W285" i="2"/>
  <c r="AS285" i="2" s="1"/>
  <c r="AR285" i="2" s="1"/>
  <c r="V285" i="2"/>
  <c r="AQ284" i="2"/>
  <c r="W284" i="2"/>
  <c r="V284" i="2"/>
  <c r="AS283" i="2"/>
  <c r="AR283" i="2" s="1"/>
  <c r="AQ283" i="2"/>
  <c r="W283" i="2"/>
  <c r="V283" i="2"/>
  <c r="AS282" i="2"/>
  <c r="AR282" i="2"/>
  <c r="AQ282" i="2"/>
  <c r="W282" i="2"/>
  <c r="V282" i="2"/>
  <c r="AQ281" i="2"/>
  <c r="W281" i="2"/>
  <c r="V281" i="2"/>
  <c r="AQ280" i="2"/>
  <c r="W280" i="2"/>
  <c r="V280" i="2"/>
  <c r="AQ279" i="2"/>
  <c r="W279" i="2"/>
  <c r="V279" i="2"/>
  <c r="AS278" i="2"/>
  <c r="AQ278" i="2"/>
  <c r="AS277" i="2"/>
  <c r="AR277" i="2"/>
  <c r="AQ277" i="2"/>
  <c r="W277" i="2"/>
  <c r="V277" i="2"/>
  <c r="AS276" i="2"/>
  <c r="AR276" i="2" s="1"/>
  <c r="AQ276" i="2"/>
  <c r="W276" i="2"/>
  <c r="V276" i="2"/>
  <c r="AQ275" i="2"/>
  <c r="W275" i="2"/>
  <c r="V275" i="2"/>
  <c r="AQ274" i="2"/>
  <c r="W274" i="2"/>
  <c r="V274" i="2"/>
  <c r="AQ273" i="2"/>
  <c r="W273" i="2"/>
  <c r="V273" i="2"/>
  <c r="AQ272" i="2"/>
  <c r="W272" i="2"/>
  <c r="V272" i="2"/>
  <c r="AQ271" i="2"/>
  <c r="W271" i="2"/>
  <c r="V271" i="2"/>
  <c r="AQ270" i="2"/>
  <c r="W270" i="2"/>
  <c r="V270" i="2"/>
  <c r="AS269" i="2"/>
  <c r="AQ269" i="2"/>
  <c r="W269" i="2"/>
  <c r="V269" i="2"/>
  <c r="AQ268" i="2"/>
  <c r="W268" i="2"/>
  <c r="V268" i="2"/>
  <c r="AQ267" i="2"/>
  <c r="W267" i="2"/>
  <c r="V267" i="2"/>
  <c r="AQ266" i="2"/>
  <c r="W266" i="2"/>
  <c r="V266" i="2"/>
  <c r="AS265" i="2"/>
  <c r="AR265" i="2" s="1"/>
  <c r="AQ265" i="2"/>
  <c r="W265" i="2"/>
  <c r="V265" i="2"/>
  <c r="W264" i="2"/>
  <c r="V264" i="2"/>
  <c r="AQ263" i="2"/>
  <c r="W263" i="2"/>
  <c r="V263" i="2"/>
  <c r="AS262" i="2"/>
  <c r="AR262" i="2" s="1"/>
  <c r="AQ262" i="2"/>
  <c r="W262" i="2"/>
  <c r="V262" i="2"/>
  <c r="AQ261" i="2"/>
  <c r="W261" i="2"/>
  <c r="V261" i="2"/>
  <c r="AS260" i="2"/>
  <c r="AR260" i="2" s="1"/>
  <c r="AQ260" i="2"/>
  <c r="W260" i="2"/>
  <c r="V260" i="2"/>
  <c r="AQ259" i="2"/>
  <c r="W259" i="2"/>
  <c r="V259" i="2"/>
  <c r="AQ258" i="2"/>
  <c r="W258" i="2"/>
  <c r="AS258" i="2" s="1"/>
  <c r="AR258" i="2" s="1"/>
  <c r="V258" i="2"/>
  <c r="AQ257" i="2"/>
  <c r="W257" i="2"/>
  <c r="V257" i="2"/>
  <c r="AQ256" i="2"/>
  <c r="W256" i="2"/>
  <c r="V256" i="2"/>
  <c r="AQ255" i="2"/>
  <c r="W255" i="2"/>
  <c r="V255" i="2"/>
  <c r="AS254" i="2"/>
  <c r="AQ254" i="2"/>
  <c r="W254" i="2"/>
  <c r="V254" i="2"/>
  <c r="AS253" i="2"/>
  <c r="AR253" i="2"/>
  <c r="AQ253" i="2"/>
  <c r="W253" i="2"/>
  <c r="V253" i="2"/>
  <c r="AS252" i="2"/>
  <c r="AR252" i="2" s="1"/>
  <c r="AQ252" i="2"/>
  <c r="W252" i="2"/>
  <c r="V252" i="2"/>
  <c r="AS251" i="2"/>
  <c r="AR251" i="2"/>
  <c r="AQ251" i="2"/>
  <c r="W251" i="2"/>
  <c r="V251" i="2"/>
  <c r="AS250" i="2"/>
  <c r="AR250" i="2" s="1"/>
  <c r="AQ250" i="2"/>
  <c r="W250" i="2"/>
  <c r="V250" i="2"/>
  <c r="AQ249" i="2"/>
  <c r="W249" i="2"/>
  <c r="V249" i="2"/>
  <c r="AQ248" i="2"/>
  <c r="W248" i="2"/>
  <c r="V248" i="2"/>
  <c r="AQ247" i="2"/>
  <c r="W247" i="2"/>
  <c r="AS247" i="2" s="1"/>
  <c r="AR247" i="2" s="1"/>
  <c r="V247" i="2"/>
  <c r="AQ246" i="2"/>
  <c r="W246" i="2"/>
  <c r="V246" i="2"/>
  <c r="AQ245" i="2"/>
  <c r="W245" i="2"/>
  <c r="V245" i="2"/>
  <c r="AS244" i="2"/>
  <c r="AR244" i="2"/>
  <c r="AQ244" i="2"/>
  <c r="W244" i="2"/>
  <c r="V244" i="2"/>
  <c r="AS243" i="2"/>
  <c r="AR243" i="2" s="1"/>
  <c r="AQ243" i="2"/>
  <c r="W243" i="2"/>
  <c r="V243" i="2"/>
  <c r="AS242" i="2"/>
  <c r="AR242" i="2"/>
  <c r="AQ242" i="2"/>
  <c r="AJ242" i="2"/>
  <c r="W242" i="2"/>
  <c r="V242" i="2"/>
  <c r="AS241" i="2"/>
  <c r="AR241" i="2"/>
  <c r="AQ241" i="2"/>
  <c r="AJ241" i="2"/>
  <c r="W241" i="2"/>
  <c r="V241" i="2"/>
  <c r="AS240" i="2"/>
  <c r="AR240" i="2"/>
  <c r="AQ240" i="2"/>
  <c r="W240" i="2"/>
  <c r="V240" i="2"/>
  <c r="AS239" i="2"/>
  <c r="AR239" i="2" s="1"/>
  <c r="AQ239" i="2"/>
  <c r="W239" i="2"/>
  <c r="V239" i="2"/>
  <c r="AS238" i="2"/>
  <c r="AR238" i="2" s="1"/>
  <c r="AQ238" i="2"/>
  <c r="W238" i="2"/>
  <c r="V238" i="2"/>
  <c r="AS237" i="2"/>
  <c r="AR237" i="2" s="1"/>
  <c r="AQ237" i="2"/>
  <c r="W237" i="2"/>
  <c r="V237" i="2"/>
  <c r="AS236" i="2"/>
  <c r="AR236" i="2"/>
  <c r="AQ236" i="2"/>
  <c r="W236" i="2"/>
  <c r="V236" i="2"/>
  <c r="AS235" i="2"/>
  <c r="AR235" i="2" s="1"/>
  <c r="AQ235" i="2"/>
  <c r="W235" i="2"/>
  <c r="V235" i="2"/>
  <c r="AS234" i="2"/>
  <c r="AR234" i="2" s="1"/>
  <c r="AQ234" i="2"/>
  <c r="W234" i="2"/>
  <c r="V234" i="2"/>
  <c r="AS233" i="2"/>
  <c r="AR233" i="2" s="1"/>
  <c r="AQ233" i="2"/>
  <c r="W233" i="2"/>
  <c r="V233" i="2"/>
  <c r="AS232" i="2"/>
  <c r="AR232" i="2" s="1"/>
  <c r="AQ232" i="2"/>
  <c r="W232" i="2"/>
  <c r="V232" i="2"/>
  <c r="AS231" i="2"/>
  <c r="AR231" i="2" s="1"/>
  <c r="AQ231" i="2"/>
  <c r="W231" i="2"/>
  <c r="V231" i="2"/>
  <c r="AS230" i="2"/>
  <c r="AR230" i="2" s="1"/>
  <c r="AQ230" i="2"/>
  <c r="W230" i="2"/>
  <c r="V230" i="2"/>
  <c r="AS229" i="2"/>
  <c r="AR229" i="2" s="1"/>
  <c r="AQ229" i="2"/>
  <c r="W229" i="2"/>
  <c r="V229" i="2"/>
  <c r="AS228" i="2"/>
  <c r="AR228" i="2" s="1"/>
  <c r="AQ228" i="2"/>
  <c r="W228" i="2"/>
  <c r="V228" i="2"/>
  <c r="AQ227" i="2"/>
  <c r="W227" i="2"/>
  <c r="V227" i="2"/>
  <c r="AQ226" i="2"/>
  <c r="W226" i="2"/>
  <c r="V226" i="2"/>
  <c r="AQ225" i="2"/>
  <c r="W225" i="2"/>
  <c r="V225" i="2"/>
  <c r="AQ224" i="2"/>
  <c r="W224" i="2"/>
  <c r="V224" i="2"/>
  <c r="AQ223" i="2"/>
  <c r="W223" i="2"/>
  <c r="V223" i="2"/>
  <c r="AQ222" i="2"/>
  <c r="W222" i="2"/>
  <c r="AS222" i="2" s="1"/>
  <c r="AR222" i="2" s="1"/>
  <c r="V222" i="2"/>
  <c r="AQ220" i="2"/>
  <c r="W220" i="2"/>
  <c r="V220" i="2"/>
  <c r="AQ219" i="2"/>
  <c r="W219" i="2"/>
  <c r="V219" i="2"/>
  <c r="W218" i="2"/>
  <c r="V218" i="2"/>
  <c r="W217" i="2"/>
  <c r="V217" i="2"/>
  <c r="AQ211" i="2"/>
  <c r="W211" i="2"/>
  <c r="V211" i="2"/>
  <c r="AQ210" i="2"/>
  <c r="W210" i="2"/>
  <c r="V210" i="2"/>
  <c r="AS209" i="2"/>
  <c r="AR209" i="2"/>
  <c r="AQ209" i="2"/>
  <c r="W209" i="2"/>
  <c r="V209" i="2"/>
  <c r="AQ208" i="2"/>
  <c r="W208" i="2"/>
  <c r="V208" i="2"/>
  <c r="AQ207" i="2"/>
  <c r="W207" i="2"/>
  <c r="AS207" i="2" s="1"/>
  <c r="AR207" i="2" s="1"/>
  <c r="V207" i="2"/>
  <c r="AQ206" i="2"/>
  <c r="W206" i="2"/>
  <c r="V206" i="2"/>
  <c r="AQ205" i="2"/>
  <c r="W205" i="2"/>
  <c r="AS205" i="2" s="1"/>
  <c r="AR205" i="2" s="1"/>
  <c r="V205" i="2"/>
  <c r="AQ204" i="2"/>
  <c r="W204" i="2"/>
  <c r="V204" i="2"/>
  <c r="AQ203" i="2"/>
  <c r="W203" i="2"/>
  <c r="AS203" i="2" s="1"/>
  <c r="AR203" i="2" s="1"/>
  <c r="V203" i="2"/>
  <c r="AS202" i="2"/>
  <c r="AR202" i="2"/>
  <c r="AQ202" i="2"/>
  <c r="W202" i="2"/>
  <c r="V202" i="2"/>
  <c r="AS201" i="2"/>
  <c r="AR201" i="2" s="1"/>
  <c r="AQ201" i="2"/>
  <c r="W201" i="2"/>
  <c r="V201" i="2"/>
  <c r="AQ200" i="2"/>
  <c r="W200" i="2"/>
  <c r="V200" i="2"/>
  <c r="AS199" i="2"/>
  <c r="AR199" i="2" s="1"/>
  <c r="AQ199" i="2"/>
  <c r="W199" i="2"/>
  <c r="V199" i="2"/>
  <c r="AS198" i="2"/>
  <c r="AR198" i="2" s="1"/>
  <c r="AQ198" i="2"/>
  <c r="W198" i="2"/>
  <c r="V198" i="2"/>
  <c r="AS197" i="2"/>
  <c r="AR197" i="2" s="1"/>
  <c r="AQ197" i="2"/>
  <c r="W197" i="2"/>
  <c r="V197" i="2"/>
  <c r="AQ196" i="2"/>
  <c r="W196" i="2"/>
  <c r="V196" i="2"/>
  <c r="AS195" i="2"/>
  <c r="AR195" i="2" s="1"/>
  <c r="AQ195" i="2"/>
  <c r="W195" i="2"/>
  <c r="V195" i="2"/>
  <c r="AQ194" i="2"/>
  <c r="W194" i="2"/>
  <c r="V194" i="2"/>
  <c r="AQ193" i="2"/>
  <c r="W193" i="2"/>
  <c r="V193" i="2"/>
  <c r="AQ192" i="2"/>
  <c r="W192" i="2"/>
  <c r="V192" i="2"/>
  <c r="AS191" i="2"/>
  <c r="AR191" i="2"/>
  <c r="AQ191" i="2"/>
  <c r="W191" i="2"/>
  <c r="V191" i="2"/>
  <c r="AQ190" i="2"/>
  <c r="W190" i="2"/>
  <c r="V190" i="2"/>
  <c r="AQ189" i="2"/>
  <c r="W189" i="2"/>
  <c r="AS189" i="2" s="1"/>
  <c r="AR189" i="2" s="1"/>
  <c r="V189" i="2"/>
  <c r="AQ188" i="2"/>
  <c r="W188" i="2"/>
  <c r="V188" i="2"/>
  <c r="AQ187" i="2"/>
  <c r="W187" i="2"/>
  <c r="V187" i="2"/>
  <c r="AQ186" i="2"/>
  <c r="W186" i="2"/>
  <c r="V186" i="2"/>
  <c r="AQ185" i="2"/>
  <c r="W185" i="2"/>
  <c r="V185" i="2"/>
  <c r="AQ184" i="2"/>
  <c r="W184" i="2"/>
  <c r="V184" i="2"/>
  <c r="AQ183" i="2"/>
  <c r="W183" i="2"/>
  <c r="V183" i="2"/>
  <c r="AQ181" i="2"/>
  <c r="AJ181" i="2"/>
  <c r="W181" i="2"/>
  <c r="V181" i="2"/>
  <c r="AQ180" i="2"/>
  <c r="AH180" i="2"/>
  <c r="W180" i="2"/>
  <c r="AI180" i="2" s="1"/>
  <c r="AJ180" i="2" s="1"/>
  <c r="V180" i="2"/>
  <c r="AQ179" i="2"/>
  <c r="AJ179" i="2"/>
  <c r="W179" i="2"/>
  <c r="V179" i="2"/>
  <c r="AQ178" i="2"/>
  <c r="AJ178" i="2"/>
  <c r="W178" i="2"/>
  <c r="AS178" i="2" s="1"/>
  <c r="AR178" i="2" s="1"/>
  <c r="V178" i="2"/>
  <c r="AQ177" i="2"/>
  <c r="AJ177" i="2"/>
  <c r="W177" i="2"/>
  <c r="V177" i="2"/>
  <c r="AQ176" i="2"/>
  <c r="AH176" i="2"/>
  <c r="W176" i="2"/>
  <c r="AI176" i="2" s="1"/>
  <c r="AJ176" i="2" s="1"/>
  <c r="V176" i="2"/>
  <c r="AQ175" i="2"/>
  <c r="W175" i="2"/>
  <c r="V175" i="2"/>
  <c r="AQ174" i="2"/>
  <c r="W174" i="2"/>
  <c r="AS174" i="2" s="1"/>
  <c r="AR174" i="2" s="1"/>
  <c r="V174" i="2"/>
  <c r="AQ173" i="2"/>
  <c r="AH173" i="2"/>
  <c r="W173" i="2"/>
  <c r="V173" i="2"/>
  <c r="W172" i="2"/>
  <c r="V172" i="2"/>
  <c r="AS171" i="2"/>
  <c r="AR171" i="2"/>
  <c r="AQ171" i="2"/>
  <c r="W171" i="2"/>
  <c r="V171" i="2"/>
  <c r="AQ170" i="2"/>
  <c r="AH170" i="2"/>
  <c r="W170" i="2"/>
  <c r="V170" i="2"/>
  <c r="AQ169" i="2"/>
  <c r="AH169" i="2"/>
  <c r="W169" i="2"/>
  <c r="V169" i="2"/>
  <c r="AS168" i="2"/>
  <c r="AR168" i="2" s="1"/>
  <c r="AQ168" i="2"/>
  <c r="W168" i="2"/>
  <c r="V168" i="2"/>
  <c r="AS167" i="2"/>
  <c r="AR167" i="2"/>
  <c r="AQ167" i="2"/>
  <c r="W167" i="2"/>
  <c r="V167" i="2"/>
  <c r="AS166" i="2"/>
  <c r="AR166" i="2" s="1"/>
  <c r="AQ166" i="2"/>
  <c r="W166" i="2"/>
  <c r="V166" i="2"/>
  <c r="AS165" i="2"/>
  <c r="AR165" i="2"/>
  <c r="AQ165" i="2"/>
  <c r="W165" i="2"/>
  <c r="V165" i="2"/>
  <c r="AS164" i="2"/>
  <c r="AR164" i="2"/>
  <c r="AQ164" i="2"/>
  <c r="W164" i="2"/>
  <c r="V164" i="2"/>
  <c r="AS163" i="2"/>
  <c r="AR163" i="2" s="1"/>
  <c r="AQ163" i="2"/>
  <c r="W163" i="2"/>
  <c r="V163" i="2"/>
  <c r="AQ162" i="2"/>
  <c r="W162" i="2"/>
  <c r="V162" i="2"/>
  <c r="AS161" i="2"/>
  <c r="AR161" i="2" s="1"/>
  <c r="AQ161" i="2"/>
  <c r="W161" i="2"/>
  <c r="V161" i="2"/>
  <c r="AS160" i="2"/>
  <c r="AR160" i="2" s="1"/>
  <c r="AQ160" i="2"/>
  <c r="W160" i="2"/>
  <c r="V160" i="2"/>
  <c r="AS159" i="2"/>
  <c r="AR159" i="2" s="1"/>
  <c r="AQ159" i="2"/>
  <c r="W159" i="2"/>
  <c r="V159" i="2"/>
  <c r="AS158" i="2"/>
  <c r="AR158" i="2" s="1"/>
  <c r="AQ158" i="2"/>
  <c r="W158" i="2"/>
  <c r="V158" i="2"/>
  <c r="AQ157" i="2"/>
  <c r="W157" i="2"/>
  <c r="V157" i="2"/>
  <c r="AS156" i="2"/>
  <c r="AR156" i="2" s="1"/>
  <c r="AQ156" i="2"/>
  <c r="W156" i="2"/>
  <c r="V156" i="2"/>
  <c r="AQ155" i="2"/>
  <c r="W155" i="2"/>
  <c r="V155" i="2"/>
  <c r="AQ152" i="2"/>
  <c r="W152" i="2"/>
  <c r="V152" i="2"/>
  <c r="AS151" i="2"/>
  <c r="AR151" i="2"/>
  <c r="AQ151" i="2"/>
  <c r="W151" i="2"/>
  <c r="V151" i="2"/>
  <c r="AS150" i="2"/>
  <c r="AR150" i="2" s="1"/>
  <c r="AQ150" i="2"/>
  <c r="W150" i="2"/>
  <c r="V150" i="2"/>
  <c r="AQ149" i="2"/>
  <c r="W149" i="2"/>
  <c r="V149" i="2"/>
  <c r="AQ148" i="2"/>
  <c r="W148" i="2"/>
  <c r="V148" i="2"/>
  <c r="AS147" i="2"/>
  <c r="AR147" i="2"/>
  <c r="AQ147" i="2"/>
  <c r="W147" i="2"/>
  <c r="V147" i="2"/>
  <c r="AQ146" i="2"/>
  <c r="W146" i="2"/>
  <c r="V146" i="2"/>
  <c r="AQ145" i="2"/>
  <c r="W145" i="2"/>
  <c r="V145" i="2"/>
  <c r="AQ144" i="2"/>
  <c r="W144" i="2"/>
  <c r="V144" i="2"/>
  <c r="AQ143" i="2"/>
  <c r="W143" i="2"/>
  <c r="V143" i="2"/>
  <c r="AS142" i="2"/>
  <c r="AR142" i="2"/>
  <c r="AQ142" i="2"/>
  <c r="W142" i="2"/>
  <c r="V142" i="2"/>
  <c r="AS141" i="2"/>
  <c r="AR141" i="2"/>
  <c r="AQ141" i="2"/>
  <c r="W141" i="2"/>
  <c r="V141" i="2"/>
  <c r="AS140" i="2"/>
  <c r="AR140" i="2" s="1"/>
  <c r="AQ140" i="2"/>
  <c r="W140" i="2"/>
  <c r="V140" i="2"/>
  <c r="AS139" i="2"/>
  <c r="AR139" i="2"/>
  <c r="AQ139" i="2"/>
  <c r="W139" i="2"/>
  <c r="V139" i="2"/>
  <c r="AS138" i="2"/>
  <c r="AR138" i="2" s="1"/>
  <c r="AQ138" i="2"/>
  <c r="W138" i="2"/>
  <c r="V138" i="2"/>
  <c r="AS137" i="2"/>
  <c r="AR137" i="2" s="1"/>
  <c r="AQ137" i="2"/>
  <c r="W137" i="2"/>
  <c r="V137" i="2"/>
  <c r="AQ136" i="2"/>
  <c r="W136" i="2"/>
  <c r="V136" i="2"/>
  <c r="AS135" i="2"/>
  <c r="AR135" i="2"/>
  <c r="AQ135" i="2"/>
  <c r="W135" i="2"/>
  <c r="V135" i="2"/>
  <c r="AS134" i="2"/>
  <c r="AR134" i="2" s="1"/>
  <c r="AQ134" i="2"/>
  <c r="W134" i="2"/>
  <c r="V134" i="2"/>
  <c r="AS133" i="2"/>
  <c r="AR133" i="2" s="1"/>
  <c r="AQ133" i="2"/>
  <c r="W133" i="2"/>
  <c r="V133" i="2"/>
  <c r="AS132" i="2"/>
  <c r="AR132" i="2" s="1"/>
  <c r="AQ132" i="2"/>
  <c r="W132" i="2"/>
  <c r="V132" i="2"/>
  <c r="AS131" i="2"/>
  <c r="AR131" i="2" s="1"/>
  <c r="AQ131" i="2"/>
  <c r="W131" i="2"/>
  <c r="V131" i="2"/>
  <c r="AQ130" i="2"/>
  <c r="W130" i="2"/>
  <c r="V130" i="2"/>
  <c r="AS129" i="2"/>
  <c r="AR129" i="2" s="1"/>
  <c r="AQ129" i="2"/>
  <c r="W129" i="2"/>
  <c r="V129" i="2"/>
  <c r="AQ128" i="2"/>
  <c r="W128" i="2"/>
  <c r="V128" i="2"/>
  <c r="AQ127" i="2"/>
  <c r="W127" i="2"/>
  <c r="V127" i="2"/>
  <c r="AQ126" i="2"/>
  <c r="W126" i="2"/>
  <c r="V126" i="2"/>
  <c r="AQ125" i="2"/>
  <c r="W125" i="2"/>
  <c r="V125" i="2"/>
  <c r="AQ124" i="2"/>
  <c r="W124" i="2"/>
  <c r="V124" i="2"/>
  <c r="AQ123" i="2"/>
  <c r="W123" i="2"/>
  <c r="V123" i="2"/>
  <c r="AS122" i="2"/>
  <c r="AQ122" i="2"/>
  <c r="W122" i="2"/>
  <c r="V122" i="2"/>
  <c r="AS121" i="2"/>
  <c r="AQ121" i="2"/>
  <c r="W121" i="2"/>
  <c r="V121" i="2"/>
  <c r="AQ120" i="2"/>
  <c r="W120" i="2"/>
  <c r="V120" i="2"/>
  <c r="AS119" i="2"/>
  <c r="AQ119" i="2"/>
  <c r="W119" i="2"/>
  <c r="V119" i="2"/>
  <c r="AQ118" i="2"/>
  <c r="W118" i="2"/>
  <c r="V118" i="2"/>
  <c r="AQ117" i="2"/>
  <c r="W117" i="2"/>
  <c r="V117" i="2"/>
  <c r="AQ116" i="2"/>
  <c r="W116" i="2"/>
  <c r="V116" i="2"/>
  <c r="AQ114" i="2"/>
  <c r="W114" i="2"/>
  <c r="AS114" i="2" s="1"/>
  <c r="AR114" i="2" s="1"/>
  <c r="V114" i="2"/>
  <c r="AQ113" i="2"/>
  <c r="W113" i="2"/>
  <c r="V113" i="2"/>
  <c r="AS112" i="2"/>
  <c r="AQ112" i="2"/>
  <c r="W112" i="2"/>
  <c r="V112" i="2"/>
  <c r="AQ111" i="2"/>
  <c r="W111" i="2"/>
  <c r="V111" i="2"/>
  <c r="W110" i="2"/>
  <c r="V110" i="2"/>
  <c r="W109" i="2"/>
  <c r="V109" i="2"/>
  <c r="W108" i="2"/>
  <c r="V108" i="2"/>
  <c r="AQ105" i="2"/>
  <c r="W105" i="2"/>
  <c r="V105" i="2"/>
  <c r="AQ104" i="2"/>
  <c r="W104" i="2"/>
  <c r="V104" i="2"/>
  <c r="AQ103" i="2"/>
  <c r="W103" i="2"/>
  <c r="V103" i="2"/>
  <c r="W102" i="2"/>
  <c r="V102" i="2"/>
  <c r="W101" i="2"/>
  <c r="V101" i="2"/>
  <c r="W100" i="2"/>
  <c r="V100" i="2"/>
  <c r="W99" i="2"/>
  <c r="V99" i="2"/>
  <c r="AQ98" i="2"/>
  <c r="W98" i="2"/>
  <c r="V98" i="2"/>
  <c r="AQ97" i="2"/>
  <c r="W97" i="2"/>
  <c r="V97" i="2"/>
  <c r="AQ96" i="2"/>
  <c r="W96" i="2"/>
  <c r="V96" i="2"/>
  <c r="AQ95" i="2"/>
  <c r="W95" i="2"/>
  <c r="V95" i="2"/>
  <c r="AQ94" i="2"/>
  <c r="W94" i="2"/>
  <c r="V94" i="2"/>
  <c r="AQ93" i="2"/>
  <c r="W93" i="2"/>
  <c r="V93" i="2"/>
  <c r="AQ92" i="2"/>
  <c r="W92" i="2"/>
  <c r="V92" i="2"/>
  <c r="W91" i="2"/>
  <c r="V91" i="2"/>
  <c r="W90" i="2"/>
  <c r="V90" i="2"/>
  <c r="W89" i="2"/>
  <c r="V89" i="2"/>
  <c r="AQ88" i="2"/>
  <c r="W88" i="2"/>
  <c r="V88" i="2"/>
  <c r="W87" i="2"/>
  <c r="V87" i="2"/>
  <c r="W86" i="2"/>
  <c r="V86" i="2"/>
  <c r="W85" i="2"/>
  <c r="V85" i="2"/>
  <c r="W84" i="2"/>
  <c r="V84" i="2"/>
  <c r="W83" i="2"/>
  <c r="V83" i="2"/>
  <c r="AQ82" i="2"/>
  <c r="W82" i="2"/>
  <c r="V82" i="2"/>
  <c r="AQ81" i="2"/>
  <c r="W81" i="2"/>
  <c r="AS81" i="2" s="1"/>
  <c r="AR81" i="2" s="1"/>
  <c r="V81" i="2"/>
  <c r="AQ80" i="2"/>
  <c r="W80" i="2"/>
  <c r="V80" i="2"/>
  <c r="AQ79" i="2"/>
  <c r="AH79" i="2"/>
  <c r="W79" i="2"/>
  <c r="AS79" i="2" s="1"/>
  <c r="AR79" i="2" s="1"/>
  <c r="V79" i="2"/>
  <c r="W78" i="2"/>
  <c r="V78" i="2"/>
  <c r="W77" i="2"/>
  <c r="V77" i="2"/>
  <c r="AQ76" i="2"/>
  <c r="W76" i="2"/>
  <c r="V76" i="2"/>
  <c r="AH75" i="2"/>
  <c r="W75" i="2"/>
  <c r="V75" i="2"/>
  <c r="W74" i="2"/>
  <c r="V74" i="2"/>
  <c r="W73" i="2"/>
  <c r="V73" i="2"/>
  <c r="W72" i="2"/>
  <c r="V72" i="2"/>
  <c r="AQ71" i="2"/>
  <c r="W71" i="2"/>
  <c r="V71" i="2"/>
  <c r="W70" i="2"/>
  <c r="V70" i="2"/>
  <c r="W69" i="2"/>
  <c r="V69" i="2"/>
  <c r="W68" i="2"/>
  <c r="V68" i="2"/>
  <c r="W67" i="2"/>
  <c r="V67" i="2"/>
  <c r="AQ66" i="2"/>
  <c r="W66" i="2"/>
  <c r="V66" i="2"/>
  <c r="W65" i="2"/>
  <c r="V65" i="2"/>
  <c r="W64" i="2"/>
  <c r="V64" i="2"/>
  <c r="W63" i="2"/>
  <c r="V63" i="2"/>
  <c r="AQ62" i="2"/>
  <c r="W62" i="2"/>
  <c r="V62" i="2"/>
  <c r="AQ61" i="2"/>
  <c r="W61" i="2"/>
  <c r="V61" i="2"/>
  <c r="AQ58" i="2"/>
  <c r="W58" i="2"/>
  <c r="V58" i="2"/>
  <c r="AQ57" i="2"/>
  <c r="W57" i="2"/>
  <c r="V57" i="2"/>
  <c r="AQ56" i="2"/>
  <c r="W56" i="2"/>
  <c r="V56" i="2"/>
  <c r="AQ55" i="2"/>
  <c r="W55" i="2"/>
  <c r="V55" i="2"/>
  <c r="AQ54" i="2"/>
  <c r="W54" i="2"/>
  <c r="V54" i="2"/>
  <c r="AQ53" i="2"/>
  <c r="W53" i="2"/>
  <c r="V53" i="2"/>
  <c r="AQ52" i="2"/>
  <c r="W52" i="2"/>
  <c r="V52" i="2"/>
  <c r="AS51" i="2"/>
  <c r="AQ51" i="2"/>
  <c r="AA51" i="2"/>
  <c r="W51" i="2"/>
  <c r="V51" i="2"/>
  <c r="AQ50" i="2"/>
  <c r="W50" i="2"/>
  <c r="V50" i="2"/>
  <c r="AQ49" i="2"/>
  <c r="W49" i="2"/>
  <c r="V49" i="2"/>
  <c r="AQ48" i="2"/>
  <c r="W48" i="2"/>
  <c r="V48" i="2"/>
  <c r="W47" i="2"/>
  <c r="V47" i="2"/>
  <c r="AQ45" i="2"/>
  <c r="W45" i="2"/>
  <c r="V45" i="2"/>
  <c r="AQ44" i="2"/>
  <c r="W44" i="2"/>
  <c r="V44" i="2"/>
  <c r="W43" i="2"/>
  <c r="V43" i="2"/>
  <c r="AQ42" i="2"/>
  <c r="W42" i="2"/>
  <c r="V42" i="2"/>
  <c r="AS41" i="2"/>
  <c r="AR41" i="2" s="1"/>
  <c r="AQ41" i="2"/>
  <c r="W41" i="2"/>
  <c r="V41" i="2"/>
  <c r="AQ40" i="2"/>
  <c r="W40" i="2"/>
  <c r="V40" i="2"/>
  <c r="AQ39" i="2"/>
  <c r="W39" i="2"/>
  <c r="V39" i="2"/>
  <c r="AQ38" i="2"/>
  <c r="W38" i="2"/>
  <c r="V38" i="2"/>
  <c r="AQ37" i="2"/>
  <c r="W37" i="2"/>
  <c r="V37" i="2"/>
  <c r="AQ36" i="2"/>
  <c r="W36" i="2"/>
  <c r="V36" i="2"/>
  <c r="AQ35" i="2"/>
  <c r="W35" i="2"/>
  <c r="V35" i="2"/>
  <c r="AQ34" i="2"/>
  <c r="W34" i="2"/>
  <c r="V34" i="2"/>
  <c r="AQ33" i="2"/>
  <c r="W33" i="2"/>
  <c r="V33" i="2"/>
  <c r="AQ32" i="2"/>
  <c r="W32" i="2"/>
  <c r="V32" i="2"/>
  <c r="AQ31" i="2"/>
  <c r="W31" i="2"/>
  <c r="V31" i="2"/>
  <c r="AQ30" i="2"/>
  <c r="W30" i="2"/>
  <c r="V30" i="2"/>
  <c r="AQ29" i="2"/>
  <c r="W29" i="2"/>
  <c r="V29" i="2"/>
  <c r="W28" i="2"/>
  <c r="V28" i="2"/>
  <c r="W27" i="2"/>
  <c r="V27" i="2"/>
  <c r="W26" i="2"/>
  <c r="V26" i="2"/>
  <c r="W25" i="2"/>
  <c r="V25" i="2"/>
  <c r="AQ24" i="2"/>
  <c r="W24" i="2"/>
  <c r="V24" i="2"/>
  <c r="W23" i="2"/>
  <c r="V23" i="2"/>
  <c r="AQ22" i="2"/>
  <c r="W22" i="2"/>
  <c r="V22" i="2"/>
  <c r="AQ21" i="2"/>
  <c r="W21" i="2"/>
  <c r="V21" i="2"/>
  <c r="AQ20" i="2"/>
  <c r="W20" i="2"/>
  <c r="V20" i="2"/>
  <c r="AQ19" i="2"/>
  <c r="W19" i="2"/>
  <c r="V19" i="2"/>
  <c r="AQ18" i="2"/>
  <c r="W18" i="2"/>
  <c r="V18" i="2"/>
  <c r="AQ17" i="2"/>
  <c r="W17" i="2"/>
  <c r="V17" i="2"/>
  <c r="AQ16" i="2"/>
  <c r="W16" i="2"/>
  <c r="V16" i="2"/>
  <c r="AQ15" i="2"/>
  <c r="W15" i="2"/>
  <c r="V15" i="2"/>
  <c r="AS12" i="2"/>
  <c r="AQ12" i="2"/>
  <c r="W12" i="2"/>
  <c r="V12" i="2"/>
  <c r="AS11" i="2"/>
  <c r="AQ11" i="2"/>
  <c r="W11" i="2"/>
  <c r="V11" i="2"/>
  <c r="AS10" i="2"/>
  <c r="AQ10" i="2"/>
  <c r="W10" i="2"/>
  <c r="V10" i="2"/>
  <c r="AQ9" i="2"/>
  <c r="W9" i="2"/>
  <c r="V9" i="2"/>
  <c r="AS8" i="2"/>
  <c r="AQ8" i="2"/>
  <c r="W8" i="2"/>
  <c r="V8" i="2"/>
  <c r="AS7" i="2"/>
  <c r="AQ7" i="2"/>
  <c r="W7" i="2"/>
  <c r="V7" i="2"/>
  <c r="AS6" i="2"/>
  <c r="AQ6" i="2"/>
  <c r="W6" i="2"/>
  <c r="V6" i="2"/>
  <c r="AS5" i="2"/>
  <c r="AQ5" i="2"/>
  <c r="W5" i="2"/>
  <c r="V5" i="2"/>
  <c r="AQ4" i="2"/>
  <c r="W4" i="2"/>
  <c r="V4" i="2"/>
  <c r="AR367" i="1"/>
  <c r="W352" i="1"/>
  <c r="V352" i="1"/>
  <c r="AI246" i="1"/>
  <c r="AJ246" i="1" s="1"/>
  <c r="AI244" i="1"/>
  <c r="AJ244" i="1" s="1"/>
  <c r="AQ243" i="1"/>
  <c r="W243" i="1"/>
  <c r="V243" i="1"/>
  <c r="AQ242" i="1"/>
  <c r="W242" i="1"/>
  <c r="V242" i="1"/>
  <c r="AQ241" i="1"/>
  <c r="W241" i="1"/>
  <c r="V241" i="1"/>
  <c r="AQ240" i="1"/>
  <c r="W240" i="1"/>
  <c r="V240" i="1"/>
  <c r="AQ239" i="1"/>
  <c r="W239" i="1"/>
  <c r="V239" i="1"/>
  <c r="AS238" i="1"/>
  <c r="AQ238" i="1"/>
  <c r="AS237" i="1"/>
  <c r="AQ237" i="1"/>
  <c r="AQ236" i="1"/>
  <c r="W236" i="1"/>
  <c r="V236" i="1"/>
  <c r="AQ235" i="1"/>
  <c r="W235" i="1"/>
  <c r="AI235" i="1" s="1"/>
  <c r="AJ235" i="1" s="1"/>
  <c r="V235" i="1"/>
  <c r="AQ234" i="1"/>
  <c r="W234" i="1"/>
  <c r="AI234" i="1" s="1"/>
  <c r="AJ234" i="1" s="1"/>
  <c r="V234" i="1"/>
  <c r="AQ233" i="1"/>
  <c r="W233" i="1"/>
  <c r="AI233" i="1" s="1"/>
  <c r="AJ233" i="1" s="1"/>
  <c r="V233" i="1"/>
  <c r="AQ232" i="1"/>
  <c r="W232" i="1"/>
  <c r="AI232" i="1" s="1"/>
  <c r="AJ232" i="1" s="1"/>
  <c r="V232" i="1"/>
  <c r="AQ231" i="1"/>
  <c r="W231" i="1"/>
  <c r="AI231" i="1" s="1"/>
  <c r="AJ231" i="1" s="1"/>
  <c r="V231" i="1"/>
  <c r="AQ230" i="1"/>
  <c r="W230" i="1"/>
  <c r="AI230" i="1" s="1"/>
  <c r="AJ230" i="1" s="1"/>
  <c r="V230" i="1"/>
  <c r="AS229" i="1"/>
  <c r="AQ229" i="1"/>
  <c r="AS228" i="1"/>
  <c r="AQ228" i="1"/>
  <c r="AQ227" i="1"/>
  <c r="W227" i="1"/>
  <c r="AI227" i="1" s="1"/>
  <c r="AJ227" i="1" s="1"/>
  <c r="V227" i="1"/>
  <c r="AS226" i="1"/>
  <c r="AQ226" i="1"/>
  <c r="AS224" i="1"/>
  <c r="AR224" i="1" s="1"/>
  <c r="AQ224" i="1"/>
  <c r="AS223" i="1"/>
  <c r="AR223" i="1" s="1"/>
  <c r="AQ223" i="1"/>
  <c r="W223" i="1"/>
  <c r="V223" i="1"/>
  <c r="AQ222" i="1"/>
  <c r="W222" i="1"/>
  <c r="V222" i="1"/>
  <c r="AQ220" i="1"/>
  <c r="W220" i="1"/>
  <c r="AI220" i="1" s="1"/>
  <c r="AJ220" i="1" s="1"/>
  <c r="V220" i="1"/>
  <c r="AQ219" i="1"/>
  <c r="W219" i="1"/>
  <c r="AI219" i="1" s="1"/>
  <c r="AJ219" i="1" s="1"/>
  <c r="V219" i="1"/>
  <c r="AS218" i="1"/>
  <c r="AQ218" i="1"/>
  <c r="W218" i="1"/>
  <c r="V218" i="1"/>
  <c r="AS217" i="1"/>
  <c r="AQ217" i="1"/>
  <c r="W217" i="1"/>
  <c r="V217" i="1"/>
  <c r="AQ216" i="1"/>
  <c r="W216" i="1"/>
  <c r="AI216" i="1" s="1"/>
  <c r="AJ216" i="1" s="1"/>
  <c r="V216" i="1"/>
  <c r="AQ215" i="1"/>
  <c r="W215" i="1"/>
  <c r="V215" i="1"/>
  <c r="AQ214" i="1"/>
  <c r="W214" i="1"/>
  <c r="AI214" i="1" s="1"/>
  <c r="AJ214" i="1" s="1"/>
  <c r="V214" i="1"/>
  <c r="AS213" i="1"/>
  <c r="AQ213" i="1"/>
  <c r="W213" i="1"/>
  <c r="V213" i="1"/>
  <c r="AQ212" i="1"/>
  <c r="W212" i="1"/>
  <c r="AI212" i="1" s="1"/>
  <c r="AJ212" i="1" s="1"/>
  <c r="V212" i="1"/>
  <c r="AQ211" i="1"/>
  <c r="W211" i="1"/>
  <c r="AI211" i="1" s="1"/>
  <c r="AJ211" i="1" s="1"/>
  <c r="V211" i="1"/>
  <c r="AS210" i="1"/>
  <c r="AQ210" i="1"/>
  <c r="W210" i="1"/>
  <c r="V210" i="1"/>
  <c r="AS209" i="1"/>
  <c r="AQ209" i="1"/>
  <c r="W209" i="1"/>
  <c r="V209" i="1"/>
  <c r="AS208" i="1"/>
  <c r="AQ208" i="1"/>
  <c r="W208" i="1"/>
  <c r="V208" i="1"/>
  <c r="AS207" i="1"/>
  <c r="AQ207" i="1"/>
  <c r="W207" i="1"/>
  <c r="V207" i="1"/>
  <c r="AQ206" i="1"/>
  <c r="W206" i="1"/>
  <c r="V206" i="1"/>
  <c r="AQ205" i="1"/>
  <c r="W205" i="1"/>
  <c r="AI205" i="1" s="1"/>
  <c r="AJ205" i="1" s="1"/>
  <c r="V205" i="1"/>
  <c r="AQ204" i="1"/>
  <c r="W204" i="1"/>
  <c r="AI204" i="1" s="1"/>
  <c r="AJ204" i="1" s="1"/>
  <c r="V204" i="1"/>
  <c r="AQ203" i="1"/>
  <c r="W203" i="1"/>
  <c r="AI203" i="1" s="1"/>
  <c r="AJ203" i="1" s="1"/>
  <c r="V203" i="1"/>
  <c r="AQ202" i="1"/>
  <c r="W202" i="1"/>
  <c r="AI202" i="1" s="1"/>
  <c r="AJ202" i="1" s="1"/>
  <c r="V202" i="1"/>
  <c r="AQ201" i="1"/>
  <c r="W201" i="1"/>
  <c r="AI201" i="1" s="1"/>
  <c r="AJ201" i="1" s="1"/>
  <c r="V201" i="1"/>
  <c r="AQ200" i="1"/>
  <c r="W200" i="1"/>
  <c r="V200" i="1"/>
  <c r="AS199" i="1"/>
  <c r="AQ199" i="1"/>
  <c r="W199" i="1"/>
  <c r="V199" i="1"/>
  <c r="AQ198" i="1"/>
  <c r="W198" i="1"/>
  <c r="AI198" i="1" s="1"/>
  <c r="AJ198" i="1" s="1"/>
  <c r="V198" i="1"/>
  <c r="AQ197" i="1"/>
  <c r="W197" i="1"/>
  <c r="AI197" i="1" s="1"/>
  <c r="AJ197" i="1" s="1"/>
  <c r="V197" i="1"/>
  <c r="AQ196" i="1"/>
  <c r="W196" i="1"/>
  <c r="AI196" i="1" s="1"/>
  <c r="AJ196" i="1" s="1"/>
  <c r="V196" i="1"/>
  <c r="AQ195" i="1"/>
  <c r="W195" i="1"/>
  <c r="AI195" i="1" s="1"/>
  <c r="AJ195" i="1" s="1"/>
  <c r="V195" i="1"/>
  <c r="AQ194" i="1"/>
  <c r="W194" i="1"/>
  <c r="AI194" i="1" s="1"/>
  <c r="AJ194" i="1" s="1"/>
  <c r="V194" i="1"/>
  <c r="AQ193" i="1"/>
  <c r="W193" i="1"/>
  <c r="AI193" i="1" s="1"/>
  <c r="AJ193" i="1" s="1"/>
  <c r="V193" i="1"/>
  <c r="AQ192" i="1"/>
  <c r="W192" i="1"/>
  <c r="V192" i="1"/>
  <c r="AS191" i="1"/>
  <c r="AQ191" i="1"/>
  <c r="W191" i="1"/>
  <c r="V191" i="1"/>
  <c r="AS190" i="1"/>
  <c r="AQ190" i="1"/>
  <c r="W190" i="1"/>
  <c r="V190" i="1"/>
  <c r="AS189" i="1"/>
  <c r="AQ189" i="1"/>
  <c r="W189" i="1"/>
  <c r="V189" i="1"/>
  <c r="AQ188" i="1"/>
  <c r="W188" i="1"/>
  <c r="V188" i="1"/>
  <c r="AQ187" i="1"/>
  <c r="W187" i="1"/>
  <c r="AI187" i="1" s="1"/>
  <c r="AJ187" i="1" s="1"/>
  <c r="V187" i="1"/>
  <c r="AQ186" i="1"/>
  <c r="W186" i="1"/>
  <c r="AI186" i="1" s="1"/>
  <c r="AJ186" i="1" s="1"/>
  <c r="V186" i="1"/>
  <c r="AQ185" i="1"/>
  <c r="W185" i="1"/>
  <c r="AI185" i="1" s="1"/>
  <c r="AJ185" i="1" s="1"/>
  <c r="V185" i="1"/>
  <c r="AQ184" i="1"/>
  <c r="W184" i="1"/>
  <c r="AI184" i="1" s="1"/>
  <c r="AJ184" i="1" s="1"/>
  <c r="V184" i="1"/>
  <c r="AQ183" i="1"/>
  <c r="W183" i="1"/>
  <c r="AI183" i="1" s="1"/>
  <c r="AJ183" i="1" s="1"/>
  <c r="V183" i="1"/>
  <c r="AS182" i="1"/>
  <c r="AQ182" i="1"/>
  <c r="W182" i="1"/>
  <c r="V182" i="1"/>
  <c r="AS181" i="1"/>
  <c r="AQ181" i="1"/>
  <c r="W181" i="1"/>
  <c r="V181" i="1"/>
  <c r="AS180" i="1"/>
  <c r="AQ180" i="1"/>
  <c r="W180" i="1"/>
  <c r="V180" i="1"/>
  <c r="AS179" i="1"/>
  <c r="AQ179" i="1"/>
  <c r="W179" i="1"/>
  <c r="V179" i="1"/>
  <c r="AQ178" i="1"/>
  <c r="W178" i="1"/>
  <c r="AI178" i="1" s="1"/>
  <c r="AJ178" i="1" s="1"/>
  <c r="V178" i="1"/>
  <c r="AQ177" i="1"/>
  <c r="W177" i="1"/>
  <c r="AI177" i="1" s="1"/>
  <c r="AJ177" i="1" s="1"/>
  <c r="V177" i="1"/>
  <c r="AQ176" i="1"/>
  <c r="W176" i="1"/>
  <c r="V176" i="1"/>
  <c r="AS175" i="1"/>
  <c r="AQ175" i="1"/>
  <c r="W175" i="1"/>
  <c r="V175" i="1"/>
  <c r="AQ174" i="1"/>
  <c r="W174" i="1"/>
  <c r="AI174" i="1" s="1"/>
  <c r="AJ174" i="1" s="1"/>
  <c r="V174" i="1"/>
  <c r="AQ173" i="1"/>
  <c r="W173" i="1"/>
  <c r="AI173" i="1" s="1"/>
  <c r="AJ173" i="1" s="1"/>
  <c r="V173" i="1"/>
  <c r="AQ172" i="1"/>
  <c r="W172" i="1"/>
  <c r="AI172" i="1" s="1"/>
  <c r="AJ172" i="1" s="1"/>
  <c r="V172" i="1"/>
  <c r="AS171" i="1"/>
  <c r="AQ171" i="1"/>
  <c r="W171" i="1"/>
  <c r="V171" i="1"/>
  <c r="AQ170" i="1"/>
  <c r="W170" i="1"/>
  <c r="AI170" i="1" s="1"/>
  <c r="AJ170" i="1" s="1"/>
  <c r="V170" i="1"/>
  <c r="AQ169" i="1"/>
  <c r="W169" i="1"/>
  <c r="AI169" i="1" s="1"/>
  <c r="AJ169" i="1" s="1"/>
  <c r="V169" i="1"/>
  <c r="AQ168" i="1"/>
  <c r="W168" i="1"/>
  <c r="V168" i="1"/>
  <c r="AS167" i="1"/>
  <c r="AQ167" i="1"/>
  <c r="AS166" i="1"/>
  <c r="AQ166" i="1"/>
  <c r="AS165" i="1"/>
  <c r="AQ165" i="1"/>
  <c r="AS164" i="1"/>
  <c r="AQ164" i="1"/>
  <c r="AQ163" i="1"/>
  <c r="W163" i="1"/>
  <c r="AI163" i="1" s="1"/>
  <c r="AJ163" i="1" s="1"/>
  <c r="V163" i="1"/>
  <c r="AQ162" i="1"/>
  <c r="W162" i="1"/>
  <c r="AI162" i="1" s="1"/>
  <c r="AJ162" i="1" s="1"/>
  <c r="V162" i="1"/>
  <c r="AQ161" i="1"/>
  <c r="W161" i="1"/>
  <c r="AI161" i="1" s="1"/>
  <c r="AJ161" i="1" s="1"/>
  <c r="V161" i="1"/>
  <c r="AQ160" i="1"/>
  <c r="W160" i="1"/>
  <c r="AI160" i="1" s="1"/>
  <c r="AJ160" i="1" s="1"/>
  <c r="V160" i="1"/>
  <c r="AS159" i="1"/>
  <c r="AQ159" i="1"/>
  <c r="W159" i="1"/>
  <c r="V159" i="1"/>
  <c r="AS158" i="1"/>
  <c r="AQ158" i="1"/>
  <c r="W158" i="1"/>
  <c r="V158" i="1"/>
  <c r="AQ157" i="1"/>
  <c r="W157" i="1"/>
  <c r="AI157" i="1" s="1"/>
  <c r="AJ157" i="1" s="1"/>
  <c r="V157" i="1"/>
  <c r="AQ156" i="1"/>
  <c r="W156" i="1"/>
  <c r="AI156" i="1" s="1"/>
  <c r="AJ156" i="1" s="1"/>
  <c r="V156" i="1"/>
  <c r="AP155" i="1"/>
  <c r="AQ155" i="1" s="1"/>
  <c r="W155" i="1"/>
  <c r="AI155" i="1" s="1"/>
  <c r="AJ155" i="1" s="1"/>
  <c r="V155" i="1"/>
  <c r="AQ154" i="1"/>
  <c r="W154" i="1"/>
  <c r="AI154" i="1" s="1"/>
  <c r="AJ154" i="1" s="1"/>
  <c r="V154" i="1"/>
  <c r="AQ153" i="1"/>
  <c r="W153" i="1"/>
  <c r="AI153" i="1" s="1"/>
  <c r="AJ153" i="1" s="1"/>
  <c r="V153" i="1"/>
  <c r="AQ152" i="1"/>
  <c r="W152" i="1"/>
  <c r="AI152" i="1" s="1"/>
  <c r="AJ152" i="1" s="1"/>
  <c r="V152" i="1"/>
  <c r="AQ151" i="1"/>
  <c r="W151" i="1"/>
  <c r="V151" i="1"/>
  <c r="AQ150" i="1"/>
  <c r="W150" i="1"/>
  <c r="AI150" i="1" s="1"/>
  <c r="AJ150" i="1" s="1"/>
  <c r="V150" i="1"/>
  <c r="AQ149" i="1"/>
  <c r="W149" i="1"/>
  <c r="V149" i="1"/>
  <c r="AS148" i="1"/>
  <c r="AQ148" i="1"/>
  <c r="AS147" i="1"/>
  <c r="AQ147" i="1"/>
  <c r="AQ146" i="1"/>
  <c r="W146" i="1"/>
  <c r="AI146" i="1" s="1"/>
  <c r="AJ146" i="1" s="1"/>
  <c r="V146" i="1"/>
  <c r="AQ145" i="1"/>
  <c r="W145" i="1"/>
  <c r="AI145" i="1" s="1"/>
  <c r="AJ145" i="1" s="1"/>
  <c r="V145" i="1"/>
  <c r="AQ144" i="1"/>
  <c r="W144" i="1"/>
  <c r="AI144" i="1" s="1"/>
  <c r="AJ144" i="1" s="1"/>
  <c r="V144" i="1"/>
  <c r="AQ143" i="1"/>
  <c r="W143" i="1"/>
  <c r="V143" i="1"/>
  <c r="AQ142" i="1"/>
  <c r="W142" i="1"/>
  <c r="V142" i="1"/>
  <c r="AQ141" i="1"/>
  <c r="W141" i="1"/>
  <c r="AI141" i="1" s="1"/>
  <c r="AJ141" i="1" s="1"/>
  <c r="V141" i="1"/>
  <c r="AQ140" i="1"/>
  <c r="W140" i="1"/>
  <c r="V140" i="1"/>
  <c r="AQ139" i="1"/>
  <c r="W139" i="1"/>
  <c r="AI139" i="1" s="1"/>
  <c r="AJ139" i="1" s="1"/>
  <c r="V139" i="1"/>
  <c r="AQ138" i="1"/>
  <c r="W138" i="1"/>
  <c r="AI138" i="1" s="1"/>
  <c r="AJ138" i="1" s="1"/>
  <c r="V138" i="1"/>
  <c r="AQ137" i="1"/>
  <c r="W137" i="1"/>
  <c r="AI137" i="1" s="1"/>
  <c r="AJ137" i="1" s="1"/>
  <c r="V137" i="1"/>
  <c r="AQ136" i="1"/>
  <c r="W136" i="1"/>
  <c r="AI136" i="1" s="1"/>
  <c r="AJ136" i="1" s="1"/>
  <c r="V136" i="1"/>
  <c r="W135" i="1"/>
  <c r="V135" i="1"/>
  <c r="W134" i="1"/>
  <c r="V134" i="1"/>
  <c r="W133" i="1"/>
  <c r="V133" i="1"/>
  <c r="W132" i="1"/>
  <c r="V132" i="1"/>
  <c r="W131" i="1"/>
  <c r="V131" i="1"/>
  <c r="W130" i="1"/>
  <c r="V130" i="1"/>
  <c r="W129" i="1"/>
  <c r="V129" i="1"/>
  <c r="AQ128" i="1"/>
  <c r="W128" i="1"/>
  <c r="AI128" i="1" s="1"/>
  <c r="AJ128" i="1" s="1"/>
  <c r="V128" i="1"/>
  <c r="AQ127" i="1"/>
  <c r="W127" i="1"/>
  <c r="AI127" i="1" s="1"/>
  <c r="AJ127" i="1" s="1"/>
  <c r="V127" i="1"/>
  <c r="AS126" i="1"/>
  <c r="AQ126" i="1"/>
  <c r="W126" i="1"/>
  <c r="V126" i="1"/>
  <c r="AQ125" i="1"/>
  <c r="W125" i="1"/>
  <c r="AI125" i="1" s="1"/>
  <c r="AJ125" i="1" s="1"/>
  <c r="V125" i="1"/>
  <c r="AQ124" i="1"/>
  <c r="W124" i="1"/>
  <c r="V124" i="1"/>
  <c r="AQ123" i="1"/>
  <c r="W123" i="1"/>
  <c r="AI123" i="1" s="1"/>
  <c r="AJ123" i="1" s="1"/>
  <c r="V123" i="1"/>
  <c r="AQ122" i="1"/>
  <c r="W122" i="1"/>
  <c r="AI122" i="1" s="1"/>
  <c r="AJ122" i="1" s="1"/>
  <c r="V122" i="1"/>
  <c r="AQ121" i="1"/>
  <c r="W121" i="1"/>
  <c r="AI121" i="1" s="1"/>
  <c r="AJ121" i="1" s="1"/>
  <c r="V121" i="1"/>
  <c r="AS120" i="1"/>
  <c r="AQ120" i="1"/>
  <c r="W120" i="1"/>
  <c r="V120" i="1"/>
  <c r="AQ119" i="1"/>
  <c r="W119" i="1"/>
  <c r="V119" i="1"/>
  <c r="AQ118" i="1"/>
  <c r="W118" i="1"/>
  <c r="AI118" i="1" s="1"/>
  <c r="AJ118" i="1" s="1"/>
  <c r="V118" i="1"/>
  <c r="AS117" i="1"/>
  <c r="AQ117" i="1"/>
  <c r="W117" i="1"/>
  <c r="V117" i="1"/>
  <c r="AQ116" i="1"/>
  <c r="W116" i="1"/>
  <c r="V116" i="1"/>
  <c r="AQ115" i="1"/>
  <c r="W115" i="1"/>
  <c r="V115" i="1"/>
  <c r="AS114" i="1"/>
  <c r="AR114" i="1" s="1"/>
  <c r="AQ114" i="1"/>
  <c r="W114" i="1"/>
  <c r="V114" i="1"/>
  <c r="AQ113" i="1"/>
  <c r="W113" i="1"/>
  <c r="V113" i="1"/>
  <c r="AS112" i="1"/>
  <c r="AQ112" i="1"/>
  <c r="W112" i="1"/>
  <c r="V112" i="1"/>
  <c r="AQ111" i="1"/>
  <c r="W111" i="1"/>
  <c r="AI111" i="1" s="1"/>
  <c r="AJ111" i="1" s="1"/>
  <c r="V111" i="1"/>
  <c r="AS110" i="1"/>
  <c r="AQ110" i="1"/>
  <c r="W110" i="1"/>
  <c r="V110" i="1"/>
  <c r="AS109" i="1"/>
  <c r="AR109" i="1" s="1"/>
  <c r="AQ109" i="1"/>
  <c r="W109" i="1"/>
  <c r="V109" i="1"/>
  <c r="AS108" i="1"/>
  <c r="AR108" i="1" s="1"/>
  <c r="AQ108" i="1"/>
  <c r="W108" i="1"/>
  <c r="V108" i="1"/>
  <c r="AQ107" i="1"/>
  <c r="W107" i="1"/>
  <c r="V107" i="1"/>
  <c r="AQ106" i="1"/>
  <c r="W106" i="1"/>
  <c r="V106" i="1"/>
  <c r="AQ105" i="1"/>
  <c r="W105" i="1"/>
  <c r="V105" i="1"/>
  <c r="AS104" i="1"/>
  <c r="AQ104" i="1"/>
  <c r="W104" i="1"/>
  <c r="V104" i="1"/>
  <c r="AS103" i="1"/>
  <c r="AQ103" i="1"/>
  <c r="W103" i="1"/>
  <c r="V103" i="1"/>
  <c r="AQ102" i="1"/>
  <c r="W102" i="1"/>
  <c r="V102" i="1"/>
  <c r="AQ101" i="1"/>
  <c r="W101" i="1"/>
  <c r="AI101" i="1" s="1"/>
  <c r="AJ101" i="1" s="1"/>
  <c r="V101" i="1"/>
  <c r="AQ100" i="1"/>
  <c r="W100" i="1"/>
  <c r="AI100" i="1" s="1"/>
  <c r="AJ100" i="1" s="1"/>
  <c r="V100" i="1"/>
  <c r="AS99" i="1"/>
  <c r="AQ99" i="1"/>
  <c r="W99" i="1"/>
  <c r="V99" i="1"/>
  <c r="AQ98" i="1"/>
  <c r="W98" i="1"/>
  <c r="AI98" i="1" s="1"/>
  <c r="AJ98" i="1" s="1"/>
  <c r="V98" i="1"/>
  <c r="AQ97" i="1"/>
  <c r="W97" i="1"/>
  <c r="AI97" i="1" s="1"/>
  <c r="AJ97" i="1" s="1"/>
  <c r="V97" i="1"/>
  <c r="AQ96" i="1"/>
  <c r="W96" i="1"/>
  <c r="AI96" i="1" s="1"/>
  <c r="AJ96" i="1" s="1"/>
  <c r="V96" i="1"/>
  <c r="AQ95" i="1"/>
  <c r="W95" i="1"/>
  <c r="AI95" i="1" s="1"/>
  <c r="AJ95" i="1" s="1"/>
  <c r="V95" i="1"/>
  <c r="AQ94" i="1"/>
  <c r="W94" i="1"/>
  <c r="V94" i="1"/>
  <c r="AQ93" i="1"/>
  <c r="W93" i="1"/>
  <c r="V93" i="1"/>
  <c r="AQ92" i="1"/>
  <c r="W92" i="1"/>
  <c r="AI92" i="1" s="1"/>
  <c r="AJ92" i="1" s="1"/>
  <c r="V92" i="1"/>
  <c r="AS91" i="1"/>
  <c r="AQ91" i="1"/>
  <c r="W91" i="1"/>
  <c r="V91" i="1"/>
  <c r="AS90" i="1"/>
  <c r="AQ90" i="1"/>
  <c r="W90" i="1"/>
  <c r="V90" i="1"/>
  <c r="AQ89" i="1"/>
  <c r="W89" i="1"/>
  <c r="V89" i="1"/>
  <c r="AQ88" i="1"/>
  <c r="W88" i="1"/>
  <c r="V88" i="1"/>
  <c r="AQ87" i="1"/>
  <c r="W87" i="1"/>
  <c r="V87" i="1"/>
  <c r="AS86" i="1"/>
  <c r="AQ86" i="1"/>
  <c r="W86" i="1"/>
  <c r="V86" i="1"/>
  <c r="AS85" i="1"/>
  <c r="AQ85" i="1"/>
  <c r="W85" i="1"/>
  <c r="V85" i="1"/>
  <c r="AQ84" i="1"/>
  <c r="W84" i="1"/>
  <c r="AI84" i="1" s="1"/>
  <c r="AJ84" i="1" s="1"/>
  <c r="V84" i="1"/>
  <c r="AQ83" i="1"/>
  <c r="W83" i="1"/>
  <c r="AI83" i="1" s="1"/>
  <c r="AJ83" i="1" s="1"/>
  <c r="V83" i="1"/>
  <c r="AS82" i="1"/>
  <c r="AQ82" i="1"/>
  <c r="W82" i="1"/>
  <c r="V82" i="1"/>
  <c r="AS81" i="1"/>
  <c r="AQ81" i="1"/>
  <c r="W81" i="1"/>
  <c r="V81" i="1"/>
  <c r="AQ80" i="1"/>
  <c r="W80" i="1"/>
  <c r="AI80" i="1" s="1"/>
  <c r="AJ80" i="1" s="1"/>
  <c r="V80" i="1"/>
  <c r="AS79" i="1"/>
  <c r="AQ79" i="1"/>
  <c r="W79" i="1"/>
  <c r="V79" i="1"/>
  <c r="AS78" i="1"/>
  <c r="AQ78" i="1"/>
  <c r="W78" i="1"/>
  <c r="V78" i="1"/>
  <c r="AQ77" i="1"/>
  <c r="W77" i="1"/>
  <c r="AI77" i="1" s="1"/>
  <c r="AJ77" i="1" s="1"/>
  <c r="V77" i="1"/>
  <c r="AQ76" i="1"/>
  <c r="W76" i="1"/>
  <c r="AI76" i="1" s="1"/>
  <c r="AJ76" i="1" s="1"/>
  <c r="V76" i="1"/>
  <c r="AQ75" i="1"/>
  <c r="W75" i="1"/>
  <c r="AI75" i="1" s="1"/>
  <c r="AJ75" i="1" s="1"/>
  <c r="V75" i="1"/>
  <c r="AQ74" i="1"/>
  <c r="W74" i="1"/>
  <c r="AI74" i="1" s="1"/>
  <c r="AJ74" i="1" s="1"/>
  <c r="V74" i="1"/>
  <c r="AQ73" i="1"/>
  <c r="W73" i="1"/>
  <c r="AI73" i="1" s="1"/>
  <c r="AJ73" i="1" s="1"/>
  <c r="V73" i="1"/>
  <c r="AQ72" i="1"/>
  <c r="W72" i="1"/>
  <c r="AI72" i="1" s="1"/>
  <c r="AJ72" i="1" s="1"/>
  <c r="V72" i="1"/>
  <c r="AQ71" i="1"/>
  <c r="W71" i="1"/>
  <c r="AI71" i="1" s="1"/>
  <c r="AJ71" i="1" s="1"/>
  <c r="V71" i="1"/>
  <c r="AQ70" i="1"/>
  <c r="W70" i="1"/>
  <c r="AI70" i="1" s="1"/>
  <c r="AJ70" i="1" s="1"/>
  <c r="V70" i="1"/>
  <c r="AQ69" i="1"/>
  <c r="W69" i="1"/>
  <c r="AI69" i="1" s="1"/>
  <c r="AJ69" i="1" s="1"/>
  <c r="V69" i="1"/>
  <c r="AQ68" i="1"/>
  <c r="W68" i="1"/>
  <c r="AI68" i="1" s="1"/>
  <c r="AJ68" i="1" s="1"/>
  <c r="V68" i="1"/>
  <c r="AS67" i="1"/>
  <c r="AR67" i="1" s="1"/>
  <c r="AQ67" i="1"/>
  <c r="AS66" i="1"/>
  <c r="AR66" i="1" s="1"/>
  <c r="AQ66" i="1"/>
  <c r="AS65" i="1"/>
  <c r="AR65" i="1" s="1"/>
  <c r="AQ65" i="1"/>
  <c r="AQ64" i="1"/>
  <c r="W64" i="1"/>
  <c r="AI64" i="1" s="1"/>
  <c r="AJ64" i="1" s="1"/>
  <c r="V64" i="1"/>
  <c r="AQ63" i="1"/>
  <c r="W63" i="1"/>
  <c r="AI63" i="1" s="1"/>
  <c r="AJ63" i="1" s="1"/>
  <c r="V63" i="1"/>
  <c r="AQ62" i="1"/>
  <c r="W62" i="1"/>
  <c r="AI62" i="1" s="1"/>
  <c r="AJ62" i="1" s="1"/>
  <c r="V62" i="1"/>
  <c r="AQ61" i="1"/>
  <c r="W61" i="1"/>
  <c r="AI61" i="1" s="1"/>
  <c r="AJ61" i="1" s="1"/>
  <c r="V61" i="1"/>
  <c r="AQ60" i="1"/>
  <c r="W60" i="1"/>
  <c r="AI60" i="1" s="1"/>
  <c r="AJ60" i="1" s="1"/>
  <c r="V60" i="1"/>
  <c r="AQ59" i="1"/>
  <c r="W59" i="1"/>
  <c r="AI59" i="1" s="1"/>
  <c r="AJ59" i="1" s="1"/>
  <c r="V59" i="1"/>
  <c r="AQ58" i="1"/>
  <c r="W58" i="1"/>
  <c r="AI58" i="1" s="1"/>
  <c r="AJ58" i="1" s="1"/>
  <c r="V58" i="1"/>
  <c r="AQ57" i="1"/>
  <c r="W57" i="1"/>
  <c r="AI57" i="1" s="1"/>
  <c r="AJ57" i="1" s="1"/>
  <c r="V57" i="1"/>
  <c r="AQ56" i="1"/>
  <c r="W56" i="1"/>
  <c r="AI56" i="1" s="1"/>
  <c r="AJ56" i="1" s="1"/>
  <c r="V56" i="1"/>
  <c r="AQ55" i="1"/>
  <c r="W55" i="1"/>
  <c r="AI55" i="1" s="1"/>
  <c r="AJ55" i="1" s="1"/>
  <c r="V55" i="1"/>
  <c r="AQ54" i="1"/>
  <c r="W54" i="1"/>
  <c r="AI54" i="1" s="1"/>
  <c r="AJ54" i="1" s="1"/>
  <c r="V54" i="1"/>
  <c r="AQ53" i="1"/>
  <c r="W53" i="1"/>
  <c r="AI53" i="1" s="1"/>
  <c r="AJ53" i="1" s="1"/>
  <c r="V53" i="1"/>
  <c r="AP51" i="1"/>
  <c r="AQ51" i="1" s="1"/>
  <c r="W51" i="1"/>
  <c r="AI51" i="1" s="1"/>
  <c r="AJ51" i="1" s="1"/>
  <c r="V51" i="1"/>
  <c r="AQ50" i="1"/>
  <c r="W50" i="1"/>
  <c r="AI50" i="1" s="1"/>
  <c r="AJ50" i="1" s="1"/>
  <c r="V50" i="1"/>
  <c r="AQ49" i="1"/>
  <c r="W49" i="1"/>
  <c r="AI49" i="1" s="1"/>
  <c r="AJ49" i="1" s="1"/>
  <c r="V49" i="1"/>
  <c r="AQ48" i="1"/>
  <c r="W48" i="1"/>
  <c r="AI48" i="1" s="1"/>
  <c r="AJ48" i="1" s="1"/>
  <c r="V48" i="1"/>
  <c r="AS47" i="1"/>
  <c r="AQ47" i="1"/>
  <c r="W47" i="1"/>
  <c r="AI47" i="1" s="1"/>
  <c r="V47" i="1"/>
  <c r="AS46" i="1"/>
  <c r="AQ46" i="1"/>
  <c r="W46" i="1"/>
  <c r="V46" i="1"/>
  <c r="AS45" i="1"/>
  <c r="AQ45" i="1"/>
  <c r="W45" i="1"/>
  <c r="AI45" i="1" s="1"/>
  <c r="V45" i="1"/>
  <c r="AS44" i="1"/>
  <c r="AQ44" i="1"/>
  <c r="W44" i="1"/>
  <c r="AI44" i="1" s="1"/>
  <c r="V44" i="1"/>
  <c r="AS43" i="1"/>
  <c r="AQ43" i="1"/>
  <c r="W43" i="1"/>
  <c r="AI43" i="1" s="1"/>
  <c r="V43" i="1"/>
  <c r="AQ42" i="1"/>
  <c r="W42" i="1"/>
  <c r="AI42" i="1" s="1"/>
  <c r="AJ42" i="1" s="1"/>
  <c r="V42" i="1"/>
  <c r="AQ41" i="1"/>
  <c r="W41" i="1"/>
  <c r="AI41" i="1" s="1"/>
  <c r="AJ41" i="1" s="1"/>
  <c r="V41" i="1"/>
  <c r="AQ40" i="1"/>
  <c r="W40" i="1"/>
  <c r="AI40" i="1" s="1"/>
  <c r="AJ40" i="1" s="1"/>
  <c r="V40" i="1"/>
  <c r="AS39" i="1"/>
  <c r="AQ39" i="1"/>
  <c r="W39" i="1"/>
  <c r="V39" i="1"/>
  <c r="AS38" i="1"/>
  <c r="AQ38" i="1"/>
  <c r="W38" i="1"/>
  <c r="V38" i="1"/>
  <c r="AS37" i="1"/>
  <c r="AQ37" i="1"/>
  <c r="W37" i="1"/>
  <c r="V37" i="1"/>
  <c r="AS36" i="1"/>
  <c r="AQ36" i="1"/>
  <c r="W36" i="1"/>
  <c r="V36" i="1"/>
  <c r="AQ35" i="1"/>
  <c r="W35" i="1"/>
  <c r="AI35" i="1" s="1"/>
  <c r="AJ35" i="1" s="1"/>
  <c r="V35" i="1"/>
  <c r="W34" i="1"/>
  <c r="AI34" i="1" s="1"/>
  <c r="AJ34" i="1" s="1"/>
  <c r="V34" i="1"/>
  <c r="W33" i="1"/>
  <c r="AI33" i="1" s="1"/>
  <c r="AJ33" i="1" s="1"/>
  <c r="V33" i="1"/>
  <c r="AQ32" i="1"/>
  <c r="W32" i="1"/>
  <c r="AI32" i="1" s="1"/>
  <c r="AJ32" i="1" s="1"/>
  <c r="V32" i="1"/>
  <c r="AQ31" i="1"/>
  <c r="W31" i="1"/>
  <c r="AI31" i="1" s="1"/>
  <c r="AJ31" i="1" s="1"/>
  <c r="V31" i="1"/>
  <c r="AQ30" i="1"/>
  <c r="W30" i="1"/>
  <c r="AI30" i="1" s="1"/>
  <c r="AJ30" i="1" s="1"/>
  <c r="V30" i="1"/>
  <c r="AQ29" i="1"/>
  <c r="W29" i="1"/>
  <c r="AI29" i="1" s="1"/>
  <c r="AJ29" i="1" s="1"/>
  <c r="V29" i="1"/>
  <c r="AQ28" i="1"/>
  <c r="W28" i="1"/>
  <c r="V28" i="1"/>
  <c r="AQ27" i="1"/>
  <c r="W27" i="1"/>
  <c r="V27" i="1"/>
  <c r="AQ26" i="1"/>
  <c r="W26" i="1"/>
  <c r="AI26" i="1" s="1"/>
  <c r="AJ26" i="1" s="1"/>
  <c r="V26" i="1"/>
  <c r="AS25" i="1"/>
  <c r="AQ25" i="1"/>
  <c r="W25" i="1"/>
  <c r="AI25" i="1" s="1"/>
  <c r="AJ25" i="1" s="1"/>
  <c r="AQ24" i="1"/>
  <c r="AH24" i="1"/>
  <c r="W24" i="1"/>
  <c r="AI24" i="1" s="1"/>
  <c r="AJ24" i="1" s="1"/>
  <c r="V24" i="1"/>
  <c r="AQ23" i="1"/>
  <c r="AH23" i="1"/>
  <c r="W23" i="1"/>
  <c r="AI23" i="1" s="1"/>
  <c r="AJ23" i="1" s="1"/>
  <c r="V23" i="1"/>
  <c r="AQ22" i="1"/>
  <c r="AH22" i="1"/>
  <c r="W22" i="1"/>
  <c r="AI22" i="1" s="1"/>
  <c r="AJ22" i="1" s="1"/>
  <c r="V22" i="1"/>
  <c r="AJ21" i="1"/>
  <c r="W21" i="1"/>
  <c r="AJ20" i="1"/>
  <c r="W20" i="1"/>
  <c r="AQ19" i="1"/>
  <c r="W19" i="1"/>
  <c r="AI19" i="1" s="1"/>
  <c r="AJ19" i="1" s="1"/>
  <c r="V19" i="1"/>
  <c r="AQ18" i="1"/>
  <c r="V18" i="1"/>
  <c r="AQ17" i="1"/>
  <c r="W17" i="1"/>
  <c r="AI17" i="1" s="1"/>
  <c r="AJ17" i="1" s="1"/>
  <c r="V17" i="1"/>
  <c r="AQ16" i="1"/>
  <c r="W16" i="1"/>
  <c r="AI16" i="1" s="1"/>
  <c r="AJ16" i="1" s="1"/>
  <c r="V16" i="1"/>
  <c r="AS15" i="1"/>
  <c r="AQ15" i="1"/>
  <c r="W15" i="1"/>
  <c r="AI15" i="1" s="1"/>
  <c r="AJ15" i="1" s="1"/>
  <c r="V15" i="1"/>
  <c r="AQ14" i="1"/>
  <c r="W14" i="1"/>
  <c r="AI14" i="1" s="1"/>
  <c r="AJ14" i="1" s="1"/>
  <c r="V14" i="1"/>
  <c r="AS13" i="1"/>
  <c r="AQ13" i="1"/>
  <c r="AJ13" i="1"/>
  <c r="W13" i="1"/>
  <c r="V13" i="1"/>
  <c r="AS12" i="1"/>
  <c r="AQ12" i="1"/>
  <c r="AJ12" i="1"/>
  <c r="W12" i="1"/>
  <c r="V12" i="1"/>
  <c r="AQ11" i="1"/>
  <c r="W11" i="1"/>
  <c r="V11" i="1"/>
  <c r="AS10" i="1"/>
  <c r="AQ10" i="1"/>
  <c r="AS9" i="1"/>
  <c r="AQ9" i="1"/>
  <c r="W9" i="1"/>
  <c r="V9" i="1"/>
  <c r="AQ8" i="1"/>
  <c r="W8" i="1"/>
  <c r="AI8" i="1" s="1"/>
  <c r="AJ8" i="1" s="1"/>
  <c r="V8" i="1"/>
  <c r="AQ7" i="1"/>
  <c r="AJ7" i="1"/>
  <c r="W7" i="1"/>
  <c r="V7" i="1"/>
  <c r="AQ6" i="1"/>
  <c r="W6" i="1"/>
  <c r="AI6" i="1" s="1"/>
  <c r="AJ6" i="1" s="1"/>
  <c r="V6" i="1"/>
  <c r="AQ5" i="1"/>
  <c r="W5" i="1"/>
  <c r="AI5" i="1" s="1"/>
  <c r="AJ5" i="1" s="1"/>
  <c r="V5" i="1"/>
  <c r="AQ4" i="1"/>
  <c r="W4" i="1"/>
  <c r="AI4" i="1" s="1"/>
  <c r="AJ4" i="1" s="1"/>
  <c r="V4" i="1"/>
  <c r="AM36" i="7" l="1"/>
  <c r="BB32" i="7"/>
  <c r="BE32" i="7" s="1"/>
  <c r="BF32" i="7" s="1"/>
  <c r="BC32" i="7"/>
  <c r="BG32" i="7" s="1"/>
  <c r="BH32" i="7" s="1"/>
  <c r="BJ32" i="7" s="1"/>
  <c r="BB43" i="7"/>
  <c r="BE43" i="7" s="1"/>
  <c r="BF43" i="7" s="1"/>
  <c r="BC43" i="7"/>
  <c r="BG43" i="7" s="1"/>
  <c r="BH43" i="7" s="1"/>
  <c r="BJ43" i="7" s="1"/>
  <c r="BB42" i="7"/>
  <c r="BE42" i="7" s="1"/>
  <c r="BF42" i="7" s="1"/>
  <c r="BC42" i="7"/>
  <c r="BG42" i="7" s="1"/>
  <c r="BH42" i="7" s="1"/>
  <c r="BJ42" i="7" s="1"/>
  <c r="BB41" i="7"/>
  <c r="BE41" i="7" s="1"/>
  <c r="BF41" i="7" s="1"/>
  <c r="BC41" i="7"/>
  <c r="BG41" i="7" s="1"/>
  <c r="BH41" i="7" s="1"/>
  <c r="BJ41" i="7" s="1"/>
  <c r="BB40" i="7"/>
  <c r="BE40" i="7" s="1"/>
  <c r="BF40" i="7" s="1"/>
  <c r="BC40" i="7"/>
  <c r="BG40" i="7" s="1"/>
  <c r="BH40" i="7" s="1"/>
  <c r="BJ40" i="7" s="1"/>
  <c r="BB39" i="7"/>
  <c r="BE39" i="7" s="1"/>
  <c r="BF39" i="7" s="1"/>
  <c r="BC39" i="7"/>
  <c r="BG39" i="7" s="1"/>
  <c r="BH39" i="7" s="1"/>
  <c r="BJ39" i="7" s="1"/>
  <c r="BB44" i="7"/>
  <c r="BE44" i="7" s="1"/>
  <c r="BF44" i="7" s="1"/>
  <c r="BC44" i="7"/>
  <c r="BG44" i="7" s="1"/>
  <c r="BH44" i="7" s="1"/>
  <c r="BJ44" i="7" s="1"/>
  <c r="BH31" i="7"/>
  <c r="BJ31" i="7" s="1"/>
  <c r="BK31" i="7" s="1"/>
  <c r="I86" i="7"/>
  <c r="H86" i="7" s="1"/>
  <c r="I81" i="7"/>
  <c r="H81" i="7" s="1"/>
  <c r="I80" i="7"/>
  <c r="H80" i="7" s="1"/>
  <c r="I88" i="7"/>
  <c r="H88" i="7" s="1"/>
  <c r="I87" i="7"/>
  <c r="H87" i="7" s="1"/>
  <c r="AI335" i="1"/>
  <c r="AJ335" i="1" s="1"/>
  <c r="AS335" i="1"/>
  <c r="AR335" i="1" s="1"/>
  <c r="AS337" i="1"/>
  <c r="AR337" i="1" s="1"/>
  <c r="AS298" i="2"/>
  <c r="AR298" i="2" s="1"/>
  <c r="AI308" i="1"/>
  <c r="AJ308" i="1" s="1"/>
  <c r="AS308" i="1"/>
  <c r="AR308" i="1" s="1"/>
  <c r="AI316" i="1"/>
  <c r="AJ316" i="1" s="1"/>
  <c r="AS316" i="1"/>
  <c r="AR316" i="1" s="1"/>
  <c r="AS317" i="1"/>
  <c r="AR317" i="1" s="1"/>
  <c r="AI317" i="1"/>
  <c r="AJ317" i="1" s="1"/>
  <c r="AI323" i="1"/>
  <c r="AJ323" i="1" s="1"/>
  <c r="AS324" i="1"/>
  <c r="AR324" i="1" s="1"/>
  <c r="AS325" i="1"/>
  <c r="AR325" i="1" s="1"/>
  <c r="AI318" i="1"/>
  <c r="AJ318" i="1" s="1"/>
  <c r="AS321" i="1"/>
  <c r="AR321" i="1" s="1"/>
  <c r="AJ321" i="1"/>
  <c r="AS322" i="1"/>
  <c r="AR322" i="1" s="1"/>
  <c r="AI307" i="1"/>
  <c r="AJ307" i="1" s="1"/>
  <c r="AS307" i="1"/>
  <c r="AR307" i="1" s="1"/>
  <c r="AS15" i="2"/>
  <c r="AS16" i="2"/>
  <c r="AR16" i="2" s="1"/>
  <c r="AS19" i="2"/>
  <c r="AR19" i="2" s="1"/>
  <c r="AS20" i="2"/>
  <c r="AR20" i="2" s="1"/>
  <c r="AS21" i="2"/>
  <c r="AS22" i="2"/>
  <c r="AS29" i="2"/>
  <c r="AS31" i="2"/>
  <c r="AR31" i="2" s="1"/>
  <c r="AS32" i="2"/>
  <c r="AS34" i="2"/>
  <c r="AR34" i="2" s="1"/>
  <c r="AS36" i="2"/>
  <c r="AR36" i="2" s="1"/>
  <c r="AS37" i="2"/>
  <c r="AR37" i="2" s="1"/>
  <c r="AS38" i="2"/>
  <c r="AR38" i="2" s="1"/>
  <c r="AS42" i="2"/>
  <c r="AS45" i="2"/>
  <c r="AR45" i="2" s="1"/>
  <c r="AS48" i="2"/>
  <c r="AR48" i="2" s="1"/>
  <c r="AS49" i="2"/>
  <c r="AR49" i="2" s="1"/>
  <c r="AS50" i="2"/>
  <c r="AR50" i="2" s="1"/>
  <c r="AS52" i="2"/>
  <c r="AS53" i="2"/>
  <c r="AR53" i="2" s="1"/>
  <c r="AS55" i="2"/>
  <c r="AS56" i="2"/>
  <c r="AR56" i="2" s="1"/>
  <c r="AS57" i="2"/>
  <c r="AR57" i="2" s="1"/>
  <c r="AS61" i="2"/>
  <c r="AR61" i="2" s="1"/>
  <c r="AS62" i="2"/>
  <c r="AR62" i="2" s="1"/>
  <c r="AS66" i="2"/>
  <c r="AS71" i="2"/>
  <c r="AR71" i="2" s="1"/>
  <c r="AS88" i="2"/>
  <c r="AR88" i="2" s="1"/>
  <c r="AS92" i="2"/>
  <c r="AR92" i="2" s="1"/>
  <c r="AS96" i="2"/>
  <c r="AR96" i="2" s="1"/>
  <c r="AS97" i="2"/>
  <c r="AS104" i="2"/>
  <c r="AR104" i="2" s="1"/>
  <c r="AS105" i="2"/>
  <c r="AR105" i="2" s="1"/>
  <c r="AS113" i="2"/>
  <c r="AR113" i="2" s="1"/>
  <c r="AS117" i="2"/>
  <c r="AR117" i="2" s="1"/>
  <c r="AS124" i="2"/>
  <c r="AR124" i="2" s="1"/>
  <c r="AS126" i="2"/>
  <c r="AR126" i="2" s="1"/>
  <c r="AS127" i="2"/>
  <c r="AR127" i="2" s="1"/>
  <c r="AS130" i="2"/>
  <c r="AR130" i="2" s="1"/>
  <c r="AS136" i="2"/>
  <c r="AR136" i="2" s="1"/>
  <c r="AS144" i="2"/>
  <c r="AR144" i="2" s="1"/>
  <c r="AS145" i="2"/>
  <c r="AR145" i="2" s="1"/>
  <c r="AS146" i="2"/>
  <c r="AR146" i="2" s="1"/>
  <c r="AS148" i="2"/>
  <c r="AR148" i="2" s="1"/>
  <c r="AS149" i="2"/>
  <c r="AR149" i="2" s="1"/>
  <c r="AS152" i="2"/>
  <c r="AS155" i="2"/>
  <c r="AR155" i="2" s="1"/>
  <c r="AS162" i="2"/>
  <c r="AS176" i="2"/>
  <c r="AR176" i="2" s="1"/>
  <c r="AS179" i="2"/>
  <c r="AR179" i="2" s="1"/>
  <c r="AS181" i="2"/>
  <c r="AR181" i="2" s="1"/>
  <c r="AS184" i="2"/>
  <c r="AR184" i="2" s="1"/>
  <c r="AS185" i="2"/>
  <c r="AR185" i="2" s="1"/>
  <c r="AS186" i="2"/>
  <c r="AR186" i="2" s="1"/>
  <c r="AS190" i="2"/>
  <c r="AR190" i="2" s="1"/>
  <c r="AS193" i="2"/>
  <c r="AR193" i="2" s="1"/>
  <c r="AS194" i="2"/>
  <c r="AR194" i="2" s="1"/>
  <c r="AS196" i="2"/>
  <c r="AR196" i="2" s="1"/>
  <c r="AS200" i="2"/>
  <c r="AR200" i="2" s="1"/>
  <c r="AS206" i="2"/>
  <c r="AR206" i="2" s="1"/>
  <c r="AS208" i="2"/>
  <c r="AR208" i="2" s="1"/>
  <c r="AS210" i="2"/>
  <c r="AR210" i="2" s="1"/>
  <c r="AS219" i="2"/>
  <c r="AR219" i="2" s="1"/>
  <c r="AS220" i="2"/>
  <c r="AR220" i="2" s="1"/>
  <c r="AS224" i="2"/>
  <c r="AR224" i="2" s="1"/>
  <c r="AS227" i="2"/>
  <c r="AR227" i="2" s="1"/>
  <c r="AS246" i="2"/>
  <c r="AR246" i="2" s="1"/>
  <c r="AS249" i="2"/>
  <c r="AR249" i="2" s="1"/>
  <c r="AS256" i="2"/>
  <c r="AR256" i="2" s="1"/>
  <c r="AS257" i="2"/>
  <c r="AR257" i="2" s="1"/>
  <c r="AS259" i="2"/>
  <c r="AR259" i="2" s="1"/>
  <c r="AS266" i="2"/>
  <c r="AR266" i="2" s="1"/>
  <c r="AS268" i="2"/>
  <c r="AR268" i="2" s="1"/>
  <c r="AS270" i="2"/>
  <c r="AR270" i="2" s="1"/>
  <c r="AS271" i="2"/>
  <c r="AR271" i="2" s="1"/>
  <c r="AS272" i="2"/>
  <c r="AR272" i="2" s="1"/>
  <c r="AS273" i="2"/>
  <c r="AR273" i="2" s="1"/>
  <c r="AS280" i="2"/>
  <c r="AR280" i="2" s="1"/>
  <c r="AS281" i="2"/>
  <c r="AR281" i="2" s="1"/>
  <c r="AS284" i="2"/>
  <c r="AR284" i="2" s="1"/>
  <c r="AS286" i="2"/>
  <c r="AR286" i="2" s="1"/>
  <c r="AS289" i="2"/>
  <c r="AR289" i="2" s="1"/>
  <c r="AS306" i="1"/>
  <c r="AR306" i="1" s="1"/>
  <c r="AR360" i="1" s="1"/>
  <c r="AI306" i="1"/>
  <c r="AJ306" i="1" s="1"/>
  <c r="AI304" i="1"/>
  <c r="AJ304" i="1" s="1"/>
  <c r="AS304" i="1"/>
  <c r="AR304" i="1" s="1"/>
  <c r="AS248" i="1"/>
  <c r="AR248" i="1" s="1"/>
  <c r="AS296" i="1"/>
  <c r="AR296" i="1" s="1"/>
  <c r="AN336" i="2"/>
  <c r="AR42" i="2"/>
  <c r="AS157" i="2"/>
  <c r="AR157" i="2" s="1"/>
  <c r="AS39" i="2"/>
  <c r="AR39" i="2" s="1"/>
  <c r="AS274" i="2"/>
  <c r="AR274" i="2" s="1"/>
  <c r="AS18" i="2"/>
  <c r="AR18" i="2" s="1"/>
  <c r="AS44" i="2"/>
  <c r="AR44" i="2" s="1"/>
  <c r="AS58" i="2"/>
  <c r="AR58" i="2" s="1"/>
  <c r="AS120" i="2"/>
  <c r="AR120" i="2" s="1"/>
  <c r="AS180" i="2"/>
  <c r="AR180" i="2" s="1"/>
  <c r="AS211" i="2"/>
  <c r="AR211" i="2" s="1"/>
  <c r="AS279" i="2"/>
  <c r="AR279" i="2" s="1"/>
  <c r="AS95" i="2"/>
  <c r="AR95" i="2" s="1"/>
  <c r="AS4" i="2"/>
  <c r="AS35" i="2"/>
  <c r="AR35" i="2" s="1"/>
  <c r="AS40" i="2"/>
  <c r="AR40" i="2" s="1"/>
  <c r="AS54" i="2"/>
  <c r="AR54" i="2" s="1"/>
  <c r="AS116" i="2"/>
  <c r="AS125" i="2"/>
  <c r="AS275" i="2"/>
  <c r="AR275" i="2" s="1"/>
  <c r="AS288" i="2"/>
  <c r="AR288" i="2" s="1"/>
  <c r="AS80" i="2"/>
  <c r="AR80" i="2" s="1"/>
  <c r="AS111" i="2"/>
  <c r="AS169" i="2"/>
  <c r="AR169" i="2" s="1"/>
  <c r="AS173" i="2"/>
  <c r="AR173" i="2" s="1"/>
  <c r="AS177" i="2"/>
  <c r="AS223" i="2"/>
  <c r="AR223" i="2" s="1"/>
  <c r="AS261" i="2"/>
  <c r="AR261" i="2" s="1"/>
  <c r="AS9" i="2"/>
  <c r="AS245" i="2"/>
  <c r="AR245" i="2" s="1"/>
  <c r="AS254" i="1"/>
  <c r="AR254" i="1" s="1"/>
  <c r="AS93" i="2"/>
  <c r="AR93" i="2" s="1"/>
  <c r="AS98" i="2"/>
  <c r="AR98" i="2" s="1"/>
  <c r="AS204" i="2"/>
  <c r="AR204" i="2" s="1"/>
  <c r="AS267" i="2"/>
  <c r="AR267" i="2" s="1"/>
  <c r="AS257" i="1"/>
  <c r="AR257" i="1" s="1"/>
  <c r="AS282" i="1"/>
  <c r="AR282" i="1" s="1"/>
  <c r="AS76" i="2"/>
  <c r="AS170" i="2"/>
  <c r="AR170" i="2" s="1"/>
  <c r="AS187" i="2"/>
  <c r="AR187" i="2" s="1"/>
  <c r="AS256" i="1"/>
  <c r="AR256" i="1" s="1"/>
  <c r="AS255" i="1"/>
  <c r="AR255" i="1" s="1"/>
  <c r="AS118" i="2"/>
  <c r="AS175" i="2"/>
  <c r="AR175" i="2" s="1"/>
  <c r="AS183" i="2"/>
  <c r="AR183" i="2" s="1"/>
  <c r="AS225" i="2"/>
  <c r="AR225" i="2" s="1"/>
  <c r="AS17" i="2"/>
  <c r="AR17" i="2" s="1"/>
  <c r="AS33" i="2"/>
  <c r="AR33" i="2" s="1"/>
  <c r="AS123" i="2"/>
  <c r="AS188" i="2"/>
  <c r="AR188" i="2" s="1"/>
  <c r="AS252" i="1"/>
  <c r="AR252" i="1" s="1"/>
  <c r="AS226" i="2"/>
  <c r="AR226" i="2" s="1"/>
  <c r="AS255" i="2"/>
  <c r="AR255" i="2" s="1"/>
  <c r="AS128" i="2"/>
  <c r="AR128" i="2" s="1"/>
  <c r="AS248" i="2"/>
  <c r="AR248" i="2" s="1"/>
  <c r="G11" i="6"/>
  <c r="J11" i="6"/>
  <c r="G12" i="6"/>
  <c r="J12" i="6"/>
  <c r="G13" i="6"/>
  <c r="J9" i="6"/>
  <c r="G9" i="6"/>
  <c r="J10" i="6"/>
  <c r="G10" i="6"/>
  <c r="J7" i="6"/>
  <c r="G7" i="6"/>
  <c r="J8" i="6"/>
  <c r="G8" i="6"/>
  <c r="J6" i="6"/>
  <c r="G6" i="6"/>
  <c r="AS298" i="1"/>
  <c r="AR298" i="1" s="1"/>
  <c r="AI298" i="1"/>
  <c r="AJ298" i="1" s="1"/>
  <c r="AI293" i="1"/>
  <c r="AJ293" i="1" s="1"/>
  <c r="AS293" i="1"/>
  <c r="AR293" i="1" s="1"/>
  <c r="AI288" i="1"/>
  <c r="AJ288" i="1" s="1"/>
  <c r="AS288" i="1"/>
  <c r="AR288" i="1" s="1"/>
  <c r="AI289" i="1"/>
  <c r="AJ289" i="1" s="1"/>
  <c r="AS289" i="1"/>
  <c r="AR289" i="1" s="1"/>
  <c r="AI291" i="1"/>
  <c r="AJ291" i="1" s="1"/>
  <c r="AS291" i="1"/>
  <c r="AR291" i="1" s="1"/>
  <c r="AI287" i="1"/>
  <c r="AJ287" i="1" s="1"/>
  <c r="AS287" i="1"/>
  <c r="AR287" i="1" s="1"/>
  <c r="AS284" i="1"/>
  <c r="AR284" i="1" s="1"/>
  <c r="AI284" i="1"/>
  <c r="AJ284" i="1" s="1"/>
  <c r="AJ272" i="1"/>
  <c r="AS272" i="1"/>
  <c r="AR272" i="1" s="1"/>
  <c r="AI274" i="1"/>
  <c r="AJ274" i="1" s="1"/>
  <c r="AS274" i="1"/>
  <c r="AR274" i="1" s="1"/>
  <c r="AI275" i="1"/>
  <c r="AJ275" i="1" s="1"/>
  <c r="AS275" i="1"/>
  <c r="AR275" i="1" s="1"/>
  <c r="AI276" i="1"/>
  <c r="AJ276" i="1" s="1"/>
  <c r="AS276" i="1"/>
  <c r="AR276" i="1" s="1"/>
  <c r="AI277" i="1"/>
  <c r="AJ277" i="1" s="1"/>
  <c r="AS277" i="1"/>
  <c r="AR277" i="1" s="1"/>
  <c r="AI266" i="1"/>
  <c r="AJ266" i="1" s="1"/>
  <c r="AS266" i="1"/>
  <c r="AR266" i="1" s="1"/>
  <c r="AI267" i="1"/>
  <c r="AJ267" i="1" s="1"/>
  <c r="AS267" i="1"/>
  <c r="AR267" i="1" s="1"/>
  <c r="AS273" i="1"/>
  <c r="AR273" i="1" s="1"/>
  <c r="AI273" i="1"/>
  <c r="AJ273" i="1" s="1"/>
  <c r="AI262" i="1"/>
  <c r="AJ262" i="1" s="1"/>
  <c r="AS262" i="1"/>
  <c r="AR262" i="1" s="1"/>
  <c r="AS263" i="1"/>
  <c r="AR263" i="1" s="1"/>
  <c r="AI265" i="1"/>
  <c r="AJ265" i="1" s="1"/>
  <c r="AI253" i="1"/>
  <c r="AJ253" i="1" s="1"/>
  <c r="AS253" i="1"/>
  <c r="AR253" i="1" s="1"/>
  <c r="AI251" i="1"/>
  <c r="AJ251" i="1" s="1"/>
  <c r="AS251" i="1"/>
  <c r="AR251" i="1" s="1"/>
  <c r="AI258" i="1"/>
  <c r="AJ258" i="1" s="1"/>
  <c r="AS258" i="1"/>
  <c r="AR258" i="1" s="1"/>
  <c r="AI259" i="1"/>
  <c r="AJ259" i="1" s="1"/>
  <c r="AS259" i="1"/>
  <c r="AR259" i="1" s="1"/>
  <c r="AI260" i="1"/>
  <c r="AJ260" i="1" s="1"/>
  <c r="AJ263" i="1"/>
  <c r="AS260" i="1"/>
  <c r="AR260" i="1" s="1"/>
  <c r="AI247" i="1"/>
  <c r="AJ247" i="1" s="1"/>
  <c r="AS247" i="1"/>
  <c r="AS244" i="1"/>
  <c r="AR244" i="1" s="1"/>
  <c r="AS18" i="1"/>
  <c r="AR18" i="1" s="1"/>
  <c r="AS51" i="1"/>
  <c r="AR51" i="1" s="1"/>
  <c r="AS206" i="1"/>
  <c r="AR206" i="1" s="1"/>
  <c r="AS23" i="1"/>
  <c r="AR23" i="1" s="1"/>
  <c r="AS215" i="1"/>
  <c r="AR215" i="1" s="1"/>
  <c r="AS89" i="1"/>
  <c r="AR89" i="1" s="1"/>
  <c r="AS121" i="1"/>
  <c r="AR121" i="1" s="1"/>
  <c r="AS11" i="1"/>
  <c r="AR11" i="1" s="1"/>
  <c r="AS115" i="1"/>
  <c r="AR115" i="1" s="1"/>
  <c r="AS143" i="1"/>
  <c r="AR143" i="1" s="1"/>
  <c r="AS214" i="1"/>
  <c r="AR214" i="1" s="1"/>
  <c r="AS58" i="1"/>
  <c r="AR58" i="1" s="1"/>
  <c r="AS128" i="1"/>
  <c r="AR128" i="1" s="1"/>
  <c r="AS105" i="1"/>
  <c r="AR105" i="1" s="1"/>
  <c r="AS50" i="1"/>
  <c r="AR50" i="1" s="1"/>
  <c r="AS73" i="1"/>
  <c r="AR73" i="1" s="1"/>
  <c r="AS100" i="1"/>
  <c r="AR100" i="1" s="1"/>
  <c r="AS144" i="1"/>
  <c r="AR144" i="1" s="1"/>
  <c r="AS150" i="1"/>
  <c r="AS96" i="1"/>
  <c r="AR96" i="1" s="1"/>
  <c r="AS198" i="1"/>
  <c r="AR198" i="1" s="1"/>
  <c r="AS203" i="1"/>
  <c r="AR203" i="1" s="1"/>
  <c r="AS137" i="1"/>
  <c r="AS163" i="1"/>
  <c r="AR163" i="1" s="1"/>
  <c r="AS28" i="1"/>
  <c r="AR28" i="1" s="1"/>
  <c r="AS239" i="1"/>
  <c r="AR239" i="1" s="1"/>
  <c r="AS88" i="1"/>
  <c r="AR88" i="1" s="1"/>
  <c r="AS19" i="1"/>
  <c r="AR19" i="1" s="1"/>
  <c r="AS230" i="1"/>
  <c r="AR230" i="1" s="1"/>
  <c r="AS127" i="1"/>
  <c r="AR127" i="1" s="1"/>
  <c r="AS145" i="1"/>
  <c r="AR145" i="1" s="1"/>
  <c r="AS236" i="1"/>
  <c r="AR236" i="1" s="1"/>
  <c r="AS231" i="1"/>
  <c r="AR231" i="1" s="1"/>
  <c r="AS241" i="1"/>
  <c r="AR241" i="1" s="1"/>
  <c r="AS7" i="1"/>
  <c r="AR7" i="1" s="1"/>
  <c r="AS157" i="1"/>
  <c r="AR157" i="1" s="1"/>
  <c r="AS152" i="1"/>
  <c r="AR152" i="1" s="1"/>
  <c r="AS5" i="1"/>
  <c r="AR5" i="1" s="1"/>
  <c r="AS102" i="1"/>
  <c r="AR102" i="1" s="1"/>
  <c r="AS111" i="1"/>
  <c r="AR111" i="1" s="1"/>
  <c r="AS48" i="1"/>
  <c r="AR48" i="1" s="1"/>
  <c r="AS138" i="1"/>
  <c r="AS160" i="1"/>
  <c r="AR160" i="1" s="1"/>
  <c r="AS32" i="1"/>
  <c r="AR32" i="1" s="1"/>
  <c r="AS42" i="1"/>
  <c r="AR42" i="1" s="1"/>
  <c r="AS118" i="1"/>
  <c r="AR118" i="1" s="1"/>
  <c r="AS161" i="1"/>
  <c r="AR161" i="1" s="1"/>
  <c r="AS220" i="1"/>
  <c r="AR220" i="1" s="1"/>
  <c r="AS8" i="1"/>
  <c r="AR8" i="1" s="1"/>
  <c r="AS17" i="1"/>
  <c r="AR17" i="1" s="1"/>
  <c r="AS62" i="1"/>
  <c r="AR62" i="1" s="1"/>
  <c r="AS168" i="1"/>
  <c r="AR168" i="1" s="1"/>
  <c r="AS187" i="1"/>
  <c r="AR187" i="1" s="1"/>
  <c r="AS119" i="1"/>
  <c r="AR119" i="1" s="1"/>
  <c r="AS63" i="1"/>
  <c r="AR63" i="1" s="1"/>
  <c r="AS87" i="1"/>
  <c r="AR87" i="1" s="1"/>
  <c r="AS155" i="1"/>
  <c r="AR155" i="1" s="1"/>
  <c r="AS185" i="1"/>
  <c r="AR185" i="1" s="1"/>
  <c r="AS54" i="1"/>
  <c r="AR54" i="1" s="1"/>
  <c r="AS200" i="1"/>
  <c r="AR200" i="1" s="1"/>
  <c r="AS26" i="1"/>
  <c r="AR26" i="1" s="1"/>
  <c r="AS69" i="1"/>
  <c r="AR69" i="1" s="1"/>
  <c r="AS22" i="1"/>
  <c r="AR22" i="1" s="1"/>
  <c r="AS64" i="1"/>
  <c r="AR64" i="1" s="1"/>
  <c r="AS74" i="1"/>
  <c r="AR74" i="1" s="1"/>
  <c r="AS83" i="1"/>
  <c r="AR83" i="1" s="1"/>
  <c r="AS92" i="1"/>
  <c r="AR92" i="1" s="1"/>
  <c r="AS101" i="1"/>
  <c r="AR101" i="1" s="1"/>
  <c r="AS136" i="1"/>
  <c r="AS59" i="1"/>
  <c r="AR59" i="1" s="1"/>
  <c r="AS97" i="1"/>
  <c r="AR97" i="1" s="1"/>
  <c r="AS106" i="1"/>
  <c r="AR106" i="1" s="1"/>
  <c r="AI206" i="1"/>
  <c r="AJ206" i="1" s="1"/>
  <c r="AS234" i="1"/>
  <c r="AR234" i="1" s="1"/>
  <c r="AS93" i="1"/>
  <c r="AR93" i="1" s="1"/>
  <c r="AS4" i="1"/>
  <c r="AR4" i="1" s="1"/>
  <c r="AS142" i="1"/>
  <c r="AR142" i="1" s="1"/>
  <c r="AS56" i="1"/>
  <c r="AR56" i="1" s="1"/>
  <c r="AS80" i="1"/>
  <c r="AR80" i="1" s="1"/>
  <c r="AS94" i="1"/>
  <c r="AR94" i="1" s="1"/>
  <c r="AS98" i="1"/>
  <c r="AR98" i="1" s="1"/>
  <c r="AS125" i="1"/>
  <c r="AR125" i="1" s="1"/>
  <c r="AS197" i="1"/>
  <c r="AR197" i="1" s="1"/>
  <c r="AS202" i="1"/>
  <c r="AR202" i="1" s="1"/>
  <c r="AS211" i="1"/>
  <c r="AR211" i="1" s="1"/>
  <c r="AS188" i="1"/>
  <c r="AR188" i="1" s="1"/>
  <c r="AS216" i="1"/>
  <c r="AR216" i="1" s="1"/>
  <c r="AS149" i="1"/>
  <c r="AR149" i="1" s="1"/>
  <c r="AS222" i="1"/>
  <c r="AR222" i="1" s="1"/>
  <c r="AS29" i="1"/>
  <c r="AR29" i="1" s="1"/>
  <c r="AS77" i="1"/>
  <c r="AR77" i="1" s="1"/>
  <c r="AS193" i="1"/>
  <c r="AR193" i="1" s="1"/>
  <c r="AS184" i="1"/>
  <c r="AR184" i="1" s="1"/>
  <c r="AS35" i="1"/>
  <c r="AR35" i="1" s="1"/>
  <c r="AS68" i="1"/>
  <c r="AR68" i="1" s="1"/>
  <c r="AS122" i="1"/>
  <c r="AR122" i="1" s="1"/>
  <c r="AS139" i="1"/>
  <c r="AR139" i="1" s="1"/>
  <c r="AS227" i="1"/>
  <c r="AR227" i="1" s="1"/>
  <c r="AS84" i="1"/>
  <c r="AR84" i="1" s="1"/>
  <c r="AS151" i="1"/>
  <c r="AR151" i="1" s="1"/>
  <c r="AS235" i="1"/>
  <c r="AR235" i="1" s="1"/>
  <c r="AS72" i="1"/>
  <c r="AR72" i="1" s="1"/>
  <c r="AS76" i="1"/>
  <c r="AR76" i="1" s="1"/>
  <c r="AS16" i="1"/>
  <c r="AR16" i="1" s="1"/>
  <c r="AS53" i="1"/>
  <c r="AR53" i="1" s="1"/>
  <c r="AS107" i="1"/>
  <c r="AR107" i="1" s="1"/>
  <c r="AS176" i="1"/>
  <c r="AR176" i="1" s="1"/>
  <c r="AI188" i="1"/>
  <c r="AJ188" i="1" s="1"/>
  <c r="AS192" i="1"/>
  <c r="AI200" i="1"/>
  <c r="AJ200" i="1" s="1"/>
  <c r="AI93" i="1"/>
  <c r="AJ93" i="1" s="1"/>
  <c r="AS172" i="1"/>
  <c r="AR172" i="1" s="1"/>
  <c r="AI236" i="1"/>
  <c r="AJ236" i="1" s="1"/>
  <c r="AS240" i="1"/>
  <c r="AR240" i="1" s="1"/>
  <c r="AS6" i="1"/>
  <c r="AR6" i="1" s="1"/>
  <c r="AS30" i="1"/>
  <c r="AR30" i="1" s="1"/>
  <c r="AS232" i="1"/>
  <c r="AR232" i="1" s="1"/>
  <c r="AS60" i="1"/>
  <c r="AR60" i="1" s="1"/>
  <c r="AI119" i="1"/>
  <c r="AJ119" i="1" s="1"/>
  <c r="AS219" i="1"/>
  <c r="AR219" i="1" s="1"/>
  <c r="AS123" i="1"/>
  <c r="AR123" i="1" s="1"/>
  <c r="AS173" i="1"/>
  <c r="AR173" i="1" s="1"/>
  <c r="AS204" i="1"/>
  <c r="AR204" i="1" s="1"/>
  <c r="AI11" i="1"/>
  <c r="AJ11" i="1" s="1"/>
  <c r="AS27" i="1"/>
  <c r="AR27" i="1" s="1"/>
  <c r="AS31" i="1"/>
  <c r="AR31" i="1" s="1"/>
  <c r="AS57" i="1"/>
  <c r="AR57" i="1" s="1"/>
  <c r="AS156" i="1"/>
  <c r="AR156" i="1" s="1"/>
  <c r="AS124" i="1"/>
  <c r="AR124" i="1" s="1"/>
  <c r="AI149" i="1"/>
  <c r="AJ149" i="1" s="1"/>
  <c r="AS153" i="1"/>
  <c r="AR153" i="1" s="1"/>
  <c r="AS212" i="1"/>
  <c r="AR212" i="1" s="1"/>
  <c r="AS14" i="1"/>
  <c r="AR14" i="1" s="1"/>
  <c r="AS70" i="1"/>
  <c r="AR70" i="1" s="1"/>
  <c r="AI124" i="1"/>
  <c r="AJ124" i="1" s="1"/>
  <c r="AS242" i="1"/>
  <c r="AR242" i="1" s="1"/>
  <c r="AS178" i="1"/>
  <c r="AS40" i="1"/>
  <c r="AR40" i="1" s="1"/>
  <c r="AS113" i="1"/>
  <c r="AR113" i="1" s="1"/>
  <c r="AS170" i="1"/>
  <c r="AR170" i="1" s="1"/>
  <c r="AS174" i="1"/>
  <c r="AR174" i="1" s="1"/>
  <c r="AS24" i="1"/>
  <c r="AR24" i="1" s="1"/>
  <c r="AS41" i="1"/>
  <c r="AR41" i="1" s="1"/>
  <c r="AS140" i="1"/>
  <c r="AR140" i="1" s="1"/>
  <c r="AS154" i="1"/>
  <c r="AR154" i="1" s="1"/>
  <c r="AS183" i="1"/>
  <c r="AR183" i="1" s="1"/>
  <c r="AS195" i="1"/>
  <c r="AR195" i="1" s="1"/>
  <c r="AS243" i="1"/>
  <c r="AR243" i="1" s="1"/>
  <c r="AR123" i="2"/>
  <c r="AS71" i="1"/>
  <c r="AR71" i="1" s="1"/>
  <c r="AS169" i="1"/>
  <c r="AR169" i="1" s="1"/>
  <c r="AS201" i="1"/>
  <c r="AR201" i="1" s="1"/>
  <c r="AS82" i="2"/>
  <c r="AR82" i="2" s="1"/>
  <c r="AS55" i="1"/>
  <c r="AR55" i="1" s="1"/>
  <c r="AS116" i="1"/>
  <c r="AR116" i="1" s="1"/>
  <c r="AS196" i="1"/>
  <c r="AR196" i="1" s="1"/>
  <c r="AS233" i="1"/>
  <c r="AR233" i="1" s="1"/>
  <c r="AN324" i="2"/>
  <c r="AN319" i="2"/>
  <c r="AN315" i="2"/>
  <c r="AN325" i="2"/>
  <c r="AN320" i="2"/>
  <c r="AN314" i="2"/>
  <c r="AS205" i="1"/>
  <c r="AR205" i="1" s="1"/>
  <c r="AR66" i="2"/>
  <c r="AS49" i="1"/>
  <c r="AR49" i="1" s="1"/>
  <c r="AI94" i="1"/>
  <c r="AJ94" i="1" s="1"/>
  <c r="AS162" i="1"/>
  <c r="AR162" i="1" s="1"/>
  <c r="AS186" i="1"/>
  <c r="AR186" i="1" s="1"/>
  <c r="AR21" i="2"/>
  <c r="AS143" i="2"/>
  <c r="AR143" i="2" s="1"/>
  <c r="AI87" i="1"/>
  <c r="AJ87" i="1" s="1"/>
  <c r="AS146" i="1"/>
  <c r="AR146" i="1" s="1"/>
  <c r="AI168" i="1"/>
  <c r="AJ168" i="1" s="1"/>
  <c r="AN333" i="2"/>
  <c r="AR32" i="2"/>
  <c r="AS263" i="2"/>
  <c r="AR263" i="2" s="1"/>
  <c r="AI215" i="1"/>
  <c r="AJ215" i="1" s="1"/>
  <c r="AS75" i="1"/>
  <c r="AR75" i="1" s="1"/>
  <c r="AI140" i="1"/>
  <c r="AJ140" i="1" s="1"/>
  <c r="AI151" i="1"/>
  <c r="AJ151" i="1" s="1"/>
  <c r="AS103" i="2"/>
  <c r="AR103" i="2" s="1"/>
  <c r="AR116" i="2"/>
  <c r="AS61" i="1"/>
  <c r="AR61" i="1" s="1"/>
  <c r="AS177" i="1"/>
  <c r="AR177" i="1" s="1"/>
  <c r="AR55" i="2"/>
  <c r="AR111" i="2"/>
  <c r="AR125" i="2"/>
  <c r="AS194" i="1"/>
  <c r="AR194" i="1" s="1"/>
  <c r="L330" i="2"/>
  <c r="T323" i="2"/>
  <c r="L332" i="2"/>
  <c r="X325" i="2"/>
  <c r="AR22" i="2"/>
  <c r="AR76" i="2"/>
  <c r="R331" i="2"/>
  <c r="AR152" i="2"/>
  <c r="AR29" i="2"/>
  <c r="AS192" i="2"/>
  <c r="AR192" i="2" s="1"/>
  <c r="AR52" i="2"/>
  <c r="AR162" i="2"/>
  <c r="AR177" i="2"/>
  <c r="AR317" i="2" s="1"/>
  <c r="AN331" i="2"/>
  <c r="Z325" i="2"/>
  <c r="Y324" i="2"/>
  <c r="AS95" i="1"/>
  <c r="AR95" i="1" s="1"/>
  <c r="AS141" i="1"/>
  <c r="AS24" i="2"/>
  <c r="AS30" i="2"/>
  <c r="AS94" i="2"/>
  <c r="AR118" i="2"/>
  <c r="AN330" i="2"/>
  <c r="R326" i="2"/>
  <c r="M319" i="2"/>
  <c r="N319" i="2"/>
  <c r="AN334" i="2"/>
  <c r="L314" i="2"/>
  <c r="R335" i="2"/>
  <c r="AR15" i="2"/>
  <c r="BK44" i="7" l="1"/>
  <c r="BK39" i="7"/>
  <c r="BK40" i="7"/>
  <c r="BK41" i="7"/>
  <c r="BK42" i="7"/>
  <c r="BK43" i="7"/>
  <c r="BK32" i="7"/>
  <c r="AJ355" i="1"/>
  <c r="AR94" i="2"/>
  <c r="Z324" i="2"/>
  <c r="AR30" i="2"/>
  <c r="L325" i="2"/>
  <c r="T320" i="2"/>
  <c r="Y325" i="2"/>
  <c r="AR247" i="1"/>
  <c r="AR353" i="1" s="1"/>
  <c r="E13" i="6"/>
  <c r="P13" i="6" s="1"/>
  <c r="H6" i="6"/>
  <c r="H10" i="6"/>
  <c r="H11" i="6"/>
  <c r="H7" i="6"/>
  <c r="AR192" i="1"/>
  <c r="F11" i="6" s="1"/>
  <c r="E11" i="6"/>
  <c r="P11" i="6" s="1"/>
  <c r="R327" i="2"/>
  <c r="AR138" i="1"/>
  <c r="F7" i="6" s="1"/>
  <c r="E7" i="6"/>
  <c r="P7" i="6" s="1"/>
  <c r="AR178" i="1"/>
  <c r="I9" i="6" s="1"/>
  <c r="H9" i="6"/>
  <c r="AR137" i="1"/>
  <c r="E8" i="6"/>
  <c r="E10" i="6"/>
  <c r="P10" i="6" s="1"/>
  <c r="E6" i="6"/>
  <c r="P6" i="6" s="1"/>
  <c r="E9" i="6"/>
  <c r="P9" i="6" s="1"/>
  <c r="E12" i="6"/>
  <c r="AR314" i="2"/>
  <c r="AN329" i="2"/>
  <c r="AR150" i="1"/>
  <c r="H12" i="6"/>
  <c r="H8" i="6"/>
  <c r="AR136" i="1"/>
  <c r="AR369" i="1"/>
  <c r="AR368" i="1"/>
  <c r="AR370" i="1" s="1"/>
  <c r="AS367" i="1" s="1"/>
  <c r="AR361" i="1"/>
  <c r="AR363" i="1"/>
  <c r="AR364" i="1"/>
  <c r="AR365" i="1"/>
  <c r="AR141" i="1"/>
  <c r="R334" i="2"/>
  <c r="X324" i="2"/>
  <c r="T322" i="2"/>
  <c r="L327" i="2"/>
  <c r="L326" i="2"/>
  <c r="R330" i="2"/>
  <c r="T319" i="2"/>
  <c r="AN328" i="2"/>
  <c r="L331" i="2"/>
  <c r="AR24" i="2"/>
  <c r="AN335" i="2"/>
  <c r="P12" i="6" l="1"/>
  <c r="P8" i="6"/>
  <c r="F13" i="6"/>
  <c r="K13" i="6" s="1"/>
  <c r="AS368" i="1"/>
  <c r="F6" i="6"/>
  <c r="F12" i="6"/>
  <c r="F9" i="6"/>
  <c r="I11" i="6"/>
  <c r="I10" i="6"/>
  <c r="I7" i="6"/>
  <c r="I6" i="6"/>
  <c r="I12" i="6"/>
  <c r="I8" i="6"/>
  <c r="AS369" i="1"/>
  <c r="F8" i="6"/>
  <c r="F10" i="6"/>
  <c r="AR311" i="2"/>
  <c r="L8" i="6" l="1"/>
  <c r="L13" i="6"/>
  <c r="O13" i="6" a="1"/>
  <c r="O13" i="6" s="1"/>
  <c r="O12" i="6" a="1"/>
  <c r="O12" i="6" s="1"/>
  <c r="O11" i="6" a="1"/>
  <c r="O11" i="6" s="1"/>
  <c r="O10" i="6" a="1"/>
  <c r="O10" i="6" s="1"/>
  <c r="O9" i="6" a="1"/>
  <c r="O9" i="6" s="1"/>
  <c r="O8" i="6" a="1"/>
  <c r="O8" i="6" s="1"/>
  <c r="O7" i="6" a="1"/>
  <c r="O7" i="6" s="1"/>
  <c r="O6" i="6" a="1"/>
  <c r="O6" i="6" s="1"/>
  <c r="K10" i="6"/>
  <c r="L10" i="6"/>
  <c r="K7" i="6"/>
  <c r="L7" i="6"/>
  <c r="K11" i="6"/>
  <c r="L11" i="6"/>
  <c r="K9" i="6"/>
  <c r="L9" i="6"/>
  <c r="L12" i="6"/>
  <c r="L6" i="6"/>
  <c r="K6" i="6"/>
  <c r="K8" i="6"/>
  <c r="K12"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Sujay Bhaumik</author>
    <author/>
  </authors>
  <commentList>
    <comment ref="N5" authorId="0" shapeId="0" xr:uid="{38A87347-E735-4F14-A927-C31FCFAEAB9C}">
      <text>
        <r>
          <rPr>
            <sz val="10"/>
            <color rgb="FF000000"/>
            <rFont val="Arial"/>
            <scheme val="minor"/>
          </rPr>
          <t xml:space="preserve">How much risk is allocated
</t>
        </r>
      </text>
    </comment>
    <comment ref="E6" authorId="1" shapeId="0" xr:uid="{993F67AE-7E47-4901-A267-6B377EF107EC}">
      <text>
        <r>
          <rPr>
            <sz val="10"/>
            <color rgb="FF000000"/>
            <rFont val="Arial"/>
            <family val="2"/>
            <scheme val="minor"/>
          </rPr>
          <t>AVG WINS (OBS BASIS)</t>
        </r>
      </text>
    </comment>
    <comment ref="F6" authorId="1" shapeId="0" xr:uid="{33C02265-78B4-4862-916B-CB4A139AD59A}">
      <text>
        <r>
          <rPr>
            <sz val="10"/>
            <color rgb="FF000000"/>
            <rFont val="Arial"/>
            <family val="2"/>
            <scheme val="minor"/>
          </rPr>
          <t>TICK VALUE</t>
        </r>
      </text>
    </comment>
    <comment ref="G6" authorId="1" shapeId="0" xr:uid="{FC118690-3304-4F7D-9F8A-CFA412A0E67E}">
      <text>
        <r>
          <rPr>
            <sz val="10"/>
            <color rgb="FF000000"/>
            <rFont val="Arial"/>
            <family val="2"/>
            <scheme val="minor"/>
          </rPr>
          <t>OBS BASED OVERALL EXPOSURE = (AVG WINS OBS BASIS)*(MIN. SUCH WINS IN A WEEK OR TEMPORARY MKT STATE)
(OBS BASIS)</t>
        </r>
      </text>
    </comment>
    <comment ref="H6" authorId="1" shapeId="0" xr:uid="{CB2CC2D7-EAEC-47E9-A9B6-E1A2D02CBA79}">
      <text>
        <r>
          <rPr>
            <sz val="10"/>
            <color rgb="FF000000"/>
            <rFont val="Arial"/>
            <family val="2"/>
            <scheme val="minor"/>
          </rPr>
          <t>LOSS LOTS MAX</t>
        </r>
      </text>
    </comment>
    <comment ref="H7" authorId="1" shapeId="0" xr:uid="{1FA2E9EA-3B87-4DCF-B8FF-8D8AE864867F}">
      <text>
        <r>
          <rPr>
            <sz val="10"/>
            <color rgb="FF000000"/>
            <rFont val="Arial"/>
            <family val="2"/>
            <scheme val="minor"/>
          </rPr>
          <t>MAX LOSS TICKS AFFORDABLE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Sujay Bhaumik</author>
    <author/>
  </authors>
  <commentList>
    <comment ref="N2" authorId="0" shapeId="0" xr:uid="{420EA6F9-E3C2-4161-96E0-B757F637B468}">
      <text>
        <r>
          <rPr>
            <sz val="10"/>
            <color rgb="FF000000"/>
            <rFont val="Arial"/>
            <scheme val="minor"/>
          </rPr>
          <t xml:space="preserve">How much risk is allocated
</t>
        </r>
      </text>
    </comment>
    <comment ref="E3" authorId="1" shapeId="0" xr:uid="{0212BBF8-470D-4B8E-9FAF-364D5600BC01}">
      <text>
        <r>
          <rPr>
            <sz val="10"/>
            <color rgb="FF000000"/>
            <rFont val="Arial"/>
            <family val="2"/>
            <scheme val="minor"/>
          </rPr>
          <t>AVG WINS (OBS BASIS)</t>
        </r>
      </text>
    </comment>
    <comment ref="F3" authorId="1" shapeId="0" xr:uid="{34FBF808-1F6C-4932-BC2B-27077E50FB04}">
      <text>
        <r>
          <rPr>
            <sz val="10"/>
            <color rgb="FF000000"/>
            <rFont val="Arial"/>
            <family val="2"/>
            <scheme val="minor"/>
          </rPr>
          <t>TICK VALUE</t>
        </r>
      </text>
    </comment>
    <comment ref="G3" authorId="1" shapeId="0" xr:uid="{2F7AE68C-860C-4F5B-B4A0-B92CB62454A1}">
      <text>
        <r>
          <rPr>
            <sz val="10"/>
            <color rgb="FF000000"/>
            <rFont val="Arial"/>
            <family val="2"/>
            <scheme val="minor"/>
          </rPr>
          <t>OBS BASED OVERALL EXPOSURE = (AVG WINS OBS BASIS)*(MIN. SUCH WINS IN A WEEK OR TEMPORARY MKT STATE)
(OBS BASIS)</t>
        </r>
      </text>
    </comment>
    <comment ref="H3" authorId="1" shapeId="0" xr:uid="{CF93E9A5-5C93-42E3-AC1A-26BCA673AA32}">
      <text>
        <r>
          <rPr>
            <sz val="10"/>
            <color rgb="FF000000"/>
            <rFont val="Arial"/>
            <family val="2"/>
            <scheme val="minor"/>
          </rPr>
          <t>LOSS LOTS MAX</t>
        </r>
      </text>
    </comment>
    <comment ref="H4" authorId="1" shapeId="0" xr:uid="{17A49AF2-D7B6-402F-8AFA-28CBB08C6F75}">
      <text>
        <r>
          <rPr>
            <sz val="10"/>
            <color rgb="FF000000"/>
            <rFont val="Arial"/>
            <family val="2"/>
            <scheme val="minor"/>
          </rPr>
          <t>MAX LOSS TICKS AFFORDABLE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<sst xmlns="http://schemas.openxmlformats.org/spreadsheetml/2006/main" count="8211" uniqueCount="3235">
  <si>
    <t xml:space="preserve">                           EVENT</t>
  </si>
  <si>
    <t xml:space="preserve">PRESENT   </t>
  </si>
  <si>
    <t>EXP</t>
  </si>
  <si>
    <t>D/H</t>
  </si>
  <si>
    <t>TRIGGER</t>
  </si>
  <si>
    <t>ORDER</t>
  </si>
  <si>
    <t>SETUP</t>
  </si>
  <si>
    <t>GAME PLAY</t>
  </si>
  <si>
    <t>RESULTS</t>
  </si>
  <si>
    <t>OBSERVATIONS</t>
  </si>
  <si>
    <t>DIFFERENT PERSPECTIVE</t>
  </si>
  <si>
    <t>RISK MANAGEMENT / STRATEGY UPDATES</t>
  </si>
  <si>
    <t>MONTH</t>
  </si>
  <si>
    <t>DATE2</t>
  </si>
  <si>
    <t>entry time</t>
  </si>
  <si>
    <t>DAY</t>
  </si>
  <si>
    <t>MAJOR EVENT</t>
  </si>
  <si>
    <t>ACTION</t>
  </si>
  <si>
    <t xml:space="preserve">CONTRACT </t>
  </si>
  <si>
    <t>A</t>
  </si>
  <si>
    <t>E</t>
  </si>
  <si>
    <t>B</t>
  </si>
  <si>
    <t>REACTIVE | response to price action</t>
  </si>
  <si>
    <t>PROACTIVE  | expectations after consideration</t>
  </si>
  <si>
    <t>SIGNALS  | technical indicators/models</t>
  </si>
  <si>
    <t>CODE</t>
  </si>
  <si>
    <t>CODE2</t>
  </si>
  <si>
    <t>O,S,F</t>
  </si>
  <si>
    <t>B QTY</t>
  </si>
  <si>
    <t>S QTY</t>
  </si>
  <si>
    <t>MAX SHOT</t>
  </si>
  <si>
    <t>B/S</t>
  </si>
  <si>
    <t>TICK SIZE</t>
  </si>
  <si>
    <t>MIN TICK VALUE ADJUSTED</t>
  </si>
  <si>
    <t>TECHNICAL</t>
  </si>
  <si>
    <t>FUNDAMENTAL</t>
  </si>
  <si>
    <t>CURVES</t>
  </si>
  <si>
    <t>ENTRY</t>
  </si>
  <si>
    <t>ENTRY LOGIC</t>
  </si>
  <si>
    <t>STOPLOSS</t>
  </si>
  <si>
    <t>STOPLOSS LOGIC</t>
  </si>
  <si>
    <t>PLANNED EXIT</t>
  </si>
  <si>
    <t>PLANNED EXIT LOGIC</t>
  </si>
  <si>
    <t>BACKUP PLAN</t>
  </si>
  <si>
    <t>WORST CASE REWARD/RISK</t>
  </si>
  <si>
    <t>WORST CASE LOSS/LOT</t>
  </si>
  <si>
    <t>WORST CASE LOSS</t>
  </si>
  <si>
    <t>PLANNED DURATION</t>
  </si>
  <si>
    <t>DURATION LOGIC</t>
  </si>
  <si>
    <t xml:space="preserve">DURATION </t>
  </si>
  <si>
    <t>(M/H/D/W) | W - &gt; DAYS</t>
  </si>
  <si>
    <t>exit date/time</t>
  </si>
  <si>
    <t>EXIT</t>
  </si>
  <si>
    <t>PNL (PRICE)</t>
  </si>
  <si>
    <t>TOTAL PROFIT</t>
  </si>
  <si>
    <t>PNL ($) SINGLE ORDER</t>
  </si>
  <si>
    <t>W/L</t>
  </si>
  <si>
    <t>REMARKS 1</t>
  </si>
  <si>
    <t>REMARKS 2</t>
  </si>
  <si>
    <t>REMARKS 3</t>
  </si>
  <si>
    <t>REMARKS 13</t>
  </si>
  <si>
    <t>REMARKS 24</t>
  </si>
  <si>
    <t>REMARKS 35</t>
  </si>
  <si>
    <t>REMARKS 16</t>
  </si>
  <si>
    <t>REMARKS 27</t>
  </si>
  <si>
    <t>REMARKS 38</t>
  </si>
  <si>
    <t>October 22 live</t>
  </si>
  <si>
    <t>OCT.22</t>
  </si>
  <si>
    <t>1253PM</t>
  </si>
  <si>
    <t>THU</t>
  </si>
  <si>
    <t>S23 SPD</t>
  </si>
  <si>
    <t>IR</t>
  </si>
  <si>
    <t>W</t>
  </si>
  <si>
    <t>S</t>
  </si>
  <si>
    <t>RESISTANCE ZONE (60-0)</t>
  </si>
  <si>
    <t>Scalping</t>
  </si>
  <si>
    <t>MOST FLUCTUATIONS IN THE CURVE</t>
  </si>
  <si>
    <t>GIVING SPACE FOR RANGE</t>
  </si>
  <si>
    <t>buy at 3 and sell at 2 | 2 lots</t>
  </si>
  <si>
    <t>&lt;1</t>
  </si>
  <si>
    <t>NEXT 1ST HALF SESSION</t>
  </si>
  <si>
    <t>1hr 30mins</t>
  </si>
  <si>
    <t>H</t>
  </si>
  <si>
    <t>226pm</t>
  </si>
  <si>
    <t>Scalping 101; it feels hard to get fills in live/ in the current mkt structure</t>
  </si>
  <si>
    <t>observe the current mkt structure 1st</t>
  </si>
  <si>
    <t xml:space="preserve">LUCK 100  </t>
  </si>
  <si>
    <t>948AM</t>
  </si>
  <si>
    <t>FRI</t>
  </si>
  <si>
    <t>RESISTANCE ZONE (60--)</t>
  </si>
  <si>
    <t>buy at -2</t>
  </si>
  <si>
    <t>EXIT ORDERED AT MKT OPEN | FILL 425AM</t>
  </si>
  <si>
    <t>D</t>
  </si>
  <si>
    <t>exit at cost | luck100</t>
  </si>
  <si>
    <t>range changed to -2 and 0</t>
  </si>
  <si>
    <t>use 1 lot for now</t>
  </si>
  <si>
    <t>if range changes get out at cost; if wait, then depending on luck more as time passes</t>
  </si>
  <si>
    <t>downtrend so try to get fills on the short side</t>
  </si>
  <si>
    <t>NEED TO WAIT AND WATCH; NO FAMILIAR MKT STRUCTURE</t>
  </si>
  <si>
    <t>2nd session mkt open</t>
  </si>
  <si>
    <t>buy dec 23 95.88  (coz 1 leg at dec23 stuck ; s @ 95.88)</t>
  </si>
  <si>
    <t>EXIT ORDERED AT MKT OPEN | FILL 425 AM</t>
  </si>
  <si>
    <t>got legged in the 2nd order (hedge order didnt hit - ?); avoid multiple entries for now</t>
  </si>
  <si>
    <t>got stuck at piq = 0 at sep23 95.88</t>
  </si>
  <si>
    <t>LUCK 100 (SAW THE OUTRIGHTS direction and took the right call/gamble)</t>
  </si>
  <si>
    <t>AVOID MULTIPLE ORDERS (for now); USE 1 LOT AT A TIME and at 1 strategy; ESPECIALLY USING OUTRIGHTS</t>
  </si>
  <si>
    <t>use GTC for the legged backup or exit at market; will be lucky if market in range</t>
  </si>
  <si>
    <t>stick to plan; 1 lot at a time; avoid herd mentality</t>
  </si>
  <si>
    <t>425AM</t>
  </si>
  <si>
    <t>MON</t>
  </si>
  <si>
    <t>S23 SPD CALENDAR</t>
  </si>
  <si>
    <t>CALENDAR ORDDER EXECUTED; fll alert delay as well</t>
  </si>
  <si>
    <t>HAVE TO WAIT FOR A BETTER MKT STRUCTURE</t>
  </si>
  <si>
    <t>J24 SPD</t>
  </si>
  <si>
    <t>R</t>
  </si>
  <si>
    <t>SUPPORT @ -1</t>
  </si>
  <si>
    <t>exit at cost; if range shifts by 2 ticks; + ALREADY S ORDER @ -1</t>
  </si>
  <si>
    <t>entry order after 1pm - exit ordered mkt open in nxt session</t>
  </si>
  <si>
    <t>11 oct | 538am</t>
  </si>
  <si>
    <t>Defensive position | taking pos at the rare, low hitting side of Scalping</t>
  </si>
  <si>
    <t>got legged in exit for 5 mins</t>
  </si>
  <si>
    <t>Observe mkts | TIMEOUT; (MOVE CAME AFTER NAB 5 P10 Out went down; luck100?); NXT DAY GBP GDP, US PPI; TODAY A LOT OF SPEECHES; Uncertain idea</t>
  </si>
  <si>
    <t>AVOID HERD MENTALITY/ OPINIONS</t>
  </si>
  <si>
    <t>TUE</t>
  </si>
  <si>
    <t>NAB Business Confidence (Sep) | (P10 A5)</t>
  </si>
  <si>
    <t>(OUTRIGHTS WENT DOWN 9BPS)</t>
  </si>
  <si>
    <t>for 2 star or 3 star if no forecasts are there check from previous but dont write it off; cancel all orders no matter what; ppl ate losses heavily and couldnt react</t>
  </si>
  <si>
    <t>be aware of speeches as well</t>
  </si>
  <si>
    <t>WED</t>
  </si>
  <si>
    <t>US PPI (P-0.2% F0.2% A0.4%) + ECB PRES. SPEECH @7pm (MOVEMENT HERE)</t>
  </si>
  <si>
    <t>spds moved up</t>
  </si>
  <si>
    <t>806am</t>
  </si>
  <si>
    <t>ACTUAL PRICE @ -1 (DEFENSIVE) BUT RANGE CHANGED AT 10MIN TIMEFRAME: -2 TO -4 SO TOOK IN DIRECTION OF CURVE TRADES</t>
  </si>
  <si>
    <t>exit at cost; if range shifts by 2 ticks; WILL HAVE 1 MORE ORDER IN CALENDAR DURING EVENT AT -1; &amp; TRY TO EXIT AT NEXT SESSION OPEN</t>
  </si>
  <si>
    <t>BY WEEKEND OR TUE; NO MAJOR EVENT TILL TUE AFTER FRI US CPI</t>
  </si>
  <si>
    <t>2 sessions</t>
  </si>
  <si>
    <t>14 oct 22 1016am</t>
  </si>
  <si>
    <t>LESS DEFENSIVE POSITION (in the direction of curve trading + range changed with little strength  -2 to -4; can hold till 6pm + backup ready at -1 or will hold order in calendar)</t>
  </si>
  <si>
    <t>BACKUP READY @ -1; EXIT BY WEEKEND (WILL HAVE 1 MORE ORDER IN CALENDAR DURING EVENT AT -1; &amp; TRY TO EXIT AT NEXT SESSION OPEN)</t>
  </si>
  <si>
    <t>Selling leg quote triggered; exit</t>
  </si>
  <si>
    <t xml:space="preserve">constanly lock screen or entry orders only + keep clearing order qty </t>
  </si>
  <si>
    <t>US CORE CPI MOM SEP (P0.6% F0.5% A0.6%)</t>
  </si>
  <si>
    <t>OUTRIGHTS WENT DOWN BY 10-13BP (EXCEPT 1ST); SPDS WENT DOWN 1BP; went down till 18 bp within 1 hour</t>
  </si>
  <si>
    <t>EXPECTING BELOW OR EQUAL, LONG OUTRIGHTS IN IRc3,c6, momentum based trading within an hour; household down, higher weightage, food up but lower weightage</t>
  </si>
  <si>
    <t>SPECULATION WOULD HAVE FAILED IN OUTRIGHTS (8-10BP LOSS)</t>
  </si>
  <si>
    <t>double check b4 puting order</t>
  </si>
  <si>
    <t>US CPI YOY (P8.3% F8.1% A8.2%)</t>
  </si>
  <si>
    <t>MAR23 -15 SEP23 -14BP (WITHIN 10MINS)</t>
  </si>
  <si>
    <t>845am</t>
  </si>
  <si>
    <t>1 DAY</t>
  </si>
  <si>
    <t>18 0ct 22 440am</t>
  </si>
  <si>
    <t>buying side quote triggered; entry (entry 2.5mins single legged)</t>
  </si>
  <si>
    <t>selling side triggered; exit (legged for 2.5mins)</t>
  </si>
  <si>
    <t>Observe mkts | TIMEOUT | w8 n watch</t>
  </si>
  <si>
    <t>315am</t>
  </si>
  <si>
    <t>NZD CPI QOQ (F1.6% A2.2%)</t>
  </si>
  <si>
    <t>OUTRIGHTS MOVED 3-5BP)</t>
  </si>
  <si>
    <t>1221pm</t>
  </si>
  <si>
    <t>M24 SPD</t>
  </si>
  <si>
    <t>RANGE OF -4 TO -6 (WEAKER SIDE) + direction of kink trades</t>
  </si>
  <si>
    <t>sell at -3 if uptrend happens and exit at -4</t>
  </si>
  <si>
    <t>1 day</t>
  </si>
  <si>
    <t>4.5 hrs</t>
  </si>
  <si>
    <t>458pm</t>
  </si>
  <si>
    <t>CALENDAR ORDER EXIT; SAME SESSION INACTIVELY</t>
  </si>
  <si>
    <t>market is dead after 12am for belly</t>
  </si>
  <si>
    <t>3.35pm</t>
  </si>
  <si>
    <t>0 or cost</t>
  </si>
  <si>
    <t>nxt session</t>
  </si>
  <si>
    <t>~ A DAY</t>
  </si>
  <si>
    <t>19 OCT 22 3.05AM</t>
  </si>
  <si>
    <t>selling side quote triggered; entry (entry 19mins single legged)</t>
  </si>
  <si>
    <t>ACE!</t>
  </si>
  <si>
    <t>443am</t>
  </si>
  <si>
    <t>BUY AT -2, EXIT AT -1</t>
  </si>
  <si>
    <t>19 OCT 426 AM</t>
  </si>
  <si>
    <t>GOT LEGGED AND VOLUME AGAINST</t>
  </si>
  <si>
    <t>DID NOT W8 FOR 2ND LEG . EXIT AT COST; AS GETTING LEGGED A LOT; RIGHT CALL AS HAD TO W8 A LOT AND MKTS WERE MOVING FAST</t>
  </si>
  <si>
    <t>USE CALENDARS FOR EXIT IN SD23 IF ORDER NOT IN MKT OPEN; CANT USE MORE LOTS</t>
  </si>
  <si>
    <t>313AM</t>
  </si>
  <si>
    <t>5hrs</t>
  </si>
  <si>
    <t>buying side quote triggered; entry (entry 10mins single legged)</t>
  </si>
  <si>
    <t>CANT FIND DEF. TRADES; TIMEOUT 2 d</t>
  </si>
  <si>
    <t>AUD Employment change (F25K A0.9K)</t>
  </si>
  <si>
    <t>OUTRIGHTS (12-15BP DOWN) FRONT SPD UP BY  4-8BP BELLY WENT DOWN BY 1-2 FORMING A REW RANGE</t>
  </si>
  <si>
    <t>AUD Unemployment rate (F3.5% A3.5%)</t>
  </si>
  <si>
    <t>415am</t>
  </si>
  <si>
    <t>DM22 SPD CALENDAR</t>
  </si>
  <si>
    <t>RESISTANCE ZONE (66-70)</t>
  </si>
  <si>
    <t>BP ABOVE 25BP (28.1BP in mkt open); PREVIOUSLY WHENEVER BP BREACHES THE STANDARD BP EXPECTED IT SETTLES LOWER THAN THAT BY MKT END</t>
  </si>
  <si>
    <t>MKT SETTLE OR NEXT SESSION (~60)</t>
  </si>
  <si>
    <t>SELL @ 70 (STOPLOSS TRADING WITH SL AT 74) AND SL 1 AT 72</t>
  </si>
  <si>
    <t>MKT SETTLE OR next to next SESSION settle (~60,61)</t>
  </si>
  <si>
    <t>1 hr</t>
  </si>
  <si>
    <t>BETTING AGAINST THE SENTIMENT OF HIGHER THAN 25 BP</t>
  </si>
  <si>
    <t xml:space="preserve">(26,25,0,25,25,25,25,20) =&gt; 72.5 | 17 OCT SETTLE (24.3,19.5,0,16,21.3,20.4,17.4) =&gt; 58 | 18 OCT SETTLE AFTER BULLOCK + MINUTES (26.5,21.1,-0.9,21.1,21,19.3,19.2) =&gt;61.3 | 18 OCT SETTLE (24.8,20.1,0,20.7,18.5,18.8,16.6) </t>
  </si>
  <si>
    <t>AS SHORT TERM TRADE + GOT 70 SO EARLY EXIT AT COST AS WANTED TO HOLD 1 LOT ONLY</t>
  </si>
  <si>
    <t>DID NOT RESPECT THE RESISTANCE ZONE</t>
  </si>
  <si>
    <t>DISCIPLINE -  FOLLOW ORDER MGMT RULE - 1 LOT MAX 2 LOTS AT DEFENSIVE POSITION OR ACCEPT DEFEAT</t>
  </si>
  <si>
    <t>DONT TRADE IN YBAC1-YBAC2 BASED ON PRICING; NEED A BIGGER ACC. OR/AND EXP. TO HANDLE THE HEAT</t>
  </si>
  <si>
    <t>63,64</t>
  </si>
  <si>
    <t>MKT SETTLE OR NEXT SESSION (~60,61) OR FRIDAY EXIT / previous resistance becomes support; zone (62-65) / FIBONACCI 10min SUPPORT zone near 66 / pricing based (62-64)</t>
  </si>
  <si>
    <t>SELL @ 73 (STOPLOSS TRADING WITH SL AT 75)</t>
  </si>
  <si>
    <t>MKT SETTLE OR next to next SESSION settle (~60,61) / previous resistance becomes support; zone (62-65)</t>
  </si>
  <si>
    <t>&gt; a day</t>
  </si>
  <si>
    <t>21 oct 844am</t>
  </si>
  <si>
    <t>L</t>
  </si>
  <si>
    <t xml:space="preserve">BETTING AGAINST THE SENTIMENT OF HIGHER THAN 25 BP | (26,25,0,25,25,25,25,20) =&gt; 72.5 BP | 17 OCT SETTLE (24.3,19.5,0,16,21.3,20.4,17.4) =&gt; 58 | 18 OCT SETTLE AFTER BULLOCK + MINUTES (26.5,21.1,-0.9,21.1,21,19.3,19.2) =&gt;61.3 | 18 OCT SETTLE (24.8,20.1,0,20.7,18.5,18.8,16.6) </t>
  </si>
  <si>
    <t>SL</t>
  </si>
  <si>
    <t>CONSIDER FRA VALUES OF THAT DAY (WHICHEVER YOU RE USING FOR BP COMPARISON); TRACK FRA</t>
  </si>
  <si>
    <t>TA - after a low volatility box is made (NEAR 60,61) a big move is expected; direction not known;</t>
  </si>
  <si>
    <t>in this case there was no downfall or bearish confirmation once the trending candle was over =&gt; still traders did not sell to book profit; more move is left; (dm23 went till 77 b4 session close)</t>
  </si>
  <si>
    <t>SnR zone was breached and did not respect it. This Resistance can become a new support ZONE (around 70)</t>
  </si>
  <si>
    <t>AOTC can cancel your target; so keep in mind if target not defined or thinking of pulling out later</t>
  </si>
  <si>
    <t>till MKT SETTLE (~60,61) OR FRIDAY EXIT / previous resistance becomes support; zone (62-65) / FIBONACCI 10min SUPPORT zone near 66 / pricing based (62-64) | CONSIDERING FRA + VWAP 67 CLOSE</t>
  </si>
  <si>
    <t>8hrs</t>
  </si>
  <si>
    <t>20 OCT 22 1.30PM</t>
  </si>
  <si>
    <t>want to hold one lot after today's settle or tomorrow's mkt structure | very fast decision wrt market; less planned trade | EVENTS AHEAD +TECHNICAL AGAINST + cant afford SL($) now; later or find +ve expectancy edge</t>
  </si>
  <si>
    <t>TIMEOUT | OBSERVE MKTS | DONT TRADE UNTIL YOU SEE SOMETHING STRONG</t>
  </si>
  <si>
    <t>NO CLEAR READ ON MARKETS (D22 SPD)</t>
  </si>
  <si>
    <t>Nobody cares about pricing (until RBA makes the decision)</t>
  </si>
  <si>
    <t>TOO EARLY ENTRY, CAME DOWN TILL 68 ON MONDAY 2ND SESSION START (???)</t>
  </si>
  <si>
    <t>SELF FULFILLING PROPHECY</t>
  </si>
  <si>
    <t>taking losses also a part of strat; minimize it either by good entry or some time duration of a trade, but cant avoid it</t>
  </si>
  <si>
    <t>PRICING - NEED MORE TIME AND EXPERIENCE</t>
  </si>
  <si>
    <t xml:space="preserve">lot size in a trade for now 1 if its not an edge; </t>
  </si>
  <si>
    <t>TIMEOUT - observe mkt; selective; 2 lots where edge and defensive</t>
  </si>
  <si>
    <t>Avoid risky bets till $360 ($180 in reserve)</t>
  </si>
  <si>
    <t>ONLY CURVE TRADING</t>
  </si>
  <si>
    <t>952am</t>
  </si>
  <si>
    <t>US 10Y BOND YIELD ABOVE 08 LEVEL; EXITING POSITIONS/selloff</t>
  </si>
  <si>
    <t xml:space="preserve">OUTRIGHTS MOVED LOW HIGH VOLATILITY DOWN </t>
  </si>
  <si>
    <t>M23 FLY CALENDAR</t>
  </si>
  <si>
    <t>F</t>
  </si>
  <si>
    <t>RESISTANCE ZONE (6~-01)</t>
  </si>
  <si>
    <t>Anomaly | DEC22 FLY 32 M23 FLY 29 (TOO HIGH + DELTA ANOMALY spd fly)</t>
  </si>
  <si>
    <t>~21 or LESS</t>
  </si>
  <si>
    <t>DELTAS ANTICIPATION</t>
  </si>
  <si>
    <t>1-2 WEEKS</t>
  </si>
  <si>
    <t>DATA driven moves ahead</t>
  </si>
  <si>
    <t>4 T DAYS</t>
  </si>
  <si>
    <t>26 oct 22 8.31pm</t>
  </si>
  <si>
    <t>DOUBLE FILLED; QH=1 (HIT IT WHILE SELLING; DONT BE IN QUEUE; MIGHT BE ISSUE EXITING) | BUYING SIDE TRIGGERED FIRST (BUYING AT 28)</t>
  </si>
  <si>
    <t>exit 1 lot at cost</t>
  </si>
  <si>
    <t>exit 1 lot at 25 (got double filled while exiting) | datas nxt day + momentum weakening | LUCK100 | MOMENTUM WAS GETTING WEAKER NEAR 24</t>
  </si>
  <si>
    <t>if multiple lots available, let 1 lot run with trailing sl</t>
  </si>
  <si>
    <t>BUY AND HODL; IF MORE LOTS RIDE 1 LOT WITH TRAILING SL AT 1 TICK P</t>
  </si>
  <si>
    <t>8.37am</t>
  </si>
  <si>
    <t>M24 SPD CALENDAR</t>
  </si>
  <si>
    <t>TUE 542pm</t>
  </si>
  <si>
    <t>RISKY (OPPOSITE DIRECTION OF KINK)</t>
  </si>
  <si>
    <t>KINK SHIFTING TOWARDS BACK (DEC23 -&gt; MAR24)</t>
  </si>
  <si>
    <t>TOO LONG; EXIT FROM OUTRIGHTS</t>
  </si>
  <si>
    <t>1052AM</t>
  </si>
  <si>
    <t>930pm</t>
  </si>
  <si>
    <t>KINK SHIFTING TOWARDS BACK (DEC23 -&gt; MAR24, JUN24)</t>
  </si>
  <si>
    <t>1248pm</t>
  </si>
  <si>
    <t>J24 SPD CALENDAR</t>
  </si>
  <si>
    <t>RESISTANCE ZONE (6---4)</t>
  </si>
  <si>
    <t>8.10pm</t>
  </si>
  <si>
    <t>KINK PLATEAU AT -7 (M24, J24)</t>
  </si>
  <si>
    <t>MON | TUE</t>
  </si>
  <si>
    <t>SUPPORT @ -</t>
  </si>
  <si>
    <t>EXIT BOTH FROM CALENDAR (ASE WAS LATE THIS TIME)</t>
  </si>
  <si>
    <t>mkt close 1st session hit (11am)</t>
  </si>
  <si>
    <t>exit at cost</t>
  </si>
  <si>
    <t>10hrs</t>
  </si>
  <si>
    <t>915pm</t>
  </si>
  <si>
    <t>timeout</t>
  </si>
  <si>
    <t>1.03pm</t>
  </si>
  <si>
    <t>9HRS</t>
  </si>
  <si>
    <t>1020PM</t>
  </si>
  <si>
    <t>CPI YOY (P6.1% F7% A7.3%)</t>
  </si>
  <si>
    <t>DEC22 SPD,FLY WENT UP; REST REMAINED SAME; (HIT AT MARKET WHEN HEDGING B4 EVENT)</t>
  </si>
  <si>
    <t>DM23 FLY WANTED TO GO LONG AT 25 , 24 ; DID NOT GET THE PRICE ; NEXT TIME HIT AT MKT PRICE IF HEDGING SENSE IS STRONG</t>
  </si>
  <si>
    <t xml:space="preserve">COULD HAVE GOT 8-9 TICKS </t>
  </si>
  <si>
    <t>EVENT ME PIQ NAHI DEKHTE; HIT ON MARKET</t>
  </si>
  <si>
    <t>EITHER MAR 23 FLY SHOULD GO DOWN OR ELSE DEC22 FLY SHOULD GO UP; RIGHT READ; SO MAR23 FLY SHORT AND DEC22 FLY LONG (EQUAL LOTS)</t>
  </si>
  <si>
    <t>COULD NOT LONG DEC22 FLY; VOLUME CAME AND PRICE ROSE BEFORE ENTRY; + 7 IN DEC22 FLY AND -3 IN MAR23 FLY (EQUAL LOTS)</t>
  </si>
  <si>
    <t>FOR LIMITED LOTS USE CONSERVATIVELY; EVEN IF DOUBLE FILLED, EXIT AT COST</t>
  </si>
  <si>
    <t>CPI QOQ Q3 (P1.8% F1.6% A1.8%)</t>
  </si>
  <si>
    <t>Trade anomalies (if any) with lower downside &amp; hit the hedges on event day (the other side of the anomaly)</t>
  </si>
  <si>
    <t>if neutral; bulls or bears will try to come right at the last minute to give a confirmation</t>
  </si>
  <si>
    <t>DOUBLE FILLED LOT EXIT AT COST (CALENDAR)</t>
  </si>
  <si>
    <t>422AM</t>
  </si>
  <si>
    <t>We now expect the Reserve Bank Board to raise the cash rate by 50 basis points in November for a terminal rate of 3.85% by March, revised up from 3.6%. WESTPAC (Odd timings for westpac) | unexpected event</t>
  </si>
  <si>
    <t xml:space="preserve">SPD | FLY MOVED 2-3 TICKS  </t>
  </si>
  <si>
    <t>AVOID TRADING IF YOU DONT UNDERSTAND MKT STRUCTURE OR HAVE A GOOD READ ON MARKETS;; WAIT AND WATCH</t>
  </si>
  <si>
    <t>545pm</t>
  </si>
  <si>
    <t>ECB HIKES 75 BP (2%)</t>
  </si>
  <si>
    <t>US GDP (P-0.6% F 2.4% A2.6%)</t>
  </si>
  <si>
    <t>(BY CLOSE D22 SPD WENT DOWN 3BP, M23 J23 SPD DOWN, TAIL END SPDS DOWN BY 1 BP | Outrights went up by ~10bp)</t>
  </si>
  <si>
    <t>AUD PPI YOY (P5.6% A6.4%) | PPI QOQ (P1.4% A1.6%)</t>
  </si>
  <si>
    <t>625AM</t>
  </si>
  <si>
    <t>SUPPORT @ -9,-10; IF REBOUND MOMENTUM DOES NOT COME, EXIT AT 1 TICK OR COST</t>
  </si>
  <si>
    <t>IF RANGE CHANGES THEN -8 | EXIT B4 RBA HIKE</t>
  </si>
  <si>
    <t>COST OR IF RANGE CHANGES THEN -8 | buy at -10</t>
  </si>
  <si>
    <t>~ 1 day</t>
  </si>
  <si>
    <t>31 oct 22 614am</t>
  </si>
  <si>
    <t>SINGLE LEGGED 4 MINS</t>
  </si>
  <si>
    <t>SINCE CALENDAR ALSO EXECUTED; NEED TO EXIT ASAP (at least 1 LOT) | RANGE CHANGED -8,-10 EXIT @ -8</t>
  </si>
  <si>
    <t>exit via calendar; nxt day hike</t>
  </si>
  <si>
    <t>WENT UP TO -6 B4 RBA HIKE</t>
  </si>
  <si>
    <t xml:space="preserve">LOOKED THE CHART BUT DID NOT CHECK THE EXCEL; LAZY </t>
  </si>
  <si>
    <t>630AM</t>
  </si>
  <si>
    <t>COST</t>
  </si>
  <si>
    <t>8.5 hrs</t>
  </si>
  <si>
    <t>2.50pm</t>
  </si>
  <si>
    <t>exit from calendar</t>
  </si>
  <si>
    <t>used TT RETRY for the hitting orders as well; make sure to use tt retry 5mins b4 and CHANGE ORDER TYPE (CLICK!) TO LIMIT THEN HIT AT MKT OPEN</t>
  </si>
  <si>
    <t>640AM</t>
  </si>
  <si>
    <t>~ 1 DAY</t>
  </si>
  <si>
    <t>31 oct 22 3.45am</t>
  </si>
  <si>
    <t>WAKE UP; not a defensive trade</t>
  </si>
  <si>
    <t>WENT UP TO -5 B4 RBA HIKE</t>
  </si>
  <si>
    <t>removed the outright exit order early in the 2nd session as ther ewere gaps (slow volatile illiquid mkt) chances of staying legged is high | try again when mkt finds a range or some liquidity | keep the calendar order active or exit at cost (while still a chance)</t>
  </si>
  <si>
    <t>AUD RETAIL SALES MOM (SEP) (P0.6% F0.6% A0.6%)</t>
  </si>
  <si>
    <t>NO MOVE</t>
  </si>
  <si>
    <t>330pm</t>
  </si>
  <si>
    <t>EUR CPI YOU (OCT) | (P9.9% F10.2% A10.75)</t>
  </si>
  <si>
    <t>NO MAJOR MOVE</t>
  </si>
  <si>
    <t>IF LOWER THAN EXPECTED IS BEARISH FOR AUD THEN OUTRIGHTS SHOULD FALL &amp; vice versa</t>
  </si>
  <si>
    <t>HOLD FLIES FOR &gt;=1 DAY (WEEK) | SPDS MAX 2 DAYS; VIEWS ARE CORRECT (for now, but for short durations)</t>
  </si>
  <si>
    <t>November 22 live</t>
  </si>
  <si>
    <t>NOV.22</t>
  </si>
  <si>
    <t>RBA HIKES 25BP (2.85%)</t>
  </si>
  <si>
    <t>OUTRIGHTS -15BP TO -3,+3BPS, D22 SPD WENT UP TILL 65 ! THEN CAME DOWN 56BP, medium volatility in spds</t>
  </si>
  <si>
    <t>4.45.01pm</t>
  </si>
  <si>
    <t>COST IF RANGE CHANGES</t>
  </si>
  <si>
    <t>~12 HRS</t>
  </si>
  <si>
    <t>2 nov 22 452am</t>
  </si>
  <si>
    <t>EXIT ASAP (did not)</t>
  </si>
  <si>
    <t>4.45.30pm</t>
  </si>
  <si>
    <t xml:space="preserve">S23 SPD  </t>
  </si>
  <si>
    <t>CALENDAR IS GETTING TRIGGERED FIRST</t>
  </si>
  <si>
    <t>buying side triggered first</t>
  </si>
  <si>
    <t>EXIT 4 LOTS IN CALENDAR TOGETHER | ACE!</t>
  </si>
  <si>
    <t>5.57PM</t>
  </si>
  <si>
    <t>Support @ 0,-1</t>
  </si>
  <si>
    <t>STRONG RESISTANCE AT 3</t>
  </si>
  <si>
    <t>EXIT - PIQ important</t>
  </si>
  <si>
    <t>9.41pm</t>
  </si>
  <si>
    <t>D23 SPD CALENDAR</t>
  </si>
  <si>
    <t>Resistance @2,-1</t>
  </si>
  <si>
    <t>cost</t>
  </si>
  <si>
    <t xml:space="preserve">EXIT 1 AT COST </t>
  </si>
  <si>
    <t>range changed to -4.-2; exit at cost</t>
  </si>
  <si>
    <t>wait and watch tails</t>
  </si>
  <si>
    <t>FED HIKES 75BP</t>
  </si>
  <si>
    <t>428AM</t>
  </si>
  <si>
    <t>S23 CALENDAR</t>
  </si>
  <si>
    <t xml:space="preserve">COST </t>
  </si>
  <si>
    <t>1.30hrs</t>
  </si>
  <si>
    <t>603am</t>
  </si>
  <si>
    <t>ISM, NFP SOMP - unexpected illiquid volatility anticipated, avoid outright execution</t>
  </si>
  <si>
    <t>1050am</t>
  </si>
  <si>
    <t>COST (via outrights)</t>
  </si>
  <si>
    <t>3 HRS</t>
  </si>
  <si>
    <t>232PM</t>
  </si>
  <si>
    <t>635am</t>
  </si>
  <si>
    <t>Resistance @-4 x 2 (kink plateau 1,-1</t>
  </si>
  <si>
    <t>-4 x 2 (kink plateau region anticipation)</t>
  </si>
  <si>
    <t>1.20pm</t>
  </si>
  <si>
    <t>weak position</t>
  </si>
  <si>
    <t>wait and watch</t>
  </si>
  <si>
    <t>314PM</t>
  </si>
  <si>
    <t>buying side triggered</t>
  </si>
  <si>
    <t>945PM</t>
  </si>
  <si>
    <t xml:space="preserve">S23 SPD </t>
  </si>
  <si>
    <t>Scalping (LEGGED IR DEC23)</t>
  </si>
  <si>
    <t>30MINS</t>
  </si>
  <si>
    <t>M</t>
  </si>
  <si>
    <t>LEGGED</t>
  </si>
  <si>
    <t>absence of chart pattern</t>
  </si>
  <si>
    <t>late order input</t>
  </si>
  <si>
    <t>RANGE PLAY MIGHT BE A BETTER OPTION</t>
  </si>
  <si>
    <t>THE chart pattern is imp.</t>
  </si>
  <si>
    <t>451am</t>
  </si>
  <si>
    <t>9 nov 745am</t>
  </si>
  <si>
    <t>exit b4 us cpi</t>
  </si>
  <si>
    <t>540am</t>
  </si>
  <si>
    <t>Resistance @ -2,-1</t>
  </si>
  <si>
    <t>-0.04/-0.05</t>
  </si>
  <si>
    <t>-2,-1 SUPPORT; INCREASE POSITION</t>
  </si>
  <si>
    <t>early exit b4 us cpi</t>
  </si>
  <si>
    <t>nxt morning session reached tgt</t>
  </si>
  <si>
    <t>selling in belly spds</t>
  </si>
  <si>
    <t>116pm</t>
  </si>
  <si>
    <t>Support zone @ -8,-10</t>
  </si>
  <si>
    <t>~8hrs</t>
  </si>
  <si>
    <t>luck 100</t>
  </si>
  <si>
    <t>hold till 1 session before event</t>
  </si>
  <si>
    <t>305pm</t>
  </si>
  <si>
    <t xml:space="preserve">selling pressure at 3,2 </t>
  </si>
  <si>
    <t>0,-1</t>
  </si>
  <si>
    <t>1 (if no move b4 us cpi)</t>
  </si>
  <si>
    <t>~20hrs</t>
  </si>
  <si>
    <t>9 nov 1042am</t>
  </si>
  <si>
    <t>can give a (temp.) b/o during event</t>
  </si>
  <si>
    <t>423am</t>
  </si>
  <si>
    <t>S23 FLY outright</t>
  </si>
  <si>
    <t>KINK TRADING (shouldn't be negative) | kink @ M24, J24 spds</t>
  </si>
  <si>
    <t>sufficient hedge orders present + downside low</t>
  </si>
  <si>
    <t>high exposure</t>
  </si>
  <si>
    <t>buildup till 1 (anticipation near 23rd nov) till after meeting</t>
  </si>
  <si>
    <t>1 week</t>
  </si>
  <si>
    <t>exit @ 5 with 1 payup outrights</t>
  </si>
  <si>
    <t>payup 1 at 2 | filled at 3; exit 1 at 5 or 6</t>
  </si>
  <si>
    <t>exit 2 flies at 5 (if possible); rest hodl</t>
  </si>
  <si>
    <t>Remember - 1 at a time from outright &amp; take proactively (preferably with 1 payup on either legs) | timing can be improved if sufficient orders are present in hedging side</t>
  </si>
  <si>
    <t>avoid outrights in s23, d23, m24</t>
  </si>
  <si>
    <t>1.39PM</t>
  </si>
  <si>
    <t>M23 SPD CALENDAR</t>
  </si>
  <si>
    <t>Support zone (25-23) | previous resistence | touched once before</t>
  </si>
  <si>
    <t>GOOD RISK REWARD IF HAWKISH DATA</t>
  </si>
  <si>
    <t>Support zone | LTQ&gt;=100</t>
  </si>
  <si>
    <t>&gt;=29</t>
  </si>
  <si>
    <t>retracement anticipation till 29 (previous area of interest)</t>
  </si>
  <si>
    <t>1 session (cpi)</t>
  </si>
  <si>
    <t>715pm</t>
  </si>
  <si>
    <t>SL WITH ASK &lt;=150 &amp; PAYUP 1 triggered</t>
  </si>
  <si>
    <t>CONSIDER PAYUP SITUATION FOR SL FOR MAX LOSS</t>
  </si>
  <si>
    <t>USE SIMPLE SL! WITH NO PAYUP IN SPDS or put at 1 worse price for sl</t>
  </si>
  <si>
    <t>403pm</t>
  </si>
  <si>
    <t>KINK TRADING (Payup 1 @ 2) 1 tick bad price</t>
  </si>
  <si>
    <t>1 WEEK</t>
  </si>
  <si>
    <t>~1 week</t>
  </si>
  <si>
    <t>17 nov 22 1024am</t>
  </si>
  <si>
    <t>nxt buy at 1; if exit not possible</t>
  </si>
  <si>
    <t>GG!</t>
  </si>
  <si>
    <t>CHECK RULES B4 USING ASE, ALWAYS (MIGHT HAVE CHANGED AS PER MKTS)</t>
  </si>
  <si>
    <t>US CPI (MOM) OCT (P0.4% F0.6% A0.4%)</t>
  </si>
  <si>
    <t>outrights 10-20 bp up, front spds down by 8, 6, 3 bp | belly back up by 1,2 bp</t>
  </si>
  <si>
    <t>US CPI (YOY) OCT (P8.2% F8% A7.7%)</t>
  </si>
  <si>
    <t>US CORE CPI (MOM) OCT (P0.6% F0.5% A0.3%)</t>
  </si>
  <si>
    <t>S23 FLY CALENDAR manually</t>
  </si>
  <si>
    <t>failed attempt at fly KINK TRADING (shouldn't be negative) | kink @ M24, D23 spds |</t>
  </si>
  <si>
    <t>(manually for 2) got at 3 (limit issue)</t>
  </si>
  <si>
    <t>7,8,9</t>
  </si>
  <si>
    <t>1 week +</t>
  </si>
  <si>
    <t>21 nov 22 1156pm</t>
  </si>
  <si>
    <t>HOLD LONGER</t>
  </si>
  <si>
    <t>WENT TILL 9 on 23 nov</t>
  </si>
  <si>
    <t>MKT open</t>
  </si>
  <si>
    <t>Support zone breaks (trying trend)</t>
  </si>
  <si>
    <t>wrong call (early exit)</t>
  </si>
  <si>
    <t>Liquidity gap to boom (from 20)</t>
  </si>
  <si>
    <t>D22 M23 trades only in SIM</t>
  </si>
  <si>
    <t>W8 for confirmation in the DAILY timeframe</t>
  </si>
  <si>
    <t>20 buy was a better call (since 22-20 was buying zone) | previous resistancetested once and broken nxt time</t>
  </si>
  <si>
    <t>THINK OF BUYING AT THE LOWER LEVEL OF A SUPPORT ZONE (TO GET THE BEST RRR) | IF YOU DONT GET DONT TAKE THAT TRADE | FOR RESISTANCE ZONE TAKE THE UPPER LEVEL FOR SHORTING POSITION</t>
  </si>
  <si>
    <t>CAN USE ASE TO GET THE BETTER LEVEL PRICE</t>
  </si>
  <si>
    <t>456am</t>
  </si>
  <si>
    <t xml:space="preserve">  </t>
  </si>
  <si>
    <t>22 nov 718am</t>
  </si>
  <si>
    <t>Nxt buy @ 0 | not 1</t>
  </si>
  <si>
    <t>DE-FLY would have given profits quicker (with D23 FLY SELL @ 4 or 3) went till 0</t>
  </si>
  <si>
    <t>nxt time Capture atleast 1 De-fly (for anomaly)</t>
  </si>
  <si>
    <t>HOLD LONGER =&gt; RESPECT THE TARGET (at least w 1 lot) | HODL longer</t>
  </si>
  <si>
    <t>445 AM</t>
  </si>
  <si>
    <t>RESISTANCE ZONE (6--01)</t>
  </si>
  <si>
    <t>EXIT @ COST (BAD RRR as per current mkt state)</t>
  </si>
  <si>
    <t>~2 days</t>
  </si>
  <si>
    <t>14 nov 22 10.45pm</t>
  </si>
  <si>
    <t>~5am</t>
  </si>
  <si>
    <t>Scalping + kink trading (shouldnt go positive)</t>
  </si>
  <si>
    <t>~3days</t>
  </si>
  <si>
    <t>5.30am</t>
  </si>
  <si>
    <t>14 nov 22 10.45pm, 15 nov 4.52pm</t>
  </si>
  <si>
    <t>exit @ -4,-6</t>
  </si>
  <si>
    <t>605am</t>
  </si>
  <si>
    <t>kink trading (shouldnt go positive)</t>
  </si>
  <si>
    <t>15 nov 5.20pm</t>
  </si>
  <si>
    <t>changed tgt by 1 tick aftr mins</t>
  </si>
  <si>
    <t>mad</t>
  </si>
  <si>
    <t>came back to same levels b4 US CPI aftr RBA mins.</t>
  </si>
  <si>
    <t>kind of mean reversion</t>
  </si>
  <si>
    <t>630am</t>
  </si>
  <si>
    <t>failed attempt at fly (increase lot limits)</t>
  </si>
  <si>
    <t>exit @ cost (as failed attempt at fly)</t>
  </si>
  <si>
    <t>15 nov 22 1010am</t>
  </si>
  <si>
    <t xml:space="preserve">exit @ cost/1 tick (as failed attempt at fly) + lot of exposure in fly contracts </t>
  </si>
  <si>
    <t>2.23pm</t>
  </si>
  <si>
    <t>M23 FLY outright</t>
  </si>
  <si>
    <t>RESISTANCE ZONE (61-11)</t>
  </si>
  <si>
    <t>CURVE ANOMALY (DE-FLY M23 14 B J23 12 S . FLY)</t>
  </si>
  <si>
    <t>0.14 (WITH PAYUP 1 x1)</t>
  </si>
  <si>
    <t>18 w 1 payup</t>
  </si>
  <si>
    <t>momentum getting weaker (greed)</t>
  </si>
  <si>
    <t>2 weeks</t>
  </si>
  <si>
    <t>b4 rba meet</t>
  </si>
  <si>
    <t>16 nov 340pm</t>
  </si>
  <si>
    <t>failed execution (M23 DEFLY @ 3,2,1)</t>
  </si>
  <si>
    <t>USE ASE OF CALENDARS (121)</t>
  </si>
  <si>
    <t>got double filled (use 1 leg for quoting)</t>
  </si>
  <si>
    <t>3.49am</t>
  </si>
  <si>
    <t xml:space="preserve">M23 DE-FLY MANUALLY </t>
  </si>
  <si>
    <t>RESISTANCE ZONE (6&gt;--4)</t>
  </si>
  <si>
    <t>CURVE ANOMALY</t>
  </si>
  <si>
    <t>&gt;=6 | 3</t>
  </si>
  <si>
    <t>US CPI levels</t>
  </si>
  <si>
    <t>exit asap at &gt;=3</t>
  </si>
  <si>
    <t>CAN SELL &gt;=5</t>
  </si>
  <si>
    <t>EXIT @ COST</t>
  </si>
  <si>
    <t>nxt time try at 0 manually; worse case @ 1 or 2 | try getting the difficult price first</t>
  </si>
  <si>
    <t>De-Fly sucks; Always try to take @ the best price | never in the mkt</t>
  </si>
  <si>
    <t xml:space="preserve"> </t>
  </si>
  <si>
    <t>Manually worked (failed execution (M23 DEFLY @ 3,2,1))</t>
  </si>
  <si>
    <t>J23 FLY CALENDAR</t>
  </si>
  <si>
    <t>M23 DE-FLY</t>
  </si>
  <si>
    <t>-2 | ?</t>
  </si>
  <si>
    <t>&gt;=6 &amp; try @ 8 (since high level at US CPI @ 10) so 2 ticks below | 3</t>
  </si>
  <si>
    <t>US CPI levels back</t>
  </si>
  <si>
    <t>2 WEEKS</t>
  </si>
  <si>
    <t>3 week +</t>
  </si>
  <si>
    <t xml:space="preserve">6 dec 22 2 sessions | near 2nd session end </t>
  </si>
  <si>
    <t>ASE OF CALENDAR FOR FLY (121); SMOOTH EXECUTION | js23 S 13 triggered</t>
  </si>
  <si>
    <t>LOOK AT INDIVIDUAL SPDS</t>
  </si>
  <si>
    <t>HOLD LONGER | timeout | HODL TRADE</t>
  </si>
  <si>
    <t>Never hold DEFLY longer than a week; exit at cost if necessary</t>
  </si>
  <si>
    <t>cant use SL, have to exit @ hit or manually</t>
  </si>
  <si>
    <t xml:space="preserve">Avoid Defly/Fly trades; outrights are better as they have SL with payup; hel 8 ticks anti </t>
  </si>
  <si>
    <t>better to exit in a range mkt at the extreme prices</t>
  </si>
  <si>
    <t>use ase to check the best price possible at the current mkt</t>
  </si>
  <si>
    <t>CLUTCH!</t>
  </si>
  <si>
    <t>US PPI MOM (OCT) | (p0.2% f0.3% a0%)</t>
  </si>
  <si>
    <t>outrights went up ~7bp (medium volatility) front spds went down by 2 bps</t>
  </si>
  <si>
    <t>WPI QOQ (P0.8% F0.9% A1%)</t>
  </si>
  <si>
    <t>outrights went up  | front spd went down by 3, 2,4,5,7 spds up by 1bp | low to medium volatility | leading indicator of CPI</t>
  </si>
  <si>
    <t>738am</t>
  </si>
  <si>
    <t>S24 SPD CALENDAR</t>
  </si>
  <si>
    <t>RESISTANCE ZONE (6---6)</t>
  </si>
  <si>
    <t>Scalping (TRY IN FAR CURVE)</t>
  </si>
  <si>
    <t>17 nov 22 710pm</t>
  </si>
  <si>
    <t>340pm</t>
  </si>
  <si>
    <t>3.58pm</t>
  </si>
  <si>
    <t>DOUBLE FILLED | EXITING @ COST</t>
  </si>
  <si>
    <t>USE 1 LEG AS ACTIVE QUOTING (IF USING CALENDAR ASE; PREFERABLY 2ND LEG OR MANUALLY CANCEL THE LEG WHERE CHANCES ARE SLIM)</t>
  </si>
  <si>
    <t xml:space="preserve">TIMEOUT </t>
  </si>
  <si>
    <t>USE 1 LEG AS ACTIVE QUOTING (IF USING CALENDAR ASE; PREFERABLY 2ND LEG)</t>
  </si>
  <si>
    <t>US Retail Sales MOM OCT (P0% F1% A1.3%)</t>
  </si>
  <si>
    <t>no major move is spds flies</t>
  </si>
  <si>
    <t>Unemp rate (p3.5% f3.6% a3.4%)</t>
  </si>
  <si>
    <t>237pm</t>
  </si>
  <si>
    <t>RESISTANCE ZONE (6---7)</t>
  </si>
  <si>
    <t>710pm</t>
  </si>
  <si>
    <t>943pm</t>
  </si>
  <si>
    <t>Support @ -9,-10</t>
  </si>
  <si>
    <t>max till tue</t>
  </si>
  <si>
    <t>LOWE SPEAKS</t>
  </si>
  <si>
    <t>4 days</t>
  </si>
  <si>
    <t>22 nov 730am</t>
  </si>
  <si>
    <t>520am</t>
  </si>
  <si>
    <t>J23 SPD</t>
  </si>
  <si>
    <t>de fly manual attempt @ -1</t>
  </si>
  <si>
    <t xml:space="preserve">make defly @ 0,1 B / J23  fly @ 13 S </t>
  </si>
  <si>
    <t>18 nov 2nd session end</t>
  </si>
  <si>
    <t>failed execution; early exit</t>
  </si>
  <si>
    <t>get the best price of an individual contract first;  if early exit is required it will be easy</t>
  </si>
  <si>
    <t>TIMEOUT | ?</t>
  </si>
  <si>
    <t>2, 3 LOTS; Defensive stats | .</t>
  </si>
  <si>
    <t>Comeback when the states change | .</t>
  </si>
  <si>
    <t>RBNZ HIKES BY 75BP  (P3.5% F4.25% A4.25% )</t>
  </si>
  <si>
    <t>DM22 44 OPEN TO 41| REST ALL ALMOST SAME | BY MKT CLOSE DM 22 WAS AT 49 | (Maybe preparing for US initial jobless or just as usual cutting SLs</t>
  </si>
  <si>
    <t>735am</t>
  </si>
  <si>
    <t>RESISTANCE ZONE (6---3)</t>
  </si>
  <si>
    <t>2d</t>
  </si>
  <si>
    <t>time</t>
  </si>
  <si>
    <t>858am</t>
  </si>
  <si>
    <t>Value area @ -5</t>
  </si>
  <si>
    <t>area of interest</t>
  </si>
  <si>
    <t>2 days</t>
  </si>
  <si>
    <t>25 nov 22 110pm</t>
  </si>
  <si>
    <t>Fri exit plan</t>
  </si>
  <si>
    <t>1010AM</t>
  </si>
  <si>
    <t>FRI LOWE speaks + near meeting</t>
  </si>
  <si>
    <t>5 d</t>
  </si>
  <si>
    <t>30 nov 905am</t>
  </si>
  <si>
    <t>1142 am</t>
  </si>
  <si>
    <t>22 hrs</t>
  </si>
  <si>
    <t>24 nov 938am</t>
  </si>
  <si>
    <t>fun</t>
  </si>
  <si>
    <t>1232pm</t>
  </si>
  <si>
    <t>445AM</t>
  </si>
  <si>
    <t>SnR (55-57)</t>
  </si>
  <si>
    <t>pS-&gt;R (55-57)</t>
  </si>
  <si>
    <t>3 ticks worse case</t>
  </si>
  <si>
    <t>Vwap (3m) + 3 ticks</t>
  </si>
  <si>
    <t>740AM</t>
  </si>
  <si>
    <t>ride till trailing SL was 52 (w/o payup) and tgt was 51 | converted to GTC OCO 2 | never cancel the order aftr OCO2 is active</t>
  </si>
  <si>
    <t>Luck 100 | TIMEOUT</t>
  </si>
  <si>
    <t xml:space="preserve">Based on obs, it was driven only by FRA OIS </t>
  </si>
  <si>
    <t>Remember to check payup condition b4 SL order</t>
  </si>
  <si>
    <t>Near expiry, rollover and fra are more effective than events; respect that</t>
  </si>
  <si>
    <t>OCO 2 works (use the trailing SL w/o Payup)</t>
  </si>
  <si>
    <t>604AM, 940am</t>
  </si>
  <si>
    <t>-0.08x2</t>
  </si>
  <si>
    <t>cost / 1 tick loss</t>
  </si>
  <si>
    <t xml:space="preserve">1 lot was planned; dont get influenced </t>
  </si>
  <si>
    <t>Retail Sales (P0.6% F0.5% A-0.2%)</t>
  </si>
  <si>
    <t>later on outrights went up by 5-7bp</t>
  </si>
  <si>
    <t>936AM</t>
  </si>
  <si>
    <t>Support -9,-10</t>
  </si>
  <si>
    <t>1 d</t>
  </si>
  <si>
    <t>29 nov ~10am</t>
  </si>
  <si>
    <t>Obscure view @ back</t>
  </si>
  <si>
    <t>1140am</t>
  </si>
  <si>
    <t>30 nov 22 330pm</t>
  </si>
  <si>
    <t>450PM</t>
  </si>
  <si>
    <t>M23 DE FLY</t>
  </si>
  <si>
    <t>RESISTANCE ZONE (6&gt;--8)</t>
  </si>
  <si>
    <t>BP distribution</t>
  </si>
  <si>
    <t>CURVE ANOMALY + Rollover</t>
  </si>
  <si>
    <t>&gt;=4</t>
  </si>
  <si>
    <t>aftr rba meet - dec expiry</t>
  </si>
  <si>
    <t>ROLL SEASONALITY</t>
  </si>
  <si>
    <t>3w+</t>
  </si>
  <si>
    <t>6 dec 22 (mostly near 2nd session end), 7 dec 22  (mostly near 2nd session end), thu 8 dec 22 1019am</t>
  </si>
  <si>
    <t>went to -2 @ hit as well (manually @-3,-4); nxt time wait for a better price in anomaly  when in non event; went till -6 @ hit</t>
  </si>
  <si>
    <t>taking 2 lots at this price was also a mistake</t>
  </si>
  <si>
    <t>exit 1 at 5</t>
  </si>
  <si>
    <t>emotions can affect these strats where duration is long; so avoid larger lots or reserve some lots for a better price, especially near the event of the duration/(s) | 1 lot should be available for a better opportunity always; opportunity cost</t>
  </si>
  <si>
    <t>followed the plan; (duration is still sensible if its a fly or better de-fly)</t>
  </si>
  <si>
    <t>if anomaly is found; have at least 1 lot for a better price near the event duration ending; and can try to exit individually at diffent time, depends on the contract and mkt state (trend to range), curve, etc.</t>
  </si>
  <si>
    <t>went till 12! (wait longer in flies/deflies nxt time)</t>
  </si>
  <si>
    <t>HODL TRADE</t>
  </si>
  <si>
    <t>NO NEW POSITIONS | timeout</t>
  </si>
  <si>
    <t>THU Powell speaks 1 dec 22</t>
  </si>
  <si>
    <t xml:space="preserve">obscure read </t>
  </si>
  <si>
    <t>622 pm</t>
  </si>
  <si>
    <t>CPI (p7.3% f7.4% a6.9%)</t>
  </si>
  <si>
    <t>DEC22 WENT TILL prev Sz 35 from 47 then 44 within minutes, back spds went down then came back to initial levels</t>
  </si>
  <si>
    <t>Opportunity lies @ extreme SnR zones; at any event stay alert/active to put orders at extreme prices</t>
  </si>
  <si>
    <t>Retracements can be your strength; use excel; reach early and execute</t>
  </si>
  <si>
    <t xml:space="preserve"> S24 SPD CALENDAR</t>
  </si>
  <si>
    <t>S @ -9</t>
  </si>
  <si>
    <t>S @ -10</t>
  </si>
  <si>
    <t>1d,2d</t>
  </si>
  <si>
    <t>1 dec 22142pm, 2 dec 22 230pm</t>
  </si>
  <si>
    <t>early exit b4 fri | both aotc</t>
  </si>
  <si>
    <t>1hr</t>
  </si>
  <si>
    <t>730am</t>
  </si>
  <si>
    <t>lost confidence, so 1 lot; avoid such exposure for long time, next time</t>
  </si>
  <si>
    <t>AVOID PRIMARY TRADES (for now) &amp; more risky (&gt;=60$ loss/lot) trades | (dm22 spd, outrigths)</t>
  </si>
  <si>
    <t>Go for lagging, secondary, tertiary trades (front flies, bellies/tails spds &amp; flies)</t>
  </si>
  <si>
    <t>WORK ON EVENT TRADING (CATEGORIZE THEM)</t>
  </si>
  <si>
    <t>Primary trades in SIM, PAT trading in sim</t>
  </si>
  <si>
    <t>Near expiry, rollover and fra-ois are more effective than events; respect that</t>
  </si>
  <si>
    <t xml:space="preserve">Always have 1 lot for an extreme price </t>
  </si>
  <si>
    <t>Avoid Defly/Fly trades at first; outrights are better as they have SL with payup; w8 for extreme price against your direction; spds are best | if taking make sure with ltd lots atnd only 1 lot at 1 price; Time duration should be mentioned</t>
  </si>
  <si>
    <t>December 22 live</t>
  </si>
  <si>
    <t>DEC.22</t>
  </si>
  <si>
    <t>630pm</t>
  </si>
  <si>
    <t>RESISTANCE ZONE (6---)</t>
  </si>
  <si>
    <t>21 hrs</t>
  </si>
  <si>
    <t>5 dec 332am</t>
  </si>
  <si>
    <t>MIN. 2 MAX 3,4 LOTS (EXCEPT OUTRIGHTS)</t>
  </si>
  <si>
    <t>FLIES DEFLIES 1 LOT AT 1 PRICE (ENTER ONLY IF UPSIDE IS &gt;=3)</t>
  </si>
  <si>
    <t>RBA HIKES BY 25 BP (3.1%) | STAEMENT - not near to pause yet</t>
  </si>
  <si>
    <t>EVENT</t>
  </si>
  <si>
    <t xml:space="preserve">IR M24 </t>
  </si>
  <si>
    <t>O</t>
  </si>
  <si>
    <t>Ret (trying)</t>
  </si>
  <si>
    <t>few mins.</t>
  </si>
  <si>
    <t>Trying ret. | need to work more (mostly the timing + SL)</t>
  </si>
  <si>
    <t>GDP QOQ (Q3) (P0.9%, F0.7%, A0.6%) | GDP YOY (Q3) (P3.6%, 6.2%, 5.9%)</t>
  </si>
  <si>
    <t>less movement anticipated ahead; reduce trade frequencies for at least 1 week (&amp; observe) trade at extremes, with larger lots (min.2, max 4)</t>
  </si>
  <si>
    <t xml:space="preserve">trade big with less frequency at extremes </t>
  </si>
  <si>
    <t>DEFENSIVE STRATS WITH 2,3,4 LOTS</t>
  </si>
  <si>
    <t>THU, MON</t>
  </si>
  <si>
    <t>S @ -9,-10</t>
  </si>
  <si>
    <t>bias of recession odds less; shouldnt go down</t>
  </si>
  <si>
    <t>downside is less</t>
  </si>
  <si>
    <t>till tue/fri</t>
  </si>
  <si>
    <t xml:space="preserve">fomc </t>
  </si>
  <si>
    <t>2 HRS</t>
  </si>
  <si>
    <t>519AM</t>
  </si>
  <si>
    <t>ALL aotc entry</t>
  </si>
  <si>
    <t xml:space="preserve">chances of aotc at the back </t>
  </si>
  <si>
    <t>258 AM</t>
  </si>
  <si>
    <t>range high + should not be positive bias</t>
  </si>
  <si>
    <t>7 hrs</t>
  </si>
  <si>
    <t>Someone hit 1752 buy orders at 1 on mkt open (by mistake probably)</t>
  </si>
  <si>
    <t xml:space="preserve">Other's mistakes are the reason for inefficiency in markets; dont avoid putting orders in those regions; </t>
  </si>
  <si>
    <t>might even get AOTC</t>
  </si>
  <si>
    <t>OTHER'S MISTAKE - strat</t>
  </si>
  <si>
    <t>US PPI MoM (Nov) (p0.3% f0.2% a0.3%)</t>
  </si>
  <si>
    <t>Outrights went down 4bps then ret 1, no major move in spds</t>
  </si>
  <si>
    <t>2.58AM</t>
  </si>
  <si>
    <t>RESISTANCE ZONE (6---2)</t>
  </si>
  <si>
    <t>Scalping + bias of recession odds less; shouldnt go down</t>
  </si>
  <si>
    <t>-0.08 OR -0.07</t>
  </si>
  <si>
    <t>TRY 1 LOT AT A TIME/ BE PROACTIVE DURING MOVES</t>
  </si>
  <si>
    <t>AFTR FOMC</t>
  </si>
  <si>
    <t>8 d</t>
  </si>
  <si>
    <t>20 DEC 945AM</t>
  </si>
  <si>
    <t>EXIT BY TUE END</t>
  </si>
  <si>
    <t>*BOJ RAISES UPPER BAND LIMIT ON YIELD TARGET TO ABOUT 0.5%</t>
  </si>
  <si>
    <t>742PM</t>
  </si>
  <si>
    <t>US core CPI (MOM) (Nov) (p0.3% f0.3% a0.3%)</t>
  </si>
  <si>
    <t>Outrigths went up 4-7bps by eos)</t>
  </si>
  <si>
    <t>US CPI (YOY) (Nov) (p7.7% f 7.3% a7.1%) | US CPI MOM (Nov) (p0.4% f0.3% a0.1%)</t>
  </si>
  <si>
    <t>front spds were up b4 event then went down aftr event (4bps range)</t>
  </si>
  <si>
    <t>slowdown in the movement in mkts</t>
  </si>
  <si>
    <t>update - backs (m24s j24s s24s) shots - min. 2 max. 5</t>
  </si>
  <si>
    <t>750am</t>
  </si>
  <si>
    <t>-0.07 or -0.06 -&gt; -8</t>
  </si>
  <si>
    <t>TRY 1 LOT AT A TIME</t>
  </si>
  <si>
    <t>Lesser recession odds pricing bet (near -6)</t>
  </si>
  <si>
    <t>Recession always follows hike cycles; historically</t>
  </si>
  <si>
    <t>1030am</t>
  </si>
  <si>
    <t>bias of recession odds less; shouldnt go down MUCH (wrong)</t>
  </si>
  <si>
    <t>-0.07 OR -0.06</t>
  </si>
  <si>
    <t>19 dec 22 2nd session</t>
  </si>
  <si>
    <t>1143am</t>
  </si>
  <si>
    <t>bias of recession odds less; shouldnt go down MUCH</t>
  </si>
  <si>
    <t>Sz</t>
  </si>
  <si>
    <t>-0.07 OR -0.06 -&gt; -8</t>
  </si>
  <si>
    <t>21 DEC 22 3AM, 526am</t>
  </si>
  <si>
    <t>Risk taking (large lots)</t>
  </si>
  <si>
    <t>EXIT AFTR GDP (would have been too L8)</t>
  </si>
  <si>
    <t>Time's up | Would have held longer if time was available | 21 dec 22 THE END</t>
  </si>
  <si>
    <t>1230am</t>
  </si>
  <si>
    <t>FED hikes by 50bp (4.5%)</t>
  </si>
  <si>
    <t>outrights starts to go down; no major moves (s23 s went down till -4 and m24 s went down till -10 j23 s went up till 11) | "no one can predict recession accurately"</t>
  </si>
  <si>
    <t>S @ -9,-10!</t>
  </si>
  <si>
    <t xml:space="preserve">bias of recession odds less; shouldnt go down MUCH + betting for equilibrium at 8 | but recession odds have increased a little + betting for equilibrium at 8 </t>
  </si>
  <si>
    <t>-0.07 OR -0.08</t>
  </si>
  <si>
    <t>5d</t>
  </si>
  <si>
    <t>Employment change (p32 f19 a64k)</t>
  </si>
  <si>
    <t>DM23 SPD CALENDAR</t>
  </si>
  <si>
    <t>within a week</t>
  </si>
  <si>
    <t>Unemployment rate (p3.4% f3.4% a3.4%)</t>
  </si>
  <si>
    <t>754am</t>
  </si>
  <si>
    <t>J23 SPD CALENDAR</t>
  </si>
  <si>
    <t>bias of less hikes in J23 QTR</t>
  </si>
  <si>
    <t>&lt;=8 | try for 7</t>
  </si>
  <si>
    <t>1.34PM</t>
  </si>
  <si>
    <t>did not want to hold till FRI</t>
  </si>
  <si>
    <t>less confidence, not proactive + invalid behaviour near end of term</t>
  </si>
  <si>
    <t>nxt day 1st session went till 9</t>
  </si>
  <si>
    <t>830am</t>
  </si>
  <si>
    <t>IR went down by 7-8 bp | whole spd curve went up  (all by 3-4bp) | outrigts all move and went even more up in the nxt 2 sessions! (till 21 dec 22)</t>
  </si>
  <si>
    <t>Rz @ -2,-3</t>
  </si>
  <si>
    <t>Should not be positive (less downside) + hedge for M24 spd as D23 fly was trading at all time highs of 7,8</t>
  </si>
  <si>
    <t>-0.05 or Scratch</t>
  </si>
  <si>
    <t>Eq bm</t>
  </si>
  <si>
    <t>1D</t>
  </si>
  <si>
    <t>21 DEC 22 1224PM</t>
  </si>
  <si>
    <t>TIME UP!</t>
  </si>
  <si>
    <t>only exit orders 19th onwards | NO ENTRY ORDERS</t>
  </si>
  <si>
    <t>The End.</t>
  </si>
  <si>
    <t>Mean reversion works a lot, so if a temporary move comes, odds are in favor for reversion/retracements</t>
  </si>
  <si>
    <t>Retracements provide better odds and better RRR</t>
  </si>
  <si>
    <t>Statistical advantage trades have higher odds, if combined with S/R  zones</t>
  </si>
  <si>
    <t>Always better to leave few lots for an even better entry</t>
  </si>
  <si>
    <t>LOTS - (20 LOTS LIMIT - FRONTS 1,2 | BELLIES 2,3 | BACKS 3,4,5) | DECENT COMBOS @ DIFFERENT PRICES</t>
  </si>
  <si>
    <t>need to be more confident &amp; careful in front spds/ mostly 1st one</t>
  </si>
  <si>
    <t>21 Dec22 break</t>
  </si>
  <si>
    <t>GG</t>
  </si>
  <si>
    <t>BREAK</t>
  </si>
  <si>
    <t>January 23 live</t>
  </si>
  <si>
    <t>JAN</t>
  </si>
  <si>
    <t>Gradualism - back to basics; start from defensive trades</t>
  </si>
  <si>
    <t>Q1. Statistical Analysis</t>
  </si>
  <si>
    <t>Q2 . ML</t>
  </si>
  <si>
    <t>Q3 . Models/Framework to outperform | C.A.S.</t>
  </si>
  <si>
    <t>Q4 . Automation</t>
  </si>
  <si>
    <t>Avoid fronts only with 1 lot with alternate positions</t>
  </si>
  <si>
    <t>Start from mid, then back spds w 2 lots (Jan23)</t>
  </si>
  <si>
    <t>No outrights full month | only in sim</t>
  </si>
  <si>
    <t>1247pm</t>
  </si>
  <si>
    <t>Ranged state (45 - 44)</t>
  </si>
  <si>
    <t>0.40 or below (will get more opportunity)</t>
  </si>
  <si>
    <t>10mins</t>
  </si>
  <si>
    <t>12 57pm</t>
  </si>
  <si>
    <t>early exit just to get started</t>
  </si>
  <si>
    <t>less intuition/IDEA of mkts</t>
  </si>
  <si>
    <t>623pm</t>
  </si>
  <si>
    <t>S@ -9,-10</t>
  </si>
  <si>
    <t>Aftr MON/FRI</t>
  </si>
  <si>
    <t>1d</t>
  </si>
  <si>
    <t>5 jan 1020pm</t>
  </si>
  <si>
    <t>821pm</t>
  </si>
  <si>
    <t>Liq gap (36-41)</t>
  </si>
  <si>
    <t>pricing wise 31 (better risk reward)</t>
  </si>
  <si>
    <t>bias against more hikes in Q2 (should be below 37)</t>
  </si>
  <si>
    <t>less downside (45,44)</t>
  </si>
  <si>
    <t>&lt;=36</t>
  </si>
  <si>
    <t>Liq gap + pricing</t>
  </si>
  <si>
    <t>buy more @43, 45</t>
  </si>
  <si>
    <t>Aftr MON</t>
  </si>
  <si>
    <t xml:space="preserve">2d </t>
  </si>
  <si>
    <t>6 jan 910pm</t>
  </si>
  <si>
    <t>Event exit</t>
  </si>
  <si>
    <t>827pm</t>
  </si>
  <si>
    <t>Liq gap (15-19)</t>
  </si>
  <si>
    <t>pricing wise 13-10</t>
  </si>
  <si>
    <t>less downside (18,19)</t>
  </si>
  <si>
    <t>&lt;=10</t>
  </si>
  <si>
    <t>Buy more @ 18, 20 (sl@22)</t>
  </si>
  <si>
    <t>by TUE (WED - Retail sales) / scratch or 1 tick</t>
  </si>
  <si>
    <t>pricing wise 13-11</t>
  </si>
  <si>
    <t>Buy more @ 20 (sl@23)</t>
  </si>
  <si>
    <t>4d</t>
  </si>
  <si>
    <t>11 jan cpi + retail sales</t>
  </si>
  <si>
    <t>HODL</t>
  </si>
  <si>
    <t>1035am</t>
  </si>
  <si>
    <t>IR M24</t>
  </si>
  <si>
    <t>farthest from mode/mean than the rest</t>
  </si>
  <si>
    <t>bias against 415bp hike(~400 or below)</t>
  </si>
  <si>
    <t>&gt;=95.9 or 95.92</t>
  </si>
  <si>
    <t>ret. + too high bp in that IR</t>
  </si>
  <si>
    <t>sell J24 @ 95.96 (MJ23 SPD LONG @ -11)</t>
  </si>
  <si>
    <t>by nxt session end</t>
  </si>
  <si>
    <t>9h</t>
  </si>
  <si>
    <t>early exit (need more loss limit) + more research | nxt month nxt ir</t>
  </si>
  <si>
    <t>sl (shifted) | early exit</t>
  </si>
  <si>
    <t>look for shorter duration trades</t>
  </si>
  <si>
    <t>respected inverted hammer (prev. candle)</t>
  </si>
  <si>
    <t>do not hold for &gt;=9h; work only on strategies that will take mins. (max 1 hr) for IR</t>
  </si>
  <si>
    <t>Early entry; need more risk tolerance</t>
  </si>
  <si>
    <t>104pm</t>
  </si>
  <si>
    <t>17h</t>
  </si>
  <si>
    <t>6 jan 23 544am</t>
  </si>
  <si>
    <t>508am</t>
  </si>
  <si>
    <t>Ranged (-8 to -10)</t>
  </si>
  <si>
    <t>10-Jan-2023 357am</t>
  </si>
  <si>
    <t>1004am</t>
  </si>
  <si>
    <t>pricing wise 13-12</t>
  </si>
  <si>
    <t>CURVE ANOMALY IN FLY AND DEFLY of J23 (main cause could be J23 spd more bcoz s23 doesnt move much away from 0 and should not be +ve)</t>
  </si>
  <si>
    <t>13 jan 625am</t>
  </si>
  <si>
    <t>HODL / 8</t>
  </si>
  <si>
    <t>1028am</t>
  </si>
  <si>
    <t>Ranged (-6 to -8)</t>
  </si>
  <si>
    <t>1 scalping + 1bias towards negative side</t>
  </si>
  <si>
    <t>~8h, 2D</t>
  </si>
  <si>
    <t>9 JAN 23 3:00:00 (-7), 10/1/23 525AM</t>
  </si>
  <si>
    <t>637PM</t>
  </si>
  <si>
    <t>HIGHS</t>
  </si>
  <si>
    <t>~32</t>
  </si>
  <si>
    <t>3d</t>
  </si>
  <si>
    <t>11 jan 23 1139am</t>
  </si>
  <si>
    <t>aotc | LUCK100</t>
  </si>
  <si>
    <t>biggest ride so far (10 ticks)</t>
  </si>
  <si>
    <t xml:space="preserve">NFP (Dec) (p256k f200k a223k) </t>
  </si>
  <si>
    <t>Outrights went up by 7-8bp in 30mins</t>
  </si>
  <si>
    <t>US Unemployment rate (Dec) (p3.6% f3.7% A3.5%)</t>
  </si>
  <si>
    <t>Front spds went 1 tick up then down, rest same</t>
  </si>
  <si>
    <t>709PM</t>
  </si>
  <si>
    <t>TILL NXT TUE HODL</t>
  </si>
  <si>
    <t>13 jan 202pm</t>
  </si>
  <si>
    <t>biggest ride so far | GG!</t>
  </si>
  <si>
    <t>Can check DeFly for anomalies and take positions in the direction of curve or bias</t>
  </si>
  <si>
    <t>854pm</t>
  </si>
  <si>
    <t>Scratch (as prev. Sz should retrace)</t>
  </si>
  <si>
    <t>12d</t>
  </si>
  <si>
    <t>18 jan 255pm, 20 JAN 3545AM</t>
  </si>
  <si>
    <t>SOLD 1 @ -13</t>
  </si>
  <si>
    <t>910PM</t>
  </si>
  <si>
    <t>Ranged (-6,-5 to -8)</t>
  </si>
  <si>
    <t>13 Jan 23 658am</t>
  </si>
  <si>
    <t>918pm</t>
  </si>
  <si>
    <t>D24 SPD CALENDAR</t>
  </si>
  <si>
    <t>S @ -3</t>
  </si>
  <si>
    <t>Sz@5</t>
  </si>
  <si>
    <t>20 jan 23 747am FRI</t>
  </si>
  <si>
    <t>950pm</t>
  </si>
  <si>
    <t>Stat arb.</t>
  </si>
  <si>
    <t>3 weeks</t>
  </si>
  <si>
    <t>25 jan 715am</t>
  </si>
  <si>
    <t>2w+</t>
  </si>
  <si>
    <t>sold 1 @ -4, 1 @ -5</t>
  </si>
  <si>
    <t>CPI + RETAIL SALES</t>
  </si>
  <si>
    <t>2w</t>
  </si>
  <si>
    <t>20 jan 147pm</t>
  </si>
  <si>
    <t>EXIT @ -13</t>
  </si>
  <si>
    <t>2w+, exit and start fresh</t>
  </si>
  <si>
    <t>1138am</t>
  </si>
  <si>
    <t>1w</t>
  </si>
  <si>
    <t>17 Jan 0414am</t>
  </si>
  <si>
    <t>sold 1 @ -7</t>
  </si>
  <si>
    <t>1156AM</t>
  </si>
  <si>
    <t>B4 FRI</t>
  </si>
  <si>
    <t>ACE!!</t>
  </si>
  <si>
    <t>Exit based on event data; good that 2 lots are there</t>
  </si>
  <si>
    <t>Use min. 2 lots at extremes or Extreme value zones (SzRz)</t>
  </si>
  <si>
    <t>9-Jan-2023, 10 jan 23 628am</t>
  </si>
  <si>
    <t>1045pm</t>
  </si>
  <si>
    <t>EXIT @ -12 | TOO LATE AND WAITED TOO LONG | STILL HAVE 4 @ -14 FOR -12</t>
  </si>
  <si>
    <t>CPI  YOY Q4 (P6.9% F7% A7.3%)</t>
  </si>
  <si>
    <t>No major moves</t>
  </si>
  <si>
    <t>Retail sales MOM Nov (p-0.2% f0.6% a1.45)</t>
  </si>
  <si>
    <t>650AM</t>
  </si>
  <si>
    <t>12 jan 725am</t>
  </si>
  <si>
    <t>906am</t>
  </si>
  <si>
    <t>Ranged (-10 to -8)</t>
  </si>
  <si>
    <t>1W+</t>
  </si>
  <si>
    <t>19 JAN 430AM</t>
  </si>
  <si>
    <t>EXIT @ -10</t>
  </si>
  <si>
    <t xml:space="preserve">12-Jan-2023, 13 jan 23 </t>
  </si>
  <si>
    <t>832 am</t>
  </si>
  <si>
    <t>1W</t>
  </si>
  <si>
    <t>242pm</t>
  </si>
  <si>
    <t>Stat arb (2 to -2)</t>
  </si>
  <si>
    <t>2.5d</t>
  </si>
  <si>
    <r>
      <rPr>
        <b/>
        <sz val="10"/>
        <color rgb="FF333333"/>
        <rFont val="Calibri"/>
        <family val="2"/>
      </rPr>
      <t>US Core CPI (MoM) (Dec</t>
    </r>
    <r>
      <rPr>
        <b/>
        <sz val="10"/>
        <color rgb="FF434343"/>
        <rFont val="Calibri"/>
        <family val="2"/>
      </rPr>
      <t>) (P0.2% F0.3% A0.3%)</t>
    </r>
  </si>
  <si>
    <t>Outrights were going up since last session; aftr release, no major moves (fluctuations around the mean of day's range) | 723 pm IR  going up</t>
  </si>
  <si>
    <r>
      <rPr>
        <b/>
        <sz val="10"/>
        <color rgb="FF333333"/>
        <rFont val="Calibri"/>
        <family val="2"/>
      </rPr>
      <t>CPI (MoM) (Dec</t>
    </r>
    <r>
      <rPr>
        <b/>
        <sz val="10"/>
        <color rgb="FF434343"/>
        <rFont val="Calibri"/>
        <family val="2"/>
      </rPr>
      <t>) (p0.1% f0% a-0.1%)</t>
    </r>
  </si>
  <si>
    <t>Dovish data | IR should go up | but they were already up since session start and prev session</t>
  </si>
  <si>
    <r>
      <rPr>
        <b/>
        <sz val="10"/>
        <color rgb="FF333333"/>
        <rFont val="Calibri"/>
        <family val="2"/>
      </rPr>
      <t>CPI (YoY) (Dec</t>
    </r>
    <r>
      <rPr>
        <b/>
        <sz val="10"/>
        <color rgb="FF434343"/>
        <rFont val="Calibri"/>
        <family val="2"/>
      </rPr>
      <t>) (p7.1% f6.5% a6.5%)</t>
    </r>
  </si>
  <si>
    <r>
      <rPr>
        <b/>
        <sz val="10"/>
        <color rgb="FF333333"/>
        <rFont val="Calibri"/>
        <family val="2"/>
      </rPr>
      <t>Initial Jobless Claim</t>
    </r>
    <r>
      <rPr>
        <b/>
        <sz val="10"/>
        <color rgb="FF434343"/>
        <rFont val="Calibri"/>
        <family val="2"/>
      </rPr>
      <t>s (p206k f215k a205k)</t>
    </r>
  </si>
  <si>
    <t>658am</t>
  </si>
  <si>
    <t>Ranged (-9 to -6)</t>
  </si>
  <si>
    <t>2.5h</t>
  </si>
  <si>
    <t>13 jan 928am</t>
  </si>
  <si>
    <t>LMAO | dont boast free money</t>
  </si>
  <si>
    <t>luck100</t>
  </si>
  <si>
    <t>925am</t>
  </si>
  <si>
    <t>5h</t>
  </si>
  <si>
    <t>308pm</t>
  </si>
  <si>
    <t>1026am</t>
  </si>
  <si>
    <t>IR S24</t>
  </si>
  <si>
    <t xml:space="preserve">FFRz + downtrend (cycle) </t>
  </si>
  <si>
    <t>~96.28</t>
  </si>
  <si>
    <t>&lt;5h</t>
  </si>
  <si>
    <t>~18h</t>
  </si>
  <si>
    <t>457am</t>
  </si>
  <si>
    <t>Liq gap (maybe) (96.35-96.28)</t>
  </si>
  <si>
    <t>did not follow time duration plan</t>
  </si>
  <si>
    <t>SL skipped (w payup as well!) | Liq gap of 3 ticks!</t>
  </si>
  <si>
    <t>Liq gap to ret.</t>
  </si>
  <si>
    <r>
      <rPr>
        <b/>
        <sz val="10"/>
        <color rgb="FF333333"/>
        <rFont val="Calibri"/>
        <family val="2"/>
      </rPr>
      <t>Westpac Consumer Sentiment (Jan</t>
    </r>
    <r>
      <rPr>
        <b/>
        <sz val="10"/>
        <color rgb="FF434343"/>
        <rFont val="Calibri"/>
        <family val="2"/>
      </rPr>
      <t>) (p3% a5%)</t>
    </r>
  </si>
  <si>
    <t>Outrights went up (liq gaps @ back, of 2-3 ticks)</t>
  </si>
  <si>
    <t>Trade with low lots | uncertain mkts</t>
  </si>
  <si>
    <t>512am</t>
  </si>
  <si>
    <t>Stat arb (2 to -2) + new ranged (-4 to -1)</t>
  </si>
  <si>
    <t>11h</t>
  </si>
  <si>
    <t>347pm</t>
  </si>
  <si>
    <t>512am, 623am</t>
  </si>
  <si>
    <t>Stat arb. (Never below -10)</t>
  </si>
  <si>
    <t>4h</t>
  </si>
  <si>
    <t>17 jan 918am</t>
  </si>
  <si>
    <t>915am</t>
  </si>
  <si>
    <t>1h</t>
  </si>
  <si>
    <t>17 jan 1020am</t>
  </si>
  <si>
    <t>should follow if it has retraced back</t>
  </si>
  <si>
    <t>betting on historical patterns, similar happened last time, ONE LAST TRY</t>
  </si>
  <si>
    <t>practise trading short term trades first</t>
  </si>
  <si>
    <t>short term trades might even offer less risk (if not better risk reward)</t>
  </si>
  <si>
    <t>BOJ : no change in yield  cap</t>
  </si>
  <si>
    <t>Outrights went up by 6-8bps</t>
  </si>
  <si>
    <t>850am</t>
  </si>
  <si>
    <t xml:space="preserve">Momentum </t>
  </si>
  <si>
    <t>&lt;1h</t>
  </si>
  <si>
    <t>SL w payup 1</t>
  </si>
  <si>
    <t>Wrong bias</t>
  </si>
  <si>
    <t>stat arb.</t>
  </si>
  <si>
    <t>22H</t>
  </si>
  <si>
    <t>920am</t>
  </si>
  <si>
    <t>IR D23</t>
  </si>
  <si>
    <t>Ret. trying</t>
  </si>
  <si>
    <t>1056am</t>
  </si>
  <si>
    <t>early exit (seeing buying pressure) + mkt close</t>
  </si>
  <si>
    <t>TIMEOUT</t>
  </si>
  <si>
    <t xml:space="preserve">Work on Scaling up </t>
  </si>
  <si>
    <t>LOTS - (20 LOTS LIMIT - FRONTS 2,2 | BELLIES 3,5 | BACKS 3,4,5) | DECENT COMBOS @ DIFFERENT PRICES</t>
  </si>
  <si>
    <t>Back to Defensive trades + Scalping @ back (w bigger lots)</t>
  </si>
  <si>
    <r>
      <rPr>
        <b/>
        <sz val="10"/>
        <color rgb="FF333333"/>
        <rFont val="Calibri"/>
        <family val="2"/>
      </rPr>
      <t>US Core Retail Sales (MoM) (Dec</t>
    </r>
    <r>
      <rPr>
        <b/>
        <sz val="10"/>
        <color rgb="FF434343"/>
        <rFont val="Calibri"/>
        <family val="2"/>
      </rPr>
      <t>) (P-0.6% F-0.4% A-1.1%)</t>
    </r>
  </si>
  <si>
    <t>OUTRIGTHS  went little up (3-4bp)</t>
  </si>
  <si>
    <r>
      <rPr>
        <b/>
        <sz val="10"/>
        <color rgb="FF333333"/>
        <rFont val="Calibri"/>
        <family val="2"/>
      </rPr>
      <t>US Retail Sales (MoM) (Dec</t>
    </r>
    <r>
      <rPr>
        <b/>
        <sz val="10"/>
        <color rgb="FF434343"/>
        <rFont val="Calibri"/>
        <family val="2"/>
      </rPr>
      <t>) (-1% -0.8% -1.1%)</t>
    </r>
  </si>
  <si>
    <t>outrights should have gone up more</t>
  </si>
  <si>
    <r>
      <rPr>
        <b/>
        <sz val="10"/>
        <color rgb="FF333333"/>
        <rFont val="Calibri"/>
        <family val="2"/>
      </rPr>
      <t>PPI (MoM) (Dec</t>
    </r>
    <r>
      <rPr>
        <b/>
        <sz val="10"/>
        <color rgb="FF434343"/>
        <rFont val="Calibri"/>
        <family val="2"/>
      </rPr>
      <t>) (p0.2% f-0.1% a-0.5%)</t>
    </r>
  </si>
  <si>
    <t xml:space="preserve">Outrigths went up 6-7 bp within 35mins; Then went up 3-4 more </t>
  </si>
  <si>
    <t>Stat arb. (Never @ -14) + 1000 lots spoofer</t>
  </si>
  <si>
    <t xml:space="preserve">Scalping </t>
  </si>
  <si>
    <t>3D</t>
  </si>
  <si>
    <t>23 JAN 430AM</t>
  </si>
  <si>
    <t>SOLD 1 @ -14/ SCRATCHED | 4 @ -13</t>
  </si>
  <si>
    <t>732PM</t>
  </si>
  <si>
    <t>Ranged(-8 to -6)</t>
  </si>
  <si>
    <t>Scalping (w more lots)</t>
  </si>
  <si>
    <t>12H</t>
  </si>
  <si>
    <t>19 JAN 23 EVENT</t>
  </si>
  <si>
    <t>SOLD 3 @ -7</t>
  </si>
  <si>
    <t>750PM</t>
  </si>
  <si>
    <t>Ret.</t>
  </si>
  <si>
    <t>803PM</t>
  </si>
  <si>
    <t>liq gap to ret followed later on</t>
  </si>
  <si>
    <t>wait 40-45 mins then observe liq gap; if temporary move fundamentally then bet on ret</t>
  </si>
  <si>
    <t>40MINS</t>
  </si>
  <si>
    <t>830PM</t>
  </si>
  <si>
    <t>747PM</t>
  </si>
  <si>
    <t>Stat arb. (-12)</t>
  </si>
  <si>
    <t>10h</t>
  </si>
  <si>
    <t>19 jan 530pm</t>
  </si>
  <si>
    <t>TIMEOUT!! | NO IR TRADES</t>
  </si>
  <si>
    <t>IR TRADES IN SIM TILL MAR | ONLY 2 TRADES/MONTH</t>
  </si>
  <si>
    <t>JUST NUMBERS; SAME PROCESS AND STRATEGIES WITH HIGHER LOTS, IN THE LONG RUN (TILL FEB)</t>
  </si>
  <si>
    <t>930, 942 pm</t>
  </si>
  <si>
    <t>Ret. + lagging (rest all ir 4-5 down from highs; this only 2)</t>
  </si>
  <si>
    <t>3 ticks + new high</t>
  </si>
  <si>
    <t>~50% ret till mkt close</t>
  </si>
  <si>
    <t>2h</t>
  </si>
  <si>
    <t>1139pm</t>
  </si>
  <si>
    <t>BAD DISCIPLINE</t>
  </si>
  <si>
    <t>HV 2 B STRONG IN DEFENSE</t>
  </si>
  <si>
    <r>
      <rPr>
        <b/>
        <sz val="10"/>
        <color rgb="FF333333"/>
        <rFont val="Calibri"/>
        <family val="2"/>
      </rPr>
      <t>Employment Change (Dec</t>
    </r>
    <r>
      <rPr>
        <b/>
        <sz val="10"/>
        <color rgb="FF434343"/>
        <rFont val="Calibri"/>
        <family val="2"/>
      </rPr>
      <t>) (P58.3k f 22.5k a-14.6k)</t>
    </r>
  </si>
  <si>
    <t>Outrights went up 9-11 ticks | V. Dovish</t>
  </si>
  <si>
    <r>
      <rPr>
        <b/>
        <sz val="10"/>
        <color rgb="FF333333"/>
        <rFont val="Calibri"/>
        <family val="2"/>
      </rPr>
      <t>Unemployment Rate (Dec</t>
    </r>
    <r>
      <rPr>
        <b/>
        <sz val="10"/>
        <color rgb="FF434343"/>
        <rFont val="Calibri"/>
        <family val="2"/>
      </rPr>
      <t>) (p3.4% f3.4% a3.5%)</t>
    </r>
  </si>
  <si>
    <t>Front spd down 6-7 ticks, 2nd spd  down 1-2 tick</t>
  </si>
  <si>
    <t>Participation Rate (Dec) (p66.8% f66.8% a66.6%)</t>
  </si>
  <si>
    <t>no ret till 1.5 hrs in outrights</t>
  </si>
  <si>
    <t>Momentum + bias</t>
  </si>
  <si>
    <t>20mins</t>
  </si>
  <si>
    <t>620am</t>
  </si>
  <si>
    <t>exit @ top (initial move 40 mins) | retraced 3-4 bp went up 7 bp more</t>
  </si>
  <si>
    <t xml:space="preserve">1st IR win </t>
  </si>
  <si>
    <t>Mkt respecting Dovish side; moves in that direction more than Hawkish side</t>
  </si>
  <si>
    <t>4.5h</t>
  </si>
  <si>
    <t>scalp</t>
  </si>
  <si>
    <t>1156am,140pm</t>
  </si>
  <si>
    <t>sold 1 at 24, 23</t>
  </si>
  <si>
    <t>could have held longer; would have been wrong</t>
  </si>
  <si>
    <t>3w</t>
  </si>
  <si>
    <t>30 jan 849am, 6 feb 122pm</t>
  </si>
  <si>
    <t>1@-4</t>
  </si>
  <si>
    <t>843am</t>
  </si>
  <si>
    <t>23 jan 1213pm</t>
  </si>
  <si>
    <t>918am</t>
  </si>
  <si>
    <t>11.5h</t>
  </si>
  <si>
    <t>845pm</t>
  </si>
  <si>
    <t>1025am</t>
  </si>
  <si>
    <t>IB FEB23</t>
  </si>
  <si>
    <t>IB</t>
  </si>
  <si>
    <t>BP expectations towards 25 bp (bp long IB short) (jan 1.5, feb 20.5 price) | 16bp to 20bp</t>
  </si>
  <si>
    <t>757pm</t>
  </si>
  <si>
    <t>1st IB trade, 1st IB win</t>
  </si>
  <si>
    <t>went 2 prices more in favour in the same time! | use the advantage of momentum and take at least 1 tick extra</t>
  </si>
  <si>
    <r>
      <rPr>
        <b/>
        <sz val="10"/>
        <color rgb="FF333333"/>
        <rFont val="Calibri"/>
        <family val="2"/>
      </rPr>
      <t>US Initial Jobless Claim</t>
    </r>
    <r>
      <rPr>
        <b/>
        <sz val="10"/>
        <color rgb="FF434343"/>
        <rFont val="Calibri"/>
        <family val="2"/>
      </rPr>
      <t>s (P205K F214K A190K)</t>
    </r>
  </si>
  <si>
    <t>no major move</t>
  </si>
  <si>
    <t>330am</t>
  </si>
  <si>
    <t>RESISTANCE ZONE (6S--0)</t>
  </si>
  <si>
    <t>Hedge for M24 SPD | 3 D23 FLY</t>
  </si>
  <si>
    <t>SCRATCH OR 1 TICK</t>
  </si>
  <si>
    <t>ONLY A HEDGE FOR M24 SPD</t>
  </si>
  <si>
    <t>24 jan 950am</t>
  </si>
  <si>
    <t>exit @ -8</t>
  </si>
  <si>
    <t>S @ 6</t>
  </si>
  <si>
    <t>bias towards some hikes (worst is 2)</t>
  </si>
  <si>
    <t>450am</t>
  </si>
  <si>
    <t>Ranged (-2 to -4) + S@-2</t>
  </si>
  <si>
    <t>10 15am</t>
  </si>
  <si>
    <t>814am</t>
  </si>
  <si>
    <t>20-Jan-2023, 23 jan 23</t>
  </si>
  <si>
    <t>742pm, 430am</t>
  </si>
  <si>
    <t>Hedge for M24 SPD | 3 D23 FLY + D23 DEFLY Anomaly</t>
  </si>
  <si>
    <t>Avoid dm23, mj23, mj24</t>
  </si>
  <si>
    <t>746PM</t>
  </si>
  <si>
    <t>Should not be more than 0 (less downside)</t>
  </si>
  <si>
    <t>345AM</t>
  </si>
  <si>
    <t>12h</t>
  </si>
  <si>
    <t>empty grid after a long time (ony d24spd left)</t>
  </si>
  <si>
    <t xml:space="preserve">mkt retraced a lot </t>
  </si>
  <si>
    <t>D3m -&gt; FF same chart</t>
  </si>
  <si>
    <r>
      <rPr>
        <b/>
        <sz val="10"/>
        <color rgb="FF333333"/>
        <rFont val="Calibri"/>
        <family val="2"/>
      </rPr>
      <t>CPI (QoQ) (Q4</t>
    </r>
    <r>
      <rPr>
        <b/>
        <sz val="10"/>
        <color rgb="FF434343"/>
        <rFont val="Calibri"/>
        <family val="2"/>
      </rPr>
      <t>) (P1.8% F1.6% A1.9%)</t>
    </r>
  </si>
  <si>
    <t>OUTRIGHTS went down in gap  and then more 7 then 7-8bp (total change 14bp) net 7bp in 40 mins | later went down 10+ basis MORE (17+ bps) | sentiment changed from 0-25 to 25-50bp hike</t>
  </si>
  <si>
    <t xml:space="preserve">(THU) 26TH JAN holiday + US gdp data + jobless claims </t>
  </si>
  <si>
    <t>NEW MKT STATE : temp. dovish</t>
  </si>
  <si>
    <r>
      <rPr>
        <b/>
        <sz val="10"/>
        <color rgb="FF333333"/>
        <rFont val="Calibri"/>
        <family val="2"/>
      </rPr>
      <t>CPI (YoY) (Q4</t>
    </r>
    <r>
      <rPr>
        <b/>
        <sz val="10"/>
        <color rgb="FF434343"/>
        <rFont val="Calibri"/>
        <family val="2"/>
      </rPr>
      <t>) (P7.3% F7.5% A7.8%)</t>
    </r>
  </si>
  <si>
    <t>front spd went up (3-4bp)</t>
  </si>
  <si>
    <r>
      <rPr>
        <b/>
        <sz val="10"/>
        <color rgb="FF333333"/>
        <rFont val="Calibri"/>
        <family val="2"/>
      </rPr>
      <t>Trimmed Mean CPI (QoQ) (Q4</t>
    </r>
    <r>
      <rPr>
        <b/>
        <sz val="10"/>
        <color rgb="FF434343"/>
        <rFont val="Calibri"/>
        <family val="2"/>
      </rPr>
      <t>) (P1.5% F1.6% A1.7%)</t>
    </r>
  </si>
  <si>
    <t xml:space="preserve">IR J24 </t>
  </si>
  <si>
    <t>Momentum</t>
  </si>
  <si>
    <t>CPI more &gt; Int rate more &gt; IR down</t>
  </si>
  <si>
    <t>40min</t>
  </si>
  <si>
    <t>GG (did not want to trade for short side, still went for it)</t>
  </si>
  <si>
    <t>Went til 96.43 (but in 2hrs)</t>
  </si>
  <si>
    <t>went till 96.35 till mkt close (17 ticks) | Mkt respected a lot for ultra hawkish (probably one last)</t>
  </si>
  <si>
    <t>Use 2 lots; Exit 1 within 1 hr; hold the remaining if momentum supports or scratch</t>
  </si>
  <si>
    <t>Bias of less than 25 bp (but very high CPI so avoid trades in IB at the moment)</t>
  </si>
  <si>
    <t>50min</t>
  </si>
  <si>
    <t>bp can go beyond 25 temp.</t>
  </si>
  <si>
    <t>sentiment changed from 0-25 to 25-50bp hike</t>
  </si>
  <si>
    <t>LOTS CHANGE : 1,2,3 -&gt; 2,4,6</t>
  </si>
  <si>
    <t>IR still 1</t>
  </si>
  <si>
    <t>Ranged/LiqGap &amp;/OR in the direction of curve/defensive -&gt; 6</t>
  </si>
  <si>
    <t>Enter in momentum not heat</t>
  </si>
  <si>
    <t>Book profits with partial lots @ safe entry, carry remaining as per mkt</t>
  </si>
  <si>
    <t>S@6</t>
  </si>
  <si>
    <t>Scalping + should go up (temporarily)</t>
  </si>
  <si>
    <t>0.1 or 0.08</t>
  </si>
  <si>
    <t>27 JAN 616AM</t>
  </si>
  <si>
    <t>exit by session end</t>
  </si>
  <si>
    <t>low conviction aftr 6 had too many sellers</t>
  </si>
  <si>
    <t>949pm</t>
  </si>
  <si>
    <t>Ranged (-6,-5 to -3,-2))</t>
  </si>
  <si>
    <t>27 jan 559am</t>
  </si>
  <si>
    <t>420AM</t>
  </si>
  <si>
    <t>47mins</t>
  </si>
  <si>
    <t>507am</t>
  </si>
  <si>
    <t>free money</t>
  </si>
  <si>
    <t>PPI YOY Q4 (P6.4% F6.3% A5.8%)</t>
  </si>
  <si>
    <t>PPI QOQ Q4 (P1.9% F1.7% A0.7%)</t>
  </si>
  <si>
    <t>Ranged (-2 to -4,-5)</t>
  </si>
  <si>
    <t>30 jan 23 706pm</t>
  </si>
  <si>
    <t>Scratched half (2 @ -2) because of massive block buying</t>
  </si>
  <si>
    <t>early exit as can enter again with more lots</t>
  </si>
  <si>
    <t>221pm</t>
  </si>
  <si>
    <t>Sz @ -9 + Ranged (-9 to -11)</t>
  </si>
  <si>
    <t>terminal closing to 4% (steep kink/more negative values)</t>
  </si>
  <si>
    <t xml:space="preserve">Bias of cuts + recession odds </t>
  </si>
  <si>
    <t>&lt;=-11</t>
  </si>
  <si>
    <t>31 jan 750am</t>
  </si>
  <si>
    <t>gg</t>
  </si>
  <si>
    <t>Retail Sales (MoM) (Dec) (p1.4% f-0.3% a-3.9%)</t>
  </si>
  <si>
    <t>Outrights went up 4 ticks and retracd within 7mins | ultra dovish</t>
  </si>
  <si>
    <t>IR S23</t>
  </si>
  <si>
    <t>5mins</t>
  </si>
  <si>
    <t>event</t>
  </si>
  <si>
    <t>Very weak move, considering data</t>
  </si>
  <si>
    <t>Stat arb works (only for spds) at extremes; use 3 lots each at different prices, hold the best one for at least 3-5d</t>
  </si>
  <si>
    <t>Trade less frequently with more lots; (EXTREME cases w more conviction use 5 lots)</t>
  </si>
  <si>
    <t>Only play ranged in sticky contracts (s23 spd)</t>
  </si>
  <si>
    <t>February 23 live</t>
  </si>
  <si>
    <t>FEB</t>
  </si>
  <si>
    <t>INITIAL INCREMENT: (3,4,5 -&gt; 5,7,8)</t>
  </si>
  <si>
    <t>Only in defensive strats</t>
  </si>
  <si>
    <t>Only Defensive strats increment; rest previous levels</t>
  </si>
  <si>
    <t>Long timeframe strats</t>
  </si>
  <si>
    <t>1214am</t>
  </si>
  <si>
    <t>Ranged (-2 to -4)</t>
  </si>
  <si>
    <t>&lt;= -0.03</t>
  </si>
  <si>
    <t>529am</t>
  </si>
  <si>
    <t>1230AM</t>
  </si>
  <si>
    <t>FED HIKES BY 25 BP (4.75%)</t>
  </si>
  <si>
    <t>No major moves b4 speech</t>
  </si>
  <si>
    <t>FED'S POWELL: DISINFLATIONARY PROCESS IS AT AN EARLY STAGE</t>
  </si>
  <si>
    <t>Outrigths moved up 5-6 ticks | front spd was already up in prev session, went down 3 ticks | rest all spds moved 1 tick up and down (mostly up)</t>
  </si>
  <si>
    <t>1250PM</t>
  </si>
  <si>
    <t>Ranged (-11 to -9)</t>
  </si>
  <si>
    <t>exit aftr RBA (TUE)</t>
  </si>
  <si>
    <t>3 feb 830pm</t>
  </si>
  <si>
    <t>scratch 1 monday since opposite of curve + a little aggressive with 3 lots</t>
  </si>
  <si>
    <t>231pm</t>
  </si>
  <si>
    <t>Sz(4,2)</t>
  </si>
  <si>
    <t>bias against 0  + scalping</t>
  </si>
  <si>
    <t>exit b4 RBA (TUE)</t>
  </si>
  <si>
    <t>aggressive trade (only defensive trades????)</t>
  </si>
  <si>
    <t>can go more negative</t>
  </si>
  <si>
    <t>LOST DISCIPLINE/DID NOT PLAN AHEAD OF RBA HIKE (NEW MKT STATE POSSIBLE)</t>
  </si>
  <si>
    <t>DONT APPLY AGGRESSIVE STRATS (WITH MORE THAN USUAL LOTS) B4 POSSIBLY NEW MKT STATE</t>
  </si>
  <si>
    <t>PLAY on DEFENSIVE strats with more lots first</t>
  </si>
  <si>
    <t>659pm</t>
  </si>
  <si>
    <t xml:space="preserve">Stat arb. </t>
  </si>
  <si>
    <t>too many cuts too soon</t>
  </si>
  <si>
    <t>&gt;=10</t>
  </si>
  <si>
    <t>3 feb 806pm</t>
  </si>
  <si>
    <t>717pm</t>
  </si>
  <si>
    <t>bias towards some hikes for the case of pause and then hikes</t>
  </si>
  <si>
    <t xml:space="preserve">should not have hikes </t>
  </si>
  <si>
    <t>exit 2 @ 1</t>
  </si>
  <si>
    <t>early exit bcoz can go negativve + 3RD FRA 1!(pricing wise -8,-12)</t>
  </si>
  <si>
    <t>FRA driven move (3rd fra 12 -&gt; 4)</t>
  </si>
  <si>
    <t>730PM</t>
  </si>
  <si>
    <t>Sz(20,19)</t>
  </si>
  <si>
    <t>~23,24</t>
  </si>
  <si>
    <t>middle of pricing range (max being 27)</t>
  </si>
  <si>
    <t>7pm event</t>
  </si>
  <si>
    <t>Sz(-5,-6) + ranged (-5 to -2)</t>
  </si>
  <si>
    <t xml:space="preserve">Bias towards too many cuts </t>
  </si>
  <si>
    <t>~ -0.03</t>
  </si>
  <si>
    <t xml:space="preserve">defensive entry </t>
  </si>
  <si>
    <t>exit 1 @ -4</t>
  </si>
  <si>
    <t>3 feb 436pm</t>
  </si>
  <si>
    <t>Scratched 2 @ 2</t>
  </si>
  <si>
    <t>holding 2 lots till event; can get better entry</t>
  </si>
  <si>
    <r>
      <rPr>
        <b/>
        <sz val="10"/>
        <color rgb="FF333333"/>
        <rFont val="Calibri"/>
        <family val="2"/>
      </rPr>
      <t>Nonfarm Payrolls (Jan</t>
    </r>
    <r>
      <rPr>
        <b/>
        <sz val="10"/>
        <color rgb="FF434343"/>
        <rFont val="Calibri"/>
        <family val="2"/>
      </rPr>
      <t>) (P260K F185K A517K)</t>
    </r>
  </si>
  <si>
    <t>Outrights went down 3-4 ticks initially then went down 10+ticks (6-7ticks in 1 hr)</t>
  </si>
  <si>
    <r>
      <rPr>
        <b/>
        <sz val="10"/>
        <color rgb="FF333333"/>
        <rFont val="Calibri"/>
        <family val="2"/>
      </rPr>
      <t>Unemployment Rate (Jan</t>
    </r>
    <r>
      <rPr>
        <b/>
        <sz val="10"/>
        <color rgb="FF434343"/>
        <rFont val="Calibri"/>
        <family val="2"/>
      </rPr>
      <t>) (p3.5% f3.6% a3.4%)</t>
    </r>
  </si>
  <si>
    <t>IR J24</t>
  </si>
  <si>
    <t>Momentum + RZ in excel (Rz D)</t>
  </si>
  <si>
    <t>705pm</t>
  </si>
  <si>
    <t>enter with more lots if allof the important data is strong and/or hold (partial lots) for 15-45mins</t>
  </si>
  <si>
    <t>6MINS</t>
  </si>
  <si>
    <t>706PM</t>
  </si>
  <si>
    <t xml:space="preserve">WENT TILL 96.56 </t>
  </si>
  <si>
    <t>WAIT TILL 4-5 TICKS WITH 1 LOT AT LEAST (min variance; so w8 10mins- 15mins)</t>
  </si>
  <si>
    <t>wait 20mins at least if not going anti</t>
  </si>
  <si>
    <t>lagging trades hold a little longer</t>
  </si>
  <si>
    <t>Entering once with defined lots better (more lots when data is very strong and is supported by markets)</t>
  </si>
  <si>
    <t>went till 96.32</t>
  </si>
  <si>
    <t>So my strength is in entering once with defined lots rather than adding on positions (cant hold longer as less conviction + experience)</t>
  </si>
  <si>
    <t>Enter once (with more lots if data is respected by mkts and is very strong as well)</t>
  </si>
  <si>
    <t>724pm</t>
  </si>
  <si>
    <t>can go 0 or negative if no more hikes</t>
  </si>
  <si>
    <t>738pm</t>
  </si>
  <si>
    <t>NO MORE conviction</t>
  </si>
  <si>
    <t>Defensive trades only with more lots (5,7) + lagging trades</t>
  </si>
  <si>
    <t>816PM</t>
  </si>
  <si>
    <t>848PM</t>
  </si>
  <si>
    <t>540AM</t>
  </si>
  <si>
    <t>Ranged (-3,-5)</t>
  </si>
  <si>
    <t>Curve anomaly (j23 fly long or s23 fly short) s23 common + in direction of curve</t>
  </si>
  <si>
    <t>&lt;=-5</t>
  </si>
  <si>
    <t>7 FEB 1040AM</t>
  </si>
  <si>
    <t>Scratched 3 @ -3  | 2 @ -5</t>
  </si>
  <si>
    <r>
      <rPr>
        <b/>
        <sz val="10"/>
        <color rgb="FF333333"/>
        <rFont val="Calibri"/>
        <family val="2"/>
      </rPr>
      <t>Retail Sales (QoQ) (Q4</t>
    </r>
    <r>
      <rPr>
        <b/>
        <sz val="10"/>
        <color rgb="FF434343"/>
        <rFont val="Calibri"/>
        <family val="2"/>
      </rPr>
      <t>) (p0.2% f-0.6% a-0.2%)</t>
    </r>
  </si>
  <si>
    <t>NO MOVE (outrigths were already down 3-5 ticks)</t>
  </si>
  <si>
    <t>6 feb 23, 7 feb 23</t>
  </si>
  <si>
    <t>714am, 648am</t>
  </si>
  <si>
    <t>Rz @ (6 to 8)</t>
  </si>
  <si>
    <t>should go towards 0 (bias of less hikes)</t>
  </si>
  <si>
    <t>4 ticks affordable</t>
  </si>
  <si>
    <t>0 or 3</t>
  </si>
  <si>
    <t>hold till aftr event</t>
  </si>
  <si>
    <t>bias towards 0</t>
  </si>
  <si>
    <t>1123pm</t>
  </si>
  <si>
    <t>Add 1 more nxt session | done | SCRATCHED 1 @ 5</t>
  </si>
  <si>
    <t>1138AM</t>
  </si>
  <si>
    <t>S23 FLY CALENDAR</t>
  </si>
  <si>
    <t>Rz @ (8-10)</t>
  </si>
  <si>
    <t>s23 s @ -3 | d23 b @ -11</t>
  </si>
  <si>
    <t>&lt;=6</t>
  </si>
  <si>
    <t>hold till aftr event | FRI</t>
  </si>
  <si>
    <t>7 FEB 1154AM</t>
  </si>
  <si>
    <t>D23 EXIT @ -12 | S23 @ -5</t>
  </si>
  <si>
    <t>258am</t>
  </si>
  <si>
    <t>Ranged (-1 to -5)</t>
  </si>
  <si>
    <t>Curve anomaly (j23 fly long or s23 fly short) s23 common + in direction of curve + bias of not positive</t>
  </si>
  <si>
    <t>9 feb 23 411pm</t>
  </si>
  <si>
    <t>exit 3 @ -5 (EVENT) | 2 @ -6</t>
  </si>
  <si>
    <t>6AM</t>
  </si>
  <si>
    <t>RBA HIKES 25BP (3.35%)</t>
  </si>
  <si>
    <t>OUTRIGHTS WENT DOWN 10+BP as statement marginally hawkish</t>
  </si>
  <si>
    <t>bias of long side</t>
  </si>
  <si>
    <t xml:space="preserve">scratch -9 </t>
  </si>
  <si>
    <t>2D</t>
  </si>
  <si>
    <t>9feb 657pm, 10 FEB 425AM</t>
  </si>
  <si>
    <t>1 @-10</t>
  </si>
  <si>
    <t>Scratch</t>
  </si>
  <si>
    <t>aggressive</t>
  </si>
  <si>
    <t>UNCLEAR view @ backs due to growth concerns</t>
  </si>
  <si>
    <t>scale down in far backs &amp; kink (2,3,5) and hold less duration</t>
  </si>
  <si>
    <t>SZ @ -1</t>
  </si>
  <si>
    <t>Should not be positive (less downside)</t>
  </si>
  <si>
    <t>-6 to -8</t>
  </si>
  <si>
    <t>16 FEB 23 6AM</t>
  </si>
  <si>
    <t>exit 2@-5, 2@-6 &gt;&gt; all @-4</t>
  </si>
  <si>
    <t>short @-3 3, -2 4 | DONE</t>
  </si>
  <si>
    <t xml:space="preserve">stat arb </t>
  </si>
  <si>
    <t>10 FEB 435AM</t>
  </si>
  <si>
    <t>scratched 1 \ Scratched 2 @ -16 (since growth expectations bad in 23,24); entered again @ -16</t>
  </si>
  <si>
    <t>ranged mkt (can just scalp till thu)</t>
  </si>
  <si>
    <t>respecting the patience | wrong direction; scratched 1</t>
  </si>
  <si>
    <t>940AM</t>
  </si>
  <si>
    <t>Stat arb -13 (1st time) + liq gap @-12</t>
  </si>
  <si>
    <t>hold till thu</t>
  </si>
  <si>
    <t>14 FEB 724PM</t>
  </si>
  <si>
    <t>SCRATCH | 2@-15</t>
  </si>
  <si>
    <t>held longer from long side | could have exited at -12 the same day</t>
  </si>
  <si>
    <t>growth bad -&gt; can go lower | enter shorting side</t>
  </si>
  <si>
    <t>Sz @ -12</t>
  </si>
  <si>
    <t>Hedge for remaining S23 spd</t>
  </si>
  <si>
    <t>156pm</t>
  </si>
  <si>
    <t>4,5</t>
  </si>
  <si>
    <t>1040AM</t>
  </si>
  <si>
    <t>should retrace a little</t>
  </si>
  <si>
    <t>1.5h</t>
  </si>
  <si>
    <t>1255pm</t>
  </si>
  <si>
    <t>Since can go higher | did go till 35 during Powell speech later at night</t>
  </si>
  <si>
    <t>1247am</t>
  </si>
  <si>
    <t>425am</t>
  </si>
  <si>
    <t xml:space="preserve">TIMEOUT | no new entries till FRI </t>
  </si>
  <si>
    <t>SCALE DOWN</t>
  </si>
  <si>
    <t>3AM</t>
  </si>
  <si>
    <t>LIQ GAP FROM 41 TO 44 (later entry as well)</t>
  </si>
  <si>
    <t>BIAS TOWARDS 38</t>
  </si>
  <si>
    <t>Bias of lesser hikes</t>
  </si>
  <si>
    <t>41 - 38</t>
  </si>
  <si>
    <t>5am</t>
  </si>
  <si>
    <t>aggressive entry</t>
  </si>
  <si>
    <t>Pricing ~48</t>
  </si>
  <si>
    <t>NOT A MKT TO ENTER WITH MORE LOTS IN SINGLE PRICES</t>
  </si>
  <si>
    <t>448AM, 609AM</t>
  </si>
  <si>
    <t>should go towards 0 (bias of less hikes in these qtrs)</t>
  </si>
  <si>
    <t>6,7</t>
  </si>
  <si>
    <t>13 FEB 412AM</t>
  </si>
  <si>
    <t>EXIT 9</t>
  </si>
  <si>
    <t>SOMP FEB23 | Inflation is expected to decline in near term</t>
  </si>
  <si>
    <t>outrights were already down; went up then came down again; 1st spd already up, stayed there for a while, 2nd, 3rd spd went up then retraced 1 tick, backs no major move but selling pressure occured</t>
  </si>
  <si>
    <t>Uncertain mkts | avoid multiple contracts @ back (use (2,3,5)) | mid and fronts can go with 1,2; avoid 1st contract</t>
  </si>
  <si>
    <t>11am</t>
  </si>
  <si>
    <t>Prev Sz</t>
  </si>
  <si>
    <t>bias towards down</t>
  </si>
  <si>
    <t>13 feb 23 608am</t>
  </si>
  <si>
    <t xml:space="preserve">Short 2 more for hedge as well for j24 spd </t>
  </si>
  <si>
    <t>hold, exit @ -11</t>
  </si>
  <si>
    <t>924pm</t>
  </si>
  <si>
    <t>&gt;6, NEAR 0</t>
  </si>
  <si>
    <t>NXT BUY @ 15x2</t>
  </si>
  <si>
    <t>HOLD</t>
  </si>
  <si>
    <t>13 feb 23 909am</t>
  </si>
  <si>
    <t>exit @ 9</t>
  </si>
  <si>
    <t>hold till 15 and buy 2 @ 15</t>
  </si>
  <si>
    <t>Avoid shorting front spds</t>
  </si>
  <si>
    <t>Hawkish state @ front | cuts should shift far back | kink shift back anticipation</t>
  </si>
  <si>
    <t>SCALE DOWN | (1,2,3)</t>
  </si>
  <si>
    <t>TIMEOUT | TRADE LESS FREQUENTLY AND WITH LESSER LOTS</t>
  </si>
  <si>
    <t>MKT not in a state where you can take more lots @ 1 price | take few lots @ different prices</t>
  </si>
  <si>
    <t>Avoid trading | TIMEOUT FOR SOME TIME</t>
  </si>
  <si>
    <t>412AM</t>
  </si>
  <si>
    <t>Should not be positive</t>
  </si>
  <si>
    <t>15 feb 748pm</t>
  </si>
  <si>
    <t>Will remember this!</t>
  </si>
  <si>
    <t>16 feb 330am</t>
  </si>
  <si>
    <t>mkt in a hawkish state</t>
  </si>
  <si>
    <t>10pm</t>
  </si>
  <si>
    <t>9feb 411pm</t>
  </si>
  <si>
    <t>Transferred above</t>
  </si>
  <si>
    <t>7PM</t>
  </si>
  <si>
    <t>US CORE CPI MOM (JAN) (P0.4%, F0.4% A0.4%)</t>
  </si>
  <si>
    <t>OUTRIGHTS MOVED DOWN 7-8 TICKS RETRACED 3-4 TICKS | NO MAJOR MOVE</t>
  </si>
  <si>
    <t>Nxt session v late ret of outrights</t>
  </si>
  <si>
    <t>10 ticks ret. in IR</t>
  </si>
  <si>
    <t>very late move downwards of 10 ticks</t>
  </si>
  <si>
    <t>US CPI MOM JAN (P-0,1% F0.5% A0.5%)</t>
  </si>
  <si>
    <t>outrights went down more @ 930pm</t>
  </si>
  <si>
    <t>US CPI YOY JAN (P6.5% F6.2% A6.5%)</t>
  </si>
  <si>
    <t>slight hawkish</t>
  </si>
  <si>
    <t>US CORE CPI YOY JAN (P5.7% F5.5% A 5.6%)</t>
  </si>
  <si>
    <t>14 feb 23, 15 feb 23, 16 FEB 23</t>
  </si>
  <si>
    <t>757PM, mkt open, EVENT</t>
  </si>
  <si>
    <t>BAD GROWTH + CUTS SHOULD BE PRICED IN</t>
  </si>
  <si>
    <t>Scalping+BIAS towards more cuts</t>
  </si>
  <si>
    <t>&gt;=-11</t>
  </si>
  <si>
    <t>add more @-9</t>
  </si>
  <si>
    <t>Scalp</t>
  </si>
  <si>
    <t>exit 3 @ -11</t>
  </si>
  <si>
    <t>912 pm</t>
  </si>
  <si>
    <t>Sz @ 15</t>
  </si>
  <si>
    <t>more cuts if more hikes</t>
  </si>
  <si>
    <t>bias of less hikes</t>
  </si>
  <si>
    <t>nxt entry would be @20</t>
  </si>
  <si>
    <t>&lt;=12</t>
  </si>
  <si>
    <t>still very hawkish till end of 23</t>
  </si>
  <si>
    <t>258AM</t>
  </si>
  <si>
    <t>safe exit</t>
  </si>
  <si>
    <t>505AM</t>
  </si>
  <si>
    <t>17feb 12am</t>
  </si>
  <si>
    <t>Scalp/scratch</t>
  </si>
  <si>
    <t>Sz @ 1,2</t>
  </si>
  <si>
    <t>max ret. @ -4</t>
  </si>
  <si>
    <t>645am</t>
  </si>
  <si>
    <t>hodl</t>
  </si>
  <si>
    <t>US Core Retail Sales (MoM) (Jan) (P-0.9% F0.8% A2.3%)</t>
  </si>
  <si>
    <t>Outrights went down very little as compared to data, retraced half | 1st spd went up 1tick, 2nd spd went down from 19 to 16 3rd spd went up 2ticks, backs went up 1tick</t>
  </si>
  <si>
    <t>US Retail Sales (MoM) (Jan) (P-1.1% F1.8% A3%)</t>
  </si>
  <si>
    <t>Employment change Jan (p-14.6k f20k a-11k)</t>
  </si>
  <si>
    <t>Outrights went up 5-8ticks | 1st spd down 5 ticks 2nd spd down 4 ticks rest same | only 1 tick moves @ back can scalp asap | data was negative (not less positive) so move was strong</t>
  </si>
  <si>
    <t>follow transition phase, no risky bets</t>
  </si>
  <si>
    <t>comeback in 2nd half of month slow and steady</t>
  </si>
  <si>
    <t>book 1 tick intraday</t>
  </si>
  <si>
    <t xml:space="preserve">Expectations 20k but actual -ve so miss by a big difference; move (even if temporary) should come </t>
  </si>
  <si>
    <t>Unemployment change (p3.5% f3.5% a3.7%)</t>
  </si>
  <si>
    <t>high dovish</t>
  </si>
  <si>
    <t>Track IB trades; if false move can retrace</t>
  </si>
  <si>
    <t>IB Apr ~ 96.35 short</t>
  </si>
  <si>
    <t xml:space="preserve">IR S24 </t>
  </si>
  <si>
    <t>30mins</t>
  </si>
  <si>
    <t>636am</t>
  </si>
  <si>
    <t>Hit @ 2 price below</t>
  </si>
  <si>
    <t>623 am</t>
  </si>
  <si>
    <t>Hit @ best mkt price</t>
  </si>
  <si>
    <t>18h</t>
  </si>
  <si>
    <t>17 feb 12am</t>
  </si>
  <si>
    <t>11pm</t>
  </si>
  <si>
    <t>11PM</t>
  </si>
  <si>
    <t>EARLY EXIT AS OPPOSITE OF CURVE AND MOMENTUM</t>
  </si>
  <si>
    <t>624am</t>
  </si>
  <si>
    <t>Ranged (49 to 46)</t>
  </si>
  <si>
    <t>20 mins</t>
  </si>
  <si>
    <t>644am</t>
  </si>
  <si>
    <t>next entry @ 51,52</t>
  </si>
  <si>
    <t>912pm</t>
  </si>
  <si>
    <t>Rz (51 to 54)</t>
  </si>
  <si>
    <t>~0.48</t>
  </si>
  <si>
    <t>range (changes)</t>
  </si>
  <si>
    <t>20 feb 648am</t>
  </si>
  <si>
    <t>705am</t>
  </si>
  <si>
    <t>21 feb 1058am</t>
  </si>
  <si>
    <t>scratch</t>
  </si>
  <si>
    <t>then start cutting</t>
  </si>
  <si>
    <t>EXIT B4 WED</t>
  </si>
  <si>
    <t>747am</t>
  </si>
  <si>
    <t>Rz @ -9</t>
  </si>
  <si>
    <t>24 feb 925am, 27 feb 648am</t>
  </si>
  <si>
    <t>if hits -9 scratch 4 | done</t>
  </si>
  <si>
    <t>scratched 2 | scratched 2</t>
  </si>
  <si>
    <t>EXIT B4 THU | exit 1 b4 fri 2nd session</t>
  </si>
  <si>
    <t>753am</t>
  </si>
  <si>
    <t>Rz @ -12 + ranged (-12 to -15)</t>
  </si>
  <si>
    <t>Scalping + more cuts in these qtrs</t>
  </si>
  <si>
    <t>23 feb 443pm</t>
  </si>
  <si>
    <t>a little defensive</t>
  </si>
  <si>
    <t>Should go down | upside risk low</t>
  </si>
  <si>
    <t>EXIT B4 THU</t>
  </si>
  <si>
    <t>446am</t>
  </si>
  <si>
    <t>Ranged (1 to 3)</t>
  </si>
  <si>
    <t>6h</t>
  </si>
  <si>
    <t>1058am</t>
  </si>
  <si>
    <t>MAX 2 ENTRIES</t>
  </si>
  <si>
    <t>ACE</t>
  </si>
  <si>
    <t>6am</t>
  </si>
  <si>
    <t>RBA minutes | 1) Pause was not discussed 2) 50bp argument was mainly from wages angles, and more persistent inflation than previously thought </t>
  </si>
  <si>
    <t>1st 3 spds moved up and retraced</t>
  </si>
  <si>
    <t>Dont hesitate if 2 ticks anti with more lots | get used to it | only a multiplier</t>
  </si>
  <si>
    <t>MAX 2 ENTRIES | Check stat analysis</t>
  </si>
  <si>
    <t>Selective Defensive, direction of curve | 0,7,8 | if touched &gt; 2 ticks if flipped &gt; scalp</t>
  </si>
  <si>
    <t>DO NOT DISCUSS W ANYONE!</t>
  </si>
  <si>
    <t>533AM</t>
  </si>
  <si>
    <t>Rz @ 3,4</t>
  </si>
  <si>
    <t>2 or scratch</t>
  </si>
  <si>
    <t>depends on better price</t>
  </si>
  <si>
    <t>short @ 5 and hold for ret</t>
  </si>
  <si>
    <t>Catch this session; exit nxt session or day</t>
  </si>
  <si>
    <t>WPI QOQ Q4 (P1% F1% A0.8%)</t>
  </si>
  <si>
    <t>Outrights were already down went up so 2-3 ticks aftr hitting | front spd went down aftr going up (till d23 spd) | backs no major move</t>
  </si>
  <si>
    <t>if it beats previous (0.7%) then up | if &gt;1% down</t>
  </si>
  <si>
    <t>front Spd went down more later</t>
  </si>
  <si>
    <t>WPI YOY (P3.1% F3.5% A3.3%)</t>
  </si>
  <si>
    <t>few mins</t>
  </si>
  <si>
    <t xml:space="preserve">aftr data leading ones started to fall and was only 2 ticks in the money | quick exit + would have gone for short trade </t>
  </si>
  <si>
    <t>Nxt time take a front spd trade (if not at extreme)</t>
  </si>
  <si>
    <t>RBNZ HIKES BY 50BP (4.75%)</t>
  </si>
  <si>
    <t>No big move | 75 BPS WERE CONSIDERED | MONETARY CONDITIONS NEED TO TIGHTEN FURTHER</t>
  </si>
  <si>
    <t>IB Apr 96.32 short | 15bp | missed again; hit nxt time dont think</t>
  </si>
  <si>
    <t>Selective Defensive, direction of curve |3,4,5 &gt; 0,7,8 | if touched &gt; 2 ticks | if flipped &gt; scalp</t>
  </si>
  <si>
    <t>Rz @ -14, -13</t>
  </si>
  <si>
    <t>50mins</t>
  </si>
  <si>
    <t>910AM</t>
  </si>
  <si>
    <t>Liq gap (52 to 48)</t>
  </si>
  <si>
    <t>626pm</t>
  </si>
  <si>
    <t>TIMEOUT AFTR THIS WEEK</t>
  </si>
  <si>
    <t>did not want to hold long</t>
  </si>
  <si>
    <t>went till 56 easily 23 feb 4pm</t>
  </si>
  <si>
    <t>nxt time take 2 entries somehow | exit 1 @ the specified liq gap end and hold the other w trailing SL @ scratch+1 level</t>
  </si>
  <si>
    <t>US GDP (QoQ) (Q4) (P3.2% F2.9% A2.7%)</t>
  </si>
  <si>
    <t>No big moves</t>
  </si>
  <si>
    <t>US Initial jobless claims (p194k f200k a192k)</t>
  </si>
  <si>
    <t>7pm</t>
  </si>
  <si>
    <t>US core PCE index MOM Jan (p0.4% f0.4% a0.6%)</t>
  </si>
  <si>
    <t>Outrights went down by 9-10bp and stayed there till 1230am</t>
  </si>
  <si>
    <t>WED Aud cpi + gdp data &gt; mkt state can change</t>
  </si>
  <si>
    <t>recession odds are higher now + cuts will be sooner (around m24 to s24)</t>
  </si>
  <si>
    <t>Terminal can go and stay around 5%; US effect</t>
  </si>
  <si>
    <t>US core PCE index YOY Jan (p4.6% f4.3% a4.7%)</t>
  </si>
  <si>
    <t>1130pm</t>
  </si>
  <si>
    <t>Stat arb (21 above) + gap &amp; potential SL hits | moved from 18 to 23 (6ticks) | var 75 3-4ticks | ret</t>
  </si>
  <si>
    <t>20 or 21 (mostly 21) | exit 1 at 21</t>
  </si>
  <si>
    <t>Gap</t>
  </si>
  <si>
    <t>enter 2 @ 27</t>
  </si>
  <si>
    <t>mon</t>
  </si>
  <si>
    <t>tue retail sales</t>
  </si>
  <si>
    <t>27 feb 320pm</t>
  </si>
  <si>
    <t>Hold till 2nd half | TOUCHED 20 then 2nd session went back to 23</t>
  </si>
  <si>
    <t>scratched 1 | 2</t>
  </si>
  <si>
    <t>should have exited @ 21 x 1</t>
  </si>
  <si>
    <t>if going against direction of curve, exit within next session, if ret was the plan</t>
  </si>
  <si>
    <t xml:space="preserve">not a holding market; trade frequently </t>
  </si>
  <si>
    <t>AUD Retail sales (p-3.9% f1.5% a1.9%)</t>
  </si>
  <si>
    <t>Outrights moved up instead of down</t>
  </si>
  <si>
    <t>FEW MINS</t>
  </si>
  <si>
    <t>mkt was already up so took a short position | started going up! |later realized it came down from the top already | only when big misses occur it will continue to go down</t>
  </si>
  <si>
    <t>Look at lead lag once (like the fronts) | if no move there, avoid trading</t>
  </si>
  <si>
    <t>Went down to 95.91 in 30mins | shit move</t>
  </si>
  <si>
    <t>CPI expectations were dovish int down ir up | already up; Retail sales hawkish int up ir down &gt; came down but tom cpi dovish so respected that</t>
  </si>
  <si>
    <t>Avoid trading in retails sales of AUD | not important</t>
  </si>
  <si>
    <t>Never trade wrt volume; nxt level spoofing</t>
  </si>
  <si>
    <t>Hawkish bias</t>
  </si>
  <si>
    <t>3 &gt; scratch</t>
  </si>
  <si>
    <t>Rz @ 4</t>
  </si>
  <si>
    <t>1 mar 948AM</t>
  </si>
  <si>
    <t>Pause bias after Mar 1 data</t>
  </si>
  <si>
    <t>1254pm</t>
  </si>
  <si>
    <t xml:space="preserve">Recession bias </t>
  </si>
  <si>
    <t>-0.12 or -0.11 &gt;&gt; -11</t>
  </si>
  <si>
    <t xml:space="preserve">touched -12 + recession bias </t>
  </si>
  <si>
    <t>After RBA</t>
  </si>
  <si>
    <t>b4 lowe speech wed</t>
  </si>
  <si>
    <t>6 Mar 534pm</t>
  </si>
  <si>
    <t>with world curve view</t>
  </si>
  <si>
    <t>Transition phase : intraday + flexibility in lot sizes</t>
  </si>
  <si>
    <t>Stat arb can work only for 1 session | avoid</t>
  </si>
  <si>
    <t>Use trailing SL in outrights and book partial profits</t>
  </si>
  <si>
    <t>Lookout for potential resistnce zones (via SR zones or MAs and partial book around those zones)</t>
  </si>
  <si>
    <t>The side that you enter from is important in terms of clip sizego steady in uncertain or transforming market; with reduced shot and clip</t>
  </si>
  <si>
    <t xml:space="preserve">there should be a balance b/w no. of positions (contract wise) and the size of individual positions per contract </t>
  </si>
  <si>
    <t>March 23 live</t>
  </si>
  <si>
    <t>MAR</t>
  </si>
  <si>
    <t>CPI (YoY) (p8.4% f8.1% a7.4%)</t>
  </si>
  <si>
    <t>Outrights went up (10 ticks fter hit ret aftr 40mins) | front spds down by 6-9 ticks | backs up then ret 1 ticks</t>
  </si>
  <si>
    <t>Bonds both went up | since CPI (JAN) was recent and GDP QOQ (OCT) | Mkt will respect more the recent one (CPI in this case) so give that more weightage</t>
  </si>
  <si>
    <t>GDP (QoQ) (Q4) (p0.6% f0.8% a0.5%)</t>
  </si>
  <si>
    <t>Both data dovish | cpi a little ultra dovish</t>
  </si>
  <si>
    <t xml:space="preserve">IR S23 </t>
  </si>
  <si>
    <t>Momentum + cases + lead lag 1st ir</t>
  </si>
  <si>
    <t>48MINS</t>
  </si>
  <si>
    <t>Exit via hit + had Trailing SL</t>
  </si>
  <si>
    <t>delay in release; keep open multiple sources + listen to sir announcing it if data not displayed</t>
  </si>
  <si>
    <t xml:space="preserve">Mar 1, Mar 3 </t>
  </si>
  <si>
    <t>EVENT, 110am</t>
  </si>
  <si>
    <t>converted 7&gt;&gt;all lots to s24 fly @ -1</t>
  </si>
  <si>
    <t>Rz @ -13</t>
  </si>
  <si>
    <t>supporting data domestic and world</t>
  </si>
  <si>
    <t>Recession bias + Scalping</t>
  </si>
  <si>
    <t>Scalping since touched -13 | exit all -15/-14 if get -13</t>
  </si>
  <si>
    <t>rba tue</t>
  </si>
  <si>
    <t>3 mar 432am</t>
  </si>
  <si>
    <t>Scratch | world curve behaviour</t>
  </si>
  <si>
    <t>cut at 1 tick loss (only) if s24 spd is exit at -11</t>
  </si>
  <si>
    <t>TRY THESE PLAY TILL FRI | sl</t>
  </si>
  <si>
    <t>if there COULD be less hikes there COULD be less cuts | thats why the back spreads moved up</t>
  </si>
  <si>
    <t>Cant adjust this quickly, yet; take the losses</t>
  </si>
  <si>
    <t>LOOK FOR OPPORTUNITIES WHERE  THE MASSES CANT SEEM TO THINK THAT THEY CAN LOSE MUCH | THINK ABOUT STRONG BIASES AND SEE HOW CAN THAT FAIL, FIND CASES OF IT FAILING, BECAUSE IF AND WHEN IT MIGHT FAIL THERE WILL BE SHIFT AND EXTREME MOVES</t>
  </si>
  <si>
    <t>Always have some reserves per play/strategy available to take up new strategy when shocks happen</t>
  </si>
  <si>
    <t>Dont put all money available as risk implied; or reduce the risk by tightening the SL or partial SLs at different prices going anti</t>
  </si>
  <si>
    <t>Fell victim to liq gap | from now always have few lots reserved for this to happen | especially if exit plan is not within FEW hours (1-3)</t>
  </si>
  <si>
    <t>Ret</t>
  </si>
  <si>
    <t>mean of value ranges + near settle</t>
  </si>
  <si>
    <t>7h</t>
  </si>
  <si>
    <t>1.30pm</t>
  </si>
  <si>
    <t>Nxt session exit @ 2 var</t>
  </si>
  <si>
    <t>move did not come</t>
  </si>
  <si>
    <t>TRY THESE PLAY TILL FRI</t>
  </si>
  <si>
    <t>8AM</t>
  </si>
  <si>
    <t>Rz @ -13, -12</t>
  </si>
  <si>
    <t>Scalping + recession bias</t>
  </si>
  <si>
    <t>did not touch -12 | if touched -12 exit -14 all</t>
  </si>
  <si>
    <t>3 mar ~4,5am</t>
  </si>
  <si>
    <t>Against majority of world curves</t>
  </si>
  <si>
    <t>Mkt moves in gaps when changing theme; at extreme variances</t>
  </si>
  <si>
    <t>Ranges and zones create anchoring effect in such times</t>
  </si>
  <si>
    <t xml:space="preserve">Mkt moves a lot in small time in shocks or 1 session </t>
  </si>
  <si>
    <t>TIP : Use fewer lots and if the extreme is broken take position to scalp | Maybe try with fewer lots to add position in momentum and not heat</t>
  </si>
  <si>
    <t>Keep the SL(s) all times | dont use TT OCO always forflexibility but TT Stop should be there</t>
  </si>
  <si>
    <t>Treasury 10-year yields topped 4% for the first time since November, signaling the Fed’s warnings of higher-for-longer rates are finally sinking in</t>
  </si>
  <si>
    <t>1020am</t>
  </si>
  <si>
    <t>-13 or -12</t>
  </si>
  <si>
    <t>touched -12 exit -14 all</t>
  </si>
  <si>
    <t>6 mar 920am</t>
  </si>
  <si>
    <t>Scalp | against world curve views &gt;&gt; SCRATCH</t>
  </si>
  <si>
    <t>D23 SPD WENT TILL -6 (SHOULD HAVE SHORTED S23 FLY WHEN S23 +VE AND D23 -10)</t>
  </si>
  <si>
    <t>Had a bias that d23 would go up when it was @ -12 | and s23 spd should not have been too positive | so s23 fly short</t>
  </si>
  <si>
    <t>3.5hrs</t>
  </si>
  <si>
    <t>437pm</t>
  </si>
  <si>
    <t>aotc fill entry @ 3 | luck100</t>
  </si>
  <si>
    <t>846pm</t>
  </si>
  <si>
    <t>3 MAR 3AM</t>
  </si>
  <si>
    <t>110am</t>
  </si>
  <si>
    <t>Rz @ -11</t>
  </si>
  <si>
    <t>15h</t>
  </si>
  <si>
    <t>432pm</t>
  </si>
  <si>
    <t>go for d23 fly short x 3</t>
  </si>
  <si>
    <t>5m</t>
  </si>
  <si>
    <t>303AM</t>
  </si>
  <si>
    <t xml:space="preserve">Aftr RBA </t>
  </si>
  <si>
    <t>6 mar414am</t>
  </si>
  <si>
    <t>supports pause &amp; not many hikes in that qtr</t>
  </si>
  <si>
    <t>Aftr RBA | hodl</t>
  </si>
  <si>
    <t>Very unpredictable | scale down in usual strats | go for intraday</t>
  </si>
  <si>
    <t xml:space="preserve">Cuts wont be spread out (as fewer cuts than hikes) expect 3 backs </t>
  </si>
  <si>
    <t>sacrifice Tc in 1st entry | so 2nd one should be more than 50% and overall exposure should now be less | might take some time to get better view | directional outrights can be increased | holding period of all should be as less as possible</t>
  </si>
  <si>
    <t>HYPE YOURSELF FOR EVERY WIN AFTER A BIG LOSS |It has to come from within</t>
  </si>
  <si>
    <t>TRACK US CURVE + WORLD CURVES ON A DAILY BASIS BUT DONT TRY TO MIMIC | ONLY IF ALMOST ALL CURVES ARE BEHAVING IN A SIMILAR MANNER THEN MAY BE BE CAUTIOUS OR TAKE THOSE TRADES</t>
  </si>
  <si>
    <t xml:space="preserve">0,7,8 | m23 same session, rest whites 2 sessions (&gt;1d), belly &amp; backs 1d, j24 s24 2d </t>
  </si>
  <si>
    <t>No 10 lot trades this month/mkt state until you increase the Amount available by a lot</t>
  </si>
  <si>
    <t>0,7,8 for 2 MONTHS | min 3 (IR) | but same frequency of trading &gt;&gt; less | only pick up when chances are high and HOLDING DURATION WILL BE LESS with a good RISK-REWARD</t>
  </si>
  <si>
    <t xml:space="preserve">After RBA 10 lot quick scalps </t>
  </si>
  <si>
    <t xml:space="preserve">open RBA website in incognito </t>
  </si>
  <si>
    <t>Tgt of at least 2 ticks &gt; enter | scalp | 7 lots</t>
  </si>
  <si>
    <t>some consecutive Spds are moving anti to each other &gt; providing more movements in flies (s23 fly m24 fly)</t>
  </si>
  <si>
    <t>Short s23 fly 5 lots @ 10</t>
  </si>
  <si>
    <t>Everything is 50:50 so intraday opportunities will come | extreme jo bhi jaega jahan se 2 tick mil hi jaega; imagine those situations &gt;&gt; enter there and scalp with 7 lots</t>
  </si>
  <si>
    <t>1 session 1 entry per contract | no more 6 months | select 1 white and 1 red | if any 1 white / red gets filled cancel the rest | entry should be in a way such that scalp will be quick and easy | tip: var + 2 pe for backs</t>
  </si>
  <si>
    <t>Recession aa skta h but cuts nhi honge (zyada) since hikes nhi honge (zyada) | higher for longer</t>
  </si>
  <si>
    <t>thinking obscure &gt;&gt; cut positions and rethink the scenario</t>
  </si>
  <si>
    <t>Avoid looking at volume (bid ask qty) | That should not influence your decision</t>
  </si>
  <si>
    <t>440am</t>
  </si>
  <si>
    <t>S24 FLY CALENDAR</t>
  </si>
  <si>
    <t>KINK TRADING | Right side of kink should not be positive</t>
  </si>
  <si>
    <t>-0.03 to -0.04 | try partial exits; do not exit all at once take 2-3 shots for exit</t>
  </si>
  <si>
    <t>kink shifting can happen + downside risk is less</t>
  </si>
  <si>
    <t>Should take more @ 1 (10 lots more)</t>
  </si>
  <si>
    <t>until it gets to tgt! | #LEVERAGE</t>
  </si>
  <si>
    <t>Whole month if it takes it</t>
  </si>
  <si>
    <t>d24 @ -8 b s24 @ -9 s (mar 1, mar 3)</t>
  </si>
  <si>
    <t>at least 2 ticks | so look for 3 tick exit (when -4)</t>
  </si>
  <si>
    <t>d24 downside of 2 ticks (-10) s24 downside of 3 ticks (-6) | either of those would be 2nd entry (~1) worse case 0 | w 10 lots | high chances during US timings</t>
  </si>
  <si>
    <t>I think its called fly cause you have to catch the best price</t>
  </si>
  <si>
    <t>Retail sales MOM (p1.9% f1.9% a1.9%)</t>
  </si>
  <si>
    <t>no move</t>
  </si>
  <si>
    <t>9am</t>
  </si>
  <si>
    <t>RBA HIKES BY 25 BP (3.6%)</t>
  </si>
  <si>
    <t xml:space="preserve">DOVISH STANCE (APR 25BP 50/50) | OUTRIGTHS WENT UP (but were in big gaps of 4 bps; so avoided this time) for 25 mins </t>
  </si>
  <si>
    <t>RBA:  THE MONTHLY CPI INDICATOR SUGGESTS THAT INFLATION HAS PEAKED IN AUSTRALIA | GROWTH HAS SLOWED</t>
  </si>
  <si>
    <t>315AM</t>
  </si>
  <si>
    <t>RBA GOV LOWE: IF DATA BEFORE NEXT BOARD MEETING SUGGESTS A PAUSE, WE WILL DO THAT |  GOV LOWE: WE ARE CLOSER TO A PAUSE ON RATES</t>
  </si>
  <si>
    <t>645PM</t>
  </si>
  <si>
    <t>US ADP Nonfarm Employment Change (Feb) (p119k f200k a242k)</t>
  </si>
  <si>
    <t>1236am</t>
  </si>
  <si>
    <t>if get d23 -8 scratch + take -13 with 14 lots and scalp</t>
  </si>
  <si>
    <t>3h</t>
  </si>
  <si>
    <t>348am</t>
  </si>
  <si>
    <t>Sz @ -12 | might get better entry (FRI + NFP + US Unemp.)</t>
  </si>
  <si>
    <t>went to -10!</t>
  </si>
  <si>
    <t>159am</t>
  </si>
  <si>
    <t>Not many cuts in that qtr</t>
  </si>
  <si>
    <t>10min</t>
  </si>
  <si>
    <t>308am</t>
  </si>
  <si>
    <t>8 more</t>
  </si>
  <si>
    <t>very hard to get -8 for days</t>
  </si>
  <si>
    <t>341am</t>
  </si>
  <si>
    <t>get more @ -10</t>
  </si>
  <si>
    <t>734am</t>
  </si>
  <si>
    <t>7 more</t>
  </si>
  <si>
    <t>Curve trades of flies 1,2 in a month | 1/2 done</t>
  </si>
  <si>
    <t>If increasing go for 2x lots for 2 trades in a month | 1/2 | this is not my style</t>
  </si>
  <si>
    <t>5mins b4 mkt open (1st session) all orders</t>
  </si>
  <si>
    <t>Track world curves more often</t>
  </si>
  <si>
    <t>TRADE LEAST FREQUENTLY (EXAMPLE DEC) AND GOOD AMT OF LOTS</t>
  </si>
  <si>
    <t>HOLD FLIES FOR LONGER AT A GOOD PRICE UNTIL YOU GET PROFIT (WHOLE MONTH IF IT TAKES IT | ONLY CUT IF THEME CHANGES BY A BIG MARGIN</t>
  </si>
  <si>
    <t>Find trades of less holding time</t>
  </si>
  <si>
    <t>April 23 live</t>
  </si>
  <si>
    <t>APR</t>
  </si>
  <si>
    <t xml:space="preserve">                                                                                                                                                                                                                                                                                                                                                                                                         </t>
  </si>
  <si>
    <t>6-8 7 lot scalps/ 1 tick wins | can afford 5 consecutive 2 tick losses &gt;&gt; scale down</t>
  </si>
  <si>
    <t>3 such wins per week &gt;&gt; more than enough | obviously can try for more</t>
  </si>
  <si>
    <t>Total PnL</t>
  </si>
  <si>
    <t>AVG WINS -1 TICK</t>
  </si>
  <si>
    <t>AVG WINS * 2</t>
  </si>
  <si>
    <t>IMPLIED EXPOSURE (worst case)</t>
  </si>
  <si>
    <t>allowed max risk</t>
  </si>
  <si>
    <t>PRESENT PROCESS</t>
  </si>
  <si>
    <t>MKT STATE TOTAL RISK/ENTRY ALLOWED</t>
  </si>
  <si>
    <t>CAP TARGET</t>
  </si>
  <si>
    <t>INPUT SOME TRGT</t>
  </si>
  <si>
    <t>Either cap by target or cap by new mkt state</t>
  </si>
  <si>
    <t>RESERVED</t>
  </si>
  <si>
    <t>INPUT ADD ONS</t>
  </si>
  <si>
    <t>PRESENT PNL/ lot</t>
  </si>
  <si>
    <t>INPUT RANGE</t>
  </si>
  <si>
    <t>Available Balance (b4 risky bets) / lot</t>
  </si>
  <si>
    <t>CURRENT</t>
  </si>
  <si>
    <t xml:space="preserve">AVG </t>
  </si>
  <si>
    <t>AVG WINS/LOT</t>
  </si>
  <si>
    <t>AVG LOSS/LOT</t>
  </si>
  <si>
    <t>#</t>
  </si>
  <si>
    <t>WINS</t>
  </si>
  <si>
    <t>LOSSES</t>
  </si>
  <si>
    <t>DRAW</t>
  </si>
  <si>
    <t>PERFORMANCE ANALYSIS</t>
  </si>
  <si>
    <t>CATEGORY</t>
  </si>
  <si>
    <t>TYPE</t>
  </si>
  <si>
    <t># ORDERS</t>
  </si>
  <si>
    <t>TOTAL LOTS</t>
  </si>
  <si>
    <t>AVG GAINS/LOT</t>
  </si>
  <si>
    <t>TOTAL GAINS</t>
  </si>
  <si>
    <t>WIN%</t>
  </si>
  <si>
    <t>AVG LOSS/ LOT</t>
  </si>
  <si>
    <t>TOTAL LOSS</t>
  </si>
  <si>
    <t>LOSS%</t>
  </si>
  <si>
    <t>G/L</t>
  </si>
  <si>
    <t>NET P/L</t>
  </si>
  <si>
    <t>MODE CLIP SIZE</t>
  </si>
  <si>
    <t>AVG OF CLIP SIZE</t>
  </si>
  <si>
    <t>MAX LOSS</t>
  </si>
  <si>
    <t>G/L per lot</t>
  </si>
  <si>
    <t>CURVE</t>
  </si>
  <si>
    <t>CONTRACTS I</t>
  </si>
  <si>
    <t>WHITES</t>
  </si>
  <si>
    <t>REDS</t>
  </si>
  <si>
    <t>CONTRACTS II</t>
  </si>
  <si>
    <t>OUTRIGHTS (IR,IB)</t>
  </si>
  <si>
    <t>SPREADS</t>
  </si>
  <si>
    <t>FLIES</t>
  </si>
  <si>
    <r>
      <rPr>
        <b/>
        <sz val="10"/>
        <color rgb="FFA6A6A6"/>
        <rFont val="Calibri"/>
        <family val="2"/>
      </rPr>
      <t xml:space="preserve">CONCLUSIONS </t>
    </r>
    <r>
      <rPr>
        <b/>
        <i/>
        <sz val="10"/>
        <color rgb="FFA6A6A6"/>
        <rFont val="Calibri"/>
        <family val="2"/>
      </rPr>
      <t>(so far) | Initial plan(s); if any &gt; Observations &gt; Conclusion</t>
    </r>
  </si>
  <si>
    <t>Gradualism</t>
  </si>
  <si>
    <t xml:space="preserve">Loss/lot was more for reds </t>
  </si>
  <si>
    <t>Majority of strats were working along with biases</t>
  </si>
  <si>
    <t>Work on statistical analysis</t>
  </si>
  <si>
    <t>Scaling up of avg. clip size</t>
  </si>
  <si>
    <t>3.5% of batch volume</t>
  </si>
  <si>
    <t>Continue work on stat analysis</t>
  </si>
  <si>
    <t>Test of money management</t>
  </si>
  <si>
    <t>Sunk cost fallacy (if held longer doesnt mean have to exit in profit)</t>
  </si>
  <si>
    <t>Outrigths worked better (can increase lots in these mkts)</t>
  </si>
  <si>
    <t>Reduced holding time worked better</t>
  </si>
  <si>
    <t>technical worked better but only to get entries</t>
  </si>
  <si>
    <t>Keep hedges prepared</t>
  </si>
  <si>
    <t>Be flexible to change bias as per mkt behaviour, be quick with it in transitioning mkt</t>
  </si>
  <si>
    <t>Prevent opportunity cost by managing risk (like reducing a few lots in an existing trade that is going no where)</t>
  </si>
  <si>
    <t>Avoid sunk cost fallacy by adapting to the mkt (have trailing SL or defined holding period)</t>
  </si>
  <si>
    <t>money management &gt; reduce lots or take defensive trades</t>
  </si>
  <si>
    <t>Seems less intuitive for more-lots outrights but it should work</t>
  </si>
  <si>
    <t>Curve trades of flies 1,2 in a month</t>
  </si>
  <si>
    <t>If increasing, go for 2x lots for 2 trades in a month which has high chance</t>
  </si>
  <si>
    <t>PRESENT</t>
  </si>
  <si>
    <t>AVG</t>
  </si>
  <si>
    <t>DATE</t>
  </si>
  <si>
    <t>TT time</t>
  </si>
  <si>
    <t>ABOVE</t>
  </si>
  <si>
    <t>EQUAL</t>
  </si>
  <si>
    <t>BELOW</t>
  </si>
  <si>
    <t>above/below</t>
  </si>
  <si>
    <t>ENTRY/AVG BUY</t>
  </si>
  <si>
    <t>DATES</t>
  </si>
  <si>
    <t>CPI report (P5.1% F6.2% A6.1%)</t>
  </si>
  <si>
    <t>IR High Volatility up</t>
  </si>
  <si>
    <t>IR SEP 23</t>
  </si>
  <si>
    <t>SPECULATION</t>
  </si>
  <si>
    <t>-</t>
  </si>
  <si>
    <t>BASED ON MOMENTUM SPECULATION</t>
  </si>
  <si>
    <t>IR JUN 23</t>
  </si>
  <si>
    <t>AFTER CPI NEWS (INFLATION LOWER THAN EXPECTED) FOLLOWING MOMENTUM</t>
  </si>
  <si>
    <t>HIGH VOLATILITY DURING RELEASES, CAREFUL</t>
  </si>
  <si>
    <t>IR MAR 23</t>
  </si>
  <si>
    <t>AFTER CPI NEWS (INFLATION LOWER THAN EXPECTED)</t>
  </si>
  <si>
    <t>IR DEC 22</t>
  </si>
  <si>
    <t>IR SEP 22</t>
  </si>
  <si>
    <t>ir dec 23</t>
  </si>
  <si>
    <t>MOMENTUM</t>
  </si>
  <si>
    <t xml:space="preserve">2 TICK </t>
  </si>
  <si>
    <t>MINS</t>
  </si>
  <si>
    <t xml:space="preserve">PLANNED MOMENTUM </t>
  </si>
  <si>
    <t>RETAIL SALES (P0.9%, F0.5%, A0.2%)</t>
  </si>
  <si>
    <t>NEUTRAL POSITION (NET 0) TO MOMENTUM SIDE (B)</t>
  </si>
  <si>
    <t>TECHNICAL ISSUE; could not execute SELL on time</t>
  </si>
  <si>
    <t>EXIT PLAN RIGHT AFTER RETAIL SALES RELEASE (P 0.9%, F0.5%, A 0.2%) MKT WENT UP QUICKLY, THEN CAME DOWN SLOWLY</t>
  </si>
  <si>
    <t xml:space="preserve">PPI (YOY Q2 P4.9% A5.4% | QOQ P1.6%, F1.4% A1.4%) | </t>
  </si>
  <si>
    <t>IR Low volatility; High volatility later UP</t>
  </si>
  <si>
    <t>HOLDING (PARTLY BECAUSE OF TECHNICAL ISSUES) | BAD OBSERVATION</t>
  </si>
  <si>
    <t>PVT SECTOR CREDIT MOM P0.8% A0.9%</t>
  </si>
  <si>
    <t>IR DEC22</t>
  </si>
  <si>
    <t>SELLING WRT MKT DIRECTION</t>
  </si>
  <si>
    <t>REVERSE POSITION</t>
  </si>
  <si>
    <t>TECH ISSUE</t>
  </si>
  <si>
    <t>5 DAYS</t>
  </si>
  <si>
    <t>WOULD HAVE SOLD WAY EARLIER</t>
  </si>
  <si>
    <t>SOLD 2 ON LIMITS, COULD NOT TRACK</t>
  </si>
  <si>
    <t>IR SEP22</t>
  </si>
  <si>
    <t>LUCK100</t>
  </si>
  <si>
    <t>IR MAR23</t>
  </si>
  <si>
    <t>IR JUN23</t>
  </si>
  <si>
    <t>SIGNAL ENTRY. REACTIVE EXIT OR FLIPPING POSITION</t>
  </si>
  <si>
    <t>0.1 TICKS OVERVALUED. EXPECTING 0.1 TICK DOWN</t>
  </si>
  <si>
    <t>EXPECTED SIDEWAYS MARKET &amp; BETTING ON OVERBOUGHT ZONE TO REVERSION</t>
  </si>
  <si>
    <t>HOLDING SINCE OVERPRICED</t>
  </si>
  <si>
    <t>added positions based on indicators</t>
  </si>
  <si>
    <t>SHOULD HAVE ADDED STOPLOSS</t>
  </si>
  <si>
    <t>MOMENTUM OR HOLD TILL REVERSION</t>
  </si>
  <si>
    <t>saved a loss position by following momentum</t>
  </si>
  <si>
    <t>SHOULD HAVE ADDED STOPLOSS; added stop order</t>
  </si>
  <si>
    <t>INTEREST RATE (P1.31% F 1.85%, A1.85%)</t>
  </si>
  <si>
    <t>Medium Volatility Up</t>
  </si>
  <si>
    <t>FUNDAMENTAL VALUE 97.4</t>
  </si>
  <si>
    <t>97.3 (0.03 BELOW)</t>
  </si>
  <si>
    <t>FUNDAMENTAL VALUE SELL (97.4)</t>
  </si>
  <si>
    <t>STOPLOSS GOT TRIGGERED</t>
  </si>
  <si>
    <t>WENT UP LATER TO 97.4; WENT TO 97.43</t>
  </si>
  <si>
    <t>PRICING WAS CORRECT</t>
  </si>
  <si>
    <t>NEED TO WORK ON STOPLOSS TARGET/STRATEGIES</t>
  </si>
  <si>
    <t>OPINION: STRATS WILL BE MORE USEFUL THAN TARGET</t>
  </si>
  <si>
    <t>TARGET CAN BE SET WHEN CALCULATED THEORETICALLY</t>
  </si>
  <si>
    <t>SIGNAL LONG SHORT ENTRY+PRICE MOMENTUM</t>
  </si>
  <si>
    <t>96.5 (0.07 ABOVE)</t>
  </si>
  <si>
    <t>LESS SELLERS BEYOND THAT POINT</t>
  </si>
  <si>
    <t>MOMENTUM  TILL 96.4; MORE BUYERS; (CHANGED 4 TIMES)</t>
  </si>
  <si>
    <t>KEPT INCREASING POSITION AS THE MOVE GOT STRONGER; BAD TIMING</t>
  </si>
  <si>
    <t>WAIT A LITTLE LONGER TO SEE THE VOLUMES; MANIPULATIVE ORDERS; RANGEBOUND</t>
  </si>
  <si>
    <t>DONT INCREASE ORDERS BY 2X; work on strength indicators</t>
  </si>
  <si>
    <t>order size should STAY small if move is not strong</t>
  </si>
  <si>
    <t>Westpac Consumer Sentiment (Aug) F-3% A-3%</t>
  </si>
  <si>
    <t>No Movement</t>
  </si>
  <si>
    <t>FUNDAMENTAL VWAP IB AVG -&gt; IR WAS 96.46;  MKT PRICE 96.27; REMAINING CONTRACTS VWAP PRICES MATCHED EXCEPT THIS</t>
  </si>
  <si>
    <t>96.21 (0.05 BELOW)</t>
  </si>
  <si>
    <t>0.05 BELOW; BUYERS LOW + LIMITING LOSS AT 0.05 RANGE CHECK</t>
  </si>
  <si>
    <t>BEFORE 96.46</t>
  </si>
  <si>
    <t>TIMING FOR ENTERING AT LOWER PRICE; ACTIVE TRADING</t>
  </si>
  <si>
    <t>OTHER CONTRACTS PRICES WERE MOVING TOWARDS THE FUNDAMENTALS; THIS WAS LAGGING</t>
  </si>
  <si>
    <t>STOPLOSS TRIGGERED</t>
  </si>
  <si>
    <t>BETTING (LOW CONFIDENCE)THAT CPI WILL BE BELOW EXPECTATIONS (SINCE OIL PRICES DECREASING SINCE JULY)</t>
  </si>
  <si>
    <t>97.24 (0.07 BELOW)</t>
  </si>
  <si>
    <t>0.07 BELOW (1B 96.3 SL23 EXEC, 1B 96.29 SL22 CANCELLED)</t>
  </si>
  <si>
    <t>around 96.32</t>
  </si>
  <si>
    <t>Fundamental is 96.318</t>
  </si>
  <si>
    <t>OFFSETTING ABOVE POSITION (LIKE STRADDLE)</t>
  </si>
  <si>
    <t>96.45 (0.04 ABOVE)</t>
  </si>
  <si>
    <t>DAY'S HIGH (1 BUY ORDER AT 96.45; REVERSING POSITION)</t>
  </si>
  <si>
    <t>AROUND 96.3</t>
  </si>
  <si>
    <t>ORDER PRESENCE</t>
  </si>
  <si>
    <t>STOPLOSS AND POSITION REVERSING ORDER TRYING</t>
  </si>
  <si>
    <t>OFFSETTING ABOVE POSITION (LIKE STRADDLE) + STRING BEHAVIOUR OF CURVES</t>
  </si>
  <si>
    <t>96.28 (0.07 ABOVE)</t>
  </si>
  <si>
    <t>0.07 ABOVE</t>
  </si>
  <si>
    <t>AROUND 96.14</t>
  </si>
  <si>
    <t>LAST ORDER PRESENCE</t>
  </si>
  <si>
    <t>STRING BEHAVIOUR CHECK</t>
  </si>
  <si>
    <t>BETTING (LOW CONFIDENCE)THAT US JUN CPI WILL BE BELOW EXPECTATIONS (SINCE OIL PRICES DECREASING SINCE JULY)</t>
  </si>
  <si>
    <t>96.23 (0.07 BELOW)</t>
  </si>
  <si>
    <t>0.007 BELOW</t>
  </si>
  <si>
    <t>ABOVE 96.32</t>
  </si>
  <si>
    <t>US CORE CPI (MOM P0.7% F0.5% A0.3%) | US CPI YOY JUL (P9.1% F8.7% 8.5%) | US CPI MOM JUL (P1.3% F0.2% A0%)</t>
  </si>
  <si>
    <t>High Volatility Up for all contracts til 1hr then starts to come down a littlw</t>
  </si>
  <si>
    <t>LESS THAN 1 HR</t>
  </si>
  <si>
    <t xml:space="preserve">NEED TO IMPROVE ENTRY TIMING DURING VOLATILE MOVEMENTS;SHOULD ENTER ASAP </t>
  </si>
  <si>
    <t>DEC22, MAR 23 LAGS (FOLLOWS) JUN SEP 23 GOING UP DURING HIGH VOLATILITY (SO FAR 2X)</t>
  </si>
  <si>
    <t>REMEMBER TO CANCEL PREVIOUS STOPLOSS AFTER THE MOVE ENDS</t>
  </si>
  <si>
    <t>NO NEED FOR RISK MANAGEMENT IN VOLATILE TRADES OF SHORT DURATION</t>
  </si>
  <si>
    <t>AFTER BOOKING PROFITS, NO TRADES FOR NOW</t>
  </si>
  <si>
    <t xml:space="preserve">JUN IS VERY VOLATILE; GO FOR LONG DURATION TRADES </t>
  </si>
  <si>
    <t>IR SEP23</t>
  </si>
  <si>
    <t>1 BIG GFOLLOWS ANOTHER BIG G (HIGH PROBABILITY)</t>
  </si>
  <si>
    <t>MORE THAN the NEXT 10 BASIS POINT PRICE (NEXT 0.1 PRICE range)</t>
  </si>
  <si>
    <t>NXT DAY END OF SESSION 1</t>
  </si>
  <si>
    <t>1 SESSION</t>
  </si>
  <si>
    <t>1 BIG G FOLLOWS ANOTHER BIG G (HIGH PROBABILITY); ONLY IF THE SESSION ENDS AT BIG G</t>
  </si>
  <si>
    <t>BAD TIMING; GREED</t>
  </si>
  <si>
    <t>MAR23 LEADS JUN23 SEP23 DEC23 WHEN GOING DOWN AFTER HIGH VOLATILITY</t>
  </si>
  <si>
    <t>NXT DAY END OF SESSION 2</t>
  </si>
  <si>
    <t>NEVER TRADE AFTER PROFIT IS BOOKED FOR THAT DAY</t>
  </si>
  <si>
    <t>OUTRIGHTS ARE DANGEROUS FOR LONG RUN</t>
  </si>
  <si>
    <t>NXT DAY END OF SESSION 3</t>
  </si>
  <si>
    <t>NEVER TRADE AFTER PROFIT IS BOOKED FOR THAT DAY; FOR NOW</t>
  </si>
  <si>
    <t>NXT DAY END OF SESSION 4</t>
  </si>
  <si>
    <t>FUNDAMENTALLY UNDERVALUED</t>
  </si>
  <si>
    <t>96.19 (0.05 BELOW)</t>
  </si>
  <si>
    <t>96.16 (0.05 BELOW)</t>
  </si>
  <si>
    <t>WENT DOWN TO 96.12; STOPLOSS PREVENTED</t>
  </si>
  <si>
    <t>VOLUME BASED INTRADAY</t>
  </si>
  <si>
    <t>96.24 (0.02 ABOVE)</t>
  </si>
  <si>
    <t>VOLUME</t>
  </si>
  <si>
    <t>LESS THAN 2 HRS</t>
  </si>
  <si>
    <t xml:space="preserve">STOPLOSS TRIGGERED </t>
  </si>
  <si>
    <t>went up to 96.24 in the next session open</t>
  </si>
  <si>
    <t>IR M23-S23</t>
  </si>
  <si>
    <t>CURVE ANALYSIS | DIRECTIONAL BASED</t>
  </si>
  <si>
    <t>-0.11 (HISTORICAL ANALYSIS)</t>
  </si>
  <si>
    <t>1-2 WEEKS HOLD</t>
  </si>
  <si>
    <t>CURVE ANALYSIS OF OUTRIGHTS, 6M SPDS AND THEIR DIRECTIONS</t>
  </si>
  <si>
    <t>96.5 (0.25 ABOVE) BASED ON EXPECTATIONS PRICING</t>
  </si>
  <si>
    <t>6 DAYS</t>
  </si>
  <si>
    <t>IR DEC23</t>
  </si>
  <si>
    <t>BELOW EMA</t>
  </si>
  <si>
    <t>96.35 (0.05 ABOVE)</t>
  </si>
  <si>
    <t>TOOK TOO LONG; MOVE REVERSED</t>
  </si>
  <si>
    <t>EARLY EXIT</t>
  </si>
  <si>
    <t>SHORT PERIODS; LESS THAN 1 HOUR</t>
  </si>
  <si>
    <t>96.15 (0.03 ABOVE)</t>
  </si>
  <si>
    <t>SEP22 REVERTS BACK TO FUNDAMENTAL IR PRICE BASED ON IB</t>
  </si>
  <si>
    <t>IR D22-2J23-D23 P</t>
  </si>
  <si>
    <t>CHANGED TO OUTRIGHT DURING MOMENTUM MOVE IN 1 SESSION</t>
  </si>
  <si>
    <t>IR S22-M24 P</t>
  </si>
  <si>
    <t>0.58 (HISTORICAL RANGES AVG) or IR S22=97.37</t>
  </si>
  <si>
    <t>FUNDAMENTAL AND HISTORICAL TECH ANALYSIS BASED TRADE</t>
  </si>
  <si>
    <t>CURVE ANALYSIS; HISTORICALLY SIMILAR SITUATION, IT SHOULD go down(t 1 week)</t>
  </si>
  <si>
    <t>NEW FUNDAMENTAL PRICE 97.37 MKT 97.40 (OVERVALUED); changed to 97.42 next day</t>
  </si>
  <si>
    <t>CURVE ANALYSIS</t>
  </si>
  <si>
    <t>2 ticks limit for loss</t>
  </si>
  <si>
    <t>FUNDAMENTAL VALUE</t>
  </si>
  <si>
    <t>fundamental gave a range</t>
  </si>
  <si>
    <t>IR MAR24</t>
  </si>
  <si>
    <t>G</t>
  </si>
  <si>
    <t>CURVE ANALYSIS; HISTORICALLY SIMILAR SITUATION, IT SHOULD COME UP</t>
  </si>
  <si>
    <t>historic analysis gave direction</t>
  </si>
  <si>
    <t>RBNZ INTEREST RATES (P2.5% F3% A3%) | AUS WAGE PRICE INDEX (P0.7% F0.8% A0.7%)</t>
  </si>
  <si>
    <t>MKT WENT UP WITHIN HOURS THEN CAME DOWN</t>
  </si>
  <si>
    <t>7BP BELOW</t>
  </si>
  <si>
    <t>1 session</t>
  </si>
  <si>
    <t>CHANGED TO OUTRIGHT DURING MOMENTUM MOVE</t>
  </si>
  <si>
    <t>Work on order management</t>
  </si>
  <si>
    <t>TREND REVERSAL MOMENTUM; LEAD LAG</t>
  </si>
  <si>
    <t>3 TICKS (NEW LOW WILL BE MADE IF TRIGGERED; REVERSE TREND DIDNT LAST)</t>
  </si>
  <si>
    <t>FEW HOURS</t>
  </si>
  <si>
    <t>bought 2 but stoploss order for only 1 contracgt was given</t>
  </si>
  <si>
    <t>stoploss got triggered</t>
  </si>
  <si>
    <t>FUNDAMENTALS REVERT TO BEFORE MOVE LEVELS IF REVERSAL STARTS(AS PER LAST TIME)</t>
  </si>
  <si>
    <t>3 TICKS (WRT ABOVE POSITIONS</t>
  </si>
  <si>
    <t>Fundamentals prev</t>
  </si>
  <si>
    <t>IR S22-M23 UP</t>
  </si>
  <si>
    <t>IR S22-S23 UP</t>
  </si>
  <si>
    <t>4 TICKS (NEW LOW WILL BE MADE IF TRIGGERED; REVERSE TREND DIDNT LAST)</t>
  </si>
  <si>
    <t>early exit as move did not go as anticipated in hours</t>
  </si>
  <si>
    <t>LEAD LAG</t>
  </si>
  <si>
    <t>3 TICKS</t>
  </si>
  <si>
    <t>LAG 2 BP</t>
  </si>
  <si>
    <t xml:space="preserve">Did not exit early </t>
  </si>
  <si>
    <r>
      <rPr>
        <b/>
        <sz val="10"/>
        <color rgb="FF434343"/>
        <rFont val="Roboto"/>
      </rPr>
      <t>Employment Change (Jul</t>
    </r>
    <r>
      <rPr>
        <b/>
        <sz val="10"/>
        <color rgb="FF434343"/>
        <rFont val="Roboto"/>
      </rPr>
      <t xml:space="preserve">) (P88.4K F25K A-40.9K ) </t>
    </r>
  </si>
  <si>
    <t xml:space="preserve">BEFORE RESULTS GONE UP; AFTER RESULTS GONE LOW; </t>
  </si>
  <si>
    <t>MOMENTUM TRADES DID NOT WORK</t>
  </si>
  <si>
    <t>MANUALLY CANT GAUGE MOMENTUM EASILY</t>
  </si>
  <si>
    <t>NEED TO USE ALGOS/ASE IN OUTRIGHTS</t>
  </si>
  <si>
    <r>
      <rPr>
        <b/>
        <sz val="10"/>
        <color rgb="FF434343"/>
        <rFont val="Roboto"/>
      </rPr>
      <t>Unemployment Rate (Jul</t>
    </r>
    <r>
      <rPr>
        <b/>
        <sz val="10"/>
        <color rgb="FF434343"/>
        <rFont val="Roboto"/>
      </rPr>
      <t>) (P3.5% F3.5% A3.4% )</t>
    </r>
  </si>
  <si>
    <t xml:space="preserve">BEARISH </t>
  </si>
  <si>
    <t>VOLUME BASED TRADING IS SHOOTING WO AIMING PROPERLY</t>
  </si>
  <si>
    <t>WORK ON ASE/ALGOS STRATS</t>
  </si>
  <si>
    <t>OUTRIGHTS WILL LEAD TO BLUNDERS  IN FUTURE</t>
  </si>
  <si>
    <t>spd | fly strats</t>
  </si>
  <si>
    <t>M23 SPD</t>
  </si>
  <si>
    <t>HIKE CYCLE BEHAVIOR</t>
  </si>
  <si>
    <t>CURVE ANALYSIS | MOVEMENT wrt KINKS and overall AND SPREADS PE BET</t>
  </si>
  <si>
    <t>CA</t>
  </si>
  <si>
    <t>HEDGED LEG</t>
  </si>
  <si>
    <t>FEW DAYS MAYBE</t>
  </si>
  <si>
    <t>next session start</t>
  </si>
  <si>
    <t>ANTICIPATION OF CURVES OF SPREADS; MUCH BETTER PROFIT%</t>
  </si>
  <si>
    <t>OVERALL MOVEMENT OF CURVES WRT SITUATION (WHEN PREVIOUS  KINK WAS DIFFERENT THAN NOW (KINK SHIFTING TOWARDS TAIL END, WHITES GOING UP)); MORE TIME OBSERVING THEIR MOVEMENT IN ONE SESSION WILL BE HELPFUL</t>
  </si>
  <si>
    <t>LONG ON SPREAD; THE SHORT LEG FELL MORE THAN LONG LEG THATS WHY PROFIT</t>
  </si>
  <si>
    <t>SPREADS NATURE IS A LITTLE HEDGED; SO RISK IS ALREADY BETTER MANAGED THAN OUTRIGHT AND CAN HOLD LONGER</t>
  </si>
  <si>
    <t>FOCUS MORE ON THE SPREAD VALUES (IT TELLS THE RELATIVE MOVEMENT), DIRECTION DOESNT MATTER; BEHAVIOUR OF CURVES MATTER; HISTORIC MAY HELP BUT NOT RELIABLE</t>
  </si>
  <si>
    <t>THINK ABOUT BACKUP; SPREADS TO FLIES</t>
  </si>
  <si>
    <t>HIKE CYCLE BEHAVIOR (betting on hike expectations to increase by 5bp (hike cycle))</t>
  </si>
  <si>
    <t>4-5 ticks up (based on spread movement)</t>
  </si>
  <si>
    <t>2+ session (if no change - out; if direction follows trailing sl)</t>
  </si>
  <si>
    <t>ANTICIPATION OF CURVES OF SPREADS BASED ON KINK MOVEMENT</t>
  </si>
  <si>
    <t>OPENED 1-2 BP LOWER IN NEXT SESSION</t>
  </si>
  <si>
    <t>WRONG ANALYSIS; move did not last</t>
  </si>
  <si>
    <t>MAKE SURE SL IS GTC</t>
  </si>
  <si>
    <t>WRONG ANALYSIS</t>
  </si>
  <si>
    <t>EARLY EXIT AND CHANGED SPREAD TO M23 SHORT AT 0.1</t>
  </si>
  <si>
    <t>BEARISH, DOWNTREND BEGINS</t>
  </si>
  <si>
    <t>CURVES BASED ON EXPECTATIONS AND THEIR CASES FOR NEXT MEETS; SAFE PLAY</t>
  </si>
  <si>
    <t>DOWNTREND BEGAN AND FUNDAMENTAL PRICES WENT CLOSER TO 50BP</t>
  </si>
  <si>
    <t>~ 13-20 BP DOWN</t>
  </si>
  <si>
    <t>TILL MEETING DATE (2 WEEKS)</t>
  </si>
  <si>
    <t>OVERBOUGHT ZONE REACHING</t>
  </si>
  <si>
    <t>CURVES BASED ON EXPECTATIONS AND THEIR CASES FOR NEXT MEETS</t>
  </si>
  <si>
    <t>OVERBOUGHT ZONE TOUCHING</t>
  </si>
  <si>
    <t>~ 0.02-0.1</t>
  </si>
  <si>
    <t>FUNDAMENTAL, TECHNICAL</t>
  </si>
  <si>
    <t>1 WEEK; IF MOVE IS SAME AFTER THIS - SELL AT MKT</t>
  </si>
  <si>
    <t>PAST BEHAVIOUR BEFORE HIKES</t>
  </si>
  <si>
    <t>REWARD/RISK MISTAKE; NEXT TIME</t>
  </si>
  <si>
    <t>check ALL meetings' probability</t>
  </si>
  <si>
    <t>GTC ORDER DID NOT EXECUTE; DISAPPEARED FROM ASE! (Tech issue?)</t>
  </si>
  <si>
    <t>REWARD/RISK PLANNED; FOR NOW CAN BE &gt;=1</t>
  </si>
  <si>
    <t>~0.1</t>
  </si>
  <si>
    <t>FUNDAMENTAL CASES MAX 9.26 IF NO HIKES ON SEP DEC</t>
  </si>
  <si>
    <t>timing can be improved; maybe use TA</t>
  </si>
  <si>
    <t>QUEUE HOLDER IS USEFUL WITH GTC ORDER</t>
  </si>
  <si>
    <t>after finding a situation fundamentally, have patience and check technicals as well (mkt rxn)</t>
  </si>
  <si>
    <t>USE CALENDAR SPDS FOR SL; BETTER THAN applying manually in outrigths (blunders)</t>
  </si>
  <si>
    <t>~0.096</t>
  </si>
  <si>
    <t>2 SESSION</t>
  </si>
  <si>
    <t>BAD TIMING; check technical VALUES closely; might give you better entry situation</t>
  </si>
  <si>
    <t>Include values for ALL meetings (worst cases for the contract); that might give you better entry value</t>
  </si>
  <si>
    <t>Planned Reward/risk; RR can be &gt;=1</t>
  </si>
  <si>
    <t>If RR is not good; trade small lots (1-2) and add SL; Only after SL make a new trade</t>
  </si>
  <si>
    <t>CHECKING CALENDAR, OUTRIGHT, &amp; ASE PERFORMANCE (2 LOTS ON EACH)</t>
  </si>
  <si>
    <t xml:space="preserve">INDIVIDUALLY WOULD HAVE BEEN ABLE TO EXIT AT 15 RATHER THAN 14 </t>
  </si>
  <si>
    <t>IF possible, exit individually rather than CALENDAR</t>
  </si>
  <si>
    <t>FOR CLOSE CALL TRACK OUTRIGHTS; FOR PLANNED TRADES (LONG TERM) USE CALENDAR</t>
  </si>
  <si>
    <t>CONCLUSION: CHECK BOTH ASE AND CALENDAR FOR BETTER ENTRY AND EXIT</t>
  </si>
  <si>
    <t>RSI 7 ABOVE 85; MA still showing bullish; ANTICIPATING BEARISH MOVE (MIGHT BE EARISH)</t>
  </si>
  <si>
    <t>0.19 FINAL</t>
  </si>
  <si>
    <t>BUYING 1 AT 0.15, 0.19</t>
  </si>
  <si>
    <t>AVERAGING</t>
  </si>
  <si>
    <t>FUNDAMENTAL CASES WORST LIKELY</t>
  </si>
  <si>
    <t>&lt;=1WEEK</t>
  </si>
  <si>
    <t>NEAR MEETING</t>
  </si>
  <si>
    <t>WRONG FUNDAMENTAL ANALYSIS; ADFOSC3,4 SHOULD BE TAKEN 0!</t>
  </si>
  <si>
    <t>Double fill at 15; so increased from 17 to 19</t>
  </si>
  <si>
    <t>check OIs and track (if going down selloff)</t>
  </si>
  <si>
    <t xml:space="preserve">SL triggered </t>
  </si>
  <si>
    <t>work on better SL management</t>
  </si>
  <si>
    <t>Scalping; FLUCTUATING BW -7, -6 BP</t>
  </si>
  <si>
    <t>trying Scalping</t>
  </si>
  <si>
    <t>USE 3 QH (TOTAL 4 orders</t>
  </si>
  <si>
    <t>use GTC Orders Always</t>
  </si>
  <si>
    <t>SL triggered</t>
  </si>
  <si>
    <t>2 SESSIONS</t>
  </si>
  <si>
    <t>trying Scalping; have 2 bp ka gap B/S order</t>
  </si>
  <si>
    <t>successful; put GTC orders at extremes; track both ASE ans Calendar</t>
  </si>
  <si>
    <t>Patience Game; might take 2 sessions</t>
  </si>
  <si>
    <t xml:space="preserve">SL 2 bp </t>
  </si>
  <si>
    <t xml:space="preserve">Less risk averse </t>
  </si>
  <si>
    <t>took 1 lot only (take 1-2 lots if less risk averse trade is working; for now)</t>
  </si>
  <si>
    <t>successful; put GTC orders at extremes; &amp; go to sleep</t>
  </si>
  <si>
    <t>Patience Game; might take 2 sessions or in between 2 sessions</t>
  </si>
  <si>
    <t>D22 FLY</t>
  </si>
  <si>
    <t>Curve Strat based on current markets</t>
  </si>
  <si>
    <t>Indicators + price action</t>
  </si>
  <si>
    <t>Indicators</t>
  </si>
  <si>
    <t>Fundamentally overpriced as all other spreads came down except this one</t>
  </si>
  <si>
    <t>CANCELLED S23 SPD AS SPREAD CURVE MIGHT CHANGE</t>
  </si>
  <si>
    <t>1 session (less than 2 hours)</t>
  </si>
  <si>
    <t>QH 3</t>
  </si>
  <si>
    <t>Bettter than M23 SPD SHORT IF SPD CURVE MOVING UP</t>
  </si>
  <si>
    <r>
      <rPr>
        <b/>
        <sz val="10"/>
        <color rgb="FF434343"/>
        <rFont val="Roboto"/>
      </rPr>
      <t>Retail Sales (MoM) (Jul</t>
    </r>
    <r>
      <rPr>
        <b/>
        <sz val="10"/>
        <color rgb="FF434343"/>
        <rFont val="Roboto"/>
      </rPr>
      <t>) (P0.2% F0.3% A1.3% )</t>
    </r>
  </si>
  <si>
    <t>IR WENT DOWN</t>
  </si>
  <si>
    <t>Scalping 101</t>
  </si>
  <si>
    <t>at 7bp consistent so put trades at 6 and 8bp then shifted to 7 as per mkt prices</t>
  </si>
  <si>
    <r>
      <rPr>
        <b/>
        <sz val="10"/>
        <color rgb="FF434343"/>
        <rFont val="Roboto"/>
      </rPr>
      <t>Retail Sales (MoM) (Jul</t>
    </r>
    <r>
      <rPr>
        <b/>
        <sz val="10"/>
        <color rgb="FF434343"/>
        <rFont val="Roboto"/>
      </rPr>
      <t>) (P0.2% F0.3% A )</t>
    </r>
  </si>
  <si>
    <t>SPREADS WENT UP</t>
  </si>
  <si>
    <r>
      <rPr>
        <b/>
        <sz val="10"/>
        <color rgb="FF434343"/>
        <rFont val="Roboto"/>
      </rPr>
      <t>Retail Sales (MoM) (Jul</t>
    </r>
    <r>
      <rPr>
        <b/>
        <sz val="10"/>
        <color rgb="FF434343"/>
        <rFont val="Roboto"/>
      </rPr>
      <t>) (P0.2% F0.3% A1.5% )</t>
    </r>
  </si>
  <si>
    <t>TAIL END IR WENT DOWN BY 20-25BP</t>
  </si>
  <si>
    <t>Put trades around the most consistent price (7bp) like 6,8 and then at 7bp</t>
  </si>
  <si>
    <t>Remember to put GTC order</t>
  </si>
  <si>
    <t xml:space="preserve">next session </t>
  </si>
  <si>
    <t>1 session (&gt;3 hours)</t>
  </si>
  <si>
    <t>Got 1 legged</t>
  </si>
  <si>
    <t>did not put SL or exit the outright that was legged</t>
  </si>
  <si>
    <t>Add SL or exit immediately if got legged in 1 outright; NO MATTER WHAT</t>
  </si>
  <si>
    <t>MODEL + MKT REACTION</t>
  </si>
  <si>
    <t>NEW HIGH; BAD SL; HIGH SL</t>
  </si>
  <si>
    <t>INDICATOR + MODEL</t>
  </si>
  <si>
    <t>INVALID TRADE DUE TO 1 LEGGED MISTAKE</t>
  </si>
  <si>
    <t>workS late in early sessions of 2nd sessions</t>
  </si>
  <si>
    <t>DOESNT COUNT; cant do in live; need to be efficient</t>
  </si>
  <si>
    <t>MOMENTUM + EXPECTING CONDITIONS OF MODEL</t>
  </si>
  <si>
    <t>MODEL</t>
  </si>
  <si>
    <t>LESS RISK SO 1 TICK; SAME PRICE FOR LONG TIME</t>
  </si>
  <si>
    <t>NOT SURE; SO PREVIOUS SUPPORT REGION; NEED TO WORK</t>
  </si>
  <si>
    <t>2:1</t>
  </si>
  <si>
    <t>SESSION END</t>
  </si>
  <si>
    <t>SESSION END (LESS THAN 1 HR)</t>
  </si>
  <si>
    <t>good reward / risk</t>
  </si>
  <si>
    <t>trade result did not matter</t>
  </si>
  <si>
    <t>w/o model not at all confident based on mkt behavior; need to work on that</t>
  </si>
  <si>
    <t>If good reward/risk exists then no problem in execution</t>
  </si>
  <si>
    <t>FORGOT TO REMOVE PREVIOUS ORDERS</t>
  </si>
  <si>
    <t>BAD ORDER MANAGEMENT; FORGOT TO REMOVE ANY PREVIOUS TARGET</t>
  </si>
  <si>
    <t>LUCKY TO EXIT AT THE SAME TIME</t>
  </si>
  <si>
    <t>30-Aug-0222</t>
  </si>
  <si>
    <t>(ThisLeg.DisclosedRemainingQuantity + 10) can be used to prevent Single legged. for now</t>
  </si>
  <si>
    <t>Use PAYUP WITH 1 TICK (QTY TH = 15)</t>
  </si>
  <si>
    <t>IF ABLE TO TRACK LIVE EXIT AT THE SAME PRICE W/O HESITATION</t>
  </si>
  <si>
    <t>NO TRADES ABOVE 3 LOTS; FOR NOW</t>
  </si>
  <si>
    <t>NO TRADES W/O SL</t>
  </si>
  <si>
    <t>IF THE MODEL WORKS (MORE OFTEN) DONT LOOK AFTER EXECUTION; OR THE ORDER QTY</t>
  </si>
  <si>
    <t>MODEL + mkt rxn</t>
  </si>
  <si>
    <t>MODEL + MKT RXN; averaged buy till high before drop</t>
  </si>
  <si>
    <t xml:space="preserve">new high, </t>
  </si>
  <si>
    <t xml:space="preserve">model + mkt </t>
  </si>
  <si>
    <t>&lt;1 hr</t>
  </si>
  <si>
    <t>model+mkt</t>
  </si>
  <si>
    <t>&lt;30mins</t>
  </si>
  <si>
    <t>Model worked</t>
  </si>
  <si>
    <t>Dont forget to cancel stop loss after execution; TRY USING TT OCO</t>
  </si>
  <si>
    <t>Mkt went up exactly after this (2x)</t>
  </si>
  <si>
    <t>For strong moves it will converge with VWAP (most of the times) | 3MIN</t>
  </si>
  <si>
    <t>end of session</t>
  </si>
  <si>
    <t>1st session end and 2nd session beginning</t>
  </si>
  <si>
    <t>PAYUP WITH 1 TICK (QTY TH = 15) better option</t>
  </si>
  <si>
    <t>USE 2 LOTS NEAR END AND BEGINNING OF SESSION</t>
  </si>
  <si>
    <t>add another order at -0.07 and SL at -0.08</t>
  </si>
  <si>
    <t>outside range; new range zone</t>
  </si>
  <si>
    <t>bad risk reward; therefore single lot</t>
  </si>
  <si>
    <t>2nd session beginning me entry; long time no move</t>
  </si>
  <si>
    <t>Next session beginning</t>
  </si>
  <si>
    <t>USE 1 LOT IF NOT AT THE START</t>
  </si>
  <si>
    <t>SL Triggered</t>
  </si>
  <si>
    <t>Trade like this is better with few lots and active</t>
  </si>
  <si>
    <r>
      <rPr>
        <b/>
        <sz val="10"/>
        <color rgb="FF434343"/>
        <rFont val="Roboto"/>
      </rPr>
      <t>TRADE WITH 1 LOT; MKT BEHAVIOR IS HITTING POTENTIAL SL, TRADE SL.</t>
    </r>
    <r>
      <rPr>
        <sz val="10"/>
        <color rgb="FF434343"/>
        <rFont val="Roboto"/>
      </rPr>
      <t xml:space="preserve"> MKT BEHAVES IN A WAY TO HURT MOST TRADERS. BASICALLY TENDS TO LOOK FOR VOLUME AND ACTIVITY. BIG PLAYERS DERIEVE THEIR POWER FROM POTENTIALLY TRAPPED TRADERS. (THEY LOSE SOME THEN WIN BIG)</t>
    </r>
  </si>
  <si>
    <t>ORDER MGMT + TIMING IS KEY (BE FLEXIBLE)</t>
  </si>
  <si>
    <t>Scalping USEFUL AS A PASSIVE STRAT, CAN BE DONE USING ASE + GTC + ACTIVE + 1,2 LOT + QH=3 (IF MORE TRADES ONGOING QH=2)</t>
  </si>
  <si>
    <t>MAX SHOT 1,2; MAX CLIP 3</t>
  </si>
  <si>
    <t>LEAVE 1 LOT FOR 1ST SL TGT; POTENTIAL AREA. SL LIMIT INVERSELY PROPORTIONAL TO LOTS</t>
  </si>
  <si>
    <t>ALWAYS ASSUME THAT YOU MIGHT BE WRONG. &amp; LOOK FOR CONFIRMATIONS (MODELS/INDICATORS) AND NOT WISHFUL THINKING.</t>
  </si>
  <si>
    <t>Australian Private Capital Expenditure Q2: -0.3% (exp 1.0%; prev -0.3%)</t>
  </si>
  <si>
    <t>Australian Home Loans Value (M/M) Jul: -8.5% (exp -3.5%; prev -4.4%) - Investor Loans Value (M/M) Jul: -11.2% (exp -4.0%; prev -6.3%)</t>
  </si>
  <si>
    <t>Scalping: Change Qty Th of PAYUP Rule as per mkt behavior on a particular day</t>
  </si>
  <si>
    <t>&gt;2 hours &lt; 4 hours</t>
  </si>
  <si>
    <t>PAYUP WITH 1 TICK (QTY TH = 10) better option for today</t>
  </si>
  <si>
    <t>next session beginning</t>
  </si>
  <si>
    <t>1st session end entry</t>
  </si>
  <si>
    <t>GOT 1 LEGGED AT DEC23 AT 96.04*2 AND 96.05*2; GTC order at 1159am; but got double filled at 4*96.04 (better price)</t>
  </si>
  <si>
    <t xml:space="preserve">PAYUP WITH 1 TICK (QTY TH = 10) </t>
  </si>
  <si>
    <t>QH 2</t>
  </si>
  <si>
    <t>PAYUP WITH 1 TICK (QTY TH = 10) is still risky and desperate; should be15</t>
  </si>
  <si>
    <t>Now i can sell the outright at mkt beginning at profit or cost until i wait for the hedged leg to get hit</t>
  </si>
  <si>
    <t>take 1 lot if risk increases; got doubled filled with 2 lots each; or reduce risk chances by increasing threshold of Payup</t>
  </si>
  <si>
    <t>Scalping | double fill + 1 legged</t>
  </si>
  <si>
    <t>GOT OUT OF 1 LEGGED + DOUBLE FILLED AT COST</t>
  </si>
  <si>
    <t>GOT SINGLE LEGGED AGAIN! AND GOT OUT!</t>
  </si>
  <si>
    <t>PAYUP WITH 1 TICK (QTY TH = 10) is VERY risky and desperate; should be15 GOT SINGLE LEGGED TWICE</t>
  </si>
  <si>
    <t>Scalping | 1 legged</t>
  </si>
  <si>
    <t xml:space="preserve">GOT OUT OF 1 LEGGED  </t>
  </si>
  <si>
    <t>IF ABLE TO TRACK LIVE EXIT AT THE SAME PRICE W/O HESITATION = WORKED</t>
  </si>
  <si>
    <t>ALWAYS EXIT THE SINGLE LEGGED IMMEDIATELY AT COST</t>
  </si>
  <si>
    <t>QH=2 AND CONSECUTIVE ORDER</t>
  </si>
  <si>
    <t xml:space="preserve">1 LOT EACH; NEED MORE EFFICIENCY &amp; EXPERIENCE FOR 2-3 LOTS </t>
  </si>
  <si>
    <t>IF NOT CLEAR IDEA OF KINK WAIT AND OBSERVE BEFORE TRADING AND HOPING TO GET LUCKY!</t>
  </si>
  <si>
    <t>CANT USE GTC in live though</t>
  </si>
  <si>
    <t>dont use GTC for now</t>
  </si>
  <si>
    <t>better to use no rules and dont use GTC for now WHENEVER POSSIBLE</t>
  </si>
  <si>
    <t>Use Scalping strats ACTIVELY &amp; PROACTIVELY ONLY!</t>
  </si>
  <si>
    <t>TT GETS DISCONNECTED; AND ALL ORDERS GET CANCELLED!. IDK.</t>
  </si>
  <si>
    <t>6.44 PM IST</t>
  </si>
  <si>
    <t>Curve Analysis</t>
  </si>
  <si>
    <t>3 DAYS</t>
  </si>
  <si>
    <t>29AUG-1JUL</t>
  </si>
  <si>
    <t>ORDERS DISAPPEARED AFTER DISCONNECTION BUT STILL GOT IT. resolved</t>
  </si>
  <si>
    <t xml:space="preserve">USE FLIES IF THERE IS A RISK OF 'NAKED' SPD GOING THE WRONG WAY, NEED MORE EXPERIENCE </t>
  </si>
  <si>
    <t>NIGHT TIME HAS BEEN BETTER SO FAR...</t>
  </si>
  <si>
    <t>823AM (IST)</t>
  </si>
  <si>
    <t>Chrn</t>
  </si>
  <si>
    <t>w/o rules. active, less lots</t>
  </si>
  <si>
    <t>QH = 2</t>
  </si>
  <si>
    <t>Dont rely too much on Qty</t>
  </si>
  <si>
    <t>TT OCO</t>
  </si>
  <si>
    <t>bearish trend followed till 4 sessions</t>
  </si>
  <si>
    <t>Started as fundamentally overpriced; after learning about FRA pricing calculation mistake, still above; CASES BASED ON FUNDAMENTALS; WITH FRA OIS 17 AND W/O FRA 13; AVG AROUND 15.33; TARGET AT 15; AVG BUY AT 18.5</t>
  </si>
  <si>
    <t>IR pricing w &amp; w/o FRA; bad entry timing; technical side early entry</t>
  </si>
  <si>
    <t>22-&gt;18 (4th red) | both in calendars</t>
  </si>
  <si>
    <t>new high; later changed to 18 to cut losses (min profit in this case) &amp; mkt rxn + price action</t>
  </si>
  <si>
    <t>Average of IR pricing (w and w/o FRA) | CHECK FRA OIS 3,4 FOR TREND IDEA; TREND WENT UP BEFORE MEETING WEEK; RISK HIGH SO CHANGED TARGET FROM 13 TO 15 AND SL FROM 22 TO 18 (MIN PROFIT) (SL at Calendar)</t>
  </si>
  <si>
    <t>$518/$83 (changed b4 meeting date + price action + mkt rxn) | ELIMINATED LOSS | TRAILING SL</t>
  </si>
  <si>
    <t>1- 2 weeks b4 meeting week</t>
  </si>
  <si>
    <t>historical + pricing + trend</t>
  </si>
  <si>
    <t>MULTIVARIATE TRADING</t>
  </si>
  <si>
    <t>IR PRICING - CONSIDER FRA 1,2 ONLY AND CHECK FRA 3,4 FOR TRENDS</t>
  </si>
  <si>
    <t>IMPROVE TIMING BY TRACKING LONGER THAN 1,2 DAYS + ADD A BACK TO THE STRAT WITH T.A. OR SOME OTHER ANGLE AS WELL</t>
  </si>
  <si>
    <t>IMPROVE TIMING BY USING MULTIVARIATE STRATS</t>
  </si>
  <si>
    <t>WAIT FOR A BETTER CONDITION BY TRACKING A LONGER TREND</t>
  </si>
  <si>
    <t>PATIENCE + ADJUSTING AS PER MKT RXNS. BE FLEXIBLE TO CHANGE TARGETS AS WELL AS SL, BASED ON MKT RXNS; IT WENT DOWN TILL 6-7BP (THATS 13-14 TICKS WITHIN NEXT WEEK!!!) :)</t>
  </si>
  <si>
    <t>18 -&gt; 20</t>
  </si>
  <si>
    <t>15 -&gt; 15.5</t>
  </si>
  <si>
    <t xml:space="preserve">$417/-$250 (changed to riskier ratio) 1.6 &amp; $500/$250 = 2 | changed back to above | RISK AVERSE </t>
  </si>
  <si>
    <t>Chnaged the target and SL before session end | QH = 1</t>
  </si>
  <si>
    <t>a lot of support at 16 so selling half at 16 and keeping other half at 15; if opens higher sell all at 16 if lower sell at 14; if opens same  (18 with 19 high tgt remains at 15)</t>
  </si>
  <si>
    <t>OPENED LOWER AT 16 (50% @ 15 and 50% @ 14) touched 18 Previous SL would have triggered (remove SL at beginning</t>
  </si>
  <si>
    <t>SHOULD BE AT 15 BUT LACK OF CONFIDENCE BASED ON PRICE ACTION SO 50% @16 AND 50% @ 15</t>
  </si>
  <si>
    <t>TRAILING SL TRIGGERED; WENT TILL TARGET (16 AND 15) LATER</t>
  </si>
  <si>
    <t>MADE THE RATIONAL CHOICE SO NO ISSUE REGARDING THE TRADE</t>
  </si>
  <si>
    <t>session1 start- session 2 beginning</t>
  </si>
  <si>
    <t>Scalping delayed</t>
  </si>
  <si>
    <t>SINGLE LEGGED</t>
  </si>
  <si>
    <t>SINGLE LEGGED (piq =5 at mkt session 2 beginning)</t>
  </si>
  <si>
    <t>LUCK 100 + TIMING IN PIQ AFTER SINGLE LEGGED</t>
  </si>
  <si>
    <t>6OOAM</t>
  </si>
  <si>
    <t>MODEL + MKT RXN</t>
  </si>
  <si>
    <t>MODEL + MKT RXN (+ CURRENT HIGH STOP-1 1 LOT)</t>
  </si>
  <si>
    <t>NEW HIGH</t>
  </si>
  <si>
    <t>&lt;1 (early exit as per mkt)</t>
  </si>
  <si>
    <t>&lt;1 H</t>
  </si>
  <si>
    <t>20 MINS</t>
  </si>
  <si>
    <t>REWARD/RISK = 1 WITH 1 LOT; TRADE DID NOT MATTER</t>
  </si>
  <si>
    <t xml:space="preserve">3MIN </t>
  </si>
  <si>
    <t>6.02 am</t>
  </si>
  <si>
    <t>MODEL + MKT RXN (+CURRENT HIGH STOP 1 LOT)</t>
  </si>
  <si>
    <t>&gt;1h (Exit at price nxt time before 1h)</t>
  </si>
  <si>
    <t>REWARD/RISK&lt;1; more lots was mistake (ONLY 1)</t>
  </si>
  <si>
    <t>7.30am</t>
  </si>
  <si>
    <t>WRONG MOMENTUM</t>
  </si>
  <si>
    <t>EXIT AS PER MKT</t>
  </si>
  <si>
    <t>RBA Interest Rate Decision (Sep) (P1.85%  F2.35% A2.35%)</t>
  </si>
  <si>
    <t>OUTRIGHT WENT UP (MAR JUN23 HIGHEST BY AROUND 10BP); THEN EQUAL TO EXPECTATION ANNOUNCED ALL CAME DOWN ; CONVERGED TO VWAP PRICE</t>
  </si>
  <si>
    <t xml:space="preserve">MODEL </t>
  </si>
  <si>
    <t>AVOID SL BEFORE ANNOUNCEMENT</t>
  </si>
  <si>
    <t>BIG MONEY WILL HURT AT SL</t>
  </si>
  <si>
    <t>MKT</t>
  </si>
  <si>
    <t>VWAP</t>
  </si>
  <si>
    <t>couple of hours</t>
  </si>
  <si>
    <t>IMPROVE TIMING OF MODEL; USE SMALLER LOTS AT RANGES</t>
  </si>
  <si>
    <t>BE MORE EFFICIENT + FLEXIBLE (AS PER MKT RXN)</t>
  </si>
  <si>
    <t>USE 1 LOT AT HIGHS; EXPECT MKT TO MOVE WITH EXTREME VOLATILITY</t>
  </si>
  <si>
    <t xml:space="preserve">WAITING GAME; WAIT ON EVENT DAYS MORE (5MIN CANDLE B4 ANNOUNCEMENT AND MULTI SIGNALS / CONSECUTIVE SIGNALS) </t>
  </si>
  <si>
    <t>SL WILL TRAP (SL IS NOT AN OPTION | CONVERT TO SPDS OR FLIES)</t>
  </si>
  <si>
    <t xml:space="preserve">FLIES SPDS ALSO VOLATILE; FLIES NEECHE BUY AAYE AFTER RESULTS; STOP LOSSES WERE GETTING TRIGGERED (MKT HURTS) </t>
  </si>
  <si>
    <t>MODEL + TECH AT STEEP HIGH</t>
  </si>
  <si>
    <t>AVOIDED OVER TRADING; GOOD</t>
  </si>
  <si>
    <t>TRUST THE MODEL; USE SMALLER LOTS AND MAKE REWARD TO RISK = 1</t>
  </si>
  <si>
    <t>TAKE ADVANTAGE OF 2 THINGS (SL RAGES; HIGHS/LOWS; OUTRIGHTS OFFER GREAT OPPORTUNITIES; WORTH THE RISK</t>
  </si>
  <si>
    <t>BACKUP PLAN (REVERSE POSITION IF BELOW EXP)/(CONVERT TO SPD OR FLY AND EXIT AT A BETTER PRICE WITHIN A WEEK)</t>
  </si>
  <si>
    <t>JUST NUMBERS; TRUST THE MODEL WITH SMALL LOTS AND IMPROVE TIMING; (WILL COME WITH EXPERIENCE)</t>
  </si>
  <si>
    <t>IMPROVE MODEL; WORK ON A BETTER BACKUP PLAN; MAYBE BY THINKING ABOUT SPREADS OR FLIES (CONVERT TO SPD OR FLY AND EXIT AT A BETTER PRICE WITHIN A WEEK) WORK ON THIS!! HOW TO CUT YOUR LOSSES EFFECTIVELY</t>
  </si>
  <si>
    <t>HIGH VOLATILITY UP NEAR MEETING ANNOUNCEMENT (UNEXPECTED LEVELS - 7-10BP FROM OPEN) | AFTER ANNOUNCEMENT MKT ON STEROIDS (VERY TOUGH TO GAUGE INDICATORS OR MODELS | ONLY MOMENTUM CAN BE GAUGED BUT NOT VERY EFFICIENT)</t>
  </si>
  <si>
    <t>J23 FLY</t>
  </si>
  <si>
    <t>ANOMALY IN CURVES</t>
  </si>
  <si>
    <t>BAD ORDER MGMT; FLY -&gt; SPD</t>
  </si>
  <si>
    <t>GDP (QoQ) (Q2)  (P0.8% F1% A0.9%) |</t>
  </si>
  <si>
    <t>GDP (YoY) (Q2) (P3.3% F3.5% A3.6%)</t>
  </si>
  <si>
    <t>CA - Kink near Dec23, extremely less chance of jun23 fly going negative. 1st at 30s 2nd at 10s 3rd fly at 0 or -1 4th fly at 2 or 3 (anomaly)</t>
  </si>
  <si>
    <t>&gt;0.03</t>
  </si>
  <si>
    <t>RISKY + BETTER CHANCE FROM ASE</t>
  </si>
  <si>
    <t>USE FOR TAILEND CONTRACTS (FAR REDS OR GREENS)</t>
  </si>
  <si>
    <t>look at other contracts' situation as well; might get a better trade</t>
  </si>
  <si>
    <t>USE 1 LOT CLIP TO AVOID GETTING LEGGED</t>
  </si>
  <si>
    <t>REMOVE ALL ASE ORDERS BEFORE A MAJOR EVENT</t>
  </si>
  <si>
    <t>SEP22 EXPIRY</t>
  </si>
  <si>
    <t>8.35AM (IST)</t>
  </si>
  <si>
    <t>LOWE SPEECH</t>
  </si>
  <si>
    <t>HIGH VOLATILITY UP IN IR (UPTO 16-18 BP) THEN WENT DOWN BY 6-7 BPS | SPDS WERE COMING DOWN BEFORE THEN WENT A LITTLE UP (2-3BPS)</t>
  </si>
  <si>
    <t>MKT RXN</t>
  </si>
  <si>
    <t>96.34 (BUT PUT IT AT 96.33 | MOMENTUM BET) worked; if not 96.34 would have been available; can use 1 tck momentum</t>
  </si>
  <si>
    <t>NEAR VWAP + MKT RXN</t>
  </si>
  <si>
    <t>1 HR</t>
  </si>
  <si>
    <t>IMPROVED TIMING | USED 1 LOTS BUT GOT UNLUCKY IN PIQ</t>
  </si>
  <si>
    <t>INSTEAD OF SELLING AT LOSS TRY TO BUY FROM OUTRIGHTS</t>
  </si>
  <si>
    <t>ANOMALY IN CURVES + KINK SHIFT TOWARDS TAIL + very less chances of going negative (downside of 2 ticks)</t>
  </si>
  <si>
    <t>CA + less downside fundamentally</t>
  </si>
  <si>
    <t>ASE + OUTRIGHTS</t>
  </si>
  <si>
    <t>GOT DOUBLE LEGGED INSTEAD OF ALL 3 LEGS; GOT IT AS THE MOVE FAVOURED; REMOVE BEFORE AN EXTREME EVENT</t>
  </si>
  <si>
    <t>ONLY BE IN THE HEDGE POSITION IF RANGEBOUND MOVEMENT NOT ON TREND</t>
  </si>
  <si>
    <t>REMOVE ALL ASE ORDERS B4 MAJOR EVENT OF AUD, USD, EZ</t>
  </si>
  <si>
    <t>JUST THE PRCING DIFFERENTIAL MATTERS; IF OUTRIGTHS ARE IN A RANGE (OR FLUCTUATING) THEY CAN BE BOUGHT TO MAKE FLIES</t>
  </si>
  <si>
    <t>JAHAN STABLE H WAHAN PE ORDER DAALNE SE LEGGED HONE KE CHANCES KAM HONGE</t>
  </si>
  <si>
    <t>545PM</t>
  </si>
  <si>
    <t>ECB HIKES INT RATES (F75 A 75) 1.25%</t>
  </si>
  <si>
    <t xml:space="preserve">WHITES DOWN 1-4BP, REDS UP 3-4BP | </t>
  </si>
  <si>
    <t>US JOBLESS CLAIMS BELOW ESTIMATES</t>
  </si>
  <si>
    <t>WHITES WENT DOWN TILL 6BP, REDS CAME AT 0BP; 1 HR LATER M23 -8, J23 -7, S23 -6</t>
  </si>
  <si>
    <t>prev session end - 902 AM</t>
  </si>
  <si>
    <t>Scalping try</t>
  </si>
  <si>
    <t>PREV SESSION END - next session</t>
  </si>
  <si>
    <t>8-9 SEP</t>
  </si>
  <si>
    <t>qh = 1</t>
  </si>
  <si>
    <t>947 AM</t>
  </si>
  <si>
    <t>947am-b4 2nd session end</t>
  </si>
  <si>
    <t>933 AM- 944am</t>
  </si>
  <si>
    <t>1025 AM-1125pm</t>
  </si>
  <si>
    <t>Delayed; got legged at first; PIQ = 0; id not put target order until got all fills (7mins 1032am)</t>
  </si>
  <si>
    <t>2 shots on either extremes (-1 &amp; 4)</t>
  </si>
  <si>
    <t>have to be proactive if it gets double filled or single legged if mkt is volatile all of a sudden; less proactive when sideways</t>
  </si>
  <si>
    <t>1130AM</t>
  </si>
  <si>
    <t>1 @ -0.04 &amp; 1 @ -0.01</t>
  </si>
  <si>
    <t>forgot to remove ase order just b4 event; got double filled and single legged</t>
  </si>
  <si>
    <t>REMEMBER TO REMOVE ALL ASE ORDERS B4 EVENT</t>
  </si>
  <si>
    <t>INVALID TRADE</t>
  </si>
  <si>
    <t>INVALID trade</t>
  </si>
  <si>
    <t>got legged &amp; DOUBLE FILLED</t>
  </si>
  <si>
    <r>
      <rPr>
        <b/>
        <sz val="10"/>
        <color rgb="FF333333"/>
        <rFont val="Roboto"/>
      </rPr>
      <t>US CPI (YoY) (Aug</t>
    </r>
    <r>
      <rPr>
        <b/>
        <sz val="10"/>
        <color rgb="FF434343"/>
        <rFont val="Roboto"/>
      </rPr>
      <t>) | (F8.1% A8.3%)</t>
    </r>
  </si>
  <si>
    <t xml:space="preserve">HIGH VOLATILITY DOWN (10-14BP | MAR23 JUN23 14-15BP) | 1 HOUR AFTER RELEASE </t>
  </si>
  <si>
    <t>IR JUN24</t>
  </si>
  <si>
    <t>MKT RXN + TRYING FIBONACCI</t>
  </si>
  <si>
    <t>MKT RXN + INDICATORS (NOT EFFICIENT)</t>
  </si>
  <si>
    <t>WORK IN PROGRESS</t>
  </si>
  <si>
    <t>fibo</t>
  </si>
  <si>
    <t>6 PM (12SEP)</t>
  </si>
  <si>
    <t>BAD TRADE; DIRECTION RIGHT; TARGETING WRONG; FIBO WORKS FOR S/R; WORK ON APPLICATION OF FIBO BETTER</t>
  </si>
  <si>
    <t>GAVE A BETTER IDEA+EXPERIENCE ABOUT OUTRIGHTS</t>
  </si>
  <si>
    <t>MAKE SURE SL IS GTC ORDER</t>
  </si>
  <si>
    <t>COULD NOT MAKE A DECISION WHEN SL NOT PRESENT; MAKE SURE TO CHECK SL ORDER TYPE (IF &gt;1 SESSION)</t>
  </si>
  <si>
    <r>
      <rPr>
        <b/>
        <sz val="10"/>
        <color rgb="FF333333"/>
        <rFont val="Roboto"/>
      </rPr>
      <t>US CPI (MoM) (Aug</t>
    </r>
    <r>
      <rPr>
        <b/>
        <sz val="10"/>
        <color rgb="FF434343"/>
        <rFont val="Roboto"/>
      </rPr>
      <t>) | (F-0.1% A0.1%)</t>
    </r>
  </si>
  <si>
    <t>REW RANGE FORMED IN J24 SPD | FLUCTUATING A LOT</t>
  </si>
  <si>
    <t>US Core CPI (MoM) (Aug) | (F0.3% A0.6%)</t>
  </si>
  <si>
    <t>IR Mar23</t>
  </si>
  <si>
    <t xml:space="preserve">MKT RXN + STRONG MKT STRUCTURE (S/R) w (trying) Fibonacci </t>
  </si>
  <si>
    <t xml:space="preserve">PRICING FROM IB RETURNING TO PREVIOUS VALUES B4 US CPI (OR ATLEAST MOVING BACK IN THAT DIRECTION) </t>
  </si>
  <si>
    <t>MKT RXN + STRUCTURE (6 extra in the end right)</t>
  </si>
  <si>
    <t>96.06 (as per 96.11 price) (remember to put GTC)</t>
  </si>
  <si>
    <t>new lowest low forms (3rd)</t>
  </si>
  <si>
    <t>(FUNDAMENTAL PRICING CASES WITH RANGE AND MID POINT)</t>
  </si>
  <si>
    <t>EARLY Call on indicators (last 6 lots right timing; maybe hindsight bias) | INVALID TRADE : AVERAGING OVER DAYS IN OUTRIGHTS NOT ALLOWED IN LIVE; LEARNED SL TYPES AND BEHAVIOR OF OUTRIHGHTS</t>
  </si>
  <si>
    <t>work on uptrend in outrights (MAX TIME 1 DAY)</t>
  </si>
  <si>
    <t>96.11 BEST BUY 5 TIMES TOUCHED T:3m | LOW 96.08 (LOOK FOR THESE STRONG STRUCTURES) | USE FIBONACCI (got 3 lots only) | very strong support forms at 1-2 ticks below this price (@96.100) (96.08 this time; next session @96.09) | ANOTHER BUYING OPTION AT 96.09 (AS PER FUNDAMENTAL PRICING) AFTER UNEMPLOYMENT EVENT'</t>
  </si>
  <si>
    <t>wait for strong structures to form (easier to gauge using fibonacci) mkt tries to create S/R on these levels | put orders at THAT P and 1 tick below; SL 3-4 TICKS BELOW THAT</t>
  </si>
  <si>
    <t>FIBONACCI WITH STRONG MKT STRUCTURE (S/R) SHOULD BE USED; BUT WITH FEWER LOTS AS THEY WONT ALWAYS BE TRUE (WORK ON SL LEVELS)</t>
  </si>
  <si>
    <t>AFTER MOVE NEXT SESSION ALL RANGE BOUND BASED ON IR PRICING  (FUNDAMENTALS) | FRONTS WILL BE MORE DRIVEN BY FUNDAMENTALS</t>
  </si>
  <si>
    <t>DID NOT ANTICIPATE THE MOVEMENT FROM ECON. HEARING (UNAWARE ABOUT THE MEETING DETAILS)</t>
  </si>
  <si>
    <t>PRICING CHANGED FROM 40 TOWARDS 50BP AFTER MEETING</t>
  </si>
  <si>
    <t>WENT OPPOSITE; wasnt ready with any backup</t>
  </si>
  <si>
    <t>LEARNED TO USE PAYUP WITH SL</t>
  </si>
  <si>
    <t>FUNDAMENTALS ARE LAGGING; DIFFICULTY IN TRADING</t>
  </si>
  <si>
    <t>TT STOP w LTP | QTY &lt;=15 SL NOT GOOD</t>
  </si>
  <si>
    <t>TRYING SL TYPES AS THE TRADE FAILED ALREADY</t>
  </si>
  <si>
    <t>APPLY SL GTC IF TAKES &gt;1 SESSION</t>
  </si>
  <si>
    <t>ALWAYS PREPARE FOR THE OPPOSITE MOVE (BACKUPS OR HEDGE) EVEN IF THE ODDS DOESNT SEEM HIGH (example- strat is for move from 40bp to 25bp, prepare for a move towards 50bp (or opposite)</t>
  </si>
  <si>
    <t>get out quickly in outrigths (within 1 day)</t>
  </si>
  <si>
    <t>wrong trigger</t>
  </si>
  <si>
    <t>653AM</t>
  </si>
  <si>
    <t>IR SEP24</t>
  </si>
  <si>
    <t>UK CPI (YoY) (Aug) | (F10.2% A9.9%)</t>
  </si>
  <si>
    <t>LOW VOLATILITY UP (3-4BPS)</t>
  </si>
  <si>
    <t>5.30PM</t>
  </si>
  <si>
    <t xml:space="preserve">US PPI (MoM) (Aug) | (F-0.1% A-0.1%) </t>
  </si>
  <si>
    <t>US FUT RISES; OUTRIGHTS STARTS FALLING 25 MINS B4 RELEASE; NO MOVE AFTERWARDS</t>
  </si>
  <si>
    <t>MKT PREPARES FOR THE WORST (OR OPPOSITE CASE) B4 RELEASE</t>
  </si>
  <si>
    <t>FORECAST WAS - PPI INCREASES; INFLATION INCREASES IN FUTURE; INTEREST RATES RISE; PRICE FALL; BUT MKT MOVING UP (OPPOSITE) B4 RELEASE</t>
  </si>
  <si>
    <t xml:space="preserve">NXT MAJOR MOVE WILL BE AUS EMPLOYMENT CHANGE (MUCH HIGHER THAN PREVIOUS IS EXPECTED) WHICH IS GOOD; BETTER GROWTH </t>
  </si>
  <si>
    <t xml:space="preserve">Employment Change (Aug) | (P-40.9K F35K A33.5K) </t>
  </si>
  <si>
    <t>VERY LOW MOVEMENT</t>
  </si>
  <si>
    <t>Unemployment Rate (Aug) | (P3.4% F3.4% A3.5%)</t>
  </si>
  <si>
    <t>IB OCT22</t>
  </si>
  <si>
    <t>IB VALUATION AS PER 25 BP 32-33BP (trying IB trading)</t>
  </si>
  <si>
    <t>38.6BP PRICE (ORDER @97.330)</t>
  </si>
  <si>
    <t>97.4 (32 BP KA TARGET)</t>
  </si>
  <si>
    <t>15 SEP - 16 SEP</t>
  </si>
  <si>
    <t>FUNDAMENTAL PRICING WISE LESS RISK; MORE REWARD</t>
  </si>
  <si>
    <t>NO MOVE IN THE EVENT</t>
  </si>
  <si>
    <t>WENT TOWARDS 50BP AFTER SPEECH ON 16TH SEP</t>
  </si>
  <si>
    <t>OUTRIGHTS (4 TICKS SL; ONLY IF TGT &gt;=10 | ELSE 3 TICKS SL)</t>
  </si>
  <si>
    <t>TRADE WITH 1 SHOT AND 3 LOTS; WAIT FOR BETTER MKT STRUCTURE</t>
  </si>
  <si>
    <t>WORTH THE RISK IF CAPPED; WORK MORE ON MKT STRUCTURE</t>
  </si>
  <si>
    <t>USE DECISION TREES FOR STRATS</t>
  </si>
  <si>
    <t>AFTER MOVE NEXT SESSION ALL RANGE BOUND BASED ON IR PRICING (FUNDAMENTALS) | FRONT WILL BE MORE DRIVEN BY FUNDAMENTALS</t>
  </si>
  <si>
    <t>US Core Retail Sales (MoM) (Aug) | (P0.4% F0.1%A-0.3% )</t>
  </si>
  <si>
    <t>low volatility up then went back and then to new low</t>
  </si>
  <si>
    <r>
      <rPr>
        <b/>
        <sz val="10"/>
        <color rgb="FF333333"/>
        <rFont val="Roboto"/>
      </rPr>
      <t>US Initial Jobless Claim</t>
    </r>
    <r>
      <rPr>
        <b/>
        <sz val="10"/>
        <color rgb="FF434343"/>
        <rFont val="Roboto"/>
      </rPr>
      <t>s (P222K F226K A213k)</t>
    </r>
  </si>
  <si>
    <t>US Retail Sales (MoM) (Aug) | (P-0.4% F0.2% A0.3%)</t>
  </si>
  <si>
    <t>633 am</t>
  </si>
  <si>
    <t>LOWE SPEAKS (50BP/25BP)</t>
  </si>
  <si>
    <t>DOWN BY (4-5BP)</t>
  </si>
  <si>
    <t>TT STOP w BID (OR ASK)| QTY &lt;=15 OR 25 (OR BASED ON MKT) better SL; Add GTC if &gt;1 session strategy</t>
  </si>
  <si>
    <t>Try TT OCO with similar conditions</t>
  </si>
  <si>
    <t>AFTER SPEECH OUTRIGHTS WENT DOWN BY (10BP); WAS NOT PREPARED</t>
  </si>
  <si>
    <t>DISCIPLINE - ALWAYS TRADE LTD ORDERS WITH PROPER SL ( spreads and outrigths | max lots &lt;=3 PER STRATEGY ) | CHECK WORST CASES</t>
  </si>
  <si>
    <t>SL - CHECK SL ORDER TYPE AS GTC (NOT DAY) IF &gt;1 SESSION STRATEGY</t>
  </si>
  <si>
    <t xml:space="preserve">SL - STOP LOSS: TT STOP w BID (OR ASK) | QTY &lt;=15 OR 25 (OR BASED ON MKT) better SL; Add GTC if &gt;1 session strategy </t>
  </si>
  <si>
    <t>PLAN - ALWAYS PREPARE FOR THE OPPOSITE MOVE (BACKUPS OR HEDGE) EVEN IF THE ODDS DOESNT SEEM HIGH (example- strat is for move from 40bp to 25bp, prepare for a move towards 50bp (or opposite) | BACKUP GOIING INTO EVENT IS IMPORTANT</t>
  </si>
  <si>
    <t>SL - ADD PAYUP = 1 OR 2 IN SL IF MOVEMENT IS HIGH</t>
  </si>
  <si>
    <t>ORDER MGMT - USE 'CANCEL ALL' FROM ORDER BOOK BEFORE EVENT FIRST THEN EXECUTE IF ANY OTHER EVENT SETUP</t>
  </si>
  <si>
    <t>11.28AM</t>
  </si>
  <si>
    <t>IB VALUATION (trying IB Trading)</t>
  </si>
  <si>
    <t>IB PRICING TOWARDS 50BP</t>
  </si>
  <si>
    <t>(50BP PRICING NEAR)</t>
  </si>
  <si>
    <t>&lt;5 MINS</t>
  </si>
  <si>
    <t>SL TRIGGERED; direction correct</t>
  </si>
  <si>
    <t>Trade with &lt;=3 lots in outrigths</t>
  </si>
  <si>
    <t>MKT WILL TRY TO HIT THE SL; TAKE MORE RISK</t>
  </si>
  <si>
    <t>13.03pm</t>
  </si>
  <si>
    <t>mkt structure</t>
  </si>
  <si>
    <t>FIBO (+1 @ 96.14 &amp; 96.12) + RANGE</t>
  </si>
  <si>
    <t>RANGE BREAKS (asks qty &lt; =15)</t>
  </si>
  <si>
    <t>SUPPORT</t>
  </si>
  <si>
    <t>CHART analysis</t>
  </si>
  <si>
    <t>5.35pm</t>
  </si>
  <si>
    <t>SL TRIGGERED</t>
  </si>
  <si>
    <t>leave at mkt P within an hour if strat is for mins</t>
  </si>
  <si>
    <t>2.30pm</t>
  </si>
  <si>
    <t>CPI (YoY) (Aug) | (P9.1% F9.1% A9.1%)</t>
  </si>
  <si>
    <t>1059am</t>
  </si>
  <si>
    <t>MISCLICK</t>
  </si>
  <si>
    <t>MOMENTUM + SIGNALS (+ASC TRI SIMILAR FORMATION TF10min)</t>
  </si>
  <si>
    <t xml:space="preserve"> TA</t>
  </si>
  <si>
    <t>NEW LOW + FALSE SIGNAL</t>
  </si>
  <si>
    <t>IF MOVE OPPOSITE (SELL ORDER AT SL)</t>
  </si>
  <si>
    <t>early exit; slow mkt - went till 96.09, came back</t>
  </si>
  <si>
    <t>move took 2 sessions, nxt session at 96.12 &amp; later to 96.16</t>
  </si>
  <si>
    <t>Research on duration of strat</t>
  </si>
  <si>
    <t>ASC TRI + EMA(25X200) TAKES 2 SESSIONS | RR &gt;=3 | AT LEAST 2 SESSIONS | LOOK FOR S/R AND PLACE SL 2 TICKS AROUND | timeframe 10 mins</t>
  </si>
  <si>
    <t>MOMENTUM + SIGNALS</t>
  </si>
  <si>
    <t>837pm</t>
  </si>
  <si>
    <t>work on mkt structure</t>
  </si>
  <si>
    <t>positive expectancy models w duration</t>
  </si>
  <si>
    <t>704AM</t>
  </si>
  <si>
    <t>POSITIONS 1 TICK AROUND</t>
  </si>
  <si>
    <t>1-2 SESSIONS</t>
  </si>
  <si>
    <t>???</t>
  </si>
  <si>
    <t>OUTRIGHTS MOVED (50-70BP)</t>
  </si>
  <si>
    <t>IR MAR 24</t>
  </si>
  <si>
    <t>TF 3MIN EMA MODEL (within an hour)</t>
  </si>
  <si>
    <t>model</t>
  </si>
  <si>
    <t>new high; move not yet over</t>
  </si>
  <si>
    <t>weak ema25 strong vwap (later converged to vwap)</t>
  </si>
  <si>
    <t>within 1 hour</t>
  </si>
  <si>
    <t>tema X 3 min | check other outrigths behaviour</t>
  </si>
  <si>
    <t xml:space="preserve">SLOW MKT - EARLY EXIT ( hour+10mins) </t>
  </si>
  <si>
    <t>move broke after 1hr; fell back by 1130 to 96.11</t>
  </si>
  <si>
    <t>CHECK OTHER OUTRIGHTS FOR 3min EMA model to get an idea of the move</t>
  </si>
  <si>
    <t>For weak moves AFTER EMA 25/200 | converge with 25EMA (later converged to vwap)</t>
  </si>
  <si>
    <t>CONFIRMATION - ALL OUTRIGHTS FALL BY 1 TICK AFTER X AND MOVE SLOWS FOR 10MINS AT LEAST</t>
  </si>
  <si>
    <t>CA + less downside CURVE MOVEMENT</t>
  </si>
  <si>
    <t>DIDNT NEED</t>
  </si>
  <si>
    <t>2 WEEKS+</t>
  </si>
  <si>
    <t>8 SEP-20SEP</t>
  </si>
  <si>
    <t>row 134</t>
  </si>
  <si>
    <t>fly before kink spread WILL be positive  [MATHS] | (kink spread that time bw dec23 &amp; mar24) j23fly was trading at -1, 0, 1</t>
  </si>
  <si>
    <t xml:space="preserve">LOOK FOR SUCH ANOMALIES </t>
  </si>
  <si>
    <t>Scalping (got legged IR JUN24)</t>
  </si>
  <si>
    <t>CONVERT SPD AT -4 AND SELL AT -4 TO GET OUT</t>
  </si>
  <si>
    <t>USE A FIXED SHOT. DONT ADD SHOTS TO THE SHOTS ALREADY IN QUEUE</t>
  </si>
  <si>
    <t>COULD HAVE BOUGHT SEP24 AT J24 SPD -4 THEN SELL AT MKT AS WELL</t>
  </si>
  <si>
    <t>453 AM</t>
  </si>
  <si>
    <t>707am</t>
  </si>
  <si>
    <t>do one directional</t>
  </si>
  <si>
    <t>628AM</t>
  </si>
  <si>
    <t>IB NOV22</t>
  </si>
  <si>
    <t>IB PRICING (CASES)</t>
  </si>
  <si>
    <t>96.955 (PAYUP = 2) | tt oco</t>
  </si>
  <si>
    <t>RANGE</t>
  </si>
  <si>
    <t>BP 49,33,21</t>
  </si>
  <si>
    <t>SL TRIGGERED (PAYUP = 2)</t>
  </si>
  <si>
    <t>NEED MORE TIME FOR IB | sl, cases and timing</t>
  </si>
  <si>
    <t>DO PAPER TRADING FOR IB!</t>
  </si>
  <si>
    <t>1033AM</t>
  </si>
  <si>
    <t>FED HIKES BY 75BP (3.25%)</t>
  </si>
  <si>
    <t>OUTRIGHTS WENT DOWN BY 9 BP THEN REBOUNDED A LITTLE</t>
  </si>
  <si>
    <t>1149am</t>
  </si>
  <si>
    <t>initial job less claims (F218K A213K)</t>
  </si>
  <si>
    <t>night session outrights moved DOWN 20bp</t>
  </si>
  <si>
    <t>813pm</t>
  </si>
  <si>
    <t>402am</t>
  </si>
  <si>
    <t>21 - 22 sep</t>
  </si>
  <si>
    <t>partial fill (3 LOTS)</t>
  </si>
  <si>
    <t>545am</t>
  </si>
  <si>
    <t>8 SEP-23SEP</t>
  </si>
  <si>
    <t>ROW 134</t>
  </si>
  <si>
    <t>716 AM</t>
  </si>
  <si>
    <t>DELAYED FILL (DOUBLE LEGGED FOR 9MIN)</t>
  </si>
  <si>
    <t>STUCK AT PIQ = 0 AT DEC23</t>
  </si>
  <si>
    <t>FLIES ARE WAITING GAME + execution (execute only in less volatile mkts or rangebound)</t>
  </si>
  <si>
    <t>EXIT FLIES WITH FEW LOTS AND CHECK IF THE MKT DECIDES TO GIVE A BETTER PRICE WITH MOMENTUM; STAY IN THE MKT WITH FEW LOTS LEFT IF MOMENTUM IS PRESENT</t>
  </si>
  <si>
    <t>1238PM</t>
  </si>
  <si>
    <t>IF SINGLE LEGGED -&gt; BUY AT -0.05 AND SELL AT MARKET (-0.05)</t>
  </si>
  <si>
    <t>230pm (3lots)</t>
  </si>
  <si>
    <t>SINGLE LEGGED AT MKT OPEN FOR 6MINS</t>
  </si>
  <si>
    <t>DOUBLE FILLED AS WELL (total 6 lots)</t>
  </si>
  <si>
    <t xml:space="preserve">GTC ORDER </t>
  </si>
  <si>
    <t>CONSIDER CASE GETTING DOUBLE FILLED; AND THEN CALCULATE THE WORST CASE IF DOUBLE FILLED</t>
  </si>
  <si>
    <t>PEOPLE ARE GETTING DOUBLE FILLED SINGLE LEGGED IN WHITES AND EARLY REDS;</t>
  </si>
  <si>
    <t>ALL ABOUT EXECUTION AND BACKUPS IN Scalping</t>
  </si>
  <si>
    <t>26 sep (856am)</t>
  </si>
  <si>
    <t>exit at mkt (double filled; waited for a day)</t>
  </si>
  <si>
    <t>WHEN THIS HAPPENS NXT TIME - ADD EXTRA LOTS TO ENTER OPPOSITE SIDE TRADE</t>
  </si>
  <si>
    <t>715PM</t>
  </si>
  <si>
    <t>S23 FLY</t>
  </si>
  <si>
    <t>FLY B4 KINK SPREAD +VE (LESS DOWNSIDE 1 TICK)</t>
  </si>
  <si>
    <t>IF DOUBLE LEGGED SELL S23 FLY AT 4 INSTEAD OF 5 OR MAKE S23 SPD</t>
  </si>
  <si>
    <t>3 T DAYS</t>
  </si>
  <si>
    <t>23SEP - 27 SEP</t>
  </si>
  <si>
    <t>GOT DOUBLE LEGGED MAR24 95.55 FOR 6 MINS @ PIQ = 9)</t>
  </si>
  <si>
    <t>452AM</t>
  </si>
  <si>
    <t>Scalping (trying in flies)</t>
  </si>
  <si>
    <t>548am</t>
  </si>
  <si>
    <t xml:space="preserve">STUCK AT PIQ = 0 AT MAR23 </t>
  </si>
  <si>
    <t>Scalping IN FLIES (TRY WITH MORE LOTS)</t>
  </si>
  <si>
    <t>DO IT IN THE DIRECTION OF CURVE MOVEMENT</t>
  </si>
  <si>
    <t>Scalping (single legged at IR JUN24 for 26MINS)</t>
  </si>
  <si>
    <t>make spd @ -0.07 and sell at mkt/sell jun24 at mkt or profit</t>
  </si>
  <si>
    <t>12 48pm</t>
  </si>
  <si>
    <t>SINGLE LEGGED (other side stuck at piq = 0) | SINGLE LEGGED FOR 26MINS</t>
  </si>
  <si>
    <t>MKT CLOSE GTC (1ST SESSION)</t>
  </si>
  <si>
    <t>M24 FLY</t>
  </si>
  <si>
    <t xml:space="preserve">KINK TRADING </t>
  </si>
  <si>
    <t>PUT ORDERS AT RESPECTIVE PRICES IN EACH CONTRACT (AFTER SINGLE LEGGED) SEP24 AT 95.77 MAR 24 95.57 (COST) JUN24 (4 LOTS SO 95.68 (+1))</t>
  </si>
  <si>
    <t>MKT CLOSE GTC GAVE DOUBLE FILLED SINGLE LEGGED ORDERS</t>
  </si>
  <si>
    <t>GIVE ORDERS RIGHT AFTER MKT OPEN, IG (AVOID WITH GTC IN FLIES | ONLY SMALL LOTS IN SPREADS)</t>
  </si>
  <si>
    <t>6.30 reached SEP24 AT M24 0 :)</t>
  </si>
  <si>
    <t>AVOID GTC IN FLY OUTRIGHTS</t>
  </si>
  <si>
    <t>TRIED GTC EXECUTION WITH 1 LOT; FAILED</t>
  </si>
  <si>
    <t>MKT CLOSE GTC  (1ST SESSION)</t>
  </si>
  <si>
    <t>Scalping (double filled single legged)</t>
  </si>
  <si>
    <t>after 3pm</t>
  </si>
  <si>
    <t>got 1 lot at a time (risky business)</t>
  </si>
  <si>
    <t>danger if mkt opens at a gap</t>
  </si>
  <si>
    <t>The more you wait the more dependent you'll be in luck (after getting single legged)</t>
  </si>
  <si>
    <t>M24 FLY - KINK TRADING (DOUBLE FILLED &amp; LEGGED) | EXEC FAIL - DONT USE GTC (TRY FF ASE RETRY WITH TIME B4 CLOSE AND AFTER OPEN)</t>
  </si>
  <si>
    <t>WAITED TO GET MAR24 AT 0 (OUT OF TIME)</t>
  </si>
  <si>
    <t>The more you wait the more dependent you'll be in LUCK (after getting single legged) | therefore LESS CONTROL (MAX 1 HOUR) | CHECK WORST CASE SL SCENARIOS + BACKUP | give SL before working on SL</t>
  </si>
  <si>
    <t>USE FF ASE RETRY (B4 CLOSE AND AFTER OPEN - TIME)</t>
  </si>
  <si>
    <t xml:space="preserve">DONT USE GTC WITH FLY outright </t>
  </si>
  <si>
    <t>EXECUTION FAILURE USING GTC B4 MKT CLOSE</t>
  </si>
  <si>
    <t>USE FF ASE RETRY (B4 CLOSE AND AFTER OPEN - TIME) | check IGNORE MARKET STATE</t>
  </si>
  <si>
    <t>735PM</t>
  </si>
  <si>
    <t>KINK TRADING</t>
  </si>
  <si>
    <t>26,27 sep22</t>
  </si>
  <si>
    <t>EXECUTION SUCCESSFUL WHEN ORDER GIVEN AFTER MKT OPEN | 1 lot at a time</t>
  </si>
  <si>
    <t>use 1 lot at a time in outright; rest of the time use calendar</t>
  </si>
  <si>
    <t>~10PM</t>
  </si>
  <si>
    <t>27 sep 824 am</t>
  </si>
  <si>
    <t>1111AM</t>
  </si>
  <si>
    <t>SINGLE LEGGED FOR 4 MINS</t>
  </si>
  <si>
    <t>1.12pm</t>
  </si>
  <si>
    <t>PARTIAL FILL (2/3)</t>
  </si>
  <si>
    <t>233pm</t>
  </si>
  <si>
    <t>KINK TRADING + CURVE MOVEMENT</t>
  </si>
  <si>
    <t>FLUCTUATION B/W 3 AND 5</t>
  </si>
  <si>
    <t>NIGHT SESSION</t>
  </si>
  <si>
    <t>J24 S24</t>
  </si>
  <si>
    <t>full session</t>
  </si>
  <si>
    <t>orders 1 tick around as well (need to work on that)</t>
  </si>
  <si>
    <t>KINK TRADING + ANOMALY BEFORE KINK FLY +VE</t>
  </si>
  <si>
    <t>3 DAYS (FRI)</t>
  </si>
  <si>
    <t>B4 RBA MEETING EXIT IF GOES HIGH</t>
  </si>
  <si>
    <t>820am</t>
  </si>
  <si>
    <t>1056AM</t>
  </si>
  <si>
    <t>1106AM</t>
  </si>
  <si>
    <t>2 lots (partial fill) (2/3)</t>
  </si>
  <si>
    <t>orders given after market open works much better</t>
  </si>
  <si>
    <t>2 lots (partial fill) (1/3)</t>
  </si>
  <si>
    <t>EXIT AT COST</t>
  </si>
  <si>
    <t>AFTER 3</t>
  </si>
  <si>
    <t>4 OCT EXIT</t>
  </si>
  <si>
    <t>INVALID (GOT LEGGED) W/O SL</t>
  </si>
  <si>
    <t>LUCK 100</t>
  </si>
  <si>
    <t>ACTIVELY TRADE IF USING FLY outright</t>
  </si>
  <si>
    <t>403am</t>
  </si>
  <si>
    <t>430am</t>
  </si>
  <si>
    <t>AVOID/STOP Scalping IF RANGES ARE NOT PROMINENT (CANDLES) IN 10 - 15 MIN TF</t>
  </si>
  <si>
    <t>MKT BEHAVIOR IS TO PREPARE FOR THE WORST B4 EVENT (RIGHT NOW WORSE (OR OPPOSITE DIRECTION) IS 25 BP SO PRICED IN BP 45 TO 42 IN 3 DAYS)</t>
  </si>
  <si>
    <t>1.02PM</t>
  </si>
  <si>
    <t>Scalping (TRYING WITH FF RANGE PLAY) TEMPLATE - CHURN1</t>
  </si>
  <si>
    <t>Scalping (TRYING WITH FF RANGE PLAY with 1 lot) CHURN1=&gt; SAVED TEMPLATE | TF 15MIN</t>
  </si>
  <si>
    <t>(HIT AT THE MIDDLE EX =&gt; -0.05 and -0.03 is the range =&gt; hit at -0.04</t>
  </si>
  <si>
    <t xml:space="preserve">USEFUL FOR LEAVING THE ORDERS WITH 1 LOT WHEN AWAY </t>
  </si>
  <si>
    <t>1.48pm</t>
  </si>
  <si>
    <t>SELLING 1 LOT AT A TIME</t>
  </si>
  <si>
    <t>1156am</t>
  </si>
  <si>
    <t>TRYING TT OCO2; WORKS IN OUTRIGHTS</t>
  </si>
  <si>
    <r>
      <rPr>
        <b/>
        <sz val="10"/>
        <color rgb="FF434343"/>
        <rFont val="Roboto"/>
      </rPr>
      <t>CPI (YoY) (Sep</t>
    </r>
    <r>
      <rPr>
        <b/>
        <sz val="10"/>
        <color rgb="FF434343"/>
        <rFont val="Roboto"/>
      </rPr>
      <t>) | (P9.1% F9.7% A10%)</t>
    </r>
  </si>
  <si>
    <t>Scalping - USE A FIXED SHOT. DONT ADD SHOTS TO THE SHOTS ALREADY IN QUEUE (Chances of getting legged will increase) | BOTH LEGS QH=2 BETTER SO FAR | also do one side at a time</t>
  </si>
  <si>
    <t>ANOMALY TRADING - LOOK FOR ANOMALIES DURING KINK SHIFTING [MATHS] - POSITIVE EXPECTANCY TRADE; example - row 134 - row177,184,185 | -2 LEG QH = 1</t>
  </si>
  <si>
    <t xml:space="preserve">ORDER MGMT - DONT USE GTC IN FLY OUTRIGHTS (ONLY PUT ORDERS AFTER MKT OPEN) </t>
  </si>
  <si>
    <t>ORDR MGMT: Remove all orders before market close in session1. Add orders once the market starts.</t>
  </si>
  <si>
    <t>PLAN + DISCIPLINE- The more you wait the more dependent you'll be on LUCK (after getting single legged) | therefore LESS CONTROL (wait MAX 1 HOUR) | CHECK WORST CASE SL SCENARIOS + BACKUP | give SL before working on backup</t>
  </si>
  <si>
    <t>DISCIPLINE - IF UNSURE OR LESS CONFIDENT, NOT TAKING ANY TRADE IS BETTER (FOR A SHORT RUN) | OBSERVE AND PLAN AHEAD</t>
  </si>
  <si>
    <t>night ses. 6pm</t>
  </si>
  <si>
    <t>KINK SHIFT</t>
  </si>
  <si>
    <t>3 (Scalping) / HOLD 2 WEEKS</t>
  </si>
  <si>
    <t>CHURN OR 2 WEEKS</t>
  </si>
  <si>
    <t>FROM OUTRIGHTS</t>
  </si>
  <si>
    <t>559AM</t>
  </si>
  <si>
    <t>ORDERED AT ; GOT AT -1</t>
  </si>
  <si>
    <t>755AM</t>
  </si>
  <si>
    <t>RBA MEETING</t>
  </si>
  <si>
    <t>28SEP - 4OCT</t>
  </si>
  <si>
    <t>GOT LEGGED (EARLY EXIT AT 2 INSTEAD OF 3) | YET HAD TO WAIT 11 MINS</t>
  </si>
  <si>
    <t>TRIED EXITING BEFORE MEETING WHEN PRICE WAS NEAR 3</t>
  </si>
  <si>
    <t>FROM OUTRIGTHS</t>
  </si>
  <si>
    <t>TARGET EXIT WAS 3 BUT GOT LEGGED SO EXIT AT 2</t>
  </si>
  <si>
    <t>AVOID TRADES IN FLIES AND SPDS ON MEETING DAY</t>
  </si>
  <si>
    <t>RBA MEETING hikes by 25bp (e50bp a25)</t>
  </si>
  <si>
    <t>outights moved by 50 to 70 bp!!!!</t>
  </si>
  <si>
    <t>IB OCT</t>
  </si>
  <si>
    <t>SPECULATION AGAINST THE BETTER RISK REWARD</t>
  </si>
  <si>
    <t xml:space="preserve">HERD MENTALITY (TOOK A BET AS IT WAS SIM, DID NOT CARE) </t>
  </si>
  <si>
    <t>BORED</t>
  </si>
  <si>
    <t>POSITIVES - FELT LIKE STRATEGY AND NOT TRADE</t>
  </si>
  <si>
    <t>WAS ABLE TO CUT (GOOD)</t>
  </si>
  <si>
    <t>IT WAS A STRATEGY (IRRATIONAL &amp; BAD RR) AND NOT A TRADE; GOOD</t>
  </si>
  <si>
    <t>AVOID HERD MENTALITY</t>
  </si>
  <si>
    <t>STAY RATIONAL; ALWAYS CHECK THE RISK REWARD (DONT CONFUSE PROBABILITIES WITH OPINIONS/SPECULATIONS)</t>
  </si>
  <si>
    <t>TRIED HERD MENTALITY BUYING WITH 1 LOT; IF YOU LOOK AT WORSE - UNBEARABLE LOSS</t>
  </si>
  <si>
    <t>1036am</t>
  </si>
  <si>
    <t>J23 FLY - o</t>
  </si>
  <si>
    <t>AFTER HIKE 25</t>
  </si>
  <si>
    <t>REMOVED/CHECKED GTC ORDERS B4 MKT CLOSE</t>
  </si>
  <si>
    <t>IMPROVEMENT IN ORDER MGMT + DISCIPLINE</t>
  </si>
  <si>
    <t>NIGHT SES.</t>
  </si>
  <si>
    <t>1.30PM</t>
  </si>
  <si>
    <t>SELL AT 5 INSTEAD OF 6</t>
  </si>
  <si>
    <t>B4 RBA MEETING EXIT IF GOES HIGH &amp; HOLD SOME</t>
  </si>
  <si>
    <t>28SEP - 5OCT</t>
  </si>
  <si>
    <t>DOUBLE LEGGED FOR 33MINS | SELLING 2 LOTS AT A TIME</t>
  </si>
  <si>
    <t>NEXT DAY AFTER HIKE 25</t>
  </si>
  <si>
    <t>stay active if mkt have activity (get a backup ready) or exit within hour of legged</t>
  </si>
  <si>
    <t>NEED TO STAY ACTIVE FOR FLY outright if mkt is not in a range</t>
  </si>
  <si>
    <t>350am</t>
  </si>
  <si>
    <t>28 SEP - 6 OCT</t>
  </si>
  <si>
    <t>1 WEEK +</t>
  </si>
  <si>
    <t>28SEP - 7OCT</t>
  </si>
  <si>
    <r>
      <rPr>
        <b/>
        <u/>
        <sz val="10"/>
        <color rgb="FF333333"/>
        <rFont val="Roboto"/>
      </rPr>
      <t>Nonfarm Payrolls (Sep</t>
    </r>
    <r>
      <rPr>
        <b/>
        <sz val="10"/>
        <color rgb="FF434343"/>
        <rFont val="Roboto"/>
      </rPr>
      <t>) | (F250K A263K)</t>
    </r>
  </si>
  <si>
    <t>OUTRIGHTS (-7BP THEN REBOUNDING AFTER 30 MINS)</t>
  </si>
  <si>
    <r>
      <rPr>
        <b/>
        <u/>
        <sz val="10"/>
        <color rgb="FF333333"/>
        <rFont val="Roboto"/>
      </rPr>
      <t>Unemployment Rate (Sep</t>
    </r>
    <r>
      <rPr>
        <b/>
        <sz val="10"/>
        <color rgb="FF434343"/>
        <rFont val="Roboto"/>
      </rPr>
      <t>) | (F3.7% A3.5%)</t>
    </r>
  </si>
  <si>
    <t>Employment Change (Sep) | (F20K A21.1K)</t>
  </si>
  <si>
    <t>Kink shift + fluctuations b/w 3 and 5</t>
  </si>
  <si>
    <t>USE QH=1 AND ONLY ACTIVE QUOTING IN THE MIDDLE ONE FOR FLY outright</t>
  </si>
  <si>
    <t>hit but 1 tick payup!</t>
  </si>
  <si>
    <t>checking for fills</t>
  </si>
  <si>
    <t>TFF might affect IR jun23; check data</t>
  </si>
  <si>
    <t>Kink shift + fluctuations b/w 3 and 6</t>
  </si>
  <si>
    <t>IF GETTING FILLS ON CALENDAR EASILY; MOVE HAS STRONG CHANCE TO GO AGAINST YOU FOR AT LEAST 2 TICKS</t>
  </si>
  <si>
    <t>from outrights got double filled when the move came</t>
  </si>
  <si>
    <t>BAD EXECUTION WHEN MOVE CAME UNEXPECTEDLY</t>
  </si>
  <si>
    <r>
      <rPr>
        <b/>
        <sz val="10"/>
        <color rgb="FF434343"/>
        <rFont val="Roboto"/>
      </rPr>
      <t>NAB Business Confidence (Sep</t>
    </r>
    <r>
      <rPr>
        <b/>
        <sz val="10"/>
        <color rgb="FF434343"/>
        <rFont val="Roboto"/>
      </rPr>
      <t>) | (P10 A5)</t>
    </r>
  </si>
  <si>
    <t>D23 SPD</t>
  </si>
  <si>
    <t>Outrights are giving fills; Calendar will give but be ready for anti move</t>
  </si>
  <si>
    <t>1130am</t>
  </si>
  <si>
    <t>UK MONTHLY GDP (F-0.2 A-0.3%)</t>
  </si>
  <si>
    <t>MKT BREAK</t>
  </si>
  <si>
    <t>UK YOU GDP | (F2.4% A2%)</t>
  </si>
  <si>
    <t>ECB SPEECH, FOMC MINUTES, US PPI</t>
  </si>
  <si>
    <t>DURING SPEECHES OR MINUTES USE CALENDARS AT DEFENSIVE POSITIONS ONLY</t>
  </si>
  <si>
    <t>YOU WILL GET FILLS ON A SAFE CONTRACT AT A SAFE PRICE EVEN IF LEGGED IT WILL BE A SPREAD</t>
  </si>
  <si>
    <t xml:space="preserve">PREFERRED FOR CALENDAR SPREADS ONLY AT DEFENSIVE POSITION </t>
  </si>
  <si>
    <t>KINK ANOMALY BUT DIRECTION OPPOSITE TO KINK TRADING FUNDAMENTAL</t>
  </si>
  <si>
    <t>DON'T GO OPPOSITE DIRECTION OF KINK TRADING FUNDAMENTAL; less win%</t>
  </si>
  <si>
    <t>USE CALENDAR SPD 1 TICK ON THE DEFENSIVE SIDE SUCH THAT YOU ARE IN THE DIRECTION</t>
  </si>
  <si>
    <t>THERE IS A LOT OF BAITING IN THE MKT</t>
  </si>
  <si>
    <t>IF LOWER THAN EXPECTED IS BEARISH FOR AUD THEN OUTRIGHTS WILL FALL</t>
  </si>
  <si>
    <t>got legged in the buying side (4 ticks away after 2 hrs)</t>
  </si>
  <si>
    <t>execute from outright when selling right side of kink</t>
  </si>
  <si>
    <t>D22 SPD CAL</t>
  </si>
  <si>
    <t>EXPECTING FRONT LOADING (WESTPAC 50BP EXPECTATIONS IN NOV NEWS)</t>
  </si>
  <si>
    <t>MOVEMENT IG</t>
  </si>
  <si>
    <t>TT STOP WITH A PAYUP EXECUTED AT 60</t>
  </si>
  <si>
    <t>ALL EXIT ORDERS AT MKT OPEN (+5MINS outrights)</t>
  </si>
  <si>
    <t>CHECKING SL IN CALENDARS WITH ASK QTY (IN THIS CASE ASK)</t>
  </si>
  <si>
    <t>USE LTP QTY (&gt;=100) WITH PAYUP=1 INSTEAD OF ASKS/BIDS</t>
  </si>
  <si>
    <t>KINK TRADING (SHOULD NOT GO NEGATIVE) | LESS DOWNSIDE</t>
  </si>
  <si>
    <t>(SHOULD NOT GO NEGATIVE) | LESS DOWNSIDE</t>
  </si>
  <si>
    <t xml:space="preserve">ENTRY got DOUBLE FILLED </t>
  </si>
  <si>
    <t>exit via outright 1 lot; 31 0ct another lot</t>
  </si>
  <si>
    <t>no problem in a less volatile market where fluctuations in outrights are occuring</t>
  </si>
  <si>
    <t>M24 SPD CAL</t>
  </si>
  <si>
    <t>WENT TO 0.01 LATER ON</t>
  </si>
  <si>
    <t>10.45AM</t>
  </si>
  <si>
    <t>DON'T GO OPPOSITE DIRECTION OF KINK TRADING FUNDAMENTAL</t>
  </si>
  <si>
    <t>USE CALENDAR SPD 1 TICK ON THE DEFENSIVE SIDE SUCH THAT YOU ARE IN THE DIRECTION OF CURVE/KINK TRADING</t>
  </si>
  <si>
    <t>you can move the 2nd queued order manually</t>
  </si>
  <si>
    <t>4.45pm</t>
  </si>
  <si>
    <t>WITHIN SECONDS</t>
  </si>
  <si>
    <t>PUT ORDERS AT -3 AND -4 IN SPDS AND CALENDAR</t>
  </si>
  <si>
    <t>AMAZING EXECUTION</t>
  </si>
  <si>
    <t>ENTERED OPPOSITE SIDE (-4) AND EXIT AS WELL IN HOURS LATER</t>
  </si>
  <si>
    <t>EXIT FROM OUTRIGHTS (ENTERED FROM CALENDAR)</t>
  </si>
  <si>
    <t>selling side triggered first</t>
  </si>
  <si>
    <t>JUN23 DE-FLY WAS AT -4, -5 (REST ALL +VE); ANOMALY LIKE; 2 NOV 22: IT WAS AT 1, 2</t>
  </si>
  <si>
    <t>~3HRS</t>
  </si>
  <si>
    <t>7.30PM</t>
  </si>
  <si>
    <t>AND THEN EXIT FROM CALENDAR AT -3</t>
  </si>
  <si>
    <t>AUTO PILOT</t>
  </si>
  <si>
    <t>SD23</t>
  </si>
  <si>
    <t>355AM</t>
  </si>
  <si>
    <t>JS24</t>
  </si>
  <si>
    <t>&gt;12 hrs</t>
  </si>
  <si>
    <t>JS24 C</t>
  </si>
  <si>
    <t xml:space="preserve">D23 FLY OUTRIGHT </t>
  </si>
  <si>
    <t>LEGGED!</t>
  </si>
  <si>
    <t>EXIT AT 1 TICK</t>
  </si>
  <si>
    <t>order qty 4; filled qty 1 (at least 2 needs to be filled )</t>
  </si>
  <si>
    <t>USE 1 LOT AT A TIME (IF ATTEMPTING FOR FLY)</t>
  </si>
  <si>
    <t>VERY RISKY (IN ILLIQUID MKT); STILL RISKY IN LIQUID MKT</t>
  </si>
  <si>
    <t>S23 SPD CAL</t>
  </si>
  <si>
    <t>weak</t>
  </si>
  <si>
    <t>Calendar exit</t>
  </si>
  <si>
    <t>NEW STRATS | WHITES, PRIMARY, OUTRIGHTS + more lots trades</t>
  </si>
  <si>
    <t>FLY EXECUTION</t>
  </si>
  <si>
    <t>DURING HIGH OR MEDIUM VOLATILITY; ASE OF CALENDARS MIGHT GIVE YOU DOUBLE FILLED OR EVEN SINGLE LEGGED IN CALENDAR | ASE OF OUTIGHTS WITH 1 PAYUP ON EITHER LEGS WILL GIVE 2 TICKS BAD PRICE</t>
  </si>
  <si>
    <t xml:space="preserve">BEST IS ALWAYS TO HIT AT 1 WORSE PRICE! </t>
  </si>
  <si>
    <t>OR AVOID ASE!</t>
  </si>
  <si>
    <t>HIT IN GAP OF CALENDAR FLY | MATURE WAY</t>
  </si>
  <si>
    <t>Scalping (w larger lots)</t>
  </si>
  <si>
    <t>practising with larger lots</t>
  </si>
  <si>
    <t>JUST NUMBERS</t>
  </si>
  <si>
    <t>Liq gap till 41</t>
  </si>
  <si>
    <t>3 ticks (ltq &gt;=45)</t>
  </si>
  <si>
    <t>45 was last Sz (broken) | might become Rz | 44 was day open</t>
  </si>
  <si>
    <t>so mkt prepared for the dovish (50bp) 44 to 41</t>
  </si>
  <si>
    <t>JS24 spd calendar</t>
  </si>
  <si>
    <t>DM24 SPD C</t>
  </si>
  <si>
    <t>3 days</t>
  </si>
  <si>
    <t>28 nov 22 509pm</t>
  </si>
  <si>
    <t>M24 SPD C</t>
  </si>
  <si>
    <t>25 nov 22 645am</t>
  </si>
  <si>
    <t>1st scalp win w 5 lots</t>
  </si>
  <si>
    <t>B/O of Rz (previously broken Sz)</t>
  </si>
  <si>
    <t>LAST OF Rz</t>
  </si>
  <si>
    <t>&gt;=53</t>
  </si>
  <si>
    <t>using trailing SL; moving 1 tick w target still same</t>
  </si>
  <si>
    <t>Trailing SL hit; went up till 53</t>
  </si>
  <si>
    <t>28-Nov-2022, 29 nov 22</t>
  </si>
  <si>
    <t>MON, tue</t>
  </si>
  <si>
    <t>510PM, 445am</t>
  </si>
  <si>
    <t>Bp distribution</t>
  </si>
  <si>
    <t>Curve anomaly + (rollover)</t>
  </si>
  <si>
    <t>D A M N!</t>
  </si>
  <si>
    <t>REACHED TARGET (took 2-3 days)</t>
  </si>
  <si>
    <t>615AM</t>
  </si>
  <si>
    <t>EMA 50 X 200 | SLANTING TREND</t>
  </si>
  <si>
    <t>935AM</t>
  </si>
  <si>
    <t>IB FEB 23</t>
  </si>
  <si>
    <t>Hawkish slightly by LOWE</t>
  </si>
  <si>
    <t>CORRECT VIEWS</t>
  </si>
  <si>
    <t>IB DEC 23</t>
  </si>
  <si>
    <t>SRz Model</t>
  </si>
  <si>
    <t>FFRZ1</t>
  </si>
  <si>
    <t>MKT CLOSE</t>
  </si>
  <si>
    <t>Ranges (-6.5 to +10.5)</t>
  </si>
  <si>
    <t>Backs move more (got FFRZ2 as well) | YBAc5,c6,c7</t>
  </si>
  <si>
    <t>B4 backs wale are lagging (got FFRz1) | YBac3,c4</t>
  </si>
  <si>
    <t>far belly (ybac3) &amp; far back (ybac7) best wins</t>
  </si>
  <si>
    <t>Ranges (-4 to +10)</t>
  </si>
  <si>
    <t>FFRZ2 pe 1 lot and  FFRZ2 +4 pe 1 lot for backs</t>
  </si>
  <si>
    <t>for exit, need to be proactive</t>
  </si>
  <si>
    <t>721PM</t>
  </si>
  <si>
    <t>Ranges (-2.5 to +12.5)</t>
  </si>
  <si>
    <t>FFRZ2</t>
  </si>
  <si>
    <t>733PM</t>
  </si>
  <si>
    <t>737PM</t>
  </si>
  <si>
    <t>Ranges (-1 to +13)</t>
  </si>
  <si>
    <t>IR J23</t>
  </si>
  <si>
    <t>Touched AvgH</t>
  </si>
  <si>
    <t>AvgH</t>
  </si>
  <si>
    <t>11 range | 2 downside</t>
  </si>
  <si>
    <t>RET . Elsewhere touched daily avgOC</t>
  </si>
  <si>
    <t>Ret works | useful as GTC possible</t>
  </si>
  <si>
    <t>prev Rz becomes new Sz works | can even get at a better price</t>
  </si>
  <si>
    <t>prev rectangle zone ke mid se reversal le skta h</t>
  </si>
  <si>
    <t>440AM</t>
  </si>
  <si>
    <t>3S10S</t>
  </si>
  <si>
    <t>Bias for more recession</t>
  </si>
  <si>
    <t>3s10s went up in dovish data (both cpi and gdp dovish)</t>
  </si>
  <si>
    <t>945am</t>
  </si>
  <si>
    <t>Ret FFSz -&gt; FFRz</t>
  </si>
  <si>
    <t>641am</t>
  </si>
  <si>
    <t>Dovish view supports (up)</t>
  </si>
  <si>
    <t>Both legs anti!</t>
  </si>
  <si>
    <t>739am</t>
  </si>
  <si>
    <t>CHECKING RATIO (3:1) EXECUTION</t>
  </si>
  <si>
    <t>XT moves more than YT | similar to IR and their spds</t>
  </si>
  <si>
    <t>415AM</t>
  </si>
  <si>
    <t>Dovish up (picked when retraced a little)</t>
  </si>
  <si>
    <t>should go back to same level from where it dropped after dovish stance from RBA</t>
  </si>
  <si>
    <t>700am</t>
  </si>
  <si>
    <t>CS</t>
  </si>
  <si>
    <t>ATTEMPTS</t>
  </si>
  <si>
    <t>TOTAL CS</t>
  </si>
  <si>
    <t>WINS B</t>
  </si>
  <si>
    <t>LOSS</t>
  </si>
  <si>
    <t>WINS S</t>
  </si>
  <si>
    <t>T F W,L</t>
  </si>
  <si>
    <t>LOSS B</t>
  </si>
  <si>
    <t>T C W,L</t>
  </si>
  <si>
    <t>WIN CS</t>
  </si>
  <si>
    <t>LOSS S</t>
  </si>
  <si>
    <t>F C W,L</t>
  </si>
  <si>
    <t>again1</t>
  </si>
  <si>
    <t>LOSS CS</t>
  </si>
  <si>
    <t>T F C W,L</t>
  </si>
  <si>
    <t>TOTAL WIN CS</t>
  </si>
  <si>
    <t>GAINS B'</t>
  </si>
  <si>
    <t>TOTAL LOSS CS</t>
  </si>
  <si>
    <t>GAINS S</t>
  </si>
  <si>
    <t>GAINS</t>
  </si>
  <si>
    <t>P</t>
  </si>
  <si>
    <t>O W</t>
  </si>
  <si>
    <t>O L</t>
  </si>
  <si>
    <t>S W</t>
  </si>
  <si>
    <t>S L</t>
  </si>
  <si>
    <t>F W</t>
  </si>
  <si>
    <t>F L</t>
  </si>
  <si>
    <t>TRUST THE  SYSTEM WITH A PINCH OF INTUITION</t>
  </si>
  <si>
    <t>WHEN THE FOREST WILL CALL FOR THE WOLVES</t>
  </si>
  <si>
    <t>0) MENTALITY &gt; 1) FORMATION &gt; 2) LOT SIZING + ALLOCATION + STATES &amp; STRATS &gt; 3) TRADE &gt; 4) BALANCE</t>
  </si>
  <si>
    <t>LITTLE BY LITTLE, A LITTLE BECOMES A LOT. TANZANIAN PROVERB</t>
  </si>
  <si>
    <t>4. BALANCE . DEFENCE</t>
  </si>
  <si>
    <r>
      <rPr>
        <b/>
        <sz val="12"/>
        <color rgb="FFEFEFEF"/>
        <rFont val="Roboto"/>
      </rPr>
      <t xml:space="preserve">LOSS CHART . ATTACK | for </t>
    </r>
    <r>
      <rPr>
        <b/>
        <sz val="12"/>
        <color rgb="FFC00000"/>
        <rFont val="Roboto"/>
      </rPr>
      <t>A/UA TRADES (SNIPER)</t>
    </r>
    <r>
      <rPr>
        <b/>
        <sz val="12"/>
        <color rgb="FFFFFFFF"/>
        <rFont val="Roboto"/>
      </rPr>
      <t xml:space="preserve"> | (duration </t>
    </r>
    <r>
      <rPr>
        <b/>
        <sz val="12"/>
        <color rgb="FFC00000"/>
        <rFont val="Roboto"/>
      </rPr>
      <t>1 - 2 trades / 2 week</t>
    </r>
    <r>
      <rPr>
        <b/>
        <sz val="12"/>
        <color rgb="FFFFFFFF"/>
        <rFont val="Roboto"/>
      </rPr>
      <t>)</t>
    </r>
  </si>
  <si>
    <r>
      <rPr>
        <b/>
        <sz val="16"/>
        <color rgb="FFEFEFEF"/>
        <rFont val="Roboto"/>
      </rPr>
      <t xml:space="preserve">2.1. LOT SIZING . </t>
    </r>
    <r>
      <rPr>
        <b/>
        <sz val="10"/>
        <color rgb="FFEFEFEF"/>
        <rFont val="Roboto"/>
      </rPr>
      <t xml:space="preserve">SCALE UP/DOWN CHART </t>
    </r>
  </si>
  <si>
    <t>| varies from strategy to strategy | % of account size | MKT STATE</t>
  </si>
  <si>
    <t>CAPPED AMT profit only</t>
  </si>
  <si>
    <t>enter from tj</t>
  </si>
  <si>
    <t>Biggest drawdown (or biggest SL set w payup)</t>
  </si>
  <si>
    <t>FORGET 20%</t>
  </si>
  <si>
    <t>IF BALANCE 0-10K</t>
  </si>
  <si>
    <t>ir</t>
  </si>
  <si>
    <t>Profit/month (or mkt state)</t>
  </si>
  <si>
    <t>FORGET 50%</t>
  </si>
  <si>
    <t>IF BALANCE 10-25K</t>
  </si>
  <si>
    <t>FORGET 75%</t>
  </si>
  <si>
    <t>IF BALANCE 25K+</t>
  </si>
  <si>
    <t>Have a separate account for trying something new + might help during crisis</t>
  </si>
  <si>
    <t>AMT TO BE ADDED</t>
  </si>
  <si>
    <t>5k is 1 blowup account</t>
  </si>
  <si>
    <t>LOSS CHART</t>
  </si>
  <si>
    <t>IF EXECUTION FAILS</t>
  </si>
  <si>
    <t>so if you have 10k for trading you have 2 blowup accounts</t>
  </si>
  <si>
    <t>LOSS (TICKS)</t>
  </si>
  <si>
    <t>TICK ($)</t>
  </si>
  <si>
    <t>MAX LOTS</t>
  </si>
  <si>
    <t>LOSS ($)</t>
  </si>
  <si>
    <t>RISK (%) (OR AVG LOT SIZE)</t>
  </si>
  <si>
    <t>PROFIT/MONTH (%) (OR PROFIT/MKT STATE (%)</t>
  </si>
  <si>
    <t>PROFIT AMT</t>
  </si>
  <si>
    <t>DRAWDOWN (%) OR MAX SL LIMIT</t>
  </si>
  <si>
    <t>LOSS AMT</t>
  </si>
  <si>
    <t>GET THE MAX FROM ABOVE (total lots for the best contract)</t>
  </si>
  <si>
    <t>example if for FLY -&gt; MAX 20 (1 lvl) . red fly 20 | white ~10</t>
  </si>
  <si>
    <t>take this for belly</t>
  </si>
  <si>
    <r>
      <rPr>
        <b/>
        <sz val="16"/>
        <color rgb="FFEFEFEF"/>
        <rFont val="Roboto"/>
      </rPr>
      <t xml:space="preserve">1. FORMATION | </t>
    </r>
    <r>
      <rPr>
        <b/>
        <sz val="10"/>
        <color rgb="FFEFEFEF"/>
        <rFont val="Roboto"/>
      </rPr>
      <t>after selecting risk amt -&gt; allocation amt for the strats | % IS DETERMINED BY THE RISK AND INTENSITY OF POSITIVE EXPECTANCY OF STRAT</t>
    </r>
  </si>
  <si>
    <r>
      <rPr>
        <b/>
        <sz val="16"/>
        <color rgb="FFEFEFEF"/>
        <rFont val="Roboto"/>
      </rPr>
      <t xml:space="preserve">2.2. ALLOCATION | </t>
    </r>
    <r>
      <rPr>
        <b/>
        <sz val="10"/>
        <color rgb="FFEFEFEF"/>
        <rFont val="Roboto"/>
      </rPr>
      <t>Maths</t>
    </r>
  </si>
  <si>
    <t xml:space="preserve">AMT AVAILABLE </t>
  </si>
  <si>
    <t>These are just guidelines | as experience grows intuition should also help</t>
  </si>
  <si>
    <r>
      <rPr>
        <i/>
        <sz val="10"/>
        <color rgb="FF000000"/>
        <rFont val="Arial"/>
      </rPr>
      <t xml:space="preserve">TOTAL BALANCE | 0-10k : add 80% capped amt, 10k-25k: add 50% capped amt, 25k+ add 75% capped amt or subtract 100% if loss | also forget some money that you have made so reduce </t>
    </r>
    <r>
      <rPr>
        <b/>
        <i/>
        <sz val="10"/>
        <color rgb="FF000000"/>
        <rFont val="Arial"/>
      </rPr>
      <t>trimesterly 20% as well</t>
    </r>
  </si>
  <si>
    <t>SINGLE TRADE</t>
  </si>
  <si>
    <t>treat them objectively | keep in mind the overall exposure |dont miss the opportunity</t>
  </si>
  <si>
    <t>these should be low risk high reward and win most of the times at the right times</t>
  </si>
  <si>
    <t>MAX IMPLIED RISK</t>
  </si>
  <si>
    <t>LVL OF POSITIVE EXPECTANCY</t>
  </si>
  <si>
    <t>FOR WHAT TYPE OF TRADES</t>
  </si>
  <si>
    <t>consider only when crossing liquidity thresholds (50-75 lots)</t>
  </si>
  <si>
    <t>HIGH RISK, LOW POSITIVE EXPECTANCY</t>
  </si>
  <si>
    <t xml:space="preserve">BALANCE </t>
  </si>
  <si>
    <t xml:space="preserve">2ND ENTRY . 50% MORE </t>
  </si>
  <si>
    <t xml:space="preserve">2ND ENTRY . 25% MORE </t>
  </si>
  <si>
    <t>FOR BALANCED TRADES MOSTLY (UD,D,B)</t>
  </si>
  <si>
    <t>IF 40:60</t>
  </si>
  <si>
    <t>MEDIUM RISK, MEDIUM POSITIVE EXPECTANCY</t>
  </si>
  <si>
    <t xml:space="preserve">STRAT   </t>
  </si>
  <si>
    <t>MAX DD</t>
  </si>
  <si>
    <t>P/M</t>
  </si>
  <si>
    <t>Ratio</t>
  </si>
  <si>
    <t>%</t>
  </si>
  <si>
    <t>LVL</t>
  </si>
  <si>
    <t>C. Mkt St.</t>
  </si>
  <si>
    <t>POSITIONAL V INTRADAY/HOUR</t>
  </si>
  <si>
    <t>MAX</t>
  </si>
  <si>
    <t># of entries</t>
  </si>
  <si>
    <t>WHEN TO AVOID</t>
  </si>
  <si>
    <t>WHEN TO ATTACK</t>
  </si>
  <si>
    <t>INDEX FUND TRADES</t>
  </si>
  <si>
    <t>MAX DD / LOT</t>
  </si>
  <si>
    <t>P/M / LOT</t>
  </si>
  <si>
    <t>MAX CLIP (WHY NOT MORE?) | entry lots</t>
  </si>
  <si>
    <t>% ALLOCATION</t>
  </si>
  <si>
    <t>ALLOCATION AMT</t>
  </si>
  <si>
    <t>PROFIT / MONTH % PER LOT</t>
  </si>
  <si>
    <t>DD% PER LOT</t>
  </si>
  <si>
    <t>LOT SIZE (ratio 1 lots so 1:3 will become lots below: 3 x lots below)</t>
  </si>
  <si>
    <t>PROFIT PER PLAY</t>
  </si>
  <si>
    <t>PROFIT AMT / PLAY</t>
  </si>
  <si>
    <t>DD% PER PLAY</t>
  </si>
  <si>
    <t># DD / PLAY</t>
  </si>
  <si>
    <t>TOTAL MAX DD</t>
  </si>
  <si>
    <t>NET PNL PER PLAY</t>
  </si>
  <si>
    <t>ENTRY 1 (x)</t>
  </si>
  <si>
    <t>ENTRY 2 (1.5x)</t>
  </si>
  <si>
    <t>ENTRY 1a (x)</t>
  </si>
  <si>
    <t>ENTRY 2a (1.25x)</t>
  </si>
  <si>
    <t>MIDCAP TRADES</t>
  </si>
  <si>
    <t>MAX CLIP</t>
  </si>
  <si>
    <t>LOT SIZE</t>
  </si>
  <si>
    <t>ENTRY1</t>
  </si>
  <si>
    <t>ENTRY 2</t>
  </si>
  <si>
    <t>HIGH POSITIVE EXPECTANCY</t>
  </si>
  <si>
    <t>max risk TOTAL (2 weeks)</t>
  </si>
  <si>
    <t>HEDGED 3M,6MF FLIES(DEFLIES, CONDOR, COMBOS) | NOT NECESSARILY ALL TIMES</t>
  </si>
  <si>
    <t>near roll and during roll | so 1 week b4 roll month + during roll 2 weeks of qtr month (mar, jun, sep, dec)</t>
  </si>
  <si>
    <t>IF DID NOT RECEIVE 2ND ENTRY HIT AND ADD 2ND ENTRY AFTER SOME TIME</t>
  </si>
  <si>
    <t>FLY COMBO WITH RATIO 1:3 W:R (EXCEPT IN R MONTHS) | so reds = 3x of thhe lots mentioned in lot size</t>
  </si>
  <si>
    <t>100 (since max clip at back fly can go till 200 for fly) so 100:300 or (40,60 : 300 or 50,50: 120,180) | IF BACK LIMIT INCREASES THEN THIS LIMIT SHOULD INCREASE</t>
  </si>
  <si>
    <t>EXIT IN SLOW MARKETS (8/10 DAYS)</t>
  </si>
  <si>
    <t>VAR , HL  (BALANCED INTRADAY, ESPECIALLY FROM FLY SCRATCHABLE ENTRY)</t>
  </si>
  <si>
    <t xml:space="preserve">200 (80,120) </t>
  </si>
  <si>
    <t>LG | HIGH VOLATILITY / LESS LIQUIDITY</t>
  </si>
  <si>
    <t>BOTH</t>
  </si>
  <si>
    <t>THEME CHANGING</t>
  </si>
  <si>
    <t>LGAP (except theme changing events DECISION DAY, CPI) / VALUE ZONES (SZ,RZ + VAR, HL)</t>
  </si>
  <si>
    <t>80, 120 (can have gaps, if so sl in next price for 100) | (ILLIQUIDITY + RISK OF SLIPPAGE)</t>
  </si>
  <si>
    <t>hold 50% lots or attack if &gt;=2 ticks possible | AFTER EXIT PUT SCALPING ORDER</t>
  </si>
  <si>
    <t>SZ, RZ, VALUE ZONES (THIS + VAR, HL)</t>
  </si>
  <si>
    <t>200 (80,120) or (75, 125)</t>
  </si>
  <si>
    <t>MEDIUM RISK, MEDIUM POSITIVE EXPECTANCY WITH BACKUPS</t>
  </si>
  <si>
    <t>RANGED (LAYERS) (w or w/o multi) | RANGED MKT</t>
  </si>
  <si>
    <t>I</t>
  </si>
  <si>
    <t>near events + near roll and during roll | so 1 week b4 roll month + during roll 2 weeks of qtr month (mar, jun, sep, dec)</t>
  </si>
  <si>
    <t>2ND DEFLY ONWARDS (R+1 MONTHS)</t>
  </si>
  <si>
    <t>104,156 (no gap) | total 260</t>
  </si>
  <si>
    <t>HIGH VOLATILE THEME CHANGING EVENT (BOTH ENTRY + EXIT HAS TO BE AVOIDED)</t>
  </si>
  <si>
    <t>IF ENTRY FROM VALUE ZONE THEN ADD EXTRA LOTS FOR INTRADAY TRADE AS WELL</t>
  </si>
  <si>
    <t>RANGED (HEDGE IS FLY HALF LOTS AND CUT LOSSES THE OTHER HALF)</t>
  </si>
  <si>
    <t>150 (or 60,90) or (25,50,50)</t>
  </si>
  <si>
    <t>HIGH POSITIVE EXPECTANCY + HIGH WIN % | can use this as sniper during b and d state</t>
  </si>
  <si>
    <t>MULTI (PA+AOV,STAT ARB, RANGED)</t>
  </si>
  <si>
    <t>REDS DECONDOR from 1y spd  (R+1, R-1 MONTHS RANGE ENTRY)</t>
  </si>
  <si>
    <t>50 (illiquidity in 1yr spd) | can go higher if condors are made separately</t>
  </si>
  <si>
    <t>1YR HIT KRNA HOTA H | SO AVOID ENTRY &amp; EXIT FROM 1YR DURING HIGH VOLATILE MARKETS</t>
  </si>
  <si>
    <t>EQBM MARKETS + 6MS DURING VOLATILE MKTS</t>
  </si>
  <si>
    <t>IR VAR</t>
  </si>
  <si>
    <t>70 (25,45)</t>
  </si>
  <si>
    <t>CURVE ANOMALIES (FLIES) | NEARBY EVENTS</t>
  </si>
  <si>
    <t>RED FLY RANGES (EXCEPT AROUND THEME CHANGING EVENTS)</t>
  </si>
  <si>
    <t>260 (or 104,156)</t>
  </si>
  <si>
    <t>FRONT FLY DEFLY LGAP</t>
  </si>
  <si>
    <t>120 (48,72)</t>
  </si>
  <si>
    <t>VAR (HL75)</t>
  </si>
  <si>
    <t>FLY COMBO WITH RATIO 1:1 W:R (EXCEPT IN R MONTHS + after 1 DD STOP)</t>
  </si>
  <si>
    <t>75:75 (EXITS ARE DIFFICULT + EXTRA LOSSES FROM THOSE LEGGED TRADES)</t>
  </si>
  <si>
    <t>belly fly ranges</t>
  </si>
  <si>
    <t>175 (75,100)</t>
  </si>
  <si>
    <t>1. check the amt available &gt;&gt; 50% overall risk at max &gt;&gt; 20,30,50 budget for strats as per mkt states, trading style/sense [IMPLIED RISK AMOUNT]</t>
  </si>
  <si>
    <t>XT MOMENTUM</t>
  </si>
  <si>
    <t>2. Put that amount @ risk allocated for each strategy &gt;&gt; check LOSS AMT and max risk [MAX LOTS POSSIBLE]</t>
  </si>
  <si>
    <t>IB Ret</t>
  </si>
  <si>
    <t>HIGH RISK, MAYBE HIGH REWARD</t>
  </si>
  <si>
    <t>3. Put the MAX  at the allocation to get the entries as per the strat level [ENTRY LEVELS]</t>
  </si>
  <si>
    <t>IR Momentum | EVENTS/SHOCKS</t>
  </si>
  <si>
    <t>WHEN GOING HIGHER LOTS / ATTACKING:</t>
  </si>
  <si>
    <t>4. check the possible entries</t>
  </si>
  <si>
    <t xml:space="preserve">D SCALP </t>
  </si>
  <si>
    <t>• 2 ENTRIES | IF DID NOT RECEIVE THE 2ND HIT AND ADD 2ND ENTRY (WHEN TO ATTACK)</t>
  </si>
  <si>
    <t xml:space="preserve">scalping </t>
  </si>
  <si>
    <t>5. frequency of trades</t>
  </si>
  <si>
    <t>KINK TRADING (FLIES) | MID-CYCLE</t>
  </si>
  <si>
    <t>• FOR SNIPER TRADES MOSTLY (UD/D,B,A,UA) | remember cutting losses in these trades partially if it doesnt stand and cutting loss quickly at least with additional lots is the key, letting the profits run partially is aslso the key (use trailing sl conditional on both outcomes)</t>
  </si>
  <si>
    <t>TED</t>
  </si>
  <si>
    <t>DEAD SCALP (w dir of curve)</t>
  </si>
  <si>
    <t>• 2nd entry is always more valuable so it should always be 25% - 50% more than 1st entry | ratio of entry orders: x + 1.5x = total lots (2.5x) OR  x + 1.25x = total lots (2.25x)</t>
  </si>
  <si>
    <t>IR-YT</t>
  </si>
  <si>
    <t>TED ASE SHORT TERM SCALP</t>
  </si>
  <si>
    <t>like tennis take a risky shot on first serve if fails then take a safer shot | make sure you can take more risky shots before taking a new one | when to do : when you can take 1 more shot additional; take a risky shot with 50% more lots</t>
  </si>
  <si>
    <t>FRONT 3MS, 6MS SCALPING</t>
  </si>
  <si>
    <t>practise : partial sl booking based on partial liquidity | ex: ask&lt;1000 exit 10%, ask&lt;500 exit 30% ask &lt;300 exit 50% | which initially might be 50% only</t>
  </si>
  <si>
    <t>ir scalping</t>
  </si>
  <si>
    <t>IR PRICING</t>
  </si>
  <si>
    <t>PRACTISE: letting the profits run | carry 25% with trailing sl or distribute half life for profits or 60:40 | ANDAFTER EXIT PUT SCALPING ORDER</t>
  </si>
  <si>
    <t>WHEN YOU ENTER THE MARKETS, YOU ARE SOMETHING DIFFERENT</t>
  </si>
  <si>
    <t>FRONT FLY, DEFLY, 3MS, 6MS AFTER ROLL AND AROUND EVENTS</t>
  </si>
  <si>
    <t>PRACTISE: SCRATCHING 50% IF GOING ANTI / FLIPPED AFTER TAKING ENTRY WITH HEAVY LOTS OR ATTACKING LOTS | IF LEGGED SCRATCH OR EXIT @ MKT HALF OF IT (25%)</t>
  </si>
  <si>
    <t>REDUCING EXPOSURE BY 50% WHENEVER SOMETHING GOING ANTI (FLIPPED) DURING DEAD MARKETS</t>
  </si>
  <si>
    <r>
      <rPr>
        <b/>
        <sz val="16"/>
        <color rgb="FFEFEFEF"/>
        <rFont val="Roboto"/>
      </rPr>
      <t xml:space="preserve">0. MENTALITY | </t>
    </r>
    <r>
      <rPr>
        <b/>
        <sz val="10"/>
        <color rgb="FFEFEFEF"/>
        <rFont val="Roboto"/>
      </rPr>
      <t>based on current account capital (D: if losses/no idea B: if neutral, 50:50 A: if win streak / higher chance of win) + mkt structure/state that may arrive</t>
    </r>
  </si>
  <si>
    <t>EFFICIENT TRADING : WHERE 1 TICK AVAILABLE SCRATCH, WHERE 2-3 TICKS AVAILABLE TAKE &gt;=1 TICK or cut losses @ 1 tick  | INCREASE THE PRODUCTIVITY RISK CAPITAL RETURNED FOR EVERY BUCK RISKED</t>
  </si>
  <si>
    <t xml:space="preserve">when going with lower lots: </t>
  </si>
  <si>
    <t>RISK AMOUNT</t>
  </si>
  <si>
    <t>RATIO &gt; INDIVIDUAL LOTS</t>
  </si>
  <si>
    <t>EX: IF YOU CANT GO ABOVE 240 AT BACKS, YOU SHOULD NOT GO ABOVE 80 IN FRONT 2 | IF GOING ABOVE THAT CUT; EXAMPLE 100 THEN CUT THOSE EXTRA 20 EARLIER THAN THE REST NO MATTER WHAT</t>
  </si>
  <si>
    <t>RATIO 1:2 OR 1:3</t>
  </si>
  <si>
    <t>treat lots as 50:50 or 40:60</t>
  </si>
  <si>
    <t>UD/D (pistol)</t>
  </si>
  <si>
    <t>B (rifles)</t>
  </si>
  <si>
    <t>A/UA (SNIPER)</t>
  </si>
  <si>
    <t>dont be ruined with others</t>
  </si>
  <si>
    <t>RATIO . CURVE</t>
  </si>
  <si>
    <t>tighter stop losses to bail out of losing trades</t>
  </si>
  <si>
    <t>ALERT</t>
  </si>
  <si>
    <t>WIN STREAK / CHAOS</t>
  </si>
  <si>
    <t>FRONT 2</t>
  </si>
  <si>
    <t>BELLY (NXT 2)</t>
  </si>
  <si>
    <t>BACKS (REST)</t>
  </si>
  <si>
    <t>ENTRY EXITS SHOULD BE TAKEN OBJECTIVELY | TREAT EACH ORDER AS AN INDIVIDUAL TRADE NOT TO EXIT ALL AT ONCE BUT IF FAILS BACKUP IS THE STRUCTURE'S PARTIAL ENTRY OR EXIT</t>
  </si>
  <si>
    <t>around</t>
  </si>
  <si>
    <t>D SCALP (with dir. of curve)</t>
  </si>
  <si>
    <t>EXIT DEFLY OR DECONDOR STRATS B4 EVENT DAY | JUST CARRY THEM | REDUCE THE WEEK BEFORE IF LEGGED THEN THE NEXT DAYS</t>
  </si>
  <si>
    <t>extreme cases</t>
  </si>
  <si>
    <t>LG</t>
  </si>
  <si>
    <t>RANGED (LAYERS) (w or w/o multi)</t>
  </si>
  <si>
    <t xml:space="preserve">MULTIPLE PARTIAL SL AS PER LIQUIDITY | EX: OS &lt; 1000 EXIT 25% OS &lt; 500 EXIT 25% OS &lt; 250 EXIT 50% </t>
  </si>
  <si>
    <t>VOLUME (qty traded + Total qty/volume)</t>
  </si>
  <si>
    <t>LIQUIDITY (range+order qty in each price)</t>
  </si>
  <si>
    <t>VARIANCE (range of tades/session or event)</t>
  </si>
  <si>
    <t>Fav strats</t>
  </si>
  <si>
    <t>Avoid strats</t>
  </si>
  <si>
    <t>HIGH</t>
  </si>
  <si>
    <t>LOW</t>
  </si>
  <si>
    <t>scalping (A)</t>
  </si>
  <si>
    <t>KINK TRADING (FLIES)</t>
  </si>
  <si>
    <t>EXITING STRUCTURE</t>
  </si>
  <si>
    <t>MED</t>
  </si>
  <si>
    <t>Scalping (b), pa(a)</t>
  </si>
  <si>
    <t>CURVE ANOMALIES (FLIES)</t>
  </si>
  <si>
    <t>IF FAILS AND INDIVIDUALLY THAT LEG NOT @ VALUE ZONE THEN CUT LOSSES OF THE STRUCTURE RATHER THAN AVERAGING THAT INDIVIDUAL TRADE | BIG MISTAKE | THIS LED TO LOSESS SPIRAL AND MAX DD AND ACC BLOWUPS</t>
  </si>
  <si>
    <t>LESS</t>
  </si>
  <si>
    <t>HIGH -&gt; LESS</t>
  </si>
  <si>
    <t>MED -&gt; HIGH / HIGH</t>
  </si>
  <si>
    <t>LG, PA (UA)</t>
  </si>
  <si>
    <t>Exit scalps/ reduce ranged (only keep extreme ones), FRONT 2 (3MS, 6MS, F, DF, C, DC, IR) ESPECIALLY AROUND ROLL</t>
  </si>
  <si>
    <t>HEDGED 3M,6M FLIES SPD (DEFLIES)</t>
  </si>
  <si>
    <t>SO TRY TO EXIT IN EQBM MARKET 25% OR TAKE A VALUE ZONE TRADE IF THAT VALUE ZONE TRADE FAILS THEN EXIT THE STRUCTURE | EXEXUTE THIS WHEN THE STRUCTURE IS, IN THE MONEY BY 2-3 TICKS OR A LOT OF TIME HAS PASSED</t>
  </si>
  <si>
    <t xml:space="preserve">MED  </t>
  </si>
  <si>
    <t>LG, PA (A)</t>
  </si>
  <si>
    <t>scalping (skip some pices)</t>
  </si>
  <si>
    <t>DEAD SCALP</t>
  </si>
  <si>
    <t xml:space="preserve">MED -&gt; HIGH   </t>
  </si>
  <si>
    <t>PA (A), scalping(d)</t>
  </si>
  <si>
    <t>Stat arb/Hl75 + Fly</t>
  </si>
  <si>
    <t xml:space="preserve">EUREKA: FIND A RANGE </t>
  </si>
  <si>
    <t>START ADDING IN SCALPING LOTS DISTRIBUTION NEAR THE EXTREME FOR SCALPING IF FAILS MAKE A FLY COMBO THAT CAN BE SCRATCHED OR SCALPED</t>
  </si>
  <si>
    <t>EXAMPLE: J25 6MS RANGED -16,-18 TO -22, -24</t>
  </si>
  <si>
    <t>SO IF STRUCTURE WISE J25 CAN BE SHORTED OR SCRATCHED IN ITS RANGE TAKE SCALPING LOTS FROM -20 TO -18</t>
  </si>
  <si>
    <t>IF FAILS THE NHEDGE IT  ELSE SCALP</t>
  </si>
  <si>
    <t>MENTALITY</t>
  </si>
  <si>
    <t>NATURE</t>
  </si>
  <si>
    <r>
      <rPr>
        <b/>
        <sz val="12"/>
        <color rgb="FFFF0000"/>
        <rFont val="Arial"/>
        <scheme val="minor"/>
      </rPr>
      <t>WHEN</t>
    </r>
    <r>
      <rPr>
        <b/>
        <sz val="12"/>
        <color rgb="FFFFFFFF"/>
        <rFont val="Arial"/>
        <scheme val="minor"/>
      </rPr>
      <t xml:space="preserve"> TO APPLY</t>
    </r>
  </si>
  <si>
    <t>PIQ HACK: small lots get better piq upto 20-30 so 25 lots 1 order remaining lots next order</t>
  </si>
  <si>
    <t>MORE FREQUENCY + SMALL LOTS</t>
  </si>
  <si>
    <t xml:space="preserve">1) WHEN NO IDEA OF WHAT IS WORKING IN MARKETS or 2) AFTER LOSING STREAK (&gt;=5 losses) or 3) LOSS&gt;=50% OF BALANCE AMT AVAILABLE or 4) WHEN NO HEDGED MKT NEUTRAL STRUCTURE EXPOSURE IS FORMED </t>
  </si>
  <si>
    <t>aggressive scalping: fewer lots if gets back to the same price then scalp 1 tick else if gets anti then hedge a scratchable structure</t>
  </si>
  <si>
    <t>BALANCED</t>
  </si>
  <si>
    <t>1) INTRADAY / HOUR or 2) HEDGED STRUCTURE EXPOSURE IS FORMED (POSITIONAL)</t>
  </si>
  <si>
    <t>1-2 TRADES / MONTH + HEAVY LOTS</t>
  </si>
  <si>
    <t>1) WIN STREAK or 2) RARE PRICE MADE (mostly during chaos) or 3) ACE</t>
  </si>
  <si>
    <t>REDUCING BY 50% (SCRATCHING 50%) IF GOING ANTI / FLIPPED AFTER TAKING ENTRY WITH HEAVY LOTS OR ATTACKING LOTS</t>
  </si>
  <si>
    <t>EXIT ALSO BY TIME DECAY FROM NEARBY EVENTS</t>
  </si>
  <si>
    <t>MINIMIZE LOSSES BY BOOKING PARTIAL LOTS IF GOING ANTI OR SCRATCHING IF FLIPPED</t>
  </si>
  <si>
    <r>
      <rPr>
        <b/>
        <sz val="16"/>
        <color rgb="FFEFEFEF"/>
        <rFont val="Roboto"/>
      </rPr>
      <t xml:space="preserve">2.3. STATES &amp; STRATS | 20:80 </t>
    </r>
    <r>
      <rPr>
        <b/>
        <sz val="10"/>
        <color rgb="FFEFEFEF"/>
        <rFont val="Roboto"/>
      </rPr>
      <t>as per current mkt state choose the strat</t>
    </r>
  </si>
  <si>
    <t>TREND V RANGE</t>
  </si>
  <si>
    <t>STATES</t>
  </si>
  <si>
    <t>PREV STATE</t>
  </si>
  <si>
    <t>PROB</t>
  </si>
  <si>
    <t>STRATS</t>
  </si>
  <si>
    <t>RISK AMT</t>
  </si>
  <si>
    <t>TICKS (for reds can go 2x to 3x)</t>
  </si>
  <si>
    <t>TICK</t>
  </si>
  <si>
    <t>MAX LOTS (R)</t>
  </si>
  <si>
    <t>POSITIONAL V INTRADAY</t>
  </si>
  <si>
    <t>TRENDING</t>
  </si>
  <si>
    <t>RANGED</t>
  </si>
  <si>
    <t>&gt;50%</t>
  </si>
  <si>
    <t xml:space="preserve">MOM  </t>
  </si>
  <si>
    <t>TRENDING OUTRIGHT</t>
  </si>
  <si>
    <t>&lt;50%</t>
  </si>
  <si>
    <t>RANGED, D SCALP</t>
  </si>
  <si>
    <t>SPIKE</t>
  </si>
  <si>
    <t>MOM, HEDGED FLIES</t>
  </si>
  <si>
    <t>GHOST</t>
  </si>
  <si>
    <t>LG, HEDGED FLIES, VAR HL75</t>
  </si>
  <si>
    <t>COMMON</t>
  </si>
  <si>
    <t>~25%</t>
  </si>
  <si>
    <t xml:space="preserve">RANGED  </t>
  </si>
  <si>
    <t>DEAD</t>
  </si>
  <si>
    <t>&lt;25%</t>
  </si>
  <si>
    <t>MOM</t>
  </si>
  <si>
    <t>RANGED, SCALP, HL75</t>
  </si>
  <si>
    <t>LG, VAR HL75</t>
  </si>
  <si>
    <t>~50%</t>
  </si>
  <si>
    <t>RANGED, CURVE</t>
  </si>
  <si>
    <t>D SCALP</t>
  </si>
  <si>
    <t>DURATION</t>
  </si>
  <si>
    <t>WHEN TO AVOID (more important)</t>
  </si>
  <si>
    <t>ROLL BASIS AVOID</t>
  </si>
  <si>
    <t>POSITIONAL</t>
  </si>
  <si>
    <t>1 MONTH - 2MONTHS</t>
  </si>
  <si>
    <t>FLIES, STRUCUTRES, LGAP</t>
  </si>
  <si>
    <t>near roll and during roll | so 1 week b4 roll month + during roll 2 weeks of qtr month (mar, jun, sep, dec) | EXIT BEFORE THEME CHANGING EVENTS</t>
  </si>
  <si>
    <t>R+1, 1ST HALF OF R-1</t>
  </si>
  <si>
    <t>LAST HALF OF R-1, 1ST HALF OF R</t>
  </si>
  <si>
    <t>INTRADAY</t>
  </si>
  <si>
    <t>1MONTH or (after roll)</t>
  </si>
  <si>
    <t>RANGED, VAR, SCALPING</t>
  </si>
  <si>
    <t>R-1</t>
  </si>
  <si>
    <t xml:space="preserve">R+1  </t>
  </si>
  <si>
    <t>R+1</t>
  </si>
  <si>
    <t>WHEN MARKETS ARE NOT BEING UNDERSTOOD | DONT INTERFERE | WAIT FOR THE EQBM PRICES</t>
  </si>
  <si>
    <t>EXITS | WITH HIGHER LOT SIZING | CONSIDER THE LEG EXIT AS SCALPING TRADE | AN INDIVIDUAL TRADE SO DECIDE THE LOT SIZE ACCORDINGLY</t>
  </si>
  <si>
    <t>EXITS 40,40 IN FRONT 2</t>
  </si>
  <si>
    <t>EXITS 50,50 OR 75,75 IN NXT 2</t>
  </si>
  <si>
    <t>EXITS 100,100 OR 80,80,80 @ BACKS</t>
  </si>
  <si>
    <t>EXITS FROM THE SLOWER LEGS | BACK LEGS WITH PARTIAL LOTS (50% X2 or 33% X3)</t>
  </si>
  <si>
    <t>total amt</t>
  </si>
  <si>
    <t>14% if win% 60%</t>
  </si>
  <si>
    <t>LEARNINGS</t>
  </si>
  <si>
    <t>ALWAYS HAVE PARTIAL/HALF LOTS SL. whats wrong? its the unanticipated events that causes losses</t>
  </si>
  <si>
    <t>when people cant fathom to lose money; you have asymmetric risk and thats where you make the most money</t>
  </si>
  <si>
    <t xml:space="preserve">DO NOT LISTEN TO ANYONE'S VIEW | TRUST THE RR, math, systemic trading </t>
  </si>
  <si>
    <t>AVOID OBVIOUS/CROWDED TRADES . IF MOVE DOESNT COME IN FAVOUR / STARTS GOING ANTI | solution have some kind of hedge</t>
  </si>
  <si>
    <t>good @ minimizing losses | bad at maximizing losses | nxt time cut 20% at more than 1 tick (if possible)</t>
  </si>
  <si>
    <t>Expect Loss . easier regardless the outcome | 0 impact on market, neutralizing your mentality</t>
  </si>
  <si>
    <t>Live thru the losses before hand . staying rational if &amp; when trade setup fails becomes easier | helps against sunk cost fallacy as well</t>
  </si>
  <si>
    <t>Do your own research</t>
  </si>
  <si>
    <t>WIN-WIN SITUATIONS CAN BE CREATED IN ALTERNATE CONTRACTS FLIES ENTRY, SPDS EXIT</t>
  </si>
  <si>
    <t>IF L GAP DOESNT GIVE YOU &gt;=2 TICK PROFIT IMMEDIATELY (1HR OR LESS) -&gt; MAKE FLY IF POSSIBLE</t>
  </si>
  <si>
    <t>For fly entries and exit see where value lies in spds, or participation might be higher (chances are that price will be difficult to get but will increase profitability; hence the trade off)</t>
  </si>
  <si>
    <t>NAKED FLIES, ONE DIRECTIONAL TRADES RISKY | GO FOR COMPLEX STRUCTURES| CONDORS (LTD RISK)</t>
  </si>
  <si>
    <t>THOUGHT ALL THE PRESENT POSITIONS AS SPREADS  | GIVES A DIFFERENT PERSPECTIVE | MIGHT BE HELPFUL FOR VIBRATIONAL MARKETS --&gt; might give better combinations transformations | 2 deflies to 1 spd and 1 new defly shift</t>
  </si>
  <si>
    <t>VB MKT | EXITS @ BETTER PRICES EACH CONTRACT / 1 COMBINATION / 1 COMINATION DIRECTION</t>
  </si>
  <si>
    <t>IT TAKES AN ENTIRE LIFETIME TO BLOW UP OVERNIGHT</t>
  </si>
  <si>
    <t>NO NEED TO TRADE IF YOU DONT HAVE ANY SETUPS | 0 trades in last two days. Why so ?</t>
  </si>
  <si>
    <t>AUGUST = GRAVEYARD MONTH; GO FOR HOLIDAYS</t>
  </si>
  <si>
    <t>have a trading plan before every session with hedges ready | and lot sizing for all strats as per system</t>
  </si>
  <si>
    <t>trouble trading? -&gt; sit out 1 day</t>
  </si>
  <si>
    <t>no one cracks the market for long | staying in the game is the only key</t>
  </si>
  <si>
    <t>ALWAYS BE MARKET NEUTRAL: thinking about exposure (direction; check market neutrality + sizing in each direction)</t>
  </si>
  <si>
    <t>DON'T LISTEN TO ANSH SIR FOR TRADING STRATEGY ADVICE | NOD AND DO WHAT SHOULD BE DONE</t>
  </si>
  <si>
    <t>rule: WHENEVER SCALING UP USE STOP LOSS OR HAVE DEFINED STOPS PREDEFINED AND PLACE THEM THEN CARRY ON</t>
  </si>
  <si>
    <t>ACCOUNT BLOWN</t>
  </si>
  <si>
    <t>LEARNINGS:</t>
  </si>
  <si>
    <t>HIGHER LOT SIZING TRADES SHOULD BE RESERVED FOR RARE TIMES AND HAVE TO BE SELECTIVE -&gt; ALSO NEED TO REDUCE ADDITIONAL LOTS IMMEDIATELY IF DOES NOT HOLD OR MANY PLAYERS GOT THAT TRADE THEN IT BECOMES LESS VALUABLE</t>
  </si>
  <si>
    <t>after scaling up if losing streak occurs scale down by 50% in the next trades until that loss is recovered and break above the previous high</t>
  </si>
  <si>
    <t>LIQUIDITY ISSUES WHEN TRADING WITH HIGHER LOTS</t>
  </si>
  <si>
    <t>DEFINED TIMINGS TO TRADE AND HAVE A TIME LIMIT TO TRADE EVERYDAY</t>
  </si>
  <si>
    <t xml:space="preserve">CANT AFFORD BIG TRADES FREQUENTLY </t>
  </si>
  <si>
    <t>SCALING UP SHOULD BE DONE ON TRADES THAT WORK IN THE LONG RUN AND LESS FREQUENTLY</t>
  </si>
  <si>
    <t>TAKING LEAVES IS ALSO A TRADE | BY NOT LOSING MONEY</t>
  </si>
  <si>
    <t>DONT FORGET ACCOUNT MANAGEMENT ALLOCATION</t>
  </si>
  <si>
    <t>LOSING STREAKS HAPPENING WITH HIGHER LOTS DUE TO LEGGED / EXIT FAILURES</t>
  </si>
  <si>
    <t xml:space="preserve">these learnings won't be possible if you traded smaller lots all the time | so learn from it </t>
  </si>
  <si>
    <t>FORGOT ACCOUNT MANAGEMENT SIDE | JUST FOCUSSED ON CONTINUING THE PROCESS REGARDLESS| THIS WAS WRONG</t>
  </si>
  <si>
    <t xml:space="preserve">LOSING STREAKS OR BIG LOSS % OF ACCOUNT = ACCOUNT STOP NO MATTER WHAT (SAY 50% FROM CURRENT ACCOUNT SIZE LOSS = STOP AND STEP BACK TAKE WEEK OFF) | repeat if another losing streak and keep repeating </t>
  </si>
  <si>
    <t>this was not placed as there was no losing streaks before</t>
  </si>
  <si>
    <t>AROUND THEME CHANGING EVENTS DIFFICULT TO EMPTY GRID SO BEFORE TAKING NEW TRADES FIRST EMPTY GRID COMPLETELY OR CARRY HEDGED STRUCUTRES ONLY</t>
  </si>
  <si>
    <t>conclusion:</t>
  </si>
  <si>
    <t>1) LOSS ISSUE: big lots se legged (from multiple contracts like 3m, 6m, 1yr and unable to scratch those) or partial exits or exit failures or liquidity issues in cutting losses changed the strategies pnl behaviour and overall positive expectancy | SOLUTION: when this happens from strucutres, switch to intraday strategies AND vice versa</t>
  </si>
  <si>
    <t>2) PROFIT ISSUE: big lots se unable to hold winners for longer | Solution: USE TRAILING SL LIQUIDITY CONDITION | book few lots profit and let the rest run | HALF LIFE BOOKING: keep booking partially 50% of the remaining until opposition arrives (ex: 100-&gt; 50 -&gt; 25 -&gt;12 -&gt; 6) in fronts and backs (exit half (50%) at 1 tick and take half again afterwards if it comes back or 3x (150%) opposite position @ 2 ticks or the other end of ranges 50% to exit remaining and 100% for opposite side entry)</t>
  </si>
  <si>
    <t>3) LOSING STREAK + BIG DD: LOSING STREAK AND / OR more than 50% OF ACCOUNT DRAWDOWN  =  STOP TAKING NEW TRADES, CONTROL IMPULSES BY WALKING AWAY | TRADE NEXT WEEK ONWARDS / AFTER 2 DAYS + VALUE AT RISK 50% OF BALANCED AMOUNT AND CHECK THE LOT SIZES AS PER YOUR MM MODEL</t>
  </si>
  <si>
    <t>4) GRID ISSUE: empty grid around important theme changing events | AROUND THEME CHANGING EVENTS DIFFICULT TO EMPTY GRID SO BEFORE TAKING NEW TRADES FIRST EMPTY GRID COMPLETELY OR CARRY HEDGED STRUCTURES ONLY</t>
  </si>
  <si>
    <t>5) TIMEOUT: TIMEOUT WITHIN 2 WEEKS (USUALLY THEME OR CURVE MOVEMENT DURATION) AND EMPTY GRID | USE liquidity condition SL FOR LEFTOVER LOTS of legged contracts | this helps to capture new opportunites and manage them better after next event or movement</t>
  </si>
  <si>
    <t>6) BIGGER LOTS TIMING: IF NO STRUCTURE (D) 50% BALANCED LOTS until a structure is found and improve it's legs OR INTRADAY WITH NORMAL BALANCED LOTS</t>
  </si>
  <si>
    <t>7) POSITIONAL V INTRADAY/HOUR: TRACK WHEN POSITIONAL WORKING AND INTRADAY WORKING OR INTRAHOURS | USUALLY IF ONE WORKS THE OTHER DOESNT (SO WHEN POSITIONAL NOT WORKING INTRADAY WORKS) | so for a positional trader (my strength) if it is not working shift to intraday strats first + when ranges break stick to intraday scalping first with (D) lots and then intraday / intrahour strategies</t>
  </si>
  <si>
    <t xml:space="preserve">8) ACCOUNT RETENTION: after timeout cap 20% (forget this) and add 80% to balance and after 10k overall balance cap 50% (forget this) (DEFENSE FOR RAINY DAYS OR EXTRA LOSSES TO COME) and add 50% to balance </t>
  </si>
  <si>
    <t>9) WORKING TIME: TRADE FOR 4 TO 6 HOURS PER DAY SO SELECT THOSE TIMES | NO UNNECESSARY ORDER PLACEMENT BEFORE THAT + STICK TO INTRAHOUR OR EXIT NEXT SESSION WITH SL OCO NO NEED TO HEDGE</t>
  </si>
  <si>
    <t>10) ACCOUNT MGMT&gt;RISK MGMT: first account management for lot sizes then risk management for strategies with the defined lot sizes for the next play WHEN SCALING UP AND NEED TO SCALE DOWN AFTER BIG LOSSES</t>
  </si>
  <si>
    <t>MENTALITY BEFORE DISASTER</t>
  </si>
  <si>
    <t>I WILL DO WHATEVER I CAN TO GET THAT MONEY BACK (ESPECIALLY FROM THE NEXT  AVAILABLE TRADE ITSELF)</t>
  </si>
  <si>
    <t>I WILL FEEL BETTER ABOUT MYSELF AGAIN</t>
  </si>
  <si>
    <t xml:space="preserve">AFTER LOSING STREAK IGNORING THE ACCOUNT MANAGEMENT SIDE </t>
  </si>
  <si>
    <t>NEW LEARNINGS</t>
  </si>
  <si>
    <t>Derivatives allowed dispersion of risk by market participants NOT INCLINED TO SHOULDER IT - WB</t>
  </si>
  <si>
    <t>Risk and exposures should be monitored rigourously - JD</t>
  </si>
  <si>
    <t>BALANCE</t>
  </si>
  <si>
    <t>LOSS CHART (Consistency)</t>
  </si>
  <si>
    <t xml:space="preserve">SCALE UP/DOWN CHART (Growth per strat) </t>
  </si>
  <si>
    <t>RESERVES</t>
  </si>
  <si>
    <t>INPUT ADD ONS extra after tgt cap</t>
  </si>
  <si>
    <t>Rem (20%) | risk affordable</t>
  </si>
  <si>
    <t>Rem (30%) | risk alert</t>
  </si>
  <si>
    <t>all in k</t>
  </si>
  <si>
    <t>FORMATION</t>
  </si>
  <si>
    <t>ALLOCATION</t>
  </si>
  <si>
    <t>TOTAL BALANCE (add capped amt here or subtract!)</t>
  </si>
  <si>
    <t>decide based on current mkt state</t>
  </si>
  <si>
    <t>UD/D</t>
  </si>
  <si>
    <t>UA</t>
  </si>
  <si>
    <t>max risk TOTAL</t>
  </si>
  <si>
    <t>5F 15B</t>
  </si>
  <si>
    <t>1,2,2</t>
  </si>
  <si>
    <t>1,0,2</t>
  </si>
  <si>
    <t>1.1.1,2</t>
  </si>
  <si>
    <t>3,5,7 (backs)</t>
  </si>
  <si>
    <t>5,7,10 (illiq) / b4 event</t>
  </si>
  <si>
    <t>3,5,10 (fronts/unsure)</t>
  </si>
  <si>
    <t>10,10 (backs)</t>
  </si>
  <si>
    <t>7,10 (illiq) / b4 event</t>
  </si>
  <si>
    <t>7,7 (fronts/unsure)</t>
  </si>
  <si>
    <t>7,14,14 (backs)</t>
  </si>
  <si>
    <t>7,10,14 (belly)</t>
  </si>
  <si>
    <t>7,7,14 fronts</t>
  </si>
  <si>
    <t>9,18,18</t>
  </si>
  <si>
    <t>9,12,18</t>
  </si>
  <si>
    <t>9,9,18</t>
  </si>
  <si>
    <t>7F 15B</t>
  </si>
  <si>
    <t>2,5,5</t>
  </si>
  <si>
    <t>2,0,5</t>
  </si>
  <si>
    <t>3,7</t>
  </si>
  <si>
    <t>3,9</t>
  </si>
  <si>
    <t>9 (FRNT, BLY)</t>
  </si>
  <si>
    <t>12 (BACKS)</t>
  </si>
  <si>
    <t>14,14</t>
  </si>
  <si>
    <t>10,18</t>
  </si>
  <si>
    <t>7,0,..21</t>
  </si>
  <si>
    <t>LG | HIGH VOLATILITY/ LESS LIQUIDITY</t>
  </si>
  <si>
    <t>1, then depending on move</t>
  </si>
  <si>
    <t>15, .. add</t>
  </si>
  <si>
    <t>5,HIT UPTO 5 (total 10) IF IN FAVOUR a.p. mkt</t>
  </si>
  <si>
    <t>7, hit upto 5 (12-15) if in favour</t>
  </si>
  <si>
    <t>15, hit upto half of entry; if in favour</t>
  </si>
  <si>
    <t>25, HIT UPTO TOTAL 30</t>
  </si>
  <si>
    <t>2,3 (add more lots if more elements)</t>
  </si>
  <si>
    <t>2,3</t>
  </si>
  <si>
    <t>9,9</t>
  </si>
  <si>
    <t>14,14 (backs)</t>
  </si>
  <si>
    <t>11,12 (belly)</t>
  </si>
  <si>
    <t>11...12 (fronts)</t>
  </si>
  <si>
    <t>18,18 (backs)</t>
  </si>
  <si>
    <t>14,14 (belly)</t>
  </si>
  <si>
    <t>1,2</t>
  </si>
  <si>
    <t>5,7 (FRONT BELLIES) 15 (BACKS)</t>
  </si>
  <si>
    <t>10,0..,10 (F) 15,0,30/20 (B)</t>
  </si>
  <si>
    <t>10,0..,10 (F) 15, 0,30/20 (B)</t>
  </si>
  <si>
    <t>HEDGED 3M,6MF FLIES SPD (DEFLIES)| AT ALL TIMES!</t>
  </si>
  <si>
    <t>14,,,14 (F) 28,,28(B)</t>
  </si>
  <si>
    <t>A/UA</t>
  </si>
  <si>
    <t>FOR CURVE</t>
  </si>
  <si>
    <t>FAVOURABLE</t>
  </si>
  <si>
    <t>FRONT</t>
  </si>
  <si>
    <t>BELLY</t>
  </si>
  <si>
    <t>BACKS</t>
  </si>
  <si>
    <t>IR Momentum</t>
  </si>
  <si>
    <t>Exit scalps/ reduce ranged (only keep extreme ones)</t>
  </si>
  <si>
    <t>18,18</t>
  </si>
  <si>
    <t>24,24</t>
  </si>
  <si>
    <t>7,10</t>
  </si>
  <si>
    <t>15,18</t>
  </si>
  <si>
    <t>18,21</t>
  </si>
  <si>
    <t>HEAVY METAL STYLE</t>
  </si>
  <si>
    <t>LOTS</t>
  </si>
  <si>
    <t>TICKS</t>
  </si>
  <si>
    <t>AMT</t>
  </si>
  <si>
    <t>DOWNSIDE</t>
  </si>
  <si>
    <t>states</t>
  </si>
  <si>
    <t>strats</t>
  </si>
  <si>
    <t xml:space="preserve">leverage </t>
  </si>
  <si>
    <t>Compound with patience | there is no rush take months or trimester</t>
  </si>
  <si>
    <t>S working most (ATTTACK)</t>
  </si>
  <si>
    <t>T WINNER</t>
  </si>
  <si>
    <t>T LOSER</t>
  </si>
  <si>
    <t>S working least (DEFENSIVE / AVOID COMPLETELY)</t>
  </si>
  <si>
    <t>ROLL</t>
  </si>
  <si>
    <t>COMMENTS</t>
  </si>
  <si>
    <t xml:space="preserve">JAN </t>
  </si>
  <si>
    <t>EVERYTHING WENT WRONG | SVB</t>
  </si>
  <si>
    <t>NOTHING SO ULTRA LOW LOT SIZE</t>
  </si>
  <si>
    <t>0 LIQUIDITY</t>
  </si>
  <si>
    <t>MAR.2</t>
  </si>
  <si>
    <t>TECHNICAL | INTRADAY</t>
  </si>
  <si>
    <t xml:space="preserve">TECHNICAL  </t>
  </si>
  <si>
    <t>INTRADAY &gt;1D</t>
  </si>
  <si>
    <t>INTERESTING, EVEN MINUTES TRADES WERE AS GOOD AS HOURLY</t>
  </si>
  <si>
    <t>MAY</t>
  </si>
  <si>
    <t>POSITIONAL / CURVE</t>
  </si>
  <si>
    <t>W + D</t>
  </si>
  <si>
    <t>JUN</t>
  </si>
  <si>
    <t>SPDS, FLIES BOTH WORKED GREAT</t>
  </si>
  <si>
    <t>JUL</t>
  </si>
  <si>
    <t>INTRADAY POSITIONAL / CURVE FREQUENT SCALPS</t>
  </si>
  <si>
    <t>AUG</t>
  </si>
  <si>
    <t xml:space="preserve">INTRADAY  </t>
  </si>
  <si>
    <t>H + D</t>
  </si>
  <si>
    <t>SEP</t>
  </si>
  <si>
    <t xml:space="preserve">H  </t>
  </si>
  <si>
    <t>D+W</t>
  </si>
  <si>
    <t>OCT</t>
  </si>
  <si>
    <t>INTRADAY + TECHNICAL</t>
  </si>
  <si>
    <t>EVENT, HIGH FREQUENCY, IR</t>
  </si>
  <si>
    <t>NOV</t>
  </si>
  <si>
    <t xml:space="preserve">W  </t>
  </si>
  <si>
    <t>DEC</t>
  </si>
  <si>
    <t>D+H</t>
  </si>
  <si>
    <t>INTRADAY + TECHNICAL + POSITIONAL (BUT ALL LESS)</t>
  </si>
  <si>
    <t>H + W</t>
  </si>
  <si>
    <t>INTRADAY + EVERYTHING ELSE WENT WRONG</t>
  </si>
  <si>
    <t>M + H + W</t>
  </si>
  <si>
    <t>POSITIONAL + EVENT IR</t>
  </si>
  <si>
    <t>THIS IS THE TIME DIRECTIONAL TRADES MIGHT WORK AND NEW RANGES (MAY) FORM IN CURVE</t>
  </si>
  <si>
    <t xml:space="preserve">INTRADAY + LGAP </t>
  </si>
  <si>
    <t>H + M</t>
  </si>
  <si>
    <t>INTRADAY (SPDS, REDS)</t>
  </si>
  <si>
    <t>AVOIDED POSITIONAL TRADES</t>
  </si>
  <si>
    <t>EVERYTHING WENT WRONG</t>
  </si>
  <si>
    <t xml:space="preserve">D </t>
  </si>
  <si>
    <t>LIQUIDITY REDUCED, MOMENTUM PRICE FLIPPING, going towards SIMPLE MOVING AVG (PERIOD = 8)</t>
  </si>
  <si>
    <t>CONCLUSIONS OBSERVATIONS</t>
  </si>
  <si>
    <t>BASIC</t>
  </si>
  <si>
    <t>DEFENSE &gt; ATTACK</t>
  </si>
  <si>
    <t>SUBTRACT THE STRATS THAT MAY NOT WORK IS MORE IMPORTANT THAN WHAT WORKS | PUSH THE STRATS THAT HAVE THE HIGHEST CHANCE AT THE CURRENT PLAY IN MARKETS AND LOWEST RISK OR GOOD RISK TO REWARD</t>
  </si>
  <si>
    <t>SUBTRACT THE REMAINING STRATS THAT HAVE REDUCED CHANCE OF WINNING (QUANTUM)</t>
  </si>
  <si>
    <t>PUSH THE STRATS THAT WORK THE MOST IN ITS PHASE (QUANTUM)</t>
  </si>
  <si>
    <t>STRAT</t>
  </si>
  <si>
    <t>NEAR ROLL AND DURING ROLL AVOID ANY POSITIONAL / CURVE TRADES   -&gt; SO NO POSITIONAL OR CURVE TRADES IN MAR, JUN SEP, DEC</t>
  </si>
  <si>
    <t>INTRADAY WORKS THROUGHOUT THE YEAR, BUT CANT GO AS HIGH AS POSITIONAL TRADES | MM WILL TAKE CARE OF THAT</t>
  </si>
  <si>
    <t>REDUCE: AROUND ROLL OR THEME CHANGING EVENTS (OR BOTH) NEW RANGES MIGHT FORM SO AVOID VALUE ZONES WITH BALANCED LOTS OR AVOID COMPLETELY. DIRECTIONAL TRADES MIGHT GIVE MORE MONEY</t>
  </si>
  <si>
    <t>SEE ASE CHARTS FOR ZONES IN D TIMEFRAME</t>
  </si>
  <si>
    <t>SEE AND USE ASE CHARTS FOR SCALPING RANGES (3MS) IN 60 TIMEFRAME AND STICK TO EXIT BY NEXT SESSION END</t>
  </si>
  <si>
    <t>use algos in all for scalping 1 ticks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</si>
</sst>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44" formatCode="_(&quot;$&quot;* #,##0.00_);_(&quot;$&quot;* \(#,##0.00\);_(&quot;$&quot;* &quot;-&quot;??_);_(@_)"/>
    <numFmt numFmtId="164" formatCode="_ &quot;₹&quot;\ * #,##0.00_ ;_ &quot;₹&quot;\ * \-#,##0.00_ ;_ &quot;₹&quot;\ * &quot;-&quot;??_ ;_ @_ "/>
    <numFmt numFmtId="165" formatCode="&quot;$&quot;#,##0.00"/>
    <numFmt numFmtId="166" formatCode="0.000"/>
    <numFmt numFmtId="167" formatCode="d&quot;-&quot;mmm&quot;-&quot;yyyy"/>
    <numFmt numFmtId="168" formatCode="m/d/yyyy\ h:mm\ AM/PM"/>
    <numFmt numFmtId="169" formatCode="d\ mmm"/>
    <numFmt numFmtId="170" formatCode="d\ mmm\ h:mm\ AM/PM"/>
    <numFmt numFmtId="171" formatCode="d\ mmm\ yy\ h:mm\ AM/PM"/>
    <numFmt numFmtId="172" formatCode="d\-mmm\-yyyy"/>
    <numFmt numFmtId="173" formatCode="d\ mmm\ yy"/>
    <numFmt numFmtId="174" formatCode="ddd\ d\ mmm"/>
    <numFmt numFmtId="175" formatCode="mmmm\ d"/>
    <numFmt numFmtId="176" formatCode="mmmd"/>
    <numFmt numFmtId="177" formatCode="d\ mmm\ yyyy"/>
    <numFmt numFmtId="178" formatCode="&quot;$&quot;#,##0"/>
    <numFmt numFmtId="179" formatCode="0.0"/>
    <numFmt numFmtId="180" formatCode="[$$-409]#,##0.00"/>
    <numFmt numFmtId="181" formatCode="_([$$-409]* #,##0.00_);_([$$-409]* \(#,##0.00\);_([$$-409]* &quot;-&quot;??_);_(@_)"/>
    <numFmt numFmtId="182" formatCode="_([$$-409]* #,##0_);_([$$-409]* \(#,##0\);_([$$-409]* &quot;-&quot;??_);_(@_)"/>
    <numFmt numFmtId="183" formatCode="0.0%"/>
  </numFmts>
  <fonts count="168">
    <font>
      <sz val="10"/>
      <color rgb="FF000000"/>
      <name val="Arial"/>
      <scheme val="minor"/>
    </font>
    <font>
      <b/>
      <sz val="18"/>
      <color rgb="FFFFFFFF"/>
      <name val="Roboto"/>
    </font>
    <font>
      <sz val="10"/>
      <name val="Arial"/>
      <family val="2"/>
    </font>
    <font>
      <b/>
      <sz val="18"/>
      <color theme="0"/>
      <name val="Roboto"/>
    </font>
    <font>
      <sz val="10"/>
      <color theme="1"/>
      <name val="Arial"/>
      <family val="2"/>
      <scheme val="minor"/>
    </font>
    <font>
      <b/>
      <sz val="10"/>
      <color rgb="FFEFEFEF"/>
      <name val="Roboto"/>
    </font>
    <font>
      <b/>
      <sz val="10"/>
      <color rgb="FFFFFFFF"/>
      <name val="Roboto"/>
    </font>
    <font>
      <b/>
      <sz val="10"/>
      <color theme="0"/>
      <name val="Roboto"/>
    </font>
    <font>
      <sz val="10"/>
      <color theme="0"/>
      <name val="Roboto"/>
    </font>
    <font>
      <b/>
      <sz val="10"/>
      <color rgb="FFF5F5F5"/>
      <name val="Roboto"/>
    </font>
    <font>
      <sz val="10"/>
      <color theme="1"/>
      <name val="Roboto"/>
    </font>
    <font>
      <sz val="10"/>
      <color rgb="FF434343"/>
      <name val="Roboto"/>
    </font>
    <font>
      <sz val="10"/>
      <color rgb="FFFFFFFF"/>
      <name val="Roboto"/>
    </font>
    <font>
      <sz val="11"/>
      <color rgb="FF000000"/>
      <name val="Inconsolata"/>
    </font>
    <font>
      <b/>
      <sz val="10"/>
      <color rgb="FF434343"/>
      <name val="Roboto"/>
    </font>
    <font>
      <b/>
      <sz val="10"/>
      <color theme="1"/>
      <name val="Roboto"/>
    </font>
    <font>
      <sz val="10"/>
      <color rgb="FF000000"/>
      <name val="Roboto"/>
    </font>
    <font>
      <sz val="10"/>
      <color rgb="FFEFEFEF"/>
      <name val="Roboto"/>
    </font>
    <font>
      <sz val="10"/>
      <color rgb="FFF3F3F3"/>
      <name val="Roboto"/>
    </font>
    <font>
      <sz val="10"/>
      <color rgb="FFB7B7B7"/>
      <name val="Roboto"/>
    </font>
    <font>
      <b/>
      <sz val="11"/>
      <color rgb="FFEFEFEF"/>
      <name val="Roboto"/>
    </font>
    <font>
      <b/>
      <sz val="10"/>
      <color rgb="FF666666"/>
      <name val="Roboto"/>
    </font>
    <font>
      <b/>
      <sz val="10"/>
      <color rgb="FFF3F3F3"/>
      <name val="Roboto"/>
    </font>
    <font>
      <sz val="11"/>
      <color rgb="FFEFEFEF"/>
      <name val="Roboto"/>
    </font>
    <font>
      <b/>
      <sz val="10"/>
      <color rgb="FF999999"/>
      <name val="Roboto"/>
    </font>
    <font>
      <sz val="10"/>
      <color rgb="FFCCCCCC"/>
      <name val="Roboto"/>
    </font>
    <font>
      <sz val="10"/>
      <color rgb="FF666666"/>
      <name val="Roboto"/>
    </font>
    <font>
      <b/>
      <sz val="10"/>
      <color rgb="FF000000"/>
      <name val="Roboto"/>
    </font>
    <font>
      <b/>
      <sz val="10"/>
      <color theme="1"/>
      <name val="Arial"/>
      <family val="2"/>
      <scheme val="minor"/>
    </font>
    <font>
      <sz val="10"/>
      <color rgb="FFD9D9D9"/>
      <name val="Roboto"/>
    </font>
    <font>
      <sz val="11"/>
      <color rgb="FFD9D9D9"/>
      <name val="Inconsolata"/>
    </font>
    <font>
      <sz val="10"/>
      <color rgb="FFEFEFEF"/>
      <name val="Arial"/>
      <family val="2"/>
      <scheme val="minor"/>
    </font>
    <font>
      <sz val="11"/>
      <color rgb="FFEFEFEF"/>
      <name val="Inconsolata"/>
    </font>
    <font>
      <b/>
      <sz val="10"/>
      <color rgb="FF980000"/>
      <name val="Roboto"/>
    </font>
    <font>
      <b/>
      <sz val="10"/>
      <color rgb="FF0000FF"/>
      <name val="Roboto"/>
    </font>
    <font>
      <sz val="11"/>
      <color rgb="FF000000"/>
      <name val="Roboto"/>
    </font>
    <font>
      <sz val="10"/>
      <color rgb="FF333333"/>
      <name val="Roboto"/>
    </font>
    <font>
      <sz val="11"/>
      <color rgb="FF434343"/>
      <name val="Roboto"/>
    </font>
    <font>
      <b/>
      <sz val="11"/>
      <color rgb="FF434343"/>
      <name val="Roboto"/>
    </font>
    <font>
      <b/>
      <u/>
      <sz val="10"/>
      <color rgb="FF0000FF"/>
      <name val="Roboto"/>
    </font>
    <font>
      <b/>
      <sz val="10"/>
      <color rgb="FF134F5C"/>
      <name val="Roboto"/>
    </font>
    <font>
      <b/>
      <sz val="11"/>
      <color theme="0"/>
      <name val="Calibri"/>
      <family val="2"/>
    </font>
    <font>
      <b/>
      <sz val="11"/>
      <color rgb="FFFFFFFF"/>
      <name val="Calibri"/>
      <family val="2"/>
    </font>
    <font>
      <b/>
      <sz val="11"/>
      <color rgb="FF434343"/>
      <name val="Calibri"/>
      <family val="2"/>
    </font>
    <font>
      <b/>
      <sz val="10"/>
      <color rgb="FF333333"/>
      <name val="Roboto"/>
    </font>
    <font>
      <b/>
      <u/>
      <sz val="10"/>
      <color rgb="FF333333"/>
      <name val="Roboto"/>
    </font>
    <font>
      <b/>
      <sz val="10"/>
      <color rgb="FFB25E43"/>
      <name val="Calibri"/>
      <family val="2"/>
    </font>
    <font>
      <b/>
      <sz val="10"/>
      <color theme="0"/>
      <name val="Calibri"/>
      <family val="2"/>
    </font>
    <font>
      <sz val="10"/>
      <color theme="0"/>
      <name val="Calibri"/>
      <family val="2"/>
    </font>
    <font>
      <sz val="10"/>
      <color theme="1"/>
      <name val="Calibri"/>
      <family val="2"/>
    </font>
    <font>
      <sz val="10"/>
      <color rgb="FF434343"/>
      <name val="Calibri"/>
      <family val="2"/>
    </font>
    <font>
      <sz val="10"/>
      <color rgb="FFFFFFFF"/>
      <name val="Calibri"/>
      <family val="2"/>
    </font>
    <font>
      <sz val="11"/>
      <color rgb="FF000000"/>
      <name val="Calibri"/>
      <family val="2"/>
    </font>
    <font>
      <b/>
      <sz val="10"/>
      <color rgb="FF434343"/>
      <name val="Calibri"/>
      <family val="2"/>
    </font>
    <font>
      <b/>
      <sz val="10"/>
      <color theme="1"/>
      <name val="Calibri"/>
      <family val="2"/>
    </font>
    <font>
      <i/>
      <sz val="10"/>
      <color rgb="FF434343"/>
      <name val="Calibri"/>
      <family val="2"/>
    </font>
    <font>
      <sz val="10"/>
      <color rgb="FF000000"/>
      <name val="Calibri"/>
      <family val="2"/>
    </font>
    <font>
      <i/>
      <sz val="10"/>
      <color rgb="FF000000"/>
      <name val="Calibri"/>
      <family val="2"/>
    </font>
    <font>
      <b/>
      <sz val="10"/>
      <color rgb="FFFFFFFF"/>
      <name val="Calibri"/>
      <family val="2"/>
    </font>
    <font>
      <sz val="11"/>
      <color rgb="FFFFFFFF"/>
      <name val="Calibri"/>
      <family val="2"/>
    </font>
    <font>
      <b/>
      <sz val="10"/>
      <color rgb="FFB7B7B7"/>
      <name val="Calibri"/>
      <family val="2"/>
    </font>
    <font>
      <b/>
      <sz val="10"/>
      <color rgb="FF333333"/>
      <name val="Calibri"/>
      <family val="2"/>
    </font>
    <font>
      <b/>
      <sz val="10"/>
      <color rgb="FFF5F5F5"/>
      <name val="Calibri"/>
      <family val="2"/>
    </font>
    <font>
      <sz val="8"/>
      <name val="Arial"/>
      <family val="2"/>
      <scheme val="minor"/>
    </font>
    <font>
      <u/>
      <sz val="10"/>
      <color theme="10"/>
      <name val="Arial"/>
      <family val="2"/>
      <scheme val="minor"/>
    </font>
    <font>
      <b/>
      <sz val="10"/>
      <color rgb="FF434343"/>
      <name val="Arial"/>
      <family val="2"/>
    </font>
    <font>
      <b/>
      <sz val="10"/>
      <color rgb="FF000000"/>
      <name val="Arial"/>
      <family val="2"/>
    </font>
    <font>
      <u/>
      <sz val="10"/>
      <color rgb="FFEFEFEF"/>
      <name val="Roboto"/>
    </font>
    <font>
      <sz val="10"/>
      <color rgb="FFA6A6A6"/>
      <name val="Roboto"/>
    </font>
    <font>
      <b/>
      <sz val="16"/>
      <color rgb="FFA6A6A6"/>
      <name val="Calibri"/>
      <family val="2"/>
    </font>
    <font>
      <b/>
      <sz val="10"/>
      <color rgb="FF000000"/>
      <name val="Calibri"/>
      <family val="2"/>
    </font>
    <font>
      <sz val="10"/>
      <color rgb="FF000000"/>
      <name val="Calibri"/>
      <family val="2"/>
    </font>
    <font>
      <b/>
      <sz val="10"/>
      <color rgb="FF444444"/>
      <name val="Calibri"/>
      <family val="2"/>
    </font>
    <font>
      <b/>
      <sz val="12"/>
      <color theme="0" tint="-0.14999847407452621"/>
      <name val="Calibri"/>
      <family val="2"/>
    </font>
    <font>
      <b/>
      <sz val="10"/>
      <color rgb="FFA6A6A6"/>
      <name val="Calibri"/>
      <family val="2"/>
    </font>
    <font>
      <b/>
      <i/>
      <sz val="10"/>
      <color rgb="FFA6A6A6"/>
      <name val="Calibri"/>
      <family val="2"/>
    </font>
    <font>
      <sz val="11"/>
      <color rgb="FF444444"/>
      <name val="Calibri"/>
      <family val="2"/>
      <charset val="1"/>
    </font>
    <font>
      <b/>
      <sz val="10"/>
      <color theme="10"/>
      <name val="Arial"/>
      <family val="2"/>
      <scheme val="minor"/>
    </font>
    <font>
      <b/>
      <sz val="11"/>
      <color rgb="FF444444"/>
      <name val="Calibri"/>
      <family val="2"/>
      <charset val="1"/>
    </font>
    <font>
      <i/>
      <sz val="10"/>
      <color rgb="FFF2F2F2"/>
      <name val="Roboto"/>
    </font>
    <font>
      <b/>
      <sz val="16"/>
      <color theme="0"/>
      <name val="Roboto"/>
    </font>
    <font>
      <sz val="16"/>
      <name val="Arial"/>
      <family val="2"/>
    </font>
    <font>
      <b/>
      <sz val="16"/>
      <color rgb="FFFFFFFF"/>
      <name val="Roboto"/>
    </font>
    <font>
      <sz val="16"/>
      <color rgb="FF000000"/>
      <name val="Arial"/>
      <family val="2"/>
      <scheme val="minor"/>
    </font>
    <font>
      <sz val="10"/>
      <color theme="10"/>
      <name val="Arial"/>
      <family val="2"/>
      <scheme val="minor"/>
    </font>
    <font>
      <sz val="10"/>
      <color rgb="FF595959"/>
      <name val="Roboto"/>
    </font>
    <font>
      <b/>
      <sz val="10"/>
      <color rgb="FF00B0F0"/>
      <name val="Calibri"/>
      <family val="2"/>
    </font>
    <font>
      <b/>
      <sz val="10"/>
      <color rgb="FF00B0F0"/>
      <name val="Arial"/>
      <family val="2"/>
      <scheme val="minor"/>
    </font>
    <font>
      <b/>
      <sz val="10"/>
      <color rgb="FFE7E6E6"/>
      <name val="Calibri"/>
      <family val="2"/>
    </font>
    <font>
      <sz val="10"/>
      <color rgb="FF000000"/>
      <name val="Arial"/>
      <scheme val="minor"/>
    </font>
    <font>
      <b/>
      <sz val="16"/>
      <color rgb="FFEFEFEF"/>
      <name val="Roboto"/>
    </font>
    <font>
      <b/>
      <sz val="12"/>
      <color rgb="FFEFEFEF"/>
      <name val="Roboto"/>
    </font>
    <font>
      <sz val="12"/>
      <color rgb="FF000000"/>
      <name val="Arial"/>
      <family val="2"/>
      <scheme val="minor"/>
    </font>
    <font>
      <sz val="10"/>
      <color rgb="FF000000"/>
      <name val="Arial"/>
      <family val="2"/>
      <scheme val="minor"/>
    </font>
    <font>
      <b/>
      <sz val="10"/>
      <color theme="1" tint="0.14999847407452621"/>
      <name val="Roboto"/>
    </font>
    <font>
      <b/>
      <sz val="12"/>
      <color theme="1" tint="0.14999847407452621"/>
      <name val="Roboto"/>
    </font>
    <font>
      <b/>
      <sz val="8"/>
      <color rgb="FFF2F2F2"/>
      <name val="Arial"/>
      <family val="2"/>
      <scheme val="minor"/>
    </font>
    <font>
      <sz val="10"/>
      <color rgb="FF999999"/>
      <name val="Roboto"/>
    </font>
    <font>
      <sz val="10"/>
      <color rgb="FFFFFFFF"/>
      <name val="Arial"/>
      <scheme val="minor"/>
    </font>
    <font>
      <b/>
      <sz val="10"/>
      <color rgb="FFFFFFFF"/>
      <name val="Arial"/>
      <scheme val="minor"/>
    </font>
    <font>
      <b/>
      <sz val="10"/>
      <color rgb="FF000000"/>
      <name val="Arial"/>
      <scheme val="minor"/>
    </font>
    <font>
      <i/>
      <sz val="10"/>
      <color rgb="FF000000"/>
      <name val="Arial"/>
      <scheme val="minor"/>
    </font>
    <font>
      <b/>
      <sz val="8"/>
      <color rgb="FFFFFFFF"/>
      <name val="Arial"/>
      <scheme val="minor"/>
    </font>
    <font>
      <sz val="12"/>
      <color rgb="FF000000"/>
      <name val="Arial"/>
      <scheme val="minor"/>
    </font>
    <font>
      <b/>
      <sz val="10"/>
      <color theme="0" tint="-4.9989318521683403E-2"/>
      <name val="Arial"/>
      <family val="2"/>
      <scheme val="minor"/>
    </font>
    <font>
      <b/>
      <sz val="8"/>
      <color theme="0" tint="-4.9989318521683403E-2"/>
      <name val="Arial"/>
      <family val="2"/>
      <scheme val="minor"/>
    </font>
    <font>
      <b/>
      <sz val="10"/>
      <color rgb="FFC00000"/>
      <name val="Arial"/>
      <scheme val="minor"/>
    </font>
    <font>
      <b/>
      <sz val="10"/>
      <color rgb="FF0070C0"/>
      <name val="Arial"/>
      <scheme val="minor"/>
    </font>
    <font>
      <b/>
      <sz val="10"/>
      <color rgb="FFAEAAAA"/>
      <name val="Arial"/>
      <scheme val="minor"/>
    </font>
    <font>
      <b/>
      <sz val="8"/>
      <color rgb="FF000000"/>
      <name val="Arial"/>
      <scheme val="minor"/>
    </font>
    <font>
      <b/>
      <sz val="8"/>
      <color rgb="FF305496"/>
      <name val="Arial"/>
      <family val="2"/>
      <scheme val="minor"/>
    </font>
    <font>
      <b/>
      <sz val="8"/>
      <color rgb="FF8EA9DB"/>
      <name val="Arial"/>
      <family val="2"/>
      <scheme val="minor"/>
    </font>
    <font>
      <b/>
      <sz val="8"/>
      <color rgb="FFFF0000"/>
      <name val="Arial"/>
      <family val="2"/>
      <scheme val="minor"/>
    </font>
    <font>
      <b/>
      <sz val="8"/>
      <color rgb="FF660033"/>
      <name val="Arial"/>
      <family val="2"/>
      <scheme val="minor"/>
    </font>
    <font>
      <sz val="8"/>
      <color rgb="FF000000"/>
      <name val="Arial"/>
      <family val="2"/>
      <scheme val="minor"/>
    </font>
    <font>
      <b/>
      <sz val="8"/>
      <color rgb="FFFFFFFF"/>
      <name val="Arial"/>
      <family val="2"/>
      <scheme val="minor"/>
    </font>
    <font>
      <b/>
      <sz val="10"/>
      <color rgb="FFE7E6E6"/>
      <name val="Arial"/>
      <scheme val="minor"/>
    </font>
    <font>
      <b/>
      <sz val="8"/>
      <color rgb="FFC65911"/>
      <name val="Arial"/>
      <scheme val="minor"/>
    </font>
    <font>
      <b/>
      <sz val="8"/>
      <color rgb="FF8EA9DB"/>
      <name val="Arial"/>
      <scheme val="minor"/>
    </font>
    <font>
      <b/>
      <sz val="8"/>
      <color theme="8" tint="0.39997558519241921"/>
      <name val="Arial"/>
      <scheme val="minor"/>
    </font>
    <font>
      <b/>
      <sz val="8"/>
      <color theme="0" tint="-0.34998626667073579"/>
      <name val="Arial"/>
      <scheme val="minor"/>
    </font>
    <font>
      <b/>
      <sz val="10"/>
      <color theme="0"/>
      <name val="Arial"/>
      <scheme val="minor"/>
    </font>
    <font>
      <sz val="12"/>
      <color theme="0"/>
      <name val="Arial"/>
      <scheme val="minor"/>
    </font>
    <font>
      <b/>
      <sz val="12"/>
      <color rgb="FFC65911"/>
      <name val="Arial"/>
      <scheme val="minor"/>
    </font>
    <font>
      <b/>
      <sz val="12"/>
      <color theme="0" tint="-4.9989318521683403E-2"/>
      <name val="Arial"/>
      <scheme val="minor"/>
    </font>
    <font>
      <b/>
      <sz val="12"/>
      <color theme="8" tint="0.39997558519241921"/>
      <name val="Arial"/>
      <scheme val="minor"/>
    </font>
    <font>
      <b/>
      <sz val="8"/>
      <color rgb="FFC00000"/>
      <name val="Arial"/>
      <scheme val="minor"/>
    </font>
    <font>
      <b/>
      <sz val="10"/>
      <color theme="0" tint="-4.9989318521683403E-2"/>
      <name val="Arial"/>
      <scheme val="minor"/>
    </font>
    <font>
      <b/>
      <sz val="10"/>
      <color rgb="FF000000"/>
      <name val="Arial"/>
      <family val="2"/>
      <scheme val="minor"/>
    </font>
    <font>
      <i/>
      <sz val="10"/>
      <color rgb="FF000000"/>
      <name val="Arial"/>
    </font>
    <font>
      <b/>
      <i/>
      <sz val="10"/>
      <color rgb="FF000000"/>
      <name val="Arial"/>
    </font>
    <font>
      <b/>
      <sz val="14"/>
      <color theme="0" tint="-4.9989318521683403E-2"/>
      <name val="Arial"/>
      <scheme val="minor"/>
    </font>
    <font>
      <b/>
      <sz val="36"/>
      <color theme="0"/>
      <name val="Arial"/>
      <scheme val="minor"/>
    </font>
    <font>
      <b/>
      <sz val="10"/>
      <color rgb="FFC00000"/>
      <name val="Calibri"/>
      <family val="2"/>
    </font>
    <font>
      <b/>
      <sz val="36"/>
      <color theme="1"/>
      <name val="Arial"/>
      <scheme val="minor"/>
    </font>
    <font>
      <b/>
      <sz val="10"/>
      <color theme="1"/>
      <name val="Arial"/>
      <scheme val="minor"/>
    </font>
    <font>
      <sz val="16"/>
      <color rgb="FF000000"/>
      <name val="Arial"/>
      <scheme val="minor"/>
    </font>
    <font>
      <b/>
      <sz val="12"/>
      <color theme="0"/>
      <name val="Arial"/>
      <scheme val="minor"/>
    </font>
    <font>
      <b/>
      <sz val="12"/>
      <color rgb="FF0070C0"/>
      <name val="Arial"/>
      <scheme val="minor"/>
    </font>
    <font>
      <b/>
      <sz val="12"/>
      <color rgb="FFAEAAAA"/>
      <name val="Arial"/>
      <scheme val="minor"/>
    </font>
    <font>
      <b/>
      <sz val="12"/>
      <color rgb="FFC00000"/>
      <name val="Arial"/>
      <scheme val="minor"/>
    </font>
    <font>
      <b/>
      <sz val="12"/>
      <color rgb="FFFFFFFF"/>
      <name val="Arial"/>
      <scheme val="minor"/>
    </font>
    <font>
      <b/>
      <sz val="16"/>
      <color rgb="FFFFFFFF"/>
      <name val="Arial"/>
      <scheme val="minor"/>
    </font>
    <font>
      <b/>
      <sz val="11"/>
      <color theme="1" tint="4.9989318521683403E-2"/>
      <name val="Roboto"/>
    </font>
    <font>
      <b/>
      <sz val="16"/>
      <color rgb="FF000000"/>
      <name val="Arial"/>
      <scheme val="minor"/>
    </font>
    <font>
      <b/>
      <sz val="12"/>
      <color rgb="FF000000"/>
      <name val="Arial"/>
      <scheme val="minor"/>
    </font>
    <font>
      <b/>
      <sz val="12"/>
      <color rgb="FFFF0000"/>
      <name val="Arial"/>
      <scheme val="minor"/>
    </font>
    <font>
      <b/>
      <sz val="12"/>
      <color rgb="FF8EA9DB"/>
      <name val="Arial"/>
      <scheme val="minor"/>
    </font>
    <font>
      <b/>
      <sz val="16"/>
      <color theme="8"/>
      <name val="Arial"/>
      <scheme val="minor"/>
    </font>
    <font>
      <b/>
      <sz val="16"/>
      <color rgb="FFFF0000"/>
      <name val="Arial"/>
      <scheme val="minor"/>
    </font>
    <font>
      <b/>
      <sz val="12"/>
      <color theme="9" tint="-0.249977111117893"/>
      <name val="Arial"/>
      <scheme val="minor"/>
    </font>
    <font>
      <b/>
      <sz val="12"/>
      <color rgb="FF00B0F0"/>
      <name val="Arial"/>
      <scheme val="minor"/>
    </font>
    <font>
      <b/>
      <sz val="12"/>
      <color rgb="FFC00000"/>
      <name val="Roboto"/>
    </font>
    <font>
      <sz val="12"/>
      <color rgb="FFFFFFFF"/>
      <name val="Arial"/>
      <scheme val="minor"/>
    </font>
    <font>
      <sz val="12"/>
      <color rgb="FFC00000"/>
      <name val="Arial"/>
      <scheme val="minor"/>
    </font>
    <font>
      <b/>
      <sz val="14"/>
      <color theme="0"/>
      <name val="Arial"/>
      <scheme val="minor"/>
    </font>
    <font>
      <sz val="10"/>
      <color theme="0"/>
      <name val="Arial"/>
      <scheme val="minor"/>
    </font>
    <font>
      <b/>
      <sz val="12"/>
      <color rgb="FFFFFFFF"/>
      <name val="Roboto"/>
    </font>
    <font>
      <sz val="11"/>
      <color rgb="FF242424"/>
      <name val="Aptos Narrow"/>
      <charset val="1"/>
    </font>
    <font>
      <b/>
      <sz val="10"/>
      <color rgb="FFFF0000"/>
      <name val="Arial"/>
      <scheme val="minor"/>
    </font>
    <font>
      <b/>
      <sz val="10"/>
      <color theme="8" tint="0.39997558519241921"/>
      <name val="Arial"/>
      <scheme val="minor"/>
    </font>
    <font>
      <b/>
      <sz val="9"/>
      <color theme="8" tint="0.39997558519241921"/>
      <name val="Arial"/>
      <family val="2"/>
      <scheme val="minor"/>
    </font>
    <font>
      <b/>
      <sz val="8"/>
      <color rgb="FFC00000"/>
      <name val="Arial"/>
      <family val="2"/>
      <scheme val="minor"/>
    </font>
    <font>
      <b/>
      <sz val="10"/>
      <color theme="1" tint="0.249977111117893"/>
      <name val="Arial"/>
      <scheme val="minor"/>
    </font>
    <font>
      <b/>
      <sz val="24"/>
      <color theme="1" tint="0.249977111117893"/>
      <name val="Arial"/>
      <scheme val="minor"/>
    </font>
    <font>
      <sz val="10"/>
      <color theme="0" tint="-0.34998626667073579"/>
      <name val="Arial"/>
      <scheme val="minor"/>
    </font>
    <font>
      <b/>
      <sz val="11"/>
      <color rgb="FF242424"/>
      <name val="Aptos Narrow"/>
      <charset val="1"/>
    </font>
    <font>
      <sz val="10"/>
      <color rgb="FFC00000"/>
      <name val="Arial"/>
      <scheme val="minor"/>
    </font>
  </fonts>
  <fills count="93">
    <fill>
      <patternFill patternType="none"/>
    </fill>
    <fill>
      <patternFill patternType="gray125"/>
    </fill>
    <fill>
      <patternFill patternType="solid">
        <fgColor rgb="FF040404"/>
        <bgColor rgb="FF040404"/>
      </patternFill>
    </fill>
    <fill>
      <patternFill patternType="solid">
        <fgColor rgb="FF333333"/>
        <bgColor rgb="FF333333"/>
      </patternFill>
    </fill>
    <fill>
      <patternFill patternType="solid">
        <fgColor rgb="FF364158"/>
        <bgColor rgb="FF364158"/>
      </patternFill>
    </fill>
    <fill>
      <patternFill patternType="solid">
        <fgColor rgb="FF243B6A"/>
        <bgColor rgb="FF243B6A"/>
      </patternFill>
    </fill>
    <fill>
      <patternFill patternType="solid">
        <fgColor rgb="FFFFFFFF"/>
        <bgColor rgb="FFFFFFFF"/>
      </patternFill>
    </fill>
    <fill>
      <patternFill patternType="solid">
        <fgColor rgb="FFF3F3F3"/>
        <bgColor rgb="FFF3F3F3"/>
      </patternFill>
    </fill>
    <fill>
      <patternFill patternType="solid">
        <fgColor rgb="FFB7B7B7"/>
        <bgColor rgb="FFB7B7B7"/>
      </patternFill>
    </fill>
    <fill>
      <patternFill patternType="solid">
        <fgColor rgb="FF000000"/>
        <bgColor rgb="FF000000"/>
      </patternFill>
    </fill>
    <fill>
      <patternFill patternType="solid">
        <fgColor rgb="FF999999"/>
        <bgColor rgb="FF999999"/>
      </patternFill>
    </fill>
    <fill>
      <patternFill patternType="solid">
        <fgColor rgb="FFA61C00"/>
        <bgColor rgb="FFA61C00"/>
      </patternFill>
    </fill>
    <fill>
      <patternFill patternType="solid">
        <fgColor rgb="FFD9D9D9"/>
        <bgColor rgb="FFD9D9D9"/>
      </patternFill>
    </fill>
    <fill>
      <patternFill patternType="solid">
        <fgColor rgb="FFEFEFEF"/>
        <bgColor rgb="FFEFEFEF"/>
      </patternFill>
    </fill>
    <fill>
      <patternFill patternType="solid">
        <fgColor rgb="FFC0C5B2"/>
        <bgColor rgb="FFC0C5B2"/>
      </patternFill>
    </fill>
    <fill>
      <patternFill patternType="solid">
        <fgColor rgb="FFCCCCCC"/>
        <bgColor rgb="FFCCCCCC"/>
      </patternFill>
    </fill>
    <fill>
      <patternFill patternType="solid">
        <fgColor rgb="FFE6B8AF"/>
        <bgColor rgb="FFE6B8AF"/>
      </patternFill>
    </fill>
    <fill>
      <patternFill patternType="solid">
        <fgColor rgb="FF292929"/>
        <bgColor rgb="FF292929"/>
      </patternFill>
    </fill>
    <fill>
      <patternFill patternType="solid">
        <fgColor rgb="FFC9DAF8"/>
        <bgColor rgb="FFC9DAF8"/>
      </patternFill>
    </fill>
    <fill>
      <patternFill patternType="solid">
        <fgColor rgb="FF6D9EEB"/>
        <bgColor rgb="FF6D9EEB"/>
      </patternFill>
    </fill>
    <fill>
      <patternFill patternType="solid">
        <fgColor rgb="FF6FA8DC"/>
        <bgColor rgb="FF6FA8DC"/>
      </patternFill>
    </fill>
    <fill>
      <patternFill patternType="solid">
        <fgColor rgb="FFEA9999"/>
        <bgColor rgb="FFEA9999"/>
      </patternFill>
    </fill>
    <fill>
      <patternFill patternType="solid">
        <fgColor rgb="FFE06666"/>
        <bgColor rgb="FFE06666"/>
      </patternFill>
    </fill>
    <fill>
      <patternFill patternType="solid">
        <fgColor rgb="FFA4C2F4"/>
        <bgColor rgb="FFA4C2F4"/>
      </patternFill>
    </fill>
    <fill>
      <patternFill patternType="solid">
        <fgColor rgb="FFF4CCCC"/>
        <bgColor rgb="FFF4CCCC"/>
      </patternFill>
    </fill>
    <fill>
      <patternFill patternType="solid">
        <fgColor rgb="FF434343"/>
        <bgColor rgb="FF434343"/>
      </patternFill>
    </fill>
    <fill>
      <patternFill patternType="solid">
        <fgColor rgb="FF666666"/>
        <bgColor rgb="FF666666"/>
      </patternFill>
    </fill>
    <fill>
      <patternFill patternType="solid">
        <fgColor rgb="FF1C4587"/>
        <bgColor rgb="FF1C4587"/>
      </patternFill>
    </fill>
    <fill>
      <patternFill patternType="solid">
        <fgColor rgb="FF073763"/>
        <bgColor rgb="FF073763"/>
      </patternFill>
    </fill>
    <fill>
      <patternFill patternType="solid">
        <fgColor rgb="FF660000"/>
        <bgColor rgb="FF660000"/>
      </patternFill>
    </fill>
    <fill>
      <patternFill patternType="solid">
        <fgColor theme="1"/>
        <bgColor theme="1"/>
      </patternFill>
    </fill>
    <fill>
      <patternFill patternType="solid">
        <fgColor rgb="FFB7E1CD"/>
        <bgColor rgb="FFB7E1CD"/>
      </patternFill>
    </fill>
    <fill>
      <patternFill patternType="solid">
        <fgColor rgb="FFD9EAD3"/>
        <bgColor rgb="FFD9EAD3"/>
      </patternFill>
    </fill>
    <fill>
      <patternFill patternType="solid">
        <fgColor rgb="FF980000"/>
        <bgColor rgb="FF980000"/>
      </patternFill>
    </fill>
    <fill>
      <patternFill patternType="solid">
        <fgColor theme="2" tint="-0.34998626667073579"/>
        <bgColor rgb="FFF3F3F3"/>
      </patternFill>
    </fill>
    <fill>
      <patternFill patternType="solid">
        <fgColor rgb="FFA6A6A6"/>
        <bgColor indexed="64"/>
      </patternFill>
    </fill>
    <fill>
      <patternFill patternType="solid">
        <fgColor rgb="FFACB9CA"/>
        <bgColor indexed="64"/>
      </patternFill>
    </fill>
    <fill>
      <patternFill patternType="solid">
        <fgColor rgb="FFF4B084"/>
        <bgColor indexed="64"/>
      </patternFill>
    </fill>
    <fill>
      <patternFill patternType="solid">
        <fgColor rgb="FFAEAAAA"/>
        <bgColor indexed="64"/>
      </patternFill>
    </fill>
    <fill>
      <patternFill patternType="solid">
        <fgColor rgb="FF808080"/>
        <bgColor indexed="64"/>
      </patternFill>
    </fill>
    <fill>
      <patternFill patternType="solid">
        <fgColor rgb="FF757171"/>
        <bgColor indexed="64"/>
      </patternFill>
    </fill>
    <fill>
      <patternFill patternType="solid">
        <fgColor rgb="FFC65911"/>
        <bgColor indexed="64"/>
      </patternFill>
    </fill>
    <fill>
      <patternFill patternType="solid">
        <fgColor rgb="FFF7B1AD"/>
        <bgColor indexed="64"/>
      </patternFill>
    </fill>
    <fill>
      <patternFill patternType="solid">
        <fgColor rgb="FFD0CECE"/>
        <bgColor indexed="64"/>
      </patternFill>
    </fill>
    <fill>
      <patternFill patternType="solid">
        <fgColor rgb="FFD9E1F2"/>
        <bgColor indexed="64"/>
      </patternFill>
    </fill>
    <fill>
      <patternFill patternType="solid">
        <fgColor rgb="FFFF0000"/>
        <bgColor indexed="64"/>
      </patternFill>
    </fill>
    <fill>
      <patternFill patternType="solid">
        <fgColor rgb="FF8EA9DB"/>
        <bgColor indexed="64"/>
      </patternFill>
    </fill>
    <fill>
      <patternFill patternType="solid">
        <fgColor rgb="FF000000"/>
        <bgColor indexed="64"/>
      </patternFill>
    </fill>
    <fill>
      <patternFill patternType="solid">
        <fgColor rgb="FFC00000"/>
        <bgColor indexed="64"/>
      </patternFill>
    </fill>
    <fill>
      <patternFill patternType="solid">
        <fgColor rgb="FFD6DCE4"/>
        <bgColor indexed="64"/>
      </patternFill>
    </fill>
    <fill>
      <patternFill patternType="solid">
        <fgColor rgb="FF0D0D0D"/>
        <bgColor indexed="64"/>
      </patternFill>
    </fill>
    <fill>
      <patternFill patternType="solid">
        <fgColor rgb="FFF2F2F2"/>
        <bgColor indexed="64"/>
      </patternFill>
    </fill>
    <fill>
      <patternFill patternType="solid">
        <fgColor rgb="FFFFFFFF"/>
        <bgColor indexed="64"/>
      </patternFill>
    </fill>
    <fill>
      <patternFill patternType="solid">
        <fgColor rgb="FFDBDBDB"/>
        <bgColor indexed="64"/>
      </patternFill>
    </fill>
    <fill>
      <patternFill patternType="solid">
        <fgColor rgb="FFD9D9D9"/>
        <bgColor indexed="64"/>
      </patternFill>
    </fill>
    <fill>
      <patternFill patternType="solid">
        <fgColor theme="4" tint="-0.499984740745262"/>
        <bgColor indexed="64"/>
      </patternFill>
    </fill>
    <fill>
      <patternFill patternType="solid">
        <fgColor rgb="FF262626"/>
        <bgColor indexed="64"/>
      </patternFill>
    </fill>
    <fill>
      <patternFill patternType="solid">
        <fgColor theme="3" tint="0.249977111117893"/>
        <bgColor indexed="64"/>
      </patternFill>
    </fill>
    <fill>
      <patternFill patternType="solid">
        <fgColor rgb="FF3A3838"/>
        <bgColor indexed="64"/>
      </patternFill>
    </fill>
    <fill>
      <patternFill patternType="solid">
        <fgColor rgb="FFC0C5B2"/>
        <bgColor indexed="64"/>
      </patternFill>
    </fill>
    <fill>
      <patternFill patternType="solid">
        <fgColor rgb="FFE2D0AA"/>
        <bgColor indexed="64"/>
      </patternFill>
    </fill>
    <fill>
      <patternFill patternType="solid">
        <fgColor rgb="FF002060"/>
        <bgColor indexed="64"/>
      </patternFill>
    </fill>
    <fill>
      <patternFill patternType="solid">
        <fgColor rgb="FFE7E6E6"/>
        <bgColor indexed="64"/>
      </patternFill>
    </fill>
    <fill>
      <patternFill patternType="solid">
        <fgColor theme="3" tint="0.14999847407452621"/>
        <bgColor indexed="64"/>
      </patternFill>
    </fill>
    <fill>
      <patternFill patternType="solid">
        <fgColor theme="3" tint="0.499984740745262"/>
        <bgColor indexed="64"/>
      </patternFill>
    </fill>
    <fill>
      <patternFill patternType="solid">
        <fgColor rgb="FFA9D08E"/>
        <bgColor indexed="64"/>
      </patternFill>
    </fill>
    <fill>
      <patternFill patternType="solid">
        <fgColor rgb="FFFFD966"/>
        <bgColor indexed="64"/>
      </patternFill>
    </fill>
    <fill>
      <patternFill patternType="solid">
        <fgColor rgb="FF404040"/>
        <bgColor indexed="64"/>
      </patternFill>
    </fill>
    <fill>
      <patternFill patternType="solid">
        <fgColor rgb="FF161616"/>
        <bgColor indexed="64"/>
      </patternFill>
    </fill>
    <fill>
      <patternFill patternType="solid">
        <fgColor rgb="FF660033"/>
        <bgColor indexed="64"/>
      </patternFill>
    </fill>
    <fill>
      <patternFill patternType="solid">
        <fgColor rgb="FF2F75B5"/>
        <bgColor indexed="64"/>
      </patternFill>
    </fill>
    <fill>
      <patternFill patternType="solid">
        <fgColor rgb="FF1F4E78"/>
        <bgColor indexed="64"/>
      </patternFill>
    </fill>
    <fill>
      <patternFill patternType="solid">
        <fgColor rgb="FFC6E0B4"/>
        <bgColor indexed="64"/>
      </patternFill>
    </fill>
    <fill>
      <patternFill patternType="solid">
        <fgColor rgb="FFFCE4D6"/>
        <bgColor indexed="64"/>
      </patternFill>
    </fill>
    <fill>
      <patternFill patternType="solid">
        <fgColor theme="1" tint="0.14999847407452621"/>
        <bgColor indexed="64"/>
      </patternFill>
    </fill>
    <fill>
      <patternFill patternType="solid">
        <fgColor theme="5" tint="9.9978637043366805E-2"/>
        <bgColor indexed="64"/>
      </patternFill>
    </fill>
    <fill>
      <patternFill patternType="solid">
        <fgColor theme="1"/>
        <bgColor indexed="64"/>
      </patternFill>
    </fill>
    <fill>
      <patternFill patternType="solid">
        <fgColor theme="1" tint="0.249977111117893"/>
        <bgColor indexed="64"/>
      </patternFill>
    </fill>
    <fill>
      <patternFill patternType="solid">
        <fgColor rgb="FF7030A0"/>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7" tint="-0.249977111117893"/>
        <bgColor indexed="64"/>
      </patternFill>
    </fill>
    <fill>
      <patternFill patternType="solid">
        <fgColor theme="6" tint="-0.499984740745262"/>
        <bgColor indexed="64"/>
      </patternFill>
    </fill>
    <fill>
      <patternFill patternType="solid">
        <fgColor theme="0" tint="-0.34998626667073579"/>
        <bgColor indexed="64"/>
      </patternFill>
    </fill>
    <fill>
      <patternFill patternType="solid">
        <fgColor theme="9" tint="-0.499984740745262"/>
        <bgColor indexed="64"/>
      </patternFill>
    </fill>
    <fill>
      <patternFill patternType="solid">
        <fgColor theme="1" tint="0.34998626667073579"/>
        <bgColor indexed="64"/>
      </patternFill>
    </fill>
    <fill>
      <patternFill patternType="solid">
        <fgColor theme="8" tint="-0.249977111117893"/>
        <bgColor indexed="64"/>
      </patternFill>
    </fill>
    <fill>
      <patternFill patternType="solid">
        <fgColor theme="1" tint="0.499984740745262"/>
        <bgColor indexed="64"/>
      </patternFill>
    </fill>
    <fill>
      <patternFill patternType="solid">
        <fgColor rgb="FF7B0323"/>
        <bgColor indexed="64"/>
      </patternFill>
    </fill>
    <fill>
      <patternFill patternType="solid">
        <fgColor theme="8"/>
        <bgColor indexed="64"/>
      </patternFill>
    </fill>
    <fill>
      <patternFill patternType="solid">
        <fgColor rgb="FF02421E"/>
        <bgColor indexed="64"/>
      </patternFill>
    </fill>
    <fill>
      <patternFill patternType="solid">
        <fgColor theme="0" tint="-0.14999847407452621"/>
        <bgColor indexed="64"/>
      </patternFill>
    </fill>
    <fill>
      <patternFill patternType="solid">
        <fgColor theme="5" tint="0.749992370372631"/>
        <bgColor indexed="64"/>
      </patternFill>
    </fill>
  </fills>
  <borders count="40">
    <border>
      <left/>
      <right/>
      <top/>
      <bottom/>
      <diagonal/>
    </border>
    <border>
      <left style="thin">
        <color rgb="FF666666"/>
      </left>
      <right/>
      <top style="thin">
        <color rgb="FF666666"/>
      </top>
      <bottom style="thin">
        <color rgb="FF666666"/>
      </bottom>
      <diagonal/>
    </border>
    <border>
      <left/>
      <right/>
      <top style="thin">
        <color rgb="FF666666"/>
      </top>
      <bottom style="thin">
        <color rgb="FF666666"/>
      </bottom>
      <diagonal/>
    </border>
    <border>
      <left/>
      <right style="thin">
        <color rgb="FF666666"/>
      </right>
      <top style="thin">
        <color rgb="FF666666"/>
      </top>
      <bottom style="thin">
        <color rgb="FF666666"/>
      </bottom>
      <diagonal/>
    </border>
    <border>
      <left style="thin">
        <color rgb="FF666666"/>
      </left>
      <right style="thin">
        <color rgb="FF666666"/>
      </right>
      <top style="thin">
        <color rgb="FF666666"/>
      </top>
      <bottom style="thin">
        <color rgb="FF666666"/>
      </bottom>
      <diagonal/>
    </border>
    <border>
      <left/>
      <right/>
      <top style="thin">
        <color rgb="FF666666"/>
      </top>
      <bottom/>
      <diagonal/>
    </border>
    <border>
      <left style="thin">
        <color rgb="FF666666"/>
      </left>
      <right/>
      <top style="thin">
        <color rgb="FF666666"/>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style="thin">
        <color rgb="FF666666"/>
      </left>
      <right style="thin">
        <color rgb="FF666666"/>
      </right>
      <top style="thin">
        <color rgb="FF666666"/>
      </top>
      <bottom/>
      <diagonal/>
    </border>
    <border>
      <left/>
      <right style="thin">
        <color rgb="FF666666"/>
      </right>
      <top style="thin">
        <color rgb="FF666666"/>
      </top>
      <bottom/>
      <diagonal/>
    </border>
    <border>
      <left style="thin">
        <color theme="0" tint="-0.24994659260841701"/>
      </left>
      <right style="thin">
        <color theme="0" tint="-0.24994659260841701"/>
      </right>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right style="thin">
        <color theme="0" tint="-0.24994659260841701"/>
      </right>
      <top/>
      <bottom/>
      <diagonal/>
    </border>
    <border>
      <left style="thin">
        <color theme="0" tint="-0.24994659260841701"/>
      </left>
      <right style="thin">
        <color theme="0" tint="-0.24994659260841701"/>
      </right>
      <top/>
      <bottom/>
      <diagonal/>
    </border>
    <border>
      <left/>
      <right/>
      <top/>
      <bottom style="thin">
        <color rgb="FF000000"/>
      </bottom>
      <diagonal/>
    </border>
    <border>
      <left style="thin">
        <color rgb="FF595959"/>
      </left>
      <right/>
      <top/>
      <bottom style="thin">
        <color rgb="FF595959"/>
      </bottom>
      <diagonal/>
    </border>
    <border>
      <left style="thin">
        <color rgb="FF595959"/>
      </left>
      <right style="thin">
        <color rgb="FF595959"/>
      </right>
      <top/>
      <bottom style="thin">
        <color rgb="FF595959"/>
      </bottom>
      <diagonal/>
    </border>
    <border>
      <left/>
      <right style="thin">
        <color rgb="FF595959"/>
      </right>
      <top/>
      <bottom style="thin">
        <color rgb="FF595959"/>
      </bottom>
      <diagonal/>
    </border>
    <border>
      <left/>
      <right/>
      <top/>
      <bottom style="thin">
        <color rgb="FF595959"/>
      </bottom>
      <diagonal/>
    </border>
    <border>
      <left/>
      <right/>
      <top/>
      <bottom style="thick">
        <color theme="7" tint="-0.24994659260841701"/>
      </bottom>
      <diagonal/>
    </border>
    <border>
      <left/>
      <right/>
      <top style="thick">
        <color theme="7" tint="-0.24994659260841701"/>
      </top>
      <bottom/>
      <diagonal/>
    </border>
    <border>
      <left style="thin">
        <color rgb="FF434343"/>
      </left>
      <right style="thin">
        <color rgb="FF434343"/>
      </right>
      <top style="thin">
        <color rgb="FF434343"/>
      </top>
      <bottom style="thin">
        <color rgb="FF434343"/>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bottom style="medium">
        <color theme="0"/>
      </bottom>
      <diagonal/>
    </border>
  </borders>
  <cellStyleXfs count="4">
    <xf numFmtId="0" fontId="0" fillId="0" borderId="0"/>
    <xf numFmtId="0" fontId="64" fillId="0" borderId="0" applyNumberFormat="0" applyFill="0" applyBorder="0" applyAlignment="0" applyProtection="0"/>
    <xf numFmtId="9" fontId="89" fillId="0" borderId="0" applyFont="0" applyFill="0" applyBorder="0" applyAlignment="0" applyProtection="0"/>
    <xf numFmtId="164" fontId="89" fillId="0" borderId="0" applyFont="0" applyFill="0" applyBorder="0" applyAlignment="0" applyProtection="0"/>
  </cellStyleXfs>
  <cellXfs count="658">
    <xf numFmtId="0" fontId="0" fillId="0" borderId="0" xfId="0"/>
    <xf numFmtId="0" fontId="7" fillId="3" borderId="4" xfId="0" applyFont="1" applyFill="1" applyBorder="1"/>
    <xf numFmtId="0" fontId="7" fillId="3" borderId="4" xfId="0" applyFont="1" applyFill="1" applyBorder="1" applyAlignment="1">
      <alignment horizontal="center"/>
    </xf>
    <xf numFmtId="0" fontId="6" fillId="3" borderId="4" xfId="0" applyFont="1" applyFill="1" applyBorder="1" applyAlignment="1">
      <alignment horizontal="center"/>
    </xf>
    <xf numFmtId="0" fontId="7" fillId="3" borderId="4" xfId="0" applyFont="1" applyFill="1" applyBorder="1" applyAlignment="1">
      <alignment horizontal="left"/>
    </xf>
    <xf numFmtId="0" fontId="8" fillId="3" borderId="4" xfId="0" applyFont="1" applyFill="1" applyBorder="1" applyAlignment="1">
      <alignment horizontal="left"/>
    </xf>
    <xf numFmtId="0" fontId="9" fillId="5" borderId="4" xfId="0" applyFont="1" applyFill="1" applyBorder="1"/>
    <xf numFmtId="166" fontId="7" fillId="3" borderId="4" xfId="0" applyNumberFormat="1" applyFont="1" applyFill="1" applyBorder="1"/>
    <xf numFmtId="2" fontId="8" fillId="3" borderId="4" xfId="0" applyNumberFormat="1" applyFont="1" applyFill="1" applyBorder="1" applyAlignment="1">
      <alignment horizontal="left"/>
    </xf>
    <xf numFmtId="0" fontId="8" fillId="3" borderId="4" xfId="0" applyFont="1" applyFill="1" applyBorder="1" applyAlignment="1">
      <alignment horizontal="center"/>
    </xf>
    <xf numFmtId="0" fontId="7" fillId="3" borderId="1" xfId="0" applyFont="1" applyFill="1" applyBorder="1"/>
    <xf numFmtId="0" fontId="7" fillId="0" borderId="0" xfId="0" applyFont="1"/>
    <xf numFmtId="167" fontId="11" fillId="0" borderId="0" xfId="0" applyNumberFormat="1" applyFont="1"/>
    <xf numFmtId="0" fontId="11" fillId="0" borderId="0" xfId="0" applyFont="1"/>
    <xf numFmtId="0" fontId="11" fillId="0" borderId="0" xfId="0" applyFont="1" applyAlignment="1">
      <alignment horizontal="center"/>
    </xf>
    <xf numFmtId="0" fontId="12" fillId="0" borderId="0" xfId="0" applyFont="1" applyAlignment="1">
      <alignment horizontal="center"/>
    </xf>
    <xf numFmtId="0" fontId="13" fillId="6" borderId="0" xfId="0" applyFont="1" applyFill="1"/>
    <xf numFmtId="0" fontId="14" fillId="0" borderId="0" xfId="0" applyFont="1"/>
    <xf numFmtId="166" fontId="14" fillId="0" borderId="0" xfId="0" applyNumberFormat="1" applyFont="1"/>
    <xf numFmtId="165" fontId="11" fillId="0" borderId="0" xfId="0" applyNumberFormat="1" applyFont="1" applyAlignment="1">
      <alignment horizontal="center"/>
    </xf>
    <xf numFmtId="166" fontId="11" fillId="0" borderId="0" xfId="0" applyNumberFormat="1" applyFont="1"/>
    <xf numFmtId="2" fontId="15" fillId="0" borderId="0" xfId="0" applyNumberFormat="1" applyFont="1" applyAlignment="1">
      <alignment horizontal="center"/>
    </xf>
    <xf numFmtId="0" fontId="15" fillId="0" borderId="0" xfId="0" applyFont="1" applyAlignment="1">
      <alignment horizontal="center"/>
    </xf>
    <xf numFmtId="167" fontId="11" fillId="7" borderId="0" xfId="0" applyNumberFormat="1" applyFont="1" applyFill="1"/>
    <xf numFmtId="0" fontId="11" fillId="7" borderId="0" xfId="0" applyFont="1" applyFill="1"/>
    <xf numFmtId="0" fontId="11" fillId="7" borderId="0" xfId="0" applyFont="1" applyFill="1" applyAlignment="1">
      <alignment horizontal="center"/>
    </xf>
    <xf numFmtId="169" fontId="11" fillId="0" borderId="0" xfId="0" applyNumberFormat="1" applyFont="1"/>
    <xf numFmtId="18" fontId="11" fillId="7" borderId="0" xfId="0" applyNumberFormat="1" applyFont="1" applyFill="1"/>
    <xf numFmtId="0" fontId="16" fillId="6" borderId="0" xfId="0" applyFont="1" applyFill="1"/>
    <xf numFmtId="0" fontId="4" fillId="0" borderId="0" xfId="0" applyFont="1"/>
    <xf numFmtId="0" fontId="6" fillId="9" borderId="0" xfId="0" applyFont="1" applyFill="1"/>
    <xf numFmtId="0" fontId="14" fillId="7" borderId="0" xfId="0" applyFont="1" applyFill="1"/>
    <xf numFmtId="171" fontId="11" fillId="0" borderId="0" xfId="0" applyNumberFormat="1" applyFont="1"/>
    <xf numFmtId="18" fontId="11" fillId="0" borderId="0" xfId="0" applyNumberFormat="1" applyFont="1"/>
    <xf numFmtId="0" fontId="14" fillId="0" borderId="0" xfId="0" applyFont="1" applyAlignment="1">
      <alignment horizontal="center"/>
    </xf>
    <xf numFmtId="173" fontId="11" fillId="0" borderId="0" xfId="0" applyNumberFormat="1" applyFont="1"/>
    <xf numFmtId="0" fontId="11" fillId="18" borderId="0" xfId="0" applyFont="1" applyFill="1" applyAlignment="1">
      <alignment horizontal="center"/>
    </xf>
    <xf numFmtId="0" fontId="15" fillId="0" borderId="0" xfId="0" applyFont="1"/>
    <xf numFmtId="0" fontId="17" fillId="0" borderId="0" xfId="0" applyFont="1"/>
    <xf numFmtId="0" fontId="5" fillId="0" borderId="0" xfId="0" applyFont="1"/>
    <xf numFmtId="0" fontId="17" fillId="0" borderId="0" xfId="0" applyFont="1" applyAlignment="1">
      <alignment horizontal="center"/>
    </xf>
    <xf numFmtId="166" fontId="5" fillId="0" borderId="0" xfId="0" applyNumberFormat="1" applyFont="1"/>
    <xf numFmtId="166" fontId="17" fillId="0" borderId="0" xfId="0" applyNumberFormat="1" applyFont="1"/>
    <xf numFmtId="10" fontId="17" fillId="0" borderId="0" xfId="0" applyNumberFormat="1" applyFont="1"/>
    <xf numFmtId="2" fontId="17" fillId="0" borderId="0" xfId="0" applyNumberFormat="1" applyFont="1"/>
    <xf numFmtId="0" fontId="17" fillId="0" borderId="0" xfId="0" applyFont="1" applyAlignment="1">
      <alignment horizontal="left"/>
    </xf>
    <xf numFmtId="0" fontId="9" fillId="0" borderId="0" xfId="0" applyFont="1"/>
    <xf numFmtId="165" fontId="18" fillId="0" borderId="0" xfId="0" applyNumberFormat="1" applyFont="1"/>
    <xf numFmtId="2" fontId="5" fillId="0" borderId="0" xfId="0" applyNumberFormat="1" applyFont="1"/>
    <xf numFmtId="0" fontId="5" fillId="0" borderId="0" xfId="0" applyFont="1" applyAlignment="1">
      <alignment horizontal="center"/>
    </xf>
    <xf numFmtId="0" fontId="19" fillId="0" borderId="0" xfId="0" applyFont="1"/>
    <xf numFmtId="0" fontId="18" fillId="0" borderId="0" xfId="0" applyFont="1"/>
    <xf numFmtId="10" fontId="18" fillId="0" borderId="0" xfId="0" applyNumberFormat="1" applyFont="1"/>
    <xf numFmtId="0" fontId="20" fillId="0" borderId="0" xfId="0" applyFont="1"/>
    <xf numFmtId="0" fontId="21" fillId="0" borderId="0" xfId="0" applyFont="1"/>
    <xf numFmtId="165" fontId="14" fillId="0" borderId="0" xfId="0" applyNumberFormat="1" applyFont="1" applyAlignment="1">
      <alignment horizontal="center"/>
    </xf>
    <xf numFmtId="165" fontId="22" fillId="0" borderId="0" xfId="0" applyNumberFormat="1" applyFont="1"/>
    <xf numFmtId="0" fontId="23" fillId="0" borderId="0" xfId="0" applyFont="1"/>
    <xf numFmtId="0" fontId="22" fillId="0" borderId="0" xfId="0" applyFont="1"/>
    <xf numFmtId="0" fontId="20" fillId="0" borderId="0" xfId="0" applyFont="1" applyAlignment="1">
      <alignment horizontal="center"/>
    </xf>
    <xf numFmtId="166" fontId="10" fillId="0" borderId="0" xfId="0" applyNumberFormat="1" applyFont="1"/>
    <xf numFmtId="173" fontId="24" fillId="0" borderId="0" xfId="0" applyNumberFormat="1" applyFont="1" applyAlignment="1">
      <alignment horizontal="left"/>
    </xf>
    <xf numFmtId="0" fontId="10" fillId="0" borderId="0" xfId="0" applyFont="1"/>
    <xf numFmtId="165" fontId="15" fillId="0" borderId="0" xfId="0" applyNumberFormat="1" applyFont="1"/>
    <xf numFmtId="2" fontId="17" fillId="25" borderId="0" xfId="0" applyNumberFormat="1" applyFont="1" applyFill="1"/>
    <xf numFmtId="165" fontId="25" fillId="0" borderId="0" xfId="0" applyNumberFormat="1" applyFont="1" applyAlignment="1">
      <alignment horizontal="right"/>
    </xf>
    <xf numFmtId="2" fontId="17" fillId="26" borderId="0" xfId="0" applyNumberFormat="1" applyFont="1" applyFill="1"/>
    <xf numFmtId="165" fontId="27" fillId="0" borderId="0" xfId="0" applyNumberFormat="1" applyFont="1"/>
    <xf numFmtId="0" fontId="23" fillId="6" borderId="0" xfId="0" applyFont="1" applyFill="1"/>
    <xf numFmtId="165" fontId="28" fillId="0" borderId="0" xfId="0" applyNumberFormat="1" applyFont="1"/>
    <xf numFmtId="167" fontId="17" fillId="0" borderId="0" xfId="0" applyNumberFormat="1" applyFont="1"/>
    <xf numFmtId="166" fontId="29" fillId="0" borderId="0" xfId="0" applyNumberFormat="1" applyFont="1"/>
    <xf numFmtId="0" fontId="29" fillId="0" borderId="0" xfId="0" applyFont="1"/>
    <xf numFmtId="165" fontId="29" fillId="0" borderId="0" xfId="0" applyNumberFormat="1" applyFont="1"/>
    <xf numFmtId="2" fontId="26" fillId="0" borderId="0" xfId="0" applyNumberFormat="1" applyFont="1"/>
    <xf numFmtId="166" fontId="18" fillId="0" borderId="0" xfId="0" applyNumberFormat="1" applyFont="1"/>
    <xf numFmtId="2" fontId="18" fillId="0" borderId="0" xfId="0" applyNumberFormat="1" applyFont="1"/>
    <xf numFmtId="0" fontId="23" fillId="0" borderId="0" xfId="0" applyFont="1" applyAlignment="1">
      <alignment horizontal="center"/>
    </xf>
    <xf numFmtId="0" fontId="31" fillId="0" borderId="0" xfId="0" applyFont="1"/>
    <xf numFmtId="0" fontId="32" fillId="6" borderId="0" xfId="0" applyFont="1" applyFill="1"/>
    <xf numFmtId="0" fontId="10" fillId="0" borderId="0" xfId="0" applyFont="1" applyAlignment="1">
      <alignment horizontal="center"/>
    </xf>
    <xf numFmtId="166" fontId="15" fillId="0" borderId="0" xfId="0" applyNumberFormat="1" applyFont="1"/>
    <xf numFmtId="10" fontId="11" fillId="0" borderId="0" xfId="0" applyNumberFormat="1" applyFont="1"/>
    <xf numFmtId="2" fontId="11" fillId="0" borderId="0" xfId="0" applyNumberFormat="1" applyFont="1"/>
    <xf numFmtId="0" fontId="9" fillId="27" borderId="4" xfId="0" applyFont="1" applyFill="1" applyBorder="1"/>
    <xf numFmtId="0" fontId="9" fillId="28" borderId="4" xfId="0" applyFont="1" applyFill="1" applyBorder="1"/>
    <xf numFmtId="175" fontId="6" fillId="3" borderId="0" xfId="0" applyNumberFormat="1" applyFont="1" applyFill="1"/>
    <xf numFmtId="0" fontId="7" fillId="3" borderId="0" xfId="0" applyFont="1" applyFill="1"/>
    <xf numFmtId="0" fontId="7" fillId="3" borderId="0" xfId="0" applyFont="1" applyFill="1" applyAlignment="1">
      <alignment horizontal="center"/>
    </xf>
    <xf numFmtId="166" fontId="7" fillId="3" borderId="0" xfId="0" applyNumberFormat="1" applyFont="1" applyFill="1"/>
    <xf numFmtId="165" fontId="7" fillId="3" borderId="0" xfId="0" applyNumberFormat="1" applyFont="1" applyFill="1" applyAlignment="1">
      <alignment horizontal="center"/>
    </xf>
    <xf numFmtId="10" fontId="7" fillId="3" borderId="0" xfId="0" applyNumberFormat="1" applyFont="1" applyFill="1"/>
    <xf numFmtId="2" fontId="8" fillId="3" borderId="0" xfId="0" applyNumberFormat="1" applyFont="1" applyFill="1" applyAlignment="1">
      <alignment horizontal="center"/>
    </xf>
    <xf numFmtId="0" fontId="10" fillId="3" borderId="0" xfId="0" applyFont="1" applyFill="1" applyAlignment="1">
      <alignment horizontal="center"/>
    </xf>
    <xf numFmtId="4" fontId="11" fillId="0" borderId="0" xfId="0" applyNumberFormat="1" applyFont="1"/>
    <xf numFmtId="2" fontId="15" fillId="3" borderId="0" xfId="0" applyNumberFormat="1" applyFont="1" applyFill="1" applyAlignment="1">
      <alignment horizontal="center"/>
    </xf>
    <xf numFmtId="0" fontId="15" fillId="3" borderId="0" xfId="0" applyFont="1" applyFill="1" applyAlignment="1">
      <alignment horizontal="center"/>
    </xf>
    <xf numFmtId="165" fontId="11" fillId="0" borderId="0" xfId="0" applyNumberFormat="1" applyFont="1"/>
    <xf numFmtId="0" fontId="33" fillId="0" borderId="0" xfId="0" applyFont="1"/>
    <xf numFmtId="0" fontId="34" fillId="0" borderId="0" xfId="0" applyFont="1"/>
    <xf numFmtId="176" fontId="14" fillId="0" borderId="0" xfId="0" applyNumberFormat="1" applyFont="1" applyAlignment="1">
      <alignment horizontal="center"/>
    </xf>
    <xf numFmtId="0" fontId="35" fillId="0" borderId="0" xfId="0" applyFont="1"/>
    <xf numFmtId="177" fontId="11" fillId="0" borderId="0" xfId="0" applyNumberFormat="1" applyFont="1"/>
    <xf numFmtId="0" fontId="16" fillId="0" borderId="0" xfId="0" applyFont="1"/>
    <xf numFmtId="0" fontId="36" fillId="0" borderId="0" xfId="0" applyFont="1" applyAlignment="1">
      <alignment horizontal="center"/>
    </xf>
    <xf numFmtId="0" fontId="37" fillId="0" borderId="0" xfId="0" applyFont="1" applyAlignment="1">
      <alignment horizontal="center"/>
    </xf>
    <xf numFmtId="0" fontId="38" fillId="0" borderId="0" xfId="0" applyFont="1"/>
    <xf numFmtId="166" fontId="38" fillId="0" borderId="0" xfId="0" applyNumberFormat="1" applyFont="1"/>
    <xf numFmtId="166" fontId="37" fillId="0" borderId="0" xfId="0" applyNumberFormat="1" applyFont="1"/>
    <xf numFmtId="0" fontId="37" fillId="0" borderId="0" xfId="0" applyFont="1"/>
    <xf numFmtId="0" fontId="39" fillId="0" borderId="0" xfId="0" applyFont="1"/>
    <xf numFmtId="165" fontId="7" fillId="3" borderId="0" xfId="0" applyNumberFormat="1" applyFont="1" applyFill="1"/>
    <xf numFmtId="172" fontId="11" fillId="0" borderId="0" xfId="0" applyNumberFormat="1" applyFont="1"/>
    <xf numFmtId="0" fontId="40" fillId="0" borderId="0" xfId="0" applyFont="1"/>
    <xf numFmtId="176" fontId="11" fillId="0" borderId="0" xfId="0" applyNumberFormat="1" applyFont="1" applyAlignment="1">
      <alignment horizontal="center"/>
    </xf>
    <xf numFmtId="165" fontId="11" fillId="29" borderId="0" xfId="0" applyNumberFormat="1" applyFont="1" applyFill="1"/>
    <xf numFmtId="0" fontId="11" fillId="0" borderId="0" xfId="0" applyFont="1" applyAlignment="1">
      <alignment horizontal="left"/>
    </xf>
    <xf numFmtId="167" fontId="7" fillId="0" borderId="0" xfId="0" applyNumberFormat="1" applyFont="1"/>
    <xf numFmtId="18" fontId="7" fillId="0" borderId="0" xfId="0" applyNumberFormat="1" applyFont="1"/>
    <xf numFmtId="0" fontId="7" fillId="0" borderId="0" xfId="0" applyFont="1" applyAlignment="1">
      <alignment horizontal="center"/>
    </xf>
    <xf numFmtId="166" fontId="7" fillId="0" borderId="0" xfId="0" applyNumberFormat="1" applyFont="1"/>
    <xf numFmtId="165" fontId="7" fillId="0" borderId="0" xfId="0" applyNumberFormat="1" applyFont="1" applyAlignment="1">
      <alignment horizontal="center"/>
    </xf>
    <xf numFmtId="0" fontId="6" fillId="30" borderId="0" xfId="0" applyFont="1" applyFill="1"/>
    <xf numFmtId="165" fontId="11" fillId="31" borderId="0" xfId="0" applyNumberFormat="1" applyFont="1" applyFill="1" applyAlignment="1">
      <alignment horizontal="center"/>
    </xf>
    <xf numFmtId="0" fontId="11" fillId="3" borderId="0" xfId="0" applyFont="1" applyFill="1"/>
    <xf numFmtId="165" fontId="11" fillId="21" borderId="0" xfId="0" applyNumberFormat="1" applyFont="1" applyFill="1" applyAlignment="1">
      <alignment horizontal="center"/>
    </xf>
    <xf numFmtId="0" fontId="11" fillId="32" borderId="0" xfId="0" applyFont="1" applyFill="1"/>
    <xf numFmtId="0" fontId="9" fillId="30" borderId="0" xfId="0" applyFont="1" applyFill="1"/>
    <xf numFmtId="0" fontId="41" fillId="0" borderId="0" xfId="0" applyFont="1"/>
    <xf numFmtId="0" fontId="42" fillId="0" borderId="0" xfId="0" applyFont="1"/>
    <xf numFmtId="2" fontId="14" fillId="0" borderId="0" xfId="0" applyNumberFormat="1" applyFont="1" applyAlignment="1">
      <alignment horizontal="center"/>
    </xf>
    <xf numFmtId="0" fontId="43" fillId="0" borderId="0" xfId="0" applyFont="1"/>
    <xf numFmtId="0" fontId="27" fillId="0" borderId="0" xfId="0" applyFont="1" applyAlignment="1">
      <alignment horizontal="center"/>
    </xf>
    <xf numFmtId="0" fontId="41" fillId="30" borderId="0" xfId="0" applyFont="1" applyFill="1"/>
    <xf numFmtId="0" fontId="42" fillId="30" borderId="0" xfId="0" applyFont="1" applyFill="1"/>
    <xf numFmtId="0" fontId="14" fillId="3" borderId="0" xfId="0" applyFont="1" applyFill="1"/>
    <xf numFmtId="0" fontId="11" fillId="3" borderId="0" xfId="0" applyFont="1" applyFill="1" applyAlignment="1">
      <alignment horizontal="center"/>
    </xf>
    <xf numFmtId="166" fontId="14" fillId="3" borderId="0" xfId="0" applyNumberFormat="1" applyFont="1" applyFill="1"/>
    <xf numFmtId="165" fontId="11" fillId="3" borderId="0" xfId="0" applyNumberFormat="1" applyFont="1" applyFill="1" applyAlignment="1">
      <alignment horizontal="center"/>
    </xf>
    <xf numFmtId="166" fontId="11" fillId="3" borderId="0" xfId="0" applyNumberFormat="1" applyFont="1" applyFill="1"/>
    <xf numFmtId="10" fontId="11" fillId="3" borderId="0" xfId="0" applyNumberFormat="1" applyFont="1" applyFill="1"/>
    <xf numFmtId="0" fontId="9" fillId="3" borderId="0" xfId="0" applyFont="1" applyFill="1"/>
    <xf numFmtId="0" fontId="11" fillId="33" borderId="0" xfId="0" applyFont="1" applyFill="1"/>
    <xf numFmtId="0" fontId="9" fillId="25" borderId="0" xfId="0" applyFont="1" applyFill="1"/>
    <xf numFmtId="0" fontId="11" fillId="25" borderId="0" xfId="0" applyFont="1" applyFill="1"/>
    <xf numFmtId="0" fontId="14" fillId="25" borderId="0" xfId="0" applyFont="1" applyFill="1"/>
    <xf numFmtId="0" fontId="11" fillId="25" borderId="0" xfId="0" applyFont="1" applyFill="1" applyAlignment="1">
      <alignment horizontal="center"/>
    </xf>
    <xf numFmtId="166" fontId="14" fillId="25" borderId="0" xfId="0" applyNumberFormat="1" applyFont="1" applyFill="1"/>
    <xf numFmtId="165" fontId="11" fillId="25" borderId="0" xfId="0" applyNumberFormat="1" applyFont="1" applyFill="1" applyAlignment="1">
      <alignment horizontal="center"/>
    </xf>
    <xf numFmtId="166" fontId="11" fillId="25" borderId="0" xfId="0" applyNumberFormat="1" applyFont="1" applyFill="1"/>
    <xf numFmtId="0" fontId="15" fillId="25" borderId="0" xfId="0" applyFont="1" applyFill="1" applyAlignment="1">
      <alignment horizontal="center"/>
    </xf>
    <xf numFmtId="44" fontId="5" fillId="0" borderId="0" xfId="0" applyNumberFormat="1" applyFont="1"/>
    <xf numFmtId="4" fontId="17" fillId="0" borderId="0" xfId="0" applyNumberFormat="1" applyFont="1"/>
    <xf numFmtId="0" fontId="1" fillId="2" borderId="13" xfId="0" applyFont="1" applyFill="1" applyBorder="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166" fontId="6" fillId="3" borderId="0" xfId="0" applyNumberFormat="1" applyFont="1" applyFill="1"/>
    <xf numFmtId="0" fontId="9" fillId="4" borderId="0" xfId="0" applyFont="1" applyFill="1"/>
    <xf numFmtId="0" fontId="9" fillId="5" borderId="0" xfId="0" applyFont="1" applyFill="1"/>
    <xf numFmtId="2" fontId="7" fillId="3" borderId="0" xfId="0" applyNumberFormat="1" applyFont="1" applyFill="1" applyAlignment="1">
      <alignment horizontal="left"/>
    </xf>
    <xf numFmtId="0" fontId="46" fillId="2" borderId="0" xfId="0" applyFont="1" applyFill="1"/>
    <xf numFmtId="0" fontId="47" fillId="2" borderId="0" xfId="0" applyFont="1" applyFill="1"/>
    <xf numFmtId="0" fontId="47" fillId="2" borderId="0" xfId="0" applyFont="1" applyFill="1" applyAlignment="1">
      <alignment horizontal="fill" wrapText="1"/>
    </xf>
    <xf numFmtId="0" fontId="47" fillId="2" borderId="0" xfId="0" applyFont="1" applyFill="1" applyAlignment="1">
      <alignment horizontal="fill"/>
    </xf>
    <xf numFmtId="0" fontId="47" fillId="2" borderId="0" xfId="0" applyFont="1" applyFill="1" applyAlignment="1">
      <alignment horizontal="center"/>
    </xf>
    <xf numFmtId="166" fontId="47" fillId="2" borderId="0" xfId="0" applyNumberFormat="1" applyFont="1" applyFill="1"/>
    <xf numFmtId="165" fontId="47" fillId="2" borderId="0" xfId="0" applyNumberFormat="1" applyFont="1" applyFill="1" applyAlignment="1">
      <alignment horizontal="center"/>
    </xf>
    <xf numFmtId="10" fontId="47" fillId="2" borderId="0" xfId="0" applyNumberFormat="1" applyFont="1" applyFill="1"/>
    <xf numFmtId="2" fontId="48" fillId="2" borderId="0" xfId="0" applyNumberFormat="1" applyFont="1" applyFill="1" applyAlignment="1">
      <alignment horizontal="center"/>
    </xf>
    <xf numFmtId="0" fontId="49" fillId="2" borderId="0" xfId="0" applyFont="1" applyFill="1" applyAlignment="1">
      <alignment horizontal="center"/>
    </xf>
    <xf numFmtId="167" fontId="50" fillId="0" borderId="12" xfId="0" applyNumberFormat="1" applyFont="1" applyBorder="1"/>
    <xf numFmtId="0" fontId="50" fillId="0" borderId="15" xfId="0" applyFont="1" applyBorder="1"/>
    <xf numFmtId="0" fontId="50" fillId="0" borderId="15" xfId="0" applyFont="1" applyBorder="1" applyAlignment="1">
      <alignment horizontal="fill" wrapText="1"/>
    </xf>
    <xf numFmtId="0" fontId="50" fillId="0" borderId="15" xfId="0" applyFont="1" applyBorder="1" applyAlignment="1">
      <alignment horizontal="fill"/>
    </xf>
    <xf numFmtId="0" fontId="50" fillId="0" borderId="15" xfId="0" applyFont="1" applyBorder="1" applyAlignment="1">
      <alignment horizontal="center"/>
    </xf>
    <xf numFmtId="0" fontId="51" fillId="0" borderId="15" xfId="0" applyFont="1" applyBorder="1" applyAlignment="1">
      <alignment horizontal="center"/>
    </xf>
    <xf numFmtId="0" fontId="52" fillId="6" borderId="15" xfId="0" applyFont="1" applyFill="1" applyBorder="1"/>
    <xf numFmtId="0" fontId="53" fillId="0" borderId="15" xfId="0" applyFont="1" applyBorder="1"/>
    <xf numFmtId="166" fontId="53" fillId="0" borderId="15" xfId="0" applyNumberFormat="1" applyFont="1" applyBorder="1"/>
    <xf numFmtId="165" fontId="50" fillId="0" borderId="15" xfId="0" applyNumberFormat="1" applyFont="1" applyBorder="1" applyAlignment="1">
      <alignment horizontal="center"/>
    </xf>
    <xf numFmtId="166" fontId="50" fillId="0" borderId="15" xfId="0" applyNumberFormat="1" applyFont="1" applyBorder="1"/>
    <xf numFmtId="2" fontId="54" fillId="0" borderId="15" xfId="0" applyNumberFormat="1" applyFont="1" applyBorder="1" applyAlignment="1">
      <alignment horizontal="center"/>
    </xf>
    <xf numFmtId="0" fontId="54" fillId="0" borderId="15" xfId="0" applyFont="1" applyBorder="1" applyAlignment="1">
      <alignment horizontal="center"/>
    </xf>
    <xf numFmtId="167" fontId="50" fillId="7" borderId="16" xfId="0" applyNumberFormat="1" applyFont="1" applyFill="1" applyBorder="1"/>
    <xf numFmtId="0" fontId="50" fillId="7" borderId="7" xfId="0" applyFont="1" applyFill="1" applyBorder="1"/>
    <xf numFmtId="0" fontId="50" fillId="7" borderId="7" xfId="0" applyFont="1" applyFill="1" applyBorder="1" applyAlignment="1">
      <alignment horizontal="fill" wrapText="1"/>
    </xf>
    <xf numFmtId="0" fontId="50" fillId="7" borderId="7" xfId="0" applyFont="1" applyFill="1" applyBorder="1" applyAlignment="1">
      <alignment horizontal="fill"/>
    </xf>
    <xf numFmtId="0" fontId="50" fillId="7" borderId="7" xfId="0" applyFont="1" applyFill="1" applyBorder="1" applyAlignment="1">
      <alignment horizontal="center"/>
    </xf>
    <xf numFmtId="0" fontId="50" fillId="0" borderId="7" xfId="0" applyFont="1" applyBorder="1"/>
    <xf numFmtId="0" fontId="50" fillId="0" borderId="7" xfId="0" applyFont="1" applyBorder="1" applyAlignment="1">
      <alignment horizontal="center"/>
    </xf>
    <xf numFmtId="0" fontId="52" fillId="6" borderId="7" xfId="0" applyFont="1" applyFill="1" applyBorder="1"/>
    <xf numFmtId="0" fontId="53" fillId="0" borderId="7" xfId="0" applyFont="1" applyBorder="1"/>
    <xf numFmtId="166" fontId="53" fillId="0" borderId="7" xfId="0" applyNumberFormat="1" applyFont="1" applyBorder="1"/>
    <xf numFmtId="165" fontId="50" fillId="0" borderId="7" xfId="0" applyNumberFormat="1" applyFont="1" applyBorder="1" applyAlignment="1">
      <alignment horizontal="center"/>
    </xf>
    <xf numFmtId="168" fontId="50" fillId="0" borderId="7" xfId="0" applyNumberFormat="1" applyFont="1" applyBorder="1"/>
    <xf numFmtId="166" fontId="50" fillId="0" borderId="7" xfId="0" applyNumberFormat="1" applyFont="1" applyBorder="1"/>
    <xf numFmtId="2" fontId="54" fillId="0" borderId="7" xfId="0" applyNumberFormat="1" applyFont="1" applyBorder="1" applyAlignment="1">
      <alignment horizontal="center"/>
    </xf>
    <xf numFmtId="0" fontId="54" fillId="0" borderId="7" xfId="0" applyFont="1" applyBorder="1" applyAlignment="1">
      <alignment horizontal="center"/>
    </xf>
    <xf numFmtId="169" fontId="50" fillId="0" borderId="7" xfId="0" applyNumberFormat="1" applyFont="1" applyBorder="1"/>
    <xf numFmtId="0" fontId="49" fillId="7" borderId="7" xfId="0" applyFont="1" applyFill="1" applyBorder="1" applyAlignment="1">
      <alignment horizontal="fill" wrapText="1"/>
    </xf>
    <xf numFmtId="18" fontId="50" fillId="7" borderId="7" xfId="0" applyNumberFormat="1" applyFont="1" applyFill="1" applyBorder="1"/>
    <xf numFmtId="170" fontId="50" fillId="0" borderId="7" xfId="0" applyNumberFormat="1" applyFont="1" applyBorder="1"/>
    <xf numFmtId="0" fontId="56" fillId="6" borderId="7" xfId="0" applyFont="1" applyFill="1" applyBorder="1"/>
    <xf numFmtId="0" fontId="49" fillId="0" borderId="7" xfId="0" applyFont="1" applyBorder="1"/>
    <xf numFmtId="0" fontId="50" fillId="7" borderId="7" xfId="0" applyFont="1" applyFill="1" applyBorder="1" applyAlignment="1">
      <alignment horizontal="left"/>
    </xf>
    <xf numFmtId="0" fontId="50" fillId="8" borderId="7" xfId="0" applyFont="1" applyFill="1" applyBorder="1" applyAlignment="1">
      <alignment horizontal="center"/>
    </xf>
    <xf numFmtId="0" fontId="50" fillId="0" borderId="7" xfId="0" applyFont="1" applyBorder="1" applyAlignment="1">
      <alignment horizontal="fill"/>
    </xf>
    <xf numFmtId="167" fontId="50" fillId="7" borderId="10" xfId="0" applyNumberFormat="1" applyFont="1" applyFill="1" applyBorder="1"/>
    <xf numFmtId="0" fontId="50" fillId="7" borderId="18" xfId="0" applyFont="1" applyFill="1" applyBorder="1"/>
    <xf numFmtId="0" fontId="50" fillId="7" borderId="18" xfId="0" applyFont="1" applyFill="1" applyBorder="1" applyAlignment="1">
      <alignment horizontal="fill" wrapText="1"/>
    </xf>
    <xf numFmtId="0" fontId="50" fillId="7" borderId="18" xfId="0" applyFont="1" applyFill="1" applyBorder="1" applyAlignment="1">
      <alignment horizontal="fill"/>
    </xf>
    <xf numFmtId="0" fontId="50" fillId="7" borderId="18" xfId="0" applyFont="1" applyFill="1" applyBorder="1" applyAlignment="1">
      <alignment horizontal="center"/>
    </xf>
    <xf numFmtId="0" fontId="50" fillId="0" borderId="18" xfId="0" applyFont="1" applyBorder="1"/>
    <xf numFmtId="0" fontId="50" fillId="0" borderId="18" xfId="0" applyFont="1" applyBorder="1" applyAlignment="1">
      <alignment horizontal="center"/>
    </xf>
    <xf numFmtId="0" fontId="52" fillId="6" borderId="18" xfId="0" applyFont="1" applyFill="1" applyBorder="1"/>
    <xf numFmtId="0" fontId="53" fillId="0" borderId="18" xfId="0" applyFont="1" applyBorder="1"/>
    <xf numFmtId="166" fontId="53" fillId="0" borderId="18" xfId="0" applyNumberFormat="1" applyFont="1" applyBorder="1"/>
    <xf numFmtId="165" fontId="50" fillId="0" borderId="18" xfId="0" applyNumberFormat="1" applyFont="1" applyBorder="1" applyAlignment="1">
      <alignment horizontal="center"/>
    </xf>
    <xf numFmtId="166" fontId="50" fillId="0" borderId="18" xfId="0" applyNumberFormat="1" applyFont="1" applyBorder="1"/>
    <xf numFmtId="2" fontId="54" fillId="0" borderId="18" xfId="0" applyNumberFormat="1" applyFont="1" applyBorder="1" applyAlignment="1">
      <alignment horizontal="center"/>
    </xf>
    <xf numFmtId="0" fontId="54" fillId="0" borderId="18" xfId="0" applyFont="1" applyBorder="1" applyAlignment="1">
      <alignment horizontal="center"/>
    </xf>
    <xf numFmtId="0" fontId="58" fillId="9" borderId="18" xfId="0" applyFont="1" applyFill="1" applyBorder="1"/>
    <xf numFmtId="0" fontId="50" fillId="2" borderId="0" xfId="0" applyFont="1" applyFill="1"/>
    <xf numFmtId="0" fontId="50" fillId="2" borderId="0" xfId="0" applyFont="1" applyFill="1" applyAlignment="1">
      <alignment horizontal="fill" wrapText="1"/>
    </xf>
    <xf numFmtId="0" fontId="50" fillId="2" borderId="0" xfId="0" applyFont="1" applyFill="1" applyAlignment="1">
      <alignment horizontal="fill"/>
    </xf>
    <xf numFmtId="0" fontId="50" fillId="2" borderId="0" xfId="0" applyFont="1" applyFill="1" applyAlignment="1">
      <alignment horizontal="center"/>
    </xf>
    <xf numFmtId="0" fontId="53" fillId="2" borderId="0" xfId="0" applyFont="1" applyFill="1"/>
    <xf numFmtId="166" fontId="53" fillId="2" borderId="0" xfId="0" applyNumberFormat="1" applyFont="1" applyFill="1"/>
    <xf numFmtId="165" fontId="50" fillId="2" borderId="0" xfId="0" applyNumberFormat="1" applyFont="1" applyFill="1" applyAlignment="1">
      <alignment horizontal="center"/>
    </xf>
    <xf numFmtId="166" fontId="50" fillId="2" borderId="0" xfId="0" applyNumberFormat="1" applyFont="1" applyFill="1"/>
    <xf numFmtId="0" fontId="54" fillId="2" borderId="0" xfId="0" applyFont="1" applyFill="1" applyAlignment="1">
      <alignment horizontal="center"/>
    </xf>
    <xf numFmtId="167" fontId="50" fillId="7" borderId="12" xfId="0" applyNumberFormat="1" applyFont="1" applyFill="1" applyBorder="1"/>
    <xf numFmtId="18" fontId="50" fillId="7" borderId="15" xfId="0" applyNumberFormat="1" applyFont="1" applyFill="1" applyBorder="1"/>
    <xf numFmtId="0" fontId="50" fillId="7" borderId="15" xfId="0" applyFont="1" applyFill="1" applyBorder="1"/>
    <xf numFmtId="0" fontId="53" fillId="7" borderId="15" xfId="0" applyFont="1" applyFill="1" applyBorder="1" applyAlignment="1">
      <alignment horizontal="fill" wrapText="1"/>
    </xf>
    <xf numFmtId="0" fontId="50" fillId="7" borderId="15" xfId="0" applyFont="1" applyFill="1" applyBorder="1" applyAlignment="1">
      <alignment horizontal="fill"/>
    </xf>
    <xf numFmtId="0" fontId="50" fillId="7" borderId="15" xfId="0" applyFont="1" applyFill="1" applyBorder="1" applyAlignment="1">
      <alignment horizontal="center"/>
    </xf>
    <xf numFmtId="0" fontId="53" fillId="7" borderId="7" xfId="0" applyFont="1" applyFill="1" applyBorder="1" applyAlignment="1">
      <alignment horizontal="fill" wrapText="1"/>
    </xf>
    <xf numFmtId="171" fontId="50" fillId="0" borderId="7" xfId="0" applyNumberFormat="1" applyFont="1" applyBorder="1"/>
    <xf numFmtId="18" fontId="50" fillId="0" borderId="7" xfId="0" applyNumberFormat="1" applyFont="1" applyBorder="1"/>
    <xf numFmtId="172" fontId="50" fillId="7" borderId="16" xfId="0" applyNumberFormat="1" applyFont="1" applyFill="1" applyBorder="1"/>
    <xf numFmtId="0" fontId="53" fillId="0" borderId="7" xfId="0" applyFont="1" applyBorder="1" applyAlignment="1">
      <alignment horizontal="center"/>
    </xf>
    <xf numFmtId="167" fontId="56" fillId="7" borderId="16" xfId="0" applyNumberFormat="1" applyFont="1" applyFill="1" applyBorder="1"/>
    <xf numFmtId="0" fontId="56" fillId="7" borderId="7" xfId="0" applyFont="1" applyFill="1" applyBorder="1"/>
    <xf numFmtId="0" fontId="53" fillId="7" borderId="7" xfId="0" applyFont="1" applyFill="1" applyBorder="1" applyAlignment="1">
      <alignment horizontal="fill"/>
    </xf>
    <xf numFmtId="18" fontId="50" fillId="7" borderId="16" xfId="0" applyNumberFormat="1" applyFont="1" applyFill="1" applyBorder="1"/>
    <xf numFmtId="0" fontId="50" fillId="10" borderId="7" xfId="0" applyFont="1" applyFill="1" applyBorder="1" applyAlignment="1">
      <alignment horizontal="left"/>
    </xf>
    <xf numFmtId="0" fontId="53" fillId="10" borderId="7" xfId="0" applyFont="1" applyFill="1" applyBorder="1" applyAlignment="1">
      <alignment horizontal="left"/>
    </xf>
    <xf numFmtId="0" fontId="53" fillId="8" borderId="7" xfId="0" applyFont="1" applyFill="1" applyBorder="1" applyAlignment="1">
      <alignment horizontal="center"/>
    </xf>
    <xf numFmtId="173" fontId="50" fillId="0" borderId="7" xfId="0" applyNumberFormat="1" applyFont="1" applyBorder="1"/>
    <xf numFmtId="0" fontId="50" fillId="11" borderId="7" xfId="0" applyFont="1" applyFill="1" applyBorder="1" applyAlignment="1">
      <alignment horizontal="center"/>
    </xf>
    <xf numFmtId="0" fontId="50" fillId="12" borderId="7" xfId="0" applyFont="1" applyFill="1" applyBorder="1" applyAlignment="1">
      <alignment horizontal="center"/>
    </xf>
    <xf numFmtId="167" fontId="50" fillId="13" borderId="16" xfId="0" applyNumberFormat="1" applyFont="1" applyFill="1" applyBorder="1"/>
    <xf numFmtId="0" fontId="50" fillId="13" borderId="7" xfId="0" applyFont="1" applyFill="1" applyBorder="1"/>
    <xf numFmtId="0" fontId="53" fillId="13" borderId="7" xfId="0" applyFont="1" applyFill="1" applyBorder="1" applyAlignment="1">
      <alignment horizontal="fill" wrapText="1"/>
    </xf>
    <xf numFmtId="0" fontId="50" fillId="14" borderId="7" xfId="0" applyFont="1" applyFill="1" applyBorder="1"/>
    <xf numFmtId="174" fontId="50" fillId="0" borderId="7" xfId="0" applyNumberFormat="1" applyFont="1" applyBorder="1"/>
    <xf numFmtId="0" fontId="50" fillId="15" borderId="7" xfId="0" applyFont="1" applyFill="1" applyBorder="1" applyAlignment="1">
      <alignment horizontal="center"/>
    </xf>
    <xf numFmtId="0" fontId="53" fillId="7" borderId="18" xfId="0" applyFont="1" applyFill="1" applyBorder="1" applyAlignment="1">
      <alignment horizontal="fill" wrapText="1"/>
    </xf>
    <xf numFmtId="0" fontId="50" fillId="16" borderId="7" xfId="0" applyFont="1" applyFill="1" applyBorder="1" applyAlignment="1">
      <alignment horizontal="center"/>
    </xf>
    <xf numFmtId="0" fontId="59" fillId="17" borderId="7" xfId="0" applyFont="1" applyFill="1" applyBorder="1"/>
    <xf numFmtId="0" fontId="50" fillId="18" borderId="7" xfId="0" applyFont="1" applyFill="1" applyBorder="1" applyAlignment="1">
      <alignment horizontal="center"/>
    </xf>
    <xf numFmtId="0" fontId="59" fillId="17" borderId="7" xfId="0" applyFont="1" applyFill="1" applyBorder="1" applyAlignment="1">
      <alignment horizontal="fill" wrapText="1"/>
    </xf>
    <xf numFmtId="0" fontId="60" fillId="2" borderId="0" xfId="0" applyFont="1" applyFill="1"/>
    <xf numFmtId="0" fontId="54" fillId="0" borderId="19" xfId="0" applyFont="1" applyBorder="1"/>
    <xf numFmtId="0" fontId="50" fillId="0" borderId="20" xfId="0" applyFont="1" applyBorder="1"/>
    <xf numFmtId="0" fontId="50" fillId="0" borderId="20" xfId="0" applyFont="1" applyBorder="1" applyAlignment="1">
      <alignment horizontal="fill" wrapText="1"/>
    </xf>
    <xf numFmtId="0" fontId="50" fillId="0" borderId="20" xfId="0" applyFont="1" applyBorder="1" applyAlignment="1">
      <alignment horizontal="fill"/>
    </xf>
    <xf numFmtId="0" fontId="50" fillId="0" borderId="20" xfId="0" applyFont="1" applyBorder="1" applyAlignment="1">
      <alignment horizontal="center"/>
    </xf>
    <xf numFmtId="0" fontId="52" fillId="6" borderId="20" xfId="0" applyFont="1" applyFill="1" applyBorder="1"/>
    <xf numFmtId="0" fontId="53" fillId="0" borderId="20" xfId="0" applyFont="1" applyBorder="1"/>
    <xf numFmtId="166" fontId="53" fillId="0" borderId="20" xfId="0" applyNumberFormat="1" applyFont="1" applyBorder="1"/>
    <xf numFmtId="165" fontId="50" fillId="0" borderId="20" xfId="0" applyNumberFormat="1" applyFont="1" applyBorder="1" applyAlignment="1">
      <alignment horizontal="center"/>
    </xf>
    <xf numFmtId="166" fontId="50" fillId="0" borderId="20" xfId="0" applyNumberFormat="1" applyFont="1" applyBorder="1"/>
    <xf numFmtId="2" fontId="54" fillId="0" borderId="20" xfId="0" applyNumberFormat="1" applyFont="1" applyBorder="1" applyAlignment="1">
      <alignment horizontal="center"/>
    </xf>
    <xf numFmtId="0" fontId="54" fillId="0" borderId="20" xfId="0" applyFont="1" applyBorder="1" applyAlignment="1">
      <alignment horizontal="center"/>
    </xf>
    <xf numFmtId="0" fontId="50" fillId="19" borderId="7" xfId="0" applyFont="1" applyFill="1" applyBorder="1" applyAlignment="1">
      <alignment horizontal="center"/>
    </xf>
    <xf numFmtId="0" fontId="50" fillId="20" borderId="7" xfId="0" applyFont="1" applyFill="1" applyBorder="1" applyAlignment="1">
      <alignment horizontal="center"/>
    </xf>
    <xf numFmtId="0" fontId="50" fillId="21" borderId="7" xfId="0" applyFont="1" applyFill="1" applyBorder="1" applyAlignment="1">
      <alignment horizontal="center"/>
    </xf>
    <xf numFmtId="0" fontId="50" fillId="10" borderId="7" xfId="0" applyFont="1" applyFill="1" applyBorder="1" applyAlignment="1">
      <alignment horizontal="center"/>
    </xf>
    <xf numFmtId="0" fontId="50" fillId="22" borderId="7" xfId="0" applyFont="1" applyFill="1" applyBorder="1" applyAlignment="1">
      <alignment horizontal="center"/>
    </xf>
    <xf numFmtId="0" fontId="50" fillId="7" borderId="16" xfId="0" applyFont="1" applyFill="1" applyBorder="1"/>
    <xf numFmtId="0" fontId="50" fillId="23" borderId="7" xfId="0" applyFont="1" applyFill="1" applyBorder="1" applyAlignment="1">
      <alignment horizontal="center"/>
    </xf>
    <xf numFmtId="0" fontId="51" fillId="0" borderId="7" xfId="0" applyFont="1" applyBorder="1" applyAlignment="1">
      <alignment horizontal="center"/>
    </xf>
    <xf numFmtId="0" fontId="50" fillId="24" borderId="7" xfId="0" applyFont="1" applyFill="1" applyBorder="1" applyAlignment="1">
      <alignment horizontal="center"/>
    </xf>
    <xf numFmtId="0" fontId="56" fillId="6" borderId="7" xfId="0" applyFont="1" applyFill="1" applyBorder="1" applyAlignment="1">
      <alignment horizontal="fill"/>
    </xf>
    <xf numFmtId="0" fontId="58" fillId="9" borderId="7" xfId="0" applyFont="1" applyFill="1" applyBorder="1"/>
    <xf numFmtId="0" fontId="62" fillId="2" borderId="0" xfId="0" applyFont="1" applyFill="1"/>
    <xf numFmtId="0" fontId="58" fillId="9" borderId="15" xfId="0" applyFont="1" applyFill="1" applyBorder="1"/>
    <xf numFmtId="0" fontId="50" fillId="6" borderId="7" xfId="0" applyFont="1" applyFill="1" applyBorder="1" applyAlignment="1">
      <alignment horizontal="center"/>
    </xf>
    <xf numFmtId="165" fontId="29" fillId="0" borderId="7" xfId="0" applyNumberFormat="1" applyFont="1" applyBorder="1"/>
    <xf numFmtId="165" fontId="30" fillId="6" borderId="7" xfId="0" applyNumberFormat="1" applyFont="1" applyFill="1" applyBorder="1"/>
    <xf numFmtId="10" fontId="17" fillId="0" borderId="7" xfId="0" applyNumberFormat="1" applyFont="1" applyBorder="1"/>
    <xf numFmtId="0" fontId="50" fillId="34" borderId="7" xfId="0" applyFont="1" applyFill="1" applyBorder="1" applyAlignment="1">
      <alignment horizontal="center"/>
    </xf>
    <xf numFmtId="0" fontId="53" fillId="2" borderId="21" xfId="0" applyFont="1" applyFill="1" applyBorder="1"/>
    <xf numFmtId="0" fontId="50" fillId="35" borderId="7" xfId="0" applyFont="1" applyFill="1" applyBorder="1" applyAlignment="1">
      <alignment horizontal="center"/>
    </xf>
    <xf numFmtId="0" fontId="50" fillId="36" borderId="7" xfId="0" applyFont="1" applyFill="1" applyBorder="1" applyAlignment="1">
      <alignment horizontal="center"/>
    </xf>
    <xf numFmtId="0" fontId="50" fillId="37" borderId="7" xfId="0" applyFont="1" applyFill="1" applyBorder="1" applyAlignment="1">
      <alignment horizontal="center"/>
    </xf>
    <xf numFmtId="0" fontId="50" fillId="38" borderId="7" xfId="0" applyFont="1" applyFill="1" applyBorder="1" applyAlignment="1">
      <alignment horizontal="center"/>
    </xf>
    <xf numFmtId="0" fontId="50" fillId="39" borderId="7" xfId="0" applyFont="1" applyFill="1" applyBorder="1" applyAlignment="1">
      <alignment horizontal="center"/>
    </xf>
    <xf numFmtId="0" fontId="53" fillId="7" borderId="7" xfId="0" applyFont="1" applyFill="1" applyBorder="1"/>
    <xf numFmtId="0" fontId="50" fillId="40" borderId="7" xfId="0" applyFont="1" applyFill="1" applyBorder="1" applyAlignment="1">
      <alignment horizontal="center"/>
    </xf>
    <xf numFmtId="15" fontId="50" fillId="0" borderId="7" xfId="0" applyNumberFormat="1" applyFont="1" applyBorder="1"/>
    <xf numFmtId="0" fontId="50" fillId="41" borderId="7" xfId="0" applyFont="1" applyFill="1" applyBorder="1" applyAlignment="1">
      <alignment horizontal="center"/>
    </xf>
    <xf numFmtId="0" fontId="50" fillId="42" borderId="7" xfId="0" applyFont="1" applyFill="1" applyBorder="1" applyAlignment="1">
      <alignment horizontal="center"/>
    </xf>
    <xf numFmtId="0" fontId="50" fillId="43" borderId="7" xfId="0" applyFont="1" applyFill="1" applyBorder="1" applyAlignment="1">
      <alignment horizontal="center"/>
    </xf>
    <xf numFmtId="0" fontId="53" fillId="7" borderId="7" xfId="1" applyFont="1" applyFill="1" applyBorder="1" applyAlignment="1">
      <alignment horizontal="fill" wrapText="1"/>
    </xf>
    <xf numFmtId="0" fontId="65" fillId="7" borderId="7" xfId="0" applyFont="1" applyFill="1" applyBorder="1" applyAlignment="1">
      <alignment horizontal="fill" wrapText="1"/>
    </xf>
    <xf numFmtId="0" fontId="66" fillId="7" borderId="7" xfId="1" applyFont="1" applyFill="1" applyBorder="1" applyAlignment="1">
      <alignment horizontal="fill" wrapText="1"/>
    </xf>
    <xf numFmtId="0" fontId="65" fillId="7" borderId="7" xfId="1" applyFont="1" applyFill="1" applyBorder="1" applyAlignment="1">
      <alignment horizontal="fill" wrapText="1"/>
    </xf>
    <xf numFmtId="0" fontId="50" fillId="44" borderId="7" xfId="0" applyFont="1" applyFill="1" applyBorder="1" applyAlignment="1">
      <alignment horizontal="center"/>
    </xf>
    <xf numFmtId="0" fontId="50" fillId="45" borderId="7" xfId="0" applyFont="1" applyFill="1" applyBorder="1" applyAlignment="1">
      <alignment horizontal="center"/>
    </xf>
    <xf numFmtId="0" fontId="50" fillId="46" borderId="7" xfId="0" applyFont="1" applyFill="1" applyBorder="1" applyAlignment="1">
      <alignment horizontal="center"/>
    </xf>
    <xf numFmtId="0" fontId="58" fillId="47" borderId="18" xfId="0" applyFont="1" applyFill="1" applyBorder="1"/>
    <xf numFmtId="0" fontId="50" fillId="7" borderId="7" xfId="1" applyFont="1" applyFill="1" applyBorder="1" applyAlignment="1">
      <alignment horizontal="fill"/>
    </xf>
    <xf numFmtId="0" fontId="50" fillId="48" borderId="7" xfId="0" applyFont="1" applyFill="1" applyBorder="1" applyAlignment="1">
      <alignment horizontal="center"/>
    </xf>
    <xf numFmtId="16" fontId="50" fillId="0" borderId="7" xfId="0" applyNumberFormat="1" applyFont="1" applyBorder="1"/>
    <xf numFmtId="0" fontId="50" fillId="49" borderId="7" xfId="0" applyFont="1" applyFill="1" applyBorder="1" applyAlignment="1">
      <alignment horizontal="center"/>
    </xf>
    <xf numFmtId="165" fontId="0" fillId="0" borderId="0" xfId="0" applyNumberFormat="1"/>
    <xf numFmtId="0" fontId="67" fillId="0" borderId="0" xfId="0" applyFont="1"/>
    <xf numFmtId="0" fontId="68" fillId="0" borderId="0" xfId="0" applyFont="1" applyAlignment="1">
      <alignment horizontal="center"/>
    </xf>
    <xf numFmtId="0" fontId="71" fillId="0" borderId="0" xfId="0" applyFont="1"/>
    <xf numFmtId="9" fontId="72" fillId="0" borderId="0" xfId="0" quotePrefix="1" applyNumberFormat="1" applyFont="1" applyAlignment="1">
      <alignment horizontal="center"/>
    </xf>
    <xf numFmtId="0" fontId="70" fillId="51" borderId="0" xfId="0" applyFont="1" applyFill="1" applyAlignment="1">
      <alignment horizontal="center" vertical="center"/>
    </xf>
    <xf numFmtId="0" fontId="70" fillId="52" borderId="0" xfId="0" applyFont="1" applyFill="1" applyAlignment="1">
      <alignment horizontal="center" vertical="center"/>
    </xf>
    <xf numFmtId="179" fontId="72" fillId="0" borderId="0" xfId="0" quotePrefix="1" applyNumberFormat="1" applyFont="1" applyAlignment="1">
      <alignment horizontal="center"/>
    </xf>
    <xf numFmtId="0" fontId="56" fillId="0" borderId="0" xfId="0" applyFont="1"/>
    <xf numFmtId="0" fontId="76" fillId="0" borderId="0" xfId="0" applyFont="1"/>
    <xf numFmtId="165" fontId="77" fillId="2" borderId="14" xfId="1" applyNumberFormat="1" applyFont="1" applyFill="1" applyBorder="1" applyAlignment="1">
      <alignment horizontal="right" vertical="center"/>
    </xf>
    <xf numFmtId="0" fontId="56" fillId="38" borderId="0" xfId="0" applyFont="1" applyFill="1" applyAlignment="1">
      <alignment horizontal="center"/>
    </xf>
    <xf numFmtId="0" fontId="56" fillId="0" borderId="0" xfId="0" applyFont="1" applyAlignment="1">
      <alignment horizontal="center"/>
    </xf>
    <xf numFmtId="0" fontId="56" fillId="53" borderId="0" xfId="0" applyFont="1" applyFill="1" applyAlignment="1">
      <alignment horizontal="center"/>
    </xf>
    <xf numFmtId="165" fontId="56" fillId="0" borderId="0" xfId="0" applyNumberFormat="1" applyFont="1"/>
    <xf numFmtId="0" fontId="56" fillId="54" borderId="0" xfId="0" applyFont="1" applyFill="1"/>
    <xf numFmtId="0" fontId="56" fillId="0" borderId="0" xfId="0" applyFont="1" applyAlignment="1">
      <alignment horizontal="center" vertical="center"/>
    </xf>
    <xf numFmtId="0" fontId="76" fillId="0" borderId="0" xfId="0" quotePrefix="1" applyFont="1" applyAlignment="1">
      <alignment horizontal="center" vertical="center"/>
    </xf>
    <xf numFmtId="179" fontId="56" fillId="0" borderId="0" xfId="0" applyNumberFormat="1" applyFont="1" applyAlignment="1">
      <alignment horizontal="center" vertical="center"/>
    </xf>
    <xf numFmtId="179" fontId="76" fillId="0" borderId="0" xfId="0" quotePrefix="1" applyNumberFormat="1" applyFont="1" applyAlignment="1">
      <alignment horizontal="center"/>
    </xf>
    <xf numFmtId="179" fontId="76" fillId="0" borderId="0" xfId="0" quotePrefix="1" applyNumberFormat="1" applyFont="1" applyAlignment="1">
      <alignment horizontal="center" vertical="center"/>
    </xf>
    <xf numFmtId="165" fontId="17" fillId="0" borderId="0" xfId="0" applyNumberFormat="1" applyFont="1"/>
    <xf numFmtId="0" fontId="56" fillId="0" borderId="0" xfId="0" applyFont="1" applyAlignment="1">
      <alignment horizontal="right"/>
    </xf>
    <xf numFmtId="178" fontId="56" fillId="0" borderId="0" xfId="0" applyNumberFormat="1" applyFont="1" applyAlignment="1">
      <alignment horizontal="center"/>
    </xf>
    <xf numFmtId="178" fontId="56" fillId="0" borderId="0" xfId="0" applyNumberFormat="1" applyFont="1" applyAlignment="1">
      <alignment vertical="center"/>
    </xf>
    <xf numFmtId="0" fontId="79" fillId="0" borderId="0" xfId="0" applyFont="1"/>
    <xf numFmtId="0" fontId="82" fillId="3" borderId="4" xfId="0" applyFont="1" applyFill="1" applyBorder="1" applyAlignment="1">
      <alignment horizontal="center"/>
    </xf>
    <xf numFmtId="0" fontId="83" fillId="0" borderId="0" xfId="0" applyFont="1"/>
    <xf numFmtId="0" fontId="84" fillId="3" borderId="4" xfId="1" applyFont="1" applyFill="1" applyBorder="1" applyAlignment="1">
      <alignment horizontal="right" vertical="center"/>
    </xf>
    <xf numFmtId="0" fontId="50" fillId="38" borderId="18" xfId="0" applyFont="1" applyFill="1" applyBorder="1" applyAlignment="1">
      <alignment horizontal="center"/>
    </xf>
    <xf numFmtId="165" fontId="78" fillId="0" borderId="0" xfId="0" quotePrefix="1" applyNumberFormat="1" applyFont="1" applyAlignment="1">
      <alignment horizontal="center"/>
    </xf>
    <xf numFmtId="0" fontId="50" fillId="42" borderId="18" xfId="0" applyFont="1" applyFill="1" applyBorder="1" applyAlignment="1">
      <alignment horizontal="center"/>
    </xf>
    <xf numFmtId="0" fontId="50" fillId="43" borderId="18" xfId="0" applyFont="1" applyFill="1" applyBorder="1" applyAlignment="1">
      <alignment horizontal="center"/>
    </xf>
    <xf numFmtId="0" fontId="85" fillId="0" borderId="0" xfId="0" applyFont="1"/>
    <xf numFmtId="0" fontId="86" fillId="50" borderId="22" xfId="0" applyFont="1" applyFill="1" applyBorder="1" applyAlignment="1">
      <alignment horizontal="center"/>
    </xf>
    <xf numFmtId="0" fontId="86" fillId="50" borderId="23" xfId="0" applyFont="1" applyFill="1" applyBorder="1" applyAlignment="1">
      <alignment horizontal="center"/>
    </xf>
    <xf numFmtId="0" fontId="86" fillId="50" borderId="24" xfId="0" applyFont="1" applyFill="1" applyBorder="1" applyAlignment="1">
      <alignment horizontal="center"/>
    </xf>
    <xf numFmtId="0" fontId="86" fillId="50" borderId="25" xfId="0" applyFont="1" applyFill="1" applyBorder="1" applyAlignment="1">
      <alignment horizontal="center"/>
    </xf>
    <xf numFmtId="0" fontId="87" fillId="50" borderId="23" xfId="0" applyFont="1" applyFill="1" applyBorder="1" applyAlignment="1">
      <alignment horizontal="center"/>
    </xf>
    <xf numFmtId="0" fontId="87" fillId="50" borderId="23" xfId="0" applyFont="1" applyFill="1" applyBorder="1"/>
    <xf numFmtId="0" fontId="47" fillId="2" borderId="0" xfId="0" applyFont="1" applyFill="1" applyAlignment="1">
      <alignment vertical="top"/>
    </xf>
    <xf numFmtId="0" fontId="50" fillId="0" borderId="15" xfId="0" applyFont="1" applyBorder="1" applyAlignment="1">
      <alignment vertical="top"/>
    </xf>
    <xf numFmtId="0" fontId="50" fillId="0" borderId="7" xfId="0" applyFont="1" applyBorder="1" applyAlignment="1">
      <alignment vertical="top"/>
    </xf>
    <xf numFmtId="0" fontId="53" fillId="0" borderId="7" xfId="0" applyFont="1" applyBorder="1" applyAlignment="1">
      <alignment vertical="top"/>
    </xf>
    <xf numFmtId="0" fontId="55" fillId="0" borderId="7" xfId="0" applyFont="1" applyBorder="1" applyAlignment="1">
      <alignment vertical="top"/>
    </xf>
    <xf numFmtId="0" fontId="50" fillId="0" borderId="18" xfId="0" applyFont="1" applyBorder="1" applyAlignment="1">
      <alignment vertical="top"/>
    </xf>
    <xf numFmtId="0" fontId="50" fillId="2" borderId="0" xfId="0" applyFont="1" applyFill="1" applyAlignment="1">
      <alignment vertical="top"/>
    </xf>
    <xf numFmtId="0" fontId="58" fillId="9" borderId="18" xfId="0" applyFont="1" applyFill="1" applyBorder="1" applyAlignment="1">
      <alignment vertical="top"/>
    </xf>
    <xf numFmtId="0" fontId="50" fillId="0" borderId="20" xfId="0" applyFont="1" applyBorder="1" applyAlignment="1">
      <alignment vertical="top"/>
    </xf>
    <xf numFmtId="0" fontId="58" fillId="47" borderId="18" xfId="0" applyFont="1" applyFill="1" applyBorder="1" applyAlignment="1">
      <alignment vertical="top"/>
    </xf>
    <xf numFmtId="0" fontId="56" fillId="6" borderId="7" xfId="0" applyFont="1" applyFill="1" applyBorder="1" applyAlignment="1">
      <alignment vertical="top"/>
    </xf>
    <xf numFmtId="0" fontId="52" fillId="6" borderId="7" xfId="0" applyFont="1" applyFill="1" applyBorder="1" applyAlignment="1">
      <alignment vertical="top"/>
    </xf>
    <xf numFmtId="0" fontId="57" fillId="6" borderId="7" xfId="0" applyFont="1" applyFill="1" applyBorder="1" applyAlignment="1">
      <alignment vertical="top"/>
    </xf>
    <xf numFmtId="0" fontId="50" fillId="0" borderId="11" xfId="0" applyFont="1" applyBorder="1" applyAlignment="1">
      <alignment vertical="top"/>
    </xf>
    <xf numFmtId="0" fontId="50" fillId="0" borderId="17" xfId="0" applyFont="1" applyBorder="1" applyAlignment="1">
      <alignment vertical="top"/>
    </xf>
    <xf numFmtId="0" fontId="50" fillId="0" borderId="9" xfId="0" applyFont="1" applyBorder="1" applyAlignment="1">
      <alignment vertical="top"/>
    </xf>
    <xf numFmtId="0" fontId="50" fillId="0" borderId="8" xfId="0" applyFont="1" applyBorder="1" applyAlignment="1">
      <alignment vertical="top"/>
    </xf>
    <xf numFmtId="0" fontId="53" fillId="0" borderId="18" xfId="0" applyFont="1" applyBorder="1" applyAlignment="1">
      <alignment vertical="top"/>
    </xf>
    <xf numFmtId="2" fontId="88" fillId="0" borderId="7" xfId="0" applyNumberFormat="1" applyFont="1" applyBorder="1" applyAlignment="1">
      <alignment horizontal="left"/>
    </xf>
    <xf numFmtId="179" fontId="56" fillId="0" borderId="0" xfId="0" applyNumberFormat="1" applyFont="1" applyAlignment="1">
      <alignment horizontal="center"/>
    </xf>
    <xf numFmtId="165" fontId="70" fillId="0" borderId="0" xfId="0" applyNumberFormat="1" applyFont="1" applyAlignment="1">
      <alignment horizontal="center" vertical="center"/>
    </xf>
    <xf numFmtId="0" fontId="70" fillId="0" borderId="0" xfId="0" applyFont="1" applyAlignment="1">
      <alignment vertical="center"/>
    </xf>
    <xf numFmtId="0" fontId="70" fillId="0" borderId="0" xfId="0" applyFont="1"/>
    <xf numFmtId="179" fontId="56" fillId="0" borderId="0" xfId="0" applyNumberFormat="1" applyFont="1"/>
    <xf numFmtId="165" fontId="56" fillId="0" borderId="0" xfId="0" applyNumberFormat="1" applyFont="1" applyAlignment="1">
      <alignment vertical="center"/>
    </xf>
    <xf numFmtId="0" fontId="56" fillId="0" borderId="0" xfId="0" applyFont="1" applyAlignment="1">
      <alignment vertical="center"/>
    </xf>
    <xf numFmtId="175" fontId="6" fillId="3" borderId="0" xfId="0" applyNumberFormat="1" applyFont="1" applyFill="1" applyAlignment="1">
      <alignment horizontal="left" vertical="center"/>
    </xf>
    <xf numFmtId="0" fontId="50" fillId="47" borderId="7" xfId="0" applyFont="1" applyFill="1" applyBorder="1"/>
    <xf numFmtId="0" fontId="50" fillId="47" borderId="7" xfId="0" applyFont="1" applyFill="1" applyBorder="1" applyAlignment="1">
      <alignment vertical="top"/>
    </xf>
    <xf numFmtId="0" fontId="50" fillId="47" borderId="17" xfId="0" applyFont="1" applyFill="1" applyBorder="1" applyAlignment="1">
      <alignment vertical="top"/>
    </xf>
    <xf numFmtId="0" fontId="93" fillId="0" borderId="0" xfId="0" applyFont="1"/>
    <xf numFmtId="165" fontId="10" fillId="12" borderId="28" xfId="0" applyNumberFormat="1" applyFont="1" applyFill="1" applyBorder="1"/>
    <xf numFmtId="0" fontId="10" fillId="0" borderId="28" xfId="0" applyFont="1" applyBorder="1"/>
    <xf numFmtId="0" fontId="94" fillId="0" borderId="0" xfId="0" applyFont="1" applyAlignment="1">
      <alignment horizontal="left" vertical="center"/>
    </xf>
    <xf numFmtId="180" fontId="95" fillId="0" borderId="0" xfId="3" applyNumberFormat="1" applyFont="1" applyFill="1" applyAlignment="1">
      <alignment vertical="center"/>
    </xf>
    <xf numFmtId="9" fontId="95" fillId="0" borderId="0" xfId="2" applyFont="1" applyFill="1" applyAlignment="1">
      <alignment vertical="center"/>
    </xf>
    <xf numFmtId="165" fontId="10" fillId="0" borderId="0" xfId="0" applyNumberFormat="1" applyFont="1"/>
    <xf numFmtId="173" fontId="15" fillId="0" borderId="0" xfId="0" applyNumberFormat="1" applyFont="1"/>
    <xf numFmtId="0" fontId="91" fillId="0" borderId="0" xfId="0" applyFont="1" applyAlignment="1">
      <alignment vertical="center"/>
    </xf>
    <xf numFmtId="0" fontId="9" fillId="26" borderId="0" xfId="0" applyFont="1" applyFill="1" applyAlignment="1">
      <alignment horizontal="center"/>
    </xf>
    <xf numFmtId="0" fontId="96" fillId="40" borderId="0" xfId="0" applyFont="1" applyFill="1"/>
    <xf numFmtId="165" fontId="97" fillId="0" borderId="0" xfId="0" applyNumberFormat="1" applyFont="1" applyAlignment="1">
      <alignment horizontal="center"/>
    </xf>
    <xf numFmtId="0" fontId="44" fillId="0" borderId="0" xfId="0" applyFont="1" applyAlignment="1">
      <alignment horizontal="center"/>
    </xf>
    <xf numFmtId="165" fontId="10" fillId="0" borderId="0" xfId="0" applyNumberFormat="1" applyFont="1" applyAlignment="1">
      <alignment horizontal="center"/>
    </xf>
    <xf numFmtId="9" fontId="0" fillId="0" borderId="0" xfId="0" applyNumberFormat="1"/>
    <xf numFmtId="165" fontId="0" fillId="0" borderId="0" xfId="3" applyNumberFormat="1" applyFont="1"/>
    <xf numFmtId="180" fontId="0" fillId="0" borderId="0" xfId="0" applyNumberFormat="1"/>
    <xf numFmtId="9" fontId="0" fillId="0" borderId="0" xfId="2" applyFont="1"/>
    <xf numFmtId="165" fontId="15" fillId="0" borderId="0" xfId="0" applyNumberFormat="1" applyFont="1" applyAlignment="1">
      <alignment horizontal="center"/>
    </xf>
    <xf numFmtId="0" fontId="97" fillId="0" borderId="0" xfId="0" applyFont="1" applyAlignment="1">
      <alignment horizontal="center"/>
    </xf>
    <xf numFmtId="0" fontId="99" fillId="47" borderId="0" xfId="0" applyFont="1" applyFill="1" applyAlignment="1">
      <alignment horizontal="center"/>
    </xf>
    <xf numFmtId="9" fontId="98" fillId="58" borderId="0" xfId="0" applyNumberFormat="1" applyFont="1" applyFill="1"/>
    <xf numFmtId="165" fontId="98" fillId="58" borderId="0" xfId="3" applyNumberFormat="1" applyFont="1" applyFill="1"/>
    <xf numFmtId="180" fontId="98" fillId="58" borderId="0" xfId="0" applyNumberFormat="1" applyFont="1" applyFill="1"/>
    <xf numFmtId="0" fontId="0" fillId="0" borderId="0" xfId="0" applyAlignment="1">
      <alignment horizontal="center" vertical="center"/>
    </xf>
    <xf numFmtId="180" fontId="93" fillId="59" borderId="0" xfId="0" applyNumberFormat="1" applyFont="1" applyFill="1" applyAlignment="1">
      <alignment horizontal="center" vertical="center"/>
    </xf>
    <xf numFmtId="180" fontId="95" fillId="60" borderId="0" xfId="3" applyNumberFormat="1" applyFont="1" applyFill="1" applyAlignment="1">
      <alignment vertical="center"/>
    </xf>
    <xf numFmtId="0" fontId="98" fillId="61" borderId="0" xfId="0" applyFont="1" applyFill="1" applyAlignment="1">
      <alignment horizontal="center"/>
    </xf>
    <xf numFmtId="0" fontId="96" fillId="50" borderId="0" xfId="0" applyFont="1" applyFill="1"/>
    <xf numFmtId="0" fontId="0" fillId="43" borderId="0" xfId="0" applyFill="1"/>
    <xf numFmtId="9" fontId="10" fillId="0" borderId="0" xfId="0" applyNumberFormat="1" applyFont="1"/>
    <xf numFmtId="9" fontId="15" fillId="0" borderId="0" xfId="0" applyNumberFormat="1" applyFont="1"/>
    <xf numFmtId="0" fontId="101" fillId="0" borderId="0" xfId="0" applyFont="1"/>
    <xf numFmtId="0" fontId="102" fillId="40" borderId="0" xfId="0" applyFont="1" applyFill="1" applyAlignment="1">
      <alignment horizontal="center"/>
    </xf>
    <xf numFmtId="0" fontId="99" fillId="63" borderId="0" xfId="0" applyFont="1" applyFill="1" applyAlignment="1">
      <alignment vertical="center"/>
    </xf>
    <xf numFmtId="0" fontId="99" fillId="63" borderId="0" xfId="0" applyFont="1" applyFill="1" applyAlignment="1">
      <alignment horizontal="center" vertical="center"/>
    </xf>
    <xf numFmtId="0" fontId="105" fillId="63" borderId="0" xfId="0" applyFont="1" applyFill="1"/>
    <xf numFmtId="0" fontId="104" fillId="64" borderId="0" xfId="0" applyFont="1" applyFill="1" applyAlignment="1">
      <alignment horizontal="center"/>
    </xf>
    <xf numFmtId="0" fontId="106" fillId="50" borderId="0" xfId="0" applyFont="1" applyFill="1" applyAlignment="1">
      <alignment horizontal="center" vertical="center"/>
    </xf>
    <xf numFmtId="0" fontId="107" fillId="50" borderId="0" xfId="0" applyFont="1" applyFill="1" applyAlignment="1">
      <alignment horizontal="center" vertical="center"/>
    </xf>
    <xf numFmtId="0" fontId="108" fillId="50" borderId="0" xfId="0" applyFont="1" applyFill="1" applyAlignment="1">
      <alignment horizontal="center" vertical="center"/>
    </xf>
    <xf numFmtId="2" fontId="109" fillId="38" borderId="0" xfId="0" applyNumberFormat="1" applyFont="1" applyFill="1" applyAlignment="1">
      <alignment horizontal="center"/>
    </xf>
    <xf numFmtId="0" fontId="109" fillId="43" borderId="0" xfId="0" applyFont="1" applyFill="1" applyAlignment="1">
      <alignment horizontal="center"/>
    </xf>
    <xf numFmtId="2" fontId="109" fillId="62" borderId="0" xfId="0" applyNumberFormat="1" applyFont="1" applyFill="1" applyAlignment="1">
      <alignment horizontal="center"/>
    </xf>
    <xf numFmtId="9" fontId="0" fillId="66" borderId="0" xfId="0" applyNumberFormat="1" applyFill="1" applyAlignment="1">
      <alignment horizontal="center"/>
    </xf>
    <xf numFmtId="9" fontId="0" fillId="65" borderId="0" xfId="0" applyNumberFormat="1" applyFill="1" applyAlignment="1">
      <alignment horizontal="center"/>
    </xf>
    <xf numFmtId="9" fontId="0" fillId="46" borderId="0" xfId="0" applyNumberFormat="1" applyFill="1" applyAlignment="1">
      <alignment horizontal="center"/>
    </xf>
    <xf numFmtId="9" fontId="0" fillId="65" borderId="0" xfId="0" applyNumberFormat="1" applyFill="1" applyAlignment="1">
      <alignment horizontal="left"/>
    </xf>
    <xf numFmtId="9" fontId="0" fillId="66" borderId="0" xfId="0" applyNumberFormat="1" applyFill="1" applyAlignment="1">
      <alignment horizontal="left"/>
    </xf>
    <xf numFmtId="9" fontId="0" fillId="46" borderId="0" xfId="0" applyNumberFormat="1" applyFill="1" applyAlignment="1">
      <alignment horizontal="left"/>
    </xf>
    <xf numFmtId="9" fontId="0" fillId="0" borderId="0" xfId="0" applyNumberFormat="1" applyAlignment="1">
      <alignment horizontal="center"/>
    </xf>
    <xf numFmtId="0" fontId="98" fillId="0" borderId="0" xfId="0" applyFont="1" applyAlignment="1">
      <alignment horizontal="center"/>
    </xf>
    <xf numFmtId="0" fontId="0" fillId="62" borderId="0" xfId="0" applyFill="1"/>
    <xf numFmtId="2" fontId="0" fillId="43" borderId="0" xfId="0" applyNumberFormat="1" applyFill="1"/>
    <xf numFmtId="9" fontId="93" fillId="65" borderId="0" xfId="0" applyNumberFormat="1" applyFont="1" applyFill="1" applyAlignment="1">
      <alignment horizontal="left"/>
    </xf>
    <xf numFmtId="0" fontId="114" fillId="0" borderId="0" xfId="0" applyFont="1" applyAlignment="1">
      <alignment horizontal="center"/>
    </xf>
    <xf numFmtId="2" fontId="114" fillId="0" borderId="0" xfId="0" applyNumberFormat="1" applyFont="1" applyAlignment="1">
      <alignment horizontal="center"/>
    </xf>
    <xf numFmtId="0" fontId="93" fillId="62" borderId="0" xfId="0" applyFont="1" applyFill="1"/>
    <xf numFmtId="0" fontId="100" fillId="51" borderId="0" xfId="0" applyFont="1" applyFill="1"/>
    <xf numFmtId="0" fontId="0" fillId="38" borderId="0" xfId="0" applyFill="1"/>
    <xf numFmtId="0" fontId="116" fillId="68" borderId="0" xfId="0" applyFont="1" applyFill="1"/>
    <xf numFmtId="2" fontId="0" fillId="0" borderId="0" xfId="0" applyNumberFormat="1" applyAlignment="1">
      <alignment horizontal="center"/>
    </xf>
    <xf numFmtId="2" fontId="100" fillId="59" borderId="0" xfId="0" applyNumberFormat="1" applyFont="1" applyFill="1" applyAlignment="1">
      <alignment horizontal="center"/>
    </xf>
    <xf numFmtId="2" fontId="0" fillId="40" borderId="0" xfId="0" applyNumberFormat="1" applyFill="1" applyAlignment="1">
      <alignment horizontal="center"/>
    </xf>
    <xf numFmtId="0" fontId="96" fillId="69" borderId="0" xfId="0" applyFont="1" applyFill="1"/>
    <xf numFmtId="0" fontId="96" fillId="70" borderId="0" xfId="0" applyFont="1" applyFill="1"/>
    <xf numFmtId="0" fontId="96" fillId="71" borderId="0" xfId="0" applyFont="1" applyFill="1"/>
    <xf numFmtId="0" fontId="15" fillId="72" borderId="0" xfId="0" applyFont="1" applyFill="1" applyAlignment="1">
      <alignment horizontal="center"/>
    </xf>
    <xf numFmtId="0" fontId="44" fillId="72" borderId="0" xfId="0" applyFont="1" applyFill="1" applyAlignment="1">
      <alignment horizontal="center"/>
    </xf>
    <xf numFmtId="0" fontId="15" fillId="73" borderId="0" xfId="0" applyFont="1" applyFill="1" applyAlignment="1">
      <alignment horizontal="center"/>
    </xf>
    <xf numFmtId="0" fontId="44" fillId="73" borderId="0" xfId="0" applyFont="1" applyFill="1" applyAlignment="1">
      <alignment horizontal="center"/>
    </xf>
    <xf numFmtId="0" fontId="117" fillId="58" borderId="0" xfId="0" applyFont="1" applyFill="1" applyAlignment="1">
      <alignment horizontal="center"/>
    </xf>
    <xf numFmtId="0" fontId="118" fillId="58" borderId="0" xfId="0" applyFont="1" applyFill="1" applyAlignment="1">
      <alignment horizontal="center"/>
    </xf>
    <xf numFmtId="2" fontId="0" fillId="0" borderId="0" xfId="0" applyNumberFormat="1"/>
    <xf numFmtId="181" fontId="0" fillId="0" borderId="0" xfId="0" applyNumberFormat="1"/>
    <xf numFmtId="182" fontId="0" fillId="0" borderId="0" xfId="0" applyNumberFormat="1"/>
    <xf numFmtId="1" fontId="0" fillId="0" borderId="0" xfId="0" applyNumberFormat="1"/>
    <xf numFmtId="0" fontId="119" fillId="74" borderId="0" xfId="0" applyFont="1" applyFill="1" applyAlignment="1">
      <alignment horizontal="center" vertical="center"/>
    </xf>
    <xf numFmtId="0" fontId="120" fillId="74" borderId="0" xfId="0" applyFont="1" applyFill="1" applyAlignment="1">
      <alignment horizontal="center" vertical="center"/>
    </xf>
    <xf numFmtId="0" fontId="100" fillId="0" borderId="0" xfId="0" applyFont="1"/>
    <xf numFmtId="0" fontId="22" fillId="8" borderId="0" xfId="0" applyFont="1" applyFill="1"/>
    <xf numFmtId="0" fontId="100" fillId="69" borderId="0" xfId="0" applyFont="1" applyFill="1" applyAlignment="1">
      <alignment horizontal="center" vertical="center"/>
    </xf>
    <xf numFmtId="0" fontId="100" fillId="75" borderId="0" xfId="0" applyFont="1" applyFill="1" applyAlignment="1">
      <alignment horizontal="center" vertical="center"/>
    </xf>
    <xf numFmtId="9" fontId="100" fillId="0" borderId="0" xfId="0" applyNumberFormat="1" applyFont="1" applyAlignment="1">
      <alignment horizontal="center"/>
    </xf>
    <xf numFmtId="2" fontId="121" fillId="76" borderId="0" xfId="0" applyNumberFormat="1" applyFont="1" applyFill="1" applyAlignment="1">
      <alignment horizontal="center"/>
    </xf>
    <xf numFmtId="0" fontId="122" fillId="76" borderId="0" xfId="0" applyFont="1" applyFill="1" applyAlignment="1">
      <alignment horizontal="center"/>
    </xf>
    <xf numFmtId="1" fontId="123" fillId="74" borderId="0" xfId="0" applyNumberFormat="1" applyFont="1" applyFill="1" applyAlignment="1">
      <alignment horizontal="center" vertical="center"/>
    </xf>
    <xf numFmtId="1" fontId="124" fillId="74" borderId="0" xfId="0" applyNumberFormat="1" applyFont="1" applyFill="1" applyAlignment="1">
      <alignment horizontal="center" vertical="center"/>
    </xf>
    <xf numFmtId="1" fontId="125" fillId="74" borderId="0" xfId="0" applyNumberFormat="1" applyFont="1" applyFill="1" applyAlignment="1">
      <alignment horizontal="center" vertical="center"/>
    </xf>
    <xf numFmtId="165" fontId="103" fillId="0" borderId="0" xfId="0" applyNumberFormat="1" applyFont="1"/>
    <xf numFmtId="0" fontId="121" fillId="76" borderId="0" xfId="0" applyFont="1" applyFill="1"/>
    <xf numFmtId="0" fontId="126" fillId="74" borderId="0" xfId="0" applyFont="1" applyFill="1" applyAlignment="1">
      <alignment horizontal="center" vertical="center"/>
    </xf>
    <xf numFmtId="0" fontId="106" fillId="76" borderId="0" xfId="0" applyFont="1" applyFill="1"/>
    <xf numFmtId="2" fontId="100" fillId="0" borderId="0" xfId="0" applyNumberFormat="1" applyFont="1" applyAlignment="1">
      <alignment horizontal="center"/>
    </xf>
    <xf numFmtId="2" fontId="127" fillId="77" borderId="0" xfId="0" applyNumberFormat="1" applyFont="1" applyFill="1" applyAlignment="1">
      <alignment horizontal="center"/>
    </xf>
    <xf numFmtId="179" fontId="100" fillId="0" borderId="0" xfId="0" applyNumberFormat="1" applyFont="1" applyAlignment="1">
      <alignment horizontal="center" vertical="center"/>
    </xf>
    <xf numFmtId="0" fontId="96" fillId="78" borderId="0" xfId="0" applyFont="1" applyFill="1"/>
    <xf numFmtId="0" fontId="100" fillId="0" borderId="0" xfId="0" applyFont="1" applyAlignment="1">
      <alignment horizontal="center" vertical="center"/>
    </xf>
    <xf numFmtId="0" fontId="128" fillId="0" borderId="0" xfId="0" applyFont="1" applyAlignment="1">
      <alignment horizontal="center" vertical="center"/>
    </xf>
    <xf numFmtId="0" fontId="0" fillId="0" borderId="0" xfId="0" applyAlignment="1">
      <alignment horizontal="center"/>
    </xf>
    <xf numFmtId="0" fontId="0" fillId="76" borderId="0" xfId="0" applyFill="1"/>
    <xf numFmtId="0" fontId="127" fillId="76" borderId="0" xfId="0" applyFont="1" applyFill="1"/>
    <xf numFmtId="165" fontId="10" fillId="0" borderId="0" xfId="0" applyNumberFormat="1" applyFont="1" applyAlignment="1">
      <alignment horizontal="center" vertical="center"/>
    </xf>
    <xf numFmtId="0" fontId="15" fillId="80" borderId="0" xfId="0" applyFont="1" applyFill="1" applyAlignment="1">
      <alignment horizontal="center" vertical="center"/>
    </xf>
    <xf numFmtId="2" fontId="131" fillId="77" borderId="0" xfId="0" applyNumberFormat="1" applyFont="1" applyFill="1" applyAlignment="1">
      <alignment horizontal="center"/>
    </xf>
    <xf numFmtId="0" fontId="133" fillId="76" borderId="18" xfId="0" applyFont="1" applyFill="1" applyBorder="1" applyAlignment="1">
      <alignment horizontal="left" vertical="top" wrapText="1"/>
    </xf>
    <xf numFmtId="0" fontId="56" fillId="0" borderId="18" xfId="0" applyFont="1" applyBorder="1" applyAlignment="1">
      <alignment horizontal="left" vertical="top" wrapText="1"/>
    </xf>
    <xf numFmtId="0" fontId="70" fillId="0" borderId="18" xfId="0" applyFont="1" applyBorder="1" applyAlignment="1">
      <alignment horizontal="left" vertical="top" wrapText="1"/>
    </xf>
    <xf numFmtId="0" fontId="70" fillId="0" borderId="7" xfId="0" applyFont="1" applyBorder="1" applyAlignment="1">
      <alignment horizontal="left" vertical="top" wrapText="1"/>
    </xf>
    <xf numFmtId="0" fontId="47" fillId="79" borderId="18" xfId="0" applyFont="1" applyFill="1" applyBorder="1" applyAlignment="1">
      <alignment horizontal="left" vertical="top" wrapText="1"/>
    </xf>
    <xf numFmtId="0" fontId="47" fillId="79" borderId="7" xfId="0" applyFont="1" applyFill="1" applyBorder="1" applyAlignment="1">
      <alignment horizontal="left" vertical="top" wrapText="1"/>
    </xf>
    <xf numFmtId="0" fontId="132" fillId="76" borderId="0" xfId="0" applyFont="1" applyFill="1" applyAlignment="1">
      <alignment horizontal="left" vertical="center"/>
    </xf>
    <xf numFmtId="0" fontId="134" fillId="77" borderId="0" xfId="0" applyFont="1" applyFill="1" applyAlignment="1">
      <alignment horizontal="left" vertical="center"/>
    </xf>
    <xf numFmtId="0" fontId="135" fillId="77" borderId="0" xfId="0" applyFont="1" applyFill="1" applyAlignment="1">
      <alignment horizontal="left" vertical="center"/>
    </xf>
    <xf numFmtId="0" fontId="103" fillId="0" borderId="0" xfId="0" applyFont="1"/>
    <xf numFmtId="0" fontId="104" fillId="81" borderId="0" xfId="0" applyFont="1" applyFill="1" applyAlignment="1">
      <alignment horizontal="center"/>
    </xf>
    <xf numFmtId="0" fontId="104" fillId="82" borderId="0" xfId="0" applyFont="1" applyFill="1" applyAlignment="1">
      <alignment horizontal="center"/>
    </xf>
    <xf numFmtId="9" fontId="93" fillId="83" borderId="0" xfId="0" applyNumberFormat="1" applyFont="1" applyFill="1" applyAlignment="1">
      <alignment horizontal="left"/>
    </xf>
    <xf numFmtId="0" fontId="96" fillId="76" borderId="0" xfId="0" applyFont="1" applyFill="1"/>
    <xf numFmtId="0" fontId="0" fillId="48" borderId="0" xfId="0" applyFill="1"/>
    <xf numFmtId="0" fontId="0" fillId="0" borderId="34" xfId="0" applyBorder="1"/>
    <xf numFmtId="0" fontId="0" fillId="0" borderId="35" xfId="0" applyBorder="1"/>
    <xf numFmtId="9" fontId="0" fillId="0" borderId="34" xfId="0" applyNumberFormat="1" applyBorder="1"/>
    <xf numFmtId="0" fontId="129" fillId="0" borderId="35" xfId="0" applyFont="1" applyBorder="1" applyAlignment="1">
      <alignment horizontal="left"/>
    </xf>
    <xf numFmtId="0" fontId="96" fillId="76" borderId="0" xfId="0" applyFont="1" applyFill="1" applyAlignment="1">
      <alignment horizontal="center" vertical="center"/>
    </xf>
    <xf numFmtId="0" fontId="90" fillId="9" borderId="31" xfId="0" applyFont="1" applyFill="1" applyBorder="1" applyAlignment="1">
      <alignment horizontal="left" vertical="center"/>
    </xf>
    <xf numFmtId="0" fontId="137" fillId="74" borderId="0" xfId="0" applyFont="1" applyFill="1" applyAlignment="1">
      <alignment horizontal="center" vertical="center"/>
    </xf>
    <xf numFmtId="0" fontId="137" fillId="74" borderId="0" xfId="0" applyFont="1" applyFill="1"/>
    <xf numFmtId="0" fontId="138" fillId="50" borderId="0" xfId="0" applyFont="1" applyFill="1" applyAlignment="1">
      <alignment horizontal="center" vertical="center"/>
    </xf>
    <xf numFmtId="0" fontId="139" fillId="50" borderId="0" xfId="0" applyFont="1" applyFill="1" applyAlignment="1">
      <alignment horizontal="center" vertical="center"/>
    </xf>
    <xf numFmtId="0" fontId="140" fillId="79" borderId="0" xfId="0" applyFont="1" applyFill="1" applyAlignment="1">
      <alignment horizontal="center" vertical="center"/>
    </xf>
    <xf numFmtId="0" fontId="142" fillId="63" borderId="0" xfId="0" applyFont="1" applyFill="1" applyAlignment="1">
      <alignment vertical="center"/>
    </xf>
    <xf numFmtId="0" fontId="142" fillId="63" borderId="0" xfId="0" applyFont="1" applyFill="1" applyAlignment="1">
      <alignment horizontal="center" vertical="center"/>
    </xf>
    <xf numFmtId="0" fontId="15" fillId="84" borderId="0" xfId="0" applyFont="1" applyFill="1" applyAlignment="1">
      <alignment horizontal="center"/>
    </xf>
    <xf numFmtId="0" fontId="15" fillId="48" borderId="0" xfId="0" applyFont="1" applyFill="1" applyAlignment="1">
      <alignment horizontal="center"/>
    </xf>
    <xf numFmtId="0" fontId="143" fillId="0" borderId="0" xfId="0" applyFont="1" applyAlignment="1">
      <alignment horizontal="center"/>
    </xf>
    <xf numFmtId="0" fontId="143" fillId="84" borderId="0" xfId="0" applyFont="1" applyFill="1" applyAlignment="1">
      <alignment horizontal="center"/>
    </xf>
    <xf numFmtId="0" fontId="143" fillId="72" borderId="0" xfId="0" applyFont="1" applyFill="1" applyAlignment="1">
      <alignment horizontal="center"/>
    </xf>
    <xf numFmtId="0" fontId="143" fillId="73" borderId="0" xfId="0" applyFont="1" applyFill="1" applyAlignment="1">
      <alignment horizontal="center"/>
    </xf>
    <xf numFmtId="2" fontId="144" fillId="59" borderId="0" xfId="0" applyNumberFormat="1" applyFont="1" applyFill="1" applyAlignment="1">
      <alignment horizontal="center"/>
    </xf>
    <xf numFmtId="2" fontId="146" fillId="79" borderId="0" xfId="0" applyNumberFormat="1" applyFont="1" applyFill="1" applyAlignment="1">
      <alignment horizontal="center"/>
    </xf>
    <xf numFmtId="0" fontId="147" fillId="58" borderId="0" xfId="0" applyFont="1" applyFill="1" applyAlignment="1">
      <alignment horizontal="center"/>
    </xf>
    <xf numFmtId="0" fontId="141" fillId="40" borderId="0" xfId="0" applyFont="1" applyFill="1" applyAlignment="1">
      <alignment horizontal="center"/>
    </xf>
    <xf numFmtId="0" fontId="146" fillId="79" borderId="0" xfId="0" applyFont="1" applyFill="1" applyAlignment="1">
      <alignment horizontal="center"/>
    </xf>
    <xf numFmtId="0" fontId="145" fillId="43" borderId="0" xfId="0" applyFont="1" applyFill="1" applyAlignment="1">
      <alignment horizontal="center"/>
    </xf>
    <xf numFmtId="0" fontId="92" fillId="0" borderId="0" xfId="0" applyFont="1" applyAlignment="1">
      <alignment horizontal="center"/>
    </xf>
    <xf numFmtId="2" fontId="145" fillId="62" borderId="0" xfId="0" applyNumberFormat="1" applyFont="1" applyFill="1" applyAlignment="1">
      <alignment horizontal="center"/>
    </xf>
    <xf numFmtId="2" fontId="92" fillId="0" borderId="0" xfId="0" applyNumberFormat="1" applyFont="1" applyAlignment="1">
      <alignment horizontal="center"/>
    </xf>
    <xf numFmtId="0" fontId="121" fillId="76" borderId="0" xfId="0" applyFont="1" applyFill="1" applyAlignment="1">
      <alignment horizontal="left" vertical="center"/>
    </xf>
    <xf numFmtId="2" fontId="148" fillId="38" borderId="0" xfId="0" applyNumberFormat="1" applyFont="1" applyFill="1" applyAlignment="1">
      <alignment horizontal="center"/>
    </xf>
    <xf numFmtId="2" fontId="144" fillId="0" borderId="0" xfId="0" applyNumberFormat="1" applyFont="1" applyAlignment="1">
      <alignment horizontal="center"/>
    </xf>
    <xf numFmtId="2" fontId="149" fillId="79" borderId="0" xfId="0" applyNumberFormat="1" applyFont="1" applyFill="1" applyAlignment="1">
      <alignment horizontal="center"/>
    </xf>
    <xf numFmtId="0" fontId="139" fillId="50" borderId="29" xfId="0" applyFont="1" applyFill="1" applyBorder="1" applyAlignment="1">
      <alignment horizontal="center" vertical="center"/>
    </xf>
    <xf numFmtId="0" fontId="139" fillId="50" borderId="30" xfId="0" applyFont="1" applyFill="1" applyBorder="1" applyAlignment="1">
      <alignment horizontal="center" vertical="center"/>
    </xf>
    <xf numFmtId="0" fontId="150" fillId="74" borderId="29" xfId="0" applyFont="1" applyFill="1" applyBorder="1" applyAlignment="1">
      <alignment horizontal="center" vertical="center"/>
    </xf>
    <xf numFmtId="0" fontId="103" fillId="0" borderId="0" xfId="0" applyFont="1" applyAlignment="1">
      <alignment horizontal="center"/>
    </xf>
    <xf numFmtId="9" fontId="103" fillId="0" borderId="0" xfId="0" applyNumberFormat="1" applyFont="1" applyAlignment="1">
      <alignment horizontal="center" vertical="center"/>
    </xf>
    <xf numFmtId="0" fontId="103" fillId="0" borderId="0" xfId="0" applyFont="1" applyAlignment="1">
      <alignment horizontal="center" vertical="center"/>
    </xf>
    <xf numFmtId="0" fontId="151" fillId="74" borderId="29" xfId="0" applyFont="1" applyFill="1" applyBorder="1" applyAlignment="1">
      <alignment horizontal="center" vertical="center"/>
    </xf>
    <xf numFmtId="9" fontId="103" fillId="66" borderId="34" xfId="0" applyNumberFormat="1" applyFont="1" applyFill="1" applyBorder="1" applyAlignment="1">
      <alignment horizontal="center"/>
    </xf>
    <xf numFmtId="2" fontId="103" fillId="40" borderId="0" xfId="0" applyNumberFormat="1" applyFont="1" applyFill="1" applyAlignment="1">
      <alignment horizontal="center"/>
    </xf>
    <xf numFmtId="0" fontId="153" fillId="61" borderId="35" xfId="0" applyFont="1" applyFill="1" applyBorder="1" applyAlignment="1">
      <alignment horizontal="center"/>
    </xf>
    <xf numFmtId="9" fontId="103" fillId="65" borderId="34" xfId="0" applyNumberFormat="1" applyFont="1" applyFill="1" applyBorder="1" applyAlignment="1">
      <alignment horizontal="center"/>
    </xf>
    <xf numFmtId="9" fontId="103" fillId="46" borderId="34" xfId="0" applyNumberFormat="1" applyFont="1" applyFill="1" applyBorder="1" applyAlignment="1">
      <alignment horizontal="center"/>
    </xf>
    <xf numFmtId="9" fontId="103" fillId="0" borderId="34" xfId="0" applyNumberFormat="1" applyFont="1" applyBorder="1" applyAlignment="1">
      <alignment horizontal="center"/>
    </xf>
    <xf numFmtId="2" fontId="103" fillId="0" borderId="0" xfId="0" applyNumberFormat="1" applyFont="1" applyAlignment="1">
      <alignment horizontal="center"/>
    </xf>
    <xf numFmtId="0" fontId="153" fillId="0" borderId="35" xfId="0" applyFont="1" applyBorder="1" applyAlignment="1">
      <alignment horizontal="center"/>
    </xf>
    <xf numFmtId="9" fontId="154" fillId="76" borderId="36" xfId="0" applyNumberFormat="1" applyFont="1" applyFill="1" applyBorder="1" applyAlignment="1">
      <alignment horizontal="center"/>
    </xf>
    <xf numFmtId="2" fontId="154" fillId="76" borderId="37" xfId="0" applyNumberFormat="1" applyFont="1" applyFill="1" applyBorder="1" applyAlignment="1">
      <alignment horizontal="center"/>
    </xf>
    <xf numFmtId="0" fontId="154" fillId="76" borderId="38" xfId="0" applyFont="1" applyFill="1" applyBorder="1" applyAlignment="1">
      <alignment horizontal="center"/>
    </xf>
    <xf numFmtId="0" fontId="7" fillId="76" borderId="0" xfId="0" applyFont="1" applyFill="1" applyAlignment="1">
      <alignment horizontal="left" vertical="center"/>
    </xf>
    <xf numFmtId="0" fontId="155" fillId="76" borderId="0" xfId="0" applyFont="1" applyFill="1" applyAlignment="1">
      <alignment horizontal="left" vertical="center"/>
    </xf>
    <xf numFmtId="0" fontId="137" fillId="85" borderId="0" xfId="0" applyFont="1" applyFill="1" applyAlignment="1">
      <alignment horizontal="left" vertical="center"/>
    </xf>
    <xf numFmtId="0" fontId="155" fillId="85" borderId="0" xfId="0" applyFont="1" applyFill="1" applyAlignment="1">
      <alignment horizontal="left" vertical="center"/>
    </xf>
    <xf numFmtId="0" fontId="156" fillId="76" borderId="0" xfId="0" applyFont="1" applyFill="1"/>
    <xf numFmtId="0" fontId="139" fillId="50" borderId="30" xfId="0" applyFont="1" applyFill="1" applyBorder="1" applyAlignment="1">
      <alignment horizontal="left" vertical="center"/>
    </xf>
    <xf numFmtId="0" fontId="136" fillId="0" borderId="32" xfId="0" applyFont="1" applyBorder="1" applyAlignment="1">
      <alignment horizontal="left"/>
    </xf>
    <xf numFmtId="0" fontId="90" fillId="9" borderId="0" xfId="0" applyFont="1" applyFill="1" applyAlignment="1">
      <alignment horizontal="left" vertical="center"/>
    </xf>
    <xf numFmtId="0" fontId="53" fillId="7" borderId="7" xfId="1" applyFont="1" applyFill="1" applyBorder="1" applyAlignment="1">
      <alignment horizontal="fill"/>
    </xf>
    <xf numFmtId="0" fontId="121" fillId="86" borderId="0" xfId="0" applyFont="1" applyFill="1"/>
    <xf numFmtId="0" fontId="158" fillId="0" borderId="0" xfId="0" applyFont="1"/>
    <xf numFmtId="0" fontId="121" fillId="76" borderId="0" xfId="0" applyFont="1" applyFill="1" applyAlignment="1">
      <alignment horizontal="center"/>
    </xf>
    <xf numFmtId="9" fontId="0" fillId="0" borderId="0" xfId="0" applyNumberFormat="1" applyAlignment="1">
      <alignment horizontal="center" vertical="center"/>
    </xf>
    <xf numFmtId="2" fontId="100" fillId="87" borderId="0" xfId="0" applyNumberFormat="1" applyFont="1" applyFill="1" applyAlignment="1">
      <alignment horizontal="center" vertical="center"/>
    </xf>
    <xf numFmtId="183" fontId="0" fillId="0" borderId="0" xfId="0" applyNumberFormat="1"/>
    <xf numFmtId="0" fontId="100" fillId="88" borderId="0" xfId="0" applyFont="1" applyFill="1" applyAlignment="1">
      <alignment horizontal="center"/>
    </xf>
    <xf numFmtId="0" fontId="156" fillId="89" borderId="0" xfId="0" applyFont="1" applyFill="1" applyAlignment="1">
      <alignment horizontal="center"/>
    </xf>
    <xf numFmtId="0" fontId="121" fillId="90" borderId="0" xfId="0" applyFont="1" applyFill="1"/>
    <xf numFmtId="0" fontId="121" fillId="88" borderId="0" xfId="0" applyFont="1" applyFill="1"/>
    <xf numFmtId="3" fontId="100" fillId="0" borderId="0" xfId="0" applyNumberFormat="1" applyFont="1"/>
    <xf numFmtId="0" fontId="121" fillId="88" borderId="0" xfId="0" applyFont="1" applyFill="1" applyAlignment="1">
      <alignment horizontal="center"/>
    </xf>
    <xf numFmtId="9" fontId="100" fillId="0" borderId="0" xfId="0" applyNumberFormat="1" applyFont="1"/>
    <xf numFmtId="0" fontId="100" fillId="0" borderId="0" xfId="0" applyFont="1" applyAlignment="1">
      <alignment horizontal="center"/>
    </xf>
    <xf numFmtId="9" fontId="121" fillId="76" borderId="0" xfId="0" applyNumberFormat="1" applyFont="1" applyFill="1" applyAlignment="1">
      <alignment horizontal="left" vertical="center"/>
    </xf>
    <xf numFmtId="0" fontId="129" fillId="0" borderId="0" xfId="0" applyFont="1" applyAlignment="1">
      <alignment horizontal="left"/>
    </xf>
    <xf numFmtId="0" fontId="159" fillId="76" borderId="0" xfId="0" applyFont="1" applyFill="1" applyAlignment="1">
      <alignment horizontal="left"/>
    </xf>
    <xf numFmtId="0" fontId="160" fillId="76" borderId="0" xfId="0" applyFont="1" applyFill="1" applyAlignment="1">
      <alignment horizontal="left"/>
    </xf>
    <xf numFmtId="0" fontId="0" fillId="0" borderId="0" xfId="0" applyAlignment="1">
      <alignment horizontal="left"/>
    </xf>
    <xf numFmtId="0" fontId="161" fillId="76" borderId="0" xfId="0" applyFont="1" applyFill="1" applyAlignment="1">
      <alignment vertical="center"/>
    </xf>
    <xf numFmtId="0" fontId="162" fillId="76" borderId="0" xfId="0" applyFont="1" applyFill="1" applyAlignment="1">
      <alignment vertical="center"/>
    </xf>
    <xf numFmtId="0" fontId="53" fillId="7" borderId="0" xfId="1" applyFont="1" applyFill="1" applyBorder="1" applyAlignment="1">
      <alignment horizontal="fill"/>
    </xf>
    <xf numFmtId="0" fontId="163" fillId="0" borderId="0" xfId="0" applyFont="1"/>
    <xf numFmtId="0" fontId="90" fillId="76" borderId="31" xfId="0" applyFont="1" applyFill="1" applyBorder="1" applyAlignment="1">
      <alignment vertical="center"/>
    </xf>
    <xf numFmtId="0" fontId="136" fillId="76" borderId="32" xfId="0" applyFont="1" applyFill="1" applyBorder="1"/>
    <xf numFmtId="0" fontId="136" fillId="76" borderId="33" xfId="0" applyFont="1" applyFill="1" applyBorder="1"/>
    <xf numFmtId="0" fontId="136" fillId="76" borderId="32" xfId="0" applyFont="1" applyFill="1" applyBorder="1" applyAlignment="1">
      <alignment vertical="center"/>
    </xf>
    <xf numFmtId="0" fontId="136" fillId="76" borderId="33" xfId="0" applyFont="1" applyFill="1" applyBorder="1" applyAlignment="1">
      <alignment vertical="center"/>
    </xf>
    <xf numFmtId="0" fontId="97" fillId="76" borderId="0" xfId="0" applyFont="1" applyFill="1" applyAlignment="1">
      <alignment horizontal="center"/>
    </xf>
    <xf numFmtId="0" fontId="165" fillId="76" borderId="0" xfId="0" applyFont="1" applyFill="1" applyAlignment="1">
      <alignment horizontal="left" vertical="center"/>
    </xf>
    <xf numFmtId="0" fontId="166" fillId="0" borderId="0" xfId="0" applyFont="1"/>
    <xf numFmtId="1" fontId="0" fillId="91" borderId="0" xfId="0" applyNumberFormat="1" applyFill="1" applyAlignment="1">
      <alignment horizontal="center"/>
    </xf>
    <xf numFmtId="1" fontId="121" fillId="74" borderId="0" xfId="0" applyNumberFormat="1" applyFont="1" applyFill="1" applyAlignment="1">
      <alignment horizontal="center"/>
    </xf>
    <xf numFmtId="0" fontId="121" fillId="76" borderId="0" xfId="0" applyFont="1" applyFill="1" applyAlignment="1">
      <alignment horizontal="center" vertical="center"/>
    </xf>
    <xf numFmtId="1" fontId="121" fillId="76" borderId="0" xfId="0" applyNumberFormat="1" applyFont="1" applyFill="1" applyAlignment="1">
      <alignment horizontal="center"/>
    </xf>
    <xf numFmtId="0" fontId="0" fillId="92" borderId="0" xfId="0" applyFill="1"/>
    <xf numFmtId="0" fontId="47" fillId="76" borderId="18" xfId="0" applyFont="1" applyFill="1" applyBorder="1" applyAlignment="1">
      <alignment horizontal="left" vertical="center"/>
    </xf>
    <xf numFmtId="0" fontId="167" fillId="0" borderId="0" xfId="0" applyFont="1" applyAlignment="1">
      <alignment horizontal="center"/>
    </xf>
    <xf numFmtId="0" fontId="159" fillId="0" borderId="0" xfId="0" applyFont="1" applyAlignment="1">
      <alignment horizontal="center" vertical="center"/>
    </xf>
    <xf numFmtId="0" fontId="121" fillId="0" borderId="0" xfId="0" applyFont="1" applyAlignment="1">
      <alignment horizontal="center"/>
    </xf>
    <xf numFmtId="0" fontId="121" fillId="30" borderId="39" xfId="0" applyFont="1" applyFill="1" applyBorder="1"/>
    <xf numFmtId="0" fontId="106" fillId="30" borderId="39" xfId="0" applyFont="1" applyFill="1" applyBorder="1" applyAlignment="1">
      <alignment horizontal="center"/>
    </xf>
    <xf numFmtId="0" fontId="121" fillId="30" borderId="39" xfId="0" applyFont="1" applyFill="1" applyBorder="1" applyAlignment="1">
      <alignment horizontal="center"/>
    </xf>
    <xf numFmtId="0" fontId="3" fillId="2" borderId="6" xfId="0" applyFont="1" applyFill="1" applyBorder="1" applyAlignment="1">
      <alignment horizontal="center"/>
    </xf>
    <xf numFmtId="0" fontId="1" fillId="2" borderId="6" xfId="0" applyFont="1" applyFill="1" applyBorder="1" applyAlignment="1">
      <alignment horizontal="center"/>
    </xf>
    <xf numFmtId="165" fontId="1" fillId="2" borderId="6" xfId="0" applyNumberFormat="1" applyFont="1" applyFill="1" applyBorder="1" applyAlignment="1">
      <alignment horizontal="center"/>
    </xf>
    <xf numFmtId="165" fontId="1" fillId="2" borderId="5" xfId="0" applyNumberFormat="1" applyFont="1" applyFill="1" applyBorder="1" applyAlignment="1">
      <alignment horizontal="center"/>
    </xf>
    <xf numFmtId="166" fontId="3" fillId="2" borderId="6" xfId="0" applyNumberFormat="1" applyFont="1" applyFill="1" applyBorder="1" applyAlignment="1">
      <alignment horizontal="center"/>
    </xf>
    <xf numFmtId="0" fontId="69" fillId="50" borderId="0" xfId="0" applyFont="1" applyFill="1" applyAlignment="1">
      <alignment horizontal="left" vertical="center"/>
    </xf>
    <xf numFmtId="0" fontId="69" fillId="56" borderId="0" xfId="0" applyFont="1" applyFill="1" applyAlignment="1">
      <alignment horizontal="left" vertical="center"/>
    </xf>
    <xf numFmtId="0" fontId="69" fillId="50" borderId="26" xfId="0" applyFont="1" applyFill="1" applyBorder="1" applyAlignment="1">
      <alignment horizontal="left" vertical="center"/>
    </xf>
    <xf numFmtId="0" fontId="69" fillId="56" borderId="26" xfId="0" applyFont="1" applyFill="1" applyBorder="1" applyAlignment="1">
      <alignment horizontal="left" vertical="center"/>
    </xf>
    <xf numFmtId="0" fontId="73" fillId="55" borderId="27" xfId="0" applyFont="1" applyFill="1" applyBorder="1" applyAlignment="1">
      <alignment horizontal="center" vertical="center"/>
    </xf>
    <xf numFmtId="0" fontId="73" fillId="55" borderId="21" xfId="0" applyFont="1" applyFill="1" applyBorder="1" applyAlignment="1">
      <alignment horizontal="center" vertical="center"/>
    </xf>
    <xf numFmtId="0" fontId="74" fillId="50" borderId="0" xfId="0" applyFont="1" applyFill="1" applyAlignment="1">
      <alignment horizontal="left"/>
    </xf>
    <xf numFmtId="165" fontId="80" fillId="3" borderId="1" xfId="0" applyNumberFormat="1" applyFont="1" applyFill="1" applyBorder="1" applyAlignment="1">
      <alignment horizontal="center"/>
    </xf>
    <xf numFmtId="165" fontId="80" fillId="3" borderId="2" xfId="0" applyNumberFormat="1" applyFont="1" applyFill="1" applyBorder="1" applyAlignment="1">
      <alignment horizontal="center"/>
    </xf>
    <xf numFmtId="0" fontId="80" fillId="3" borderId="1" xfId="0" applyFont="1" applyFill="1" applyBorder="1" applyAlignment="1">
      <alignment horizontal="center"/>
    </xf>
    <xf numFmtId="0" fontId="82" fillId="3" borderId="1" xfId="0" applyFont="1" applyFill="1" applyBorder="1" applyAlignment="1">
      <alignment horizontal="center"/>
    </xf>
    <xf numFmtId="166" fontId="80" fillId="3" borderId="1" xfId="0" applyNumberFormat="1" applyFont="1" applyFill="1" applyBorder="1" applyAlignment="1">
      <alignment horizontal="center"/>
    </xf>
    <xf numFmtId="0" fontId="136" fillId="0" borderId="32" xfId="0" applyFont="1" applyBorder="1" applyAlignment="1">
      <alignment horizontal="left"/>
    </xf>
    <xf numFmtId="0" fontId="136" fillId="0" borderId="33" xfId="0" applyFont="1" applyBorder="1" applyAlignment="1">
      <alignment horizontal="left"/>
    </xf>
    <xf numFmtId="0" fontId="90" fillId="9" borderId="31" xfId="0" applyFont="1" applyFill="1" applyBorder="1" applyAlignment="1">
      <alignment horizontal="left" vertical="center"/>
    </xf>
    <xf numFmtId="0" fontId="115" fillId="67" borderId="0" xfId="0" applyFont="1" applyFill="1" applyAlignment="1">
      <alignment horizontal="center" vertical="center"/>
    </xf>
    <xf numFmtId="0" fontId="116" fillId="68" borderId="34" xfId="0" applyFont="1" applyFill="1" applyBorder="1" applyAlignment="1">
      <alignment horizontal="center" vertical="center"/>
    </xf>
    <xf numFmtId="2" fontId="131" fillId="77" borderId="0" xfId="0" applyNumberFormat="1" applyFont="1" applyFill="1" applyAlignment="1">
      <alignment horizontal="center" vertical="center"/>
    </xf>
    <xf numFmtId="0" fontId="10" fillId="57" borderId="0" xfId="0" applyFont="1" applyFill="1" applyAlignment="1">
      <alignment horizontal="center"/>
    </xf>
    <xf numFmtId="0" fontId="164" fillId="76" borderId="0" xfId="0" applyFont="1" applyFill="1" applyAlignment="1">
      <alignment horizontal="left" vertical="center"/>
    </xf>
    <xf numFmtId="0" fontId="90" fillId="9" borderId="0" xfId="0" applyFont="1" applyFill="1" applyAlignment="1">
      <alignment vertical="center"/>
    </xf>
    <xf numFmtId="0" fontId="91" fillId="9" borderId="0" xfId="0" applyFont="1" applyFill="1" applyAlignment="1">
      <alignment vertical="center"/>
    </xf>
    <xf numFmtId="0" fontId="90" fillId="9" borderId="0" xfId="0" applyFont="1" applyFill="1" applyAlignment="1">
      <alignment horizontal="left" vertical="center"/>
    </xf>
    <xf numFmtId="0" fontId="94" fillId="0" borderId="0" xfId="0" applyFont="1" applyAlignment="1">
      <alignment horizontal="left" vertical="center"/>
    </xf>
    <xf numFmtId="0" fontId="96" fillId="50" borderId="0" xfId="0" applyFont="1" applyFill="1" applyAlignment="1">
      <alignment horizontal="left" vertical="center"/>
    </xf>
    <xf numFmtId="0" fontId="115" fillId="67" borderId="0" xfId="0" applyFont="1" applyFill="1" applyAlignment="1">
      <alignment horizontal="left" vertical="center"/>
    </xf>
    <xf numFmtId="0" fontId="91" fillId="9" borderId="0" xfId="0" applyFont="1" applyFill="1" applyAlignment="1">
      <alignment horizontal="left" vertical="center"/>
    </xf>
    <xf numFmtId="0" fontId="110" fillId="47" borderId="0" xfId="0" applyFont="1" applyFill="1" applyAlignment="1">
      <alignment horizontal="left"/>
    </xf>
    <xf numFmtId="0" fontId="111" fillId="47" borderId="0" xfId="0" applyFont="1" applyFill="1" applyAlignment="1">
      <alignment horizontal="left"/>
    </xf>
    <xf numFmtId="0" fontId="96" fillId="40" borderId="0" xfId="0" applyFont="1" applyFill="1" applyAlignment="1">
      <alignment horizontal="left"/>
    </xf>
    <xf numFmtId="0" fontId="112" fillId="47" borderId="0" xfId="0" applyFont="1" applyFill="1" applyAlignment="1">
      <alignment horizontal="left"/>
    </xf>
    <xf numFmtId="0" fontId="113" fillId="47" borderId="0" xfId="0" applyFont="1" applyFill="1" applyAlignment="1">
      <alignment horizontal="left"/>
    </xf>
    <xf numFmtId="0" fontId="100" fillId="57" borderId="0" xfId="0" applyFont="1" applyFill="1" applyAlignment="1">
      <alignment horizontal="left"/>
    </xf>
    <xf numFmtId="0" fontId="121" fillId="79" borderId="0" xfId="0" applyFont="1" applyFill="1" applyAlignment="1">
      <alignment horizontal="left"/>
    </xf>
    <xf numFmtId="0" fontId="2" fillId="0" borderId="5" xfId="0" applyFont="1" applyBorder="1" applyAlignment="1"/>
    <xf numFmtId="0" fontId="2" fillId="0" borderId="14" xfId="0" applyFont="1" applyBorder="1" applyAlignment="1"/>
    <xf numFmtId="0" fontId="15" fillId="0" borderId="0" xfId="0" applyFont="1" applyAlignment="1"/>
    <xf numFmtId="0" fontId="0" fillId="0" borderId="0" xfId="0" applyAlignment="1"/>
    <xf numFmtId="0" fontId="81" fillId="0" borderId="2" xfId="0" applyFont="1" applyBorder="1" applyAlignment="1"/>
    <xf numFmtId="0" fontId="81" fillId="0" borderId="3" xfId="0" applyFont="1" applyBorder="1" applyAlignment="1"/>
    <xf numFmtId="0" fontId="92" fillId="0" borderId="0" xfId="0" applyFont="1" applyAlignment="1"/>
    <xf numFmtId="0" fontId="103" fillId="0" borderId="0" xfId="0" applyFont="1" applyAlignment="1"/>
  </cellXfs>
  <cellStyles count="4">
    <cellStyle name="Currency 2" xfId="3" xr:uid="{C807637F-7CAA-4B37-95EE-A5D05F8122D2}"/>
    <cellStyle name="Hyperlink" xfId="1" builtinId="8"/>
    <cellStyle name="Normal" xfId="0" builtinId="0"/>
    <cellStyle name="Percent" xfId="2" builtinId="5"/>
  </cellStyles>
  <dxfs count="276">
    <dxf>
      <font>
        <b/>
      </font>
      <alignment horizontal="center" vertical="center" textRotation="0" wrapText="0" indent="0" justifyLastLine="0" shrinkToFit="0" readingOrder="0"/>
    </dxf>
    <dxf>
      <font>
        <b/>
      </font>
      <alignment horizontal="center" vertical="center"/>
    </dxf>
    <dxf>
      <font>
        <b/>
        <color rgb="FFFF0000"/>
      </font>
      <alignment horizontal="center" vertical="center"/>
    </dxf>
    <dxf>
      <font>
        <b/>
      </font>
      <alignment horizontal="center" vertical="center"/>
    </dxf>
    <dxf>
      <border outline="0">
        <bottom style="medium">
          <color theme="0"/>
        </bottom>
      </border>
    </dxf>
    <dxf>
      <font>
        <b/>
        <i val="0"/>
        <strike val="0"/>
        <condense val="0"/>
        <extend val="0"/>
        <outline val="0"/>
        <shadow val="0"/>
        <u val="none"/>
        <vertAlign val="baseline"/>
        <sz val="10"/>
        <color theme="0"/>
        <name val="Arial"/>
        <scheme val="minor"/>
      </font>
      <fill>
        <patternFill patternType="solid">
          <fgColor theme="1"/>
          <bgColor theme="1"/>
        </patternFill>
      </fill>
    </dxf>
    <dxf>
      <font>
        <b/>
      </font>
      <alignment horizontal="center" vertical="center"/>
    </dxf>
    <dxf>
      <font>
        <b/>
        <color theme="0"/>
      </font>
      <alignment horizontal="center"/>
    </dxf>
    <dxf>
      <font>
        <b/>
        <color rgb="FFFF0000"/>
      </font>
      <alignment horizontal="center" vertical="center"/>
    </dxf>
    <dxf>
      <font>
        <b/>
      </font>
      <alignment horizontal="center" vertical="center"/>
    </dxf>
    <dxf>
      <font>
        <b/>
        <i val="0"/>
        <color theme="0"/>
      </font>
      <fill>
        <patternFill patternType="solid">
          <bgColor rgb="FF690202"/>
        </patternFill>
      </fill>
    </dxf>
    <dxf>
      <font>
        <b/>
        <i val="0"/>
        <color theme="0"/>
      </font>
      <fill>
        <patternFill patternType="solid">
          <bgColor rgb="FF690202"/>
        </patternFill>
      </fill>
    </dxf>
    <dxf>
      <font>
        <b/>
        <i val="0"/>
        <color rgb="FFC00000"/>
      </font>
      <fill>
        <patternFill>
          <bgColor theme="1" tint="4.9989318521683403E-2"/>
        </patternFill>
      </fill>
    </dxf>
    <dxf>
      <font>
        <b/>
        <i val="0"/>
        <color theme="2" tint="-0.34998626667073579"/>
      </font>
      <fill>
        <patternFill>
          <bgColor theme="1" tint="4.9989318521683403E-2"/>
        </patternFill>
      </fill>
    </dxf>
    <dxf>
      <font>
        <b/>
        <i val="0"/>
        <color rgb="FF0070C0"/>
      </font>
      <fill>
        <patternFill>
          <bgColor theme="1" tint="4.9989318521683403E-2"/>
        </patternFill>
      </fill>
    </dxf>
    <dxf>
      <font>
        <b/>
        <i val="0"/>
        <color rgb="FF000000"/>
      </font>
      <fill>
        <patternFill patternType="solid">
          <bgColor rgb="FF660033"/>
        </patternFill>
      </fill>
    </dxf>
    <dxf>
      <font>
        <b/>
        <i val="0"/>
        <color rgb="FF000000"/>
      </font>
      <fill>
        <patternFill patternType="solid">
          <bgColor rgb="FF660033"/>
        </patternFill>
      </fill>
    </dxf>
    <dxf>
      <numFmt numFmtId="1" formatCode="0"/>
    </dxf>
    <dxf>
      <numFmt numFmtId="0" formatCode="General"/>
    </dxf>
    <dxf>
      <numFmt numFmtId="0" formatCode="General"/>
    </dxf>
    <dxf>
      <numFmt numFmtId="13" formatCode="0%"/>
    </dxf>
    <dxf>
      <numFmt numFmtId="0" formatCode="General"/>
    </dxf>
    <dxf>
      <numFmt numFmtId="13" formatCode="0%"/>
    </dxf>
    <dxf>
      <font>
        <b val="0"/>
        <i val="0"/>
        <strike val="0"/>
        <condense val="0"/>
        <extend val="0"/>
        <outline val="0"/>
        <shadow val="0"/>
        <u val="none"/>
        <vertAlign val="baseline"/>
        <sz val="10"/>
        <color theme="0"/>
        <name val="Arial"/>
        <scheme val="minor"/>
      </font>
      <fill>
        <patternFill patternType="solid">
          <fgColor indexed="64"/>
          <bgColor theme="8"/>
        </patternFill>
      </fill>
      <alignment horizontal="center" vertical="bottom" textRotation="0" wrapText="0" indent="0" justifyLastLine="0" shrinkToFit="0" readingOrder="0"/>
    </dxf>
    <dxf>
      <numFmt numFmtId="13" formatCode="0%"/>
    </dxf>
    <dxf>
      <numFmt numFmtId="13" formatCode="0%"/>
    </dxf>
    <dxf>
      <numFmt numFmtId="0" formatCode="General"/>
    </dxf>
    <dxf>
      <numFmt numFmtId="13" formatCode="0%"/>
    </dxf>
    <dxf>
      <font>
        <b/>
        <i val="0"/>
        <strike val="0"/>
        <condense val="0"/>
        <extend val="0"/>
        <outline val="0"/>
        <shadow val="0"/>
        <u val="none"/>
        <vertAlign val="baseline"/>
        <sz val="10"/>
        <color rgb="FF000000"/>
        <name val="Arial"/>
        <scheme val="minor"/>
      </font>
      <fill>
        <patternFill patternType="solid">
          <fgColor indexed="64"/>
          <bgColor rgb="FF7B0323"/>
        </patternFill>
      </fill>
      <alignment horizontal="center" vertical="bottom" textRotation="0" wrapText="0" indent="0" justifyLastLine="0" shrinkToFit="0" readingOrder="0"/>
    </dxf>
    <dxf>
      <font>
        <b/>
        <color theme="0"/>
      </font>
      <numFmt numFmtId="1" formatCode="0"/>
      <fill>
        <patternFill patternType="solid">
          <fgColor indexed="64"/>
          <bgColor theme="1" tint="0.14999847407452621"/>
        </patternFill>
      </fill>
      <alignment horizontal="center" vertical="bottom" textRotation="0" wrapText="0" indent="0" justifyLastLine="0" shrinkToFit="0" readingOrder="0"/>
    </dxf>
    <dxf>
      <numFmt numFmtId="1" formatCode="0"/>
      <fill>
        <patternFill patternType="solid">
          <fgColor indexed="64"/>
          <bgColor theme="0" tint="-0.14999847407452621"/>
        </patternFill>
      </fill>
      <alignment horizontal="center" vertical="bottom" textRotation="0" wrapText="0" indent="0" justifyLastLine="0" shrinkToFit="0" readingOrder="0"/>
    </dxf>
    <dxf>
      <font>
        <b/>
        <color theme="0"/>
      </font>
      <numFmt numFmtId="1" formatCode="0"/>
      <fill>
        <patternFill patternType="solid">
          <fgColor indexed="64"/>
          <bgColor theme="1" tint="0.14999847407452621"/>
        </patternFill>
      </fill>
      <alignment horizontal="center" vertical="bottom" textRotation="0" wrapText="0" indent="0" justifyLastLine="0" shrinkToFit="0" readingOrder="0"/>
    </dxf>
    <dxf>
      <numFmt numFmtId="1" formatCode="0"/>
      <fill>
        <patternFill patternType="solid">
          <fgColor indexed="64"/>
          <bgColor theme="0" tint="-0.14999847407452621"/>
        </patternFill>
      </fill>
      <alignment horizontal="center"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0"/>
        <color rgb="FF000000"/>
        <name val="Arial"/>
        <scheme val="minor"/>
      </font>
    </dxf>
    <dxf>
      <alignment horizontal="center" vertical="bottom" textRotation="0" wrapText="0" indent="0" justifyLastLine="0" shrinkToFit="0" readingOrder="0"/>
    </dxf>
    <dxf>
      <font>
        <b/>
      </font>
      <alignment horizontal="center" vertical="bottom" textRotation="0" wrapText="0" indent="0" justifyLastLine="0" shrinkToFit="0" readingOrder="0"/>
    </dxf>
    <dxf>
      <alignment horizontal="center" vertical="bottom" textRotation="0" wrapText="0" indent="0" justifyLastLine="0" shrinkToFit="0" readingOrder="0"/>
    </dxf>
    <dxf>
      <numFmt numFmtId="13" formatCode="0%"/>
    </dxf>
    <dxf>
      <numFmt numFmtId="13" formatCode="0%"/>
    </dxf>
    <dxf>
      <font>
        <b val="0"/>
        <i val="0"/>
        <strike val="0"/>
        <condense val="0"/>
        <extend val="0"/>
        <outline val="0"/>
        <shadow val="0"/>
        <u val="none"/>
        <vertAlign val="baseline"/>
        <sz val="10"/>
        <color theme="0"/>
        <name val="Arial"/>
        <scheme val="minor"/>
      </font>
      <fill>
        <patternFill patternType="solid">
          <fgColor indexed="64"/>
          <bgColor theme="8"/>
        </patternFill>
      </fill>
      <alignment horizontal="center" vertical="bottom" textRotation="0" wrapText="0" indent="0" justifyLastLine="0" shrinkToFit="0" readingOrder="0"/>
    </dxf>
    <dxf>
      <numFmt numFmtId="183" formatCode="0.0%"/>
    </dxf>
    <dxf>
      <numFmt numFmtId="183" formatCode="0.0%"/>
    </dxf>
    <dxf>
      <numFmt numFmtId="13" formatCode="0%"/>
      <alignment horizontal="center" vertical="center" textRotation="0" wrapText="0" indent="0" justifyLastLine="0" shrinkToFit="0" readingOrder="0"/>
    </dxf>
    <dxf>
      <font>
        <b/>
        <i val="0"/>
        <strike val="0"/>
        <condense val="0"/>
        <extend val="0"/>
        <outline val="0"/>
        <shadow val="0"/>
        <u val="none"/>
        <vertAlign val="baseline"/>
        <sz val="10"/>
        <color rgb="FF000000"/>
        <name val="Arial"/>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rgb="FF000000"/>
        <name val="Arial"/>
        <scheme val="minor"/>
      </font>
      <fill>
        <patternFill patternType="solid">
          <fgColor indexed="64"/>
          <bgColor rgb="FF7B0323"/>
        </patternFill>
      </fill>
      <alignment horizontal="center" vertical="bottom" textRotation="0" wrapText="0" indent="0" justifyLastLine="0" shrinkToFit="0" readingOrder="0"/>
    </dxf>
    <dxf>
      <font>
        <b/>
        <color theme="0"/>
      </font>
      <numFmt numFmtId="1" formatCode="0"/>
      <fill>
        <patternFill patternType="solid">
          <fgColor indexed="64"/>
          <bgColor theme="1"/>
        </patternFill>
      </fill>
      <alignment horizontal="center"/>
    </dxf>
    <dxf>
      <numFmt numFmtId="1" formatCode="0"/>
      <fill>
        <patternFill patternType="solid">
          <fgColor indexed="64"/>
          <bgColor theme="0" tint="-0.14999847407452621"/>
        </patternFill>
      </fill>
      <alignment horizontal="center"/>
    </dxf>
    <dxf>
      <font>
        <b/>
      </font>
      <alignment horizontal="center"/>
    </dxf>
    <dxf>
      <font>
        <b/>
      </font>
    </dxf>
    <dxf>
      <numFmt numFmtId="13" formatCode="0%"/>
    </dxf>
    <dxf>
      <font>
        <b val="0"/>
        <i val="0"/>
        <strike val="0"/>
        <condense val="0"/>
        <extend val="0"/>
        <outline val="0"/>
        <shadow val="0"/>
        <u val="none"/>
        <vertAlign val="baseline"/>
        <sz val="10"/>
        <color theme="0"/>
        <name val="Arial"/>
        <scheme val="minor"/>
      </font>
      <fill>
        <patternFill patternType="solid">
          <fgColor indexed="64"/>
          <bgColor theme="8"/>
        </patternFill>
      </fill>
      <alignment horizontal="center" vertical="bottom" textRotation="0" wrapText="0" indent="0" justifyLastLine="0" shrinkToFit="0" readingOrder="0"/>
    </dxf>
    <dxf>
      <numFmt numFmtId="13" formatCode="0%"/>
    </dxf>
    <dxf>
      <numFmt numFmtId="13" formatCode="0%"/>
    </dxf>
    <dxf>
      <numFmt numFmtId="13" formatCode="0%"/>
    </dxf>
    <dxf>
      <font>
        <b/>
        <i val="0"/>
        <strike val="0"/>
        <condense val="0"/>
        <extend val="0"/>
        <outline val="0"/>
        <shadow val="0"/>
        <u val="none"/>
        <vertAlign val="baseline"/>
        <sz val="10"/>
        <color rgb="FF000000"/>
        <name val="Arial"/>
        <scheme val="minor"/>
      </font>
      <fill>
        <patternFill patternType="solid">
          <fgColor indexed="64"/>
          <bgColor rgb="FF7B0323"/>
        </patternFill>
      </fill>
      <alignment horizontal="center" vertical="bottom" textRotation="0" wrapText="0" indent="0" justifyLastLine="0" shrinkToFit="0" readingOrder="0"/>
    </dxf>
    <dxf>
      <alignment horizontal="center"/>
    </dxf>
    <dxf>
      <font>
        <b/>
      </font>
      <alignment horizontal="center" vertical="center"/>
    </dxf>
    <dxf>
      <font>
        <b/>
        <i val="0"/>
        <strike val="0"/>
        <condense val="0"/>
        <extend val="0"/>
        <outline val="0"/>
        <shadow val="0"/>
        <u val="none"/>
        <vertAlign val="baseline"/>
        <sz val="10"/>
        <color rgb="FF000000"/>
        <name val="Arial"/>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family val="2"/>
        <scheme val="minor"/>
      </font>
    </dxf>
    <dxf>
      <font>
        <b val="0"/>
        <i val="0"/>
        <strike val="0"/>
        <condense val="0"/>
        <extend val="0"/>
        <outline val="0"/>
        <shadow val="0"/>
        <u val="none"/>
        <vertAlign val="baseline"/>
        <sz val="10"/>
        <color rgb="FFFFFFFF"/>
        <name val="Arial"/>
        <scheme val="minor"/>
      </font>
      <fill>
        <patternFill patternType="solid">
          <fgColor indexed="64"/>
          <bgColor rgb="FF002060"/>
        </patternFill>
      </fill>
      <alignment horizontal="center" vertical="bottom" textRotation="0" wrapText="0" indent="0" justifyLastLine="0" shrinkToFit="0" readingOrder="0"/>
    </dxf>
    <dxf>
      <numFmt numFmtId="13" formatCode="0%"/>
      <fill>
        <patternFill patternType="solid">
          <fgColor indexed="64"/>
          <bgColor rgb="FFA9D08E"/>
        </patternFill>
      </fill>
      <alignment horizontal="center" vertical="bottom" textRotation="0" wrapText="0" indent="0" justifyLastLine="0" shrinkToFit="0" readingOrder="0"/>
    </dxf>
    <dxf>
      <numFmt numFmtId="2" formatCode="0.00"/>
      <fill>
        <patternFill patternType="solid">
          <fgColor indexed="64"/>
          <bgColor rgb="FFD0CECE"/>
        </patternFill>
      </fill>
    </dxf>
    <dxf>
      <font>
        <b/>
        <i val="0"/>
        <strike val="0"/>
        <condense val="0"/>
        <extend val="0"/>
        <outline val="0"/>
        <shadow val="0"/>
        <u val="none"/>
        <vertAlign val="baseline"/>
        <sz val="8"/>
        <color rgb="FFF2F2F2"/>
        <name val="Arial"/>
        <family val="2"/>
        <scheme val="minor"/>
      </font>
      <fill>
        <patternFill patternType="solid">
          <fgColor indexed="64"/>
          <bgColor rgb="FF757171"/>
        </patternFill>
      </fill>
    </dxf>
    <dxf>
      <alignment horizontal="center"/>
    </dxf>
    <dxf>
      <numFmt numFmtId="165" formatCode="&quot;$&quot;#,##0.00"/>
    </dxf>
    <dxf>
      <font>
        <b/>
        <sz val="12"/>
        <color theme="0" tint="-4.9989318521683403E-2"/>
      </font>
      <numFmt numFmtId="1" formatCode="0"/>
      <fill>
        <patternFill patternType="solid">
          <fgColor indexed="64"/>
          <bgColor theme="1" tint="0.14999847407452621"/>
        </patternFill>
      </fill>
      <alignment horizontal="center" vertical="center" textRotation="0" wrapText="0" indent="0" justifyLastLine="0" shrinkToFit="0" readingOrder="0"/>
    </dxf>
    <dxf>
      <numFmt numFmtId="165" formatCode="&quot;$&quot;#,##0.00"/>
    </dxf>
    <dxf>
      <font>
        <sz val="12"/>
        <color theme="0"/>
      </font>
      <fill>
        <patternFill patternType="solid">
          <fgColor indexed="64"/>
          <bgColor theme="1"/>
        </patternFill>
      </fill>
      <alignment horizontal="center"/>
    </dxf>
    <dxf>
      <alignment horizontal="center"/>
    </dxf>
    <dxf>
      <font>
        <b/>
      </font>
      <fill>
        <patternFill patternType="solid">
          <fgColor indexed="64"/>
          <bgColor theme="0" tint="-4.9989318521683403E-2"/>
        </patternFill>
      </fill>
      <alignment horizontal="center" vertical="center" textRotation="0" wrapText="0" indent="0" justifyLastLine="0" shrinkToFit="0" readingOrder="0"/>
    </dxf>
    <dxf>
      <font>
        <b/>
        <sz val="8"/>
        <color rgb="FFC65911"/>
      </font>
      <fill>
        <patternFill patternType="solid">
          <fgColor indexed="64"/>
          <bgColor theme="1" tint="0.14999847407452621"/>
        </patternFill>
      </fill>
      <alignment horizontal="center" vertical="center"/>
    </dxf>
    <dxf>
      <font>
        <b/>
        <i val="0"/>
        <strike val="0"/>
        <condense val="0"/>
        <extend val="0"/>
        <outline val="0"/>
        <shadow val="0"/>
        <u val="none"/>
        <vertAlign val="baseline"/>
        <sz val="10"/>
        <color rgb="FFAEAAAA"/>
        <name val="Arial"/>
        <scheme val="minor"/>
      </font>
      <fill>
        <patternFill patternType="solid">
          <fgColor indexed="64"/>
          <bgColor rgb="FF0D0D0D"/>
        </patternFill>
      </fill>
      <alignment horizontal="center" vertical="center" textRotation="0" wrapText="0" indent="0" justifyLastLine="0" shrinkToFit="0" readingOrder="0"/>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rgb="FF000000"/>
      </font>
      <fill>
        <patternFill patternType="solid">
          <bgColor rgb="FFC0C5B2"/>
        </patternFill>
      </fill>
    </dxf>
    <dxf>
      <font>
        <b/>
        <i val="0"/>
        <color rgb="FF554840"/>
      </font>
      <fill>
        <patternFill patternType="solid">
          <bgColor rgb="FFFFFFFF"/>
        </patternFill>
      </fill>
    </dxf>
    <dxf>
      <font>
        <b/>
        <i val="0"/>
        <color rgb="FF554840"/>
      </font>
      <fill>
        <patternFill patternType="solid">
          <bgColor rgb="FFE2D0AA"/>
        </patternFill>
      </fill>
    </dxf>
    <dxf>
      <font>
        <b/>
        <i val="0"/>
        <color theme="1"/>
      </font>
      <fill>
        <patternFill patternType="solid">
          <bgColor rgb="FFC00000"/>
        </patternFill>
      </fill>
    </dxf>
    <dxf>
      <font>
        <b/>
        <i val="0"/>
        <color theme="1"/>
      </font>
      <fill>
        <patternFill patternType="solid">
          <bgColor rgb="FF7B0323"/>
        </patternFill>
      </fill>
    </dxf>
    <dxf>
      <font>
        <b/>
        <i val="0"/>
        <color theme="1"/>
      </font>
      <fill>
        <patternFill patternType="solid">
          <bgColor rgb="FF7B0323"/>
        </patternFill>
      </fill>
    </dxf>
    <dxf>
      <font>
        <b/>
        <i val="0"/>
        <color theme="1"/>
      </font>
      <fill>
        <patternFill patternType="solid">
          <bgColor rgb="FF7B0323"/>
        </patternFill>
      </fill>
    </dxf>
    <dxf>
      <font>
        <b/>
        <i val="0"/>
        <color theme="1"/>
      </font>
      <fill>
        <patternFill patternType="solid">
          <bgColor rgb="FF7B0323"/>
        </patternFill>
      </fill>
    </dxf>
    <dxf>
      <font>
        <color theme="1"/>
      </font>
      <fill>
        <patternFill patternType="solid">
          <bgColor rgb="FF7B0323"/>
        </patternFill>
      </fill>
    </dxf>
    <dxf>
      <font>
        <color theme="1"/>
      </font>
      <fill>
        <patternFill patternType="solid">
          <bgColor rgb="FF7B0323"/>
        </patternFill>
      </fill>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554840"/>
      </font>
      <fill>
        <patternFill patternType="solid">
          <fgColor rgb="FFF3F3F3"/>
          <bgColor rgb="FFF3F3F3"/>
        </patternFill>
      </fill>
    </dxf>
    <dxf>
      <font>
        <b/>
        <i val="0"/>
        <color theme="1"/>
      </font>
      <fill>
        <patternFill patternType="solid">
          <bgColor rgb="FF7B0323"/>
        </patternFill>
      </fill>
    </dxf>
    <dxf>
      <font>
        <color theme="1"/>
      </font>
      <fill>
        <patternFill patternType="solid">
          <bgColor rgb="FF7B0323"/>
        </patternFill>
      </fill>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554840"/>
      </font>
      <fill>
        <patternFill patternType="solid">
          <fgColor rgb="FFF3F3F3"/>
          <bgColor rgb="FFF3F3F3"/>
        </patternFill>
      </fill>
    </dxf>
    <dxf>
      <font>
        <b/>
        <i val="0"/>
        <color theme="1" tint="4.9989318521683403E-2"/>
      </font>
      <fill>
        <patternFill patternType="solid">
          <bgColor rgb="FF7B0323"/>
        </patternFill>
      </fill>
    </dxf>
    <dxf>
      <font>
        <b/>
        <i val="0"/>
        <color rgb="FF000000"/>
      </font>
      <fill>
        <patternFill patternType="solid">
          <bgColor rgb="FFC0C5B2"/>
        </patternFill>
      </fill>
    </dxf>
    <dxf>
      <font>
        <b/>
        <i val="0"/>
        <color rgb="FF554840"/>
      </font>
      <fill>
        <patternFill patternType="solid">
          <bgColor rgb="FFE2D0AA"/>
        </patternFill>
      </fill>
    </dxf>
    <dxf>
      <font>
        <b/>
        <i val="0"/>
        <color rgb="FF554840"/>
      </font>
      <fill>
        <patternFill patternType="solid">
          <bgColor rgb="FFFFFFFF"/>
        </patternFill>
      </fill>
    </dxf>
    <dxf>
      <font>
        <b/>
        <i val="0"/>
        <color rgb="FF000000"/>
      </font>
      <fill>
        <patternFill patternType="solid">
          <bgColor rgb="FFC0C5B2"/>
        </patternFill>
      </fill>
    </dxf>
    <dxf>
      <font>
        <b/>
        <i val="0"/>
        <color rgb="FF554840"/>
      </font>
      <fill>
        <patternFill patternType="solid">
          <bgColor rgb="FFE2D0AA"/>
        </patternFill>
      </fill>
    </dxf>
    <dxf>
      <font>
        <b/>
        <i val="0"/>
        <color rgb="FF554840"/>
      </font>
      <fill>
        <patternFill patternType="solid">
          <bgColor rgb="FFFFFFFF"/>
        </patternFill>
      </fill>
    </dxf>
    <dxf>
      <font>
        <b/>
        <i val="0"/>
        <color rgb="FF000000"/>
      </font>
      <fill>
        <patternFill patternType="solid">
          <bgColor rgb="FFC0C5B2"/>
        </patternFill>
      </fill>
    </dxf>
    <dxf>
      <font>
        <b/>
        <i val="0"/>
        <color rgb="FF554840"/>
      </font>
      <fill>
        <patternFill patternType="solid">
          <bgColor rgb="FFE2D0AA"/>
        </patternFill>
      </fill>
    </dxf>
    <dxf>
      <font>
        <b/>
        <i val="0"/>
        <color rgb="FF554840"/>
      </font>
      <fill>
        <patternFill patternType="solid">
          <bgColor rgb="FFFFFFFF"/>
        </patternFill>
      </fill>
    </dxf>
    <dxf>
      <font>
        <b/>
        <i val="0"/>
        <color theme="9" tint="-0.499984740745262"/>
      </font>
      <fill>
        <patternFill patternType="solid">
          <bgColor theme="1" tint="4.9989318521683403E-2"/>
        </patternFill>
      </fill>
    </dxf>
    <dxf>
      <font>
        <b/>
        <i val="0"/>
        <color theme="8" tint="0.39997558519241921"/>
      </font>
      <fill>
        <patternFill patternType="solid">
          <bgColor theme="1" tint="4.9989318521683403E-2"/>
        </patternFill>
      </fill>
    </dxf>
    <dxf>
      <font>
        <b/>
        <i val="0"/>
        <color rgb="FFC00000"/>
      </font>
      <fill>
        <patternFill>
          <bgColor theme="1" tint="4.9989318521683403E-2"/>
        </patternFill>
      </fill>
    </dxf>
    <dxf>
      <font>
        <b/>
        <i val="0"/>
        <color theme="2" tint="-0.34998626667073579"/>
      </font>
      <fill>
        <patternFill>
          <bgColor theme="1" tint="4.9989318521683403E-2"/>
        </patternFill>
      </fill>
    </dxf>
    <dxf>
      <font>
        <b/>
        <i val="0"/>
        <color rgb="FF0070C0"/>
      </font>
      <fill>
        <patternFill>
          <bgColor theme="1" tint="4.9989318521683403E-2"/>
        </patternFill>
      </fill>
    </dxf>
    <dxf>
      <font>
        <b/>
        <i val="0"/>
        <color rgb="FF000000"/>
      </font>
      <fill>
        <patternFill patternType="solid">
          <bgColor rgb="FF660033"/>
        </patternFill>
      </fill>
    </dxf>
    <dxf>
      <font>
        <b/>
        <i val="0"/>
        <color rgb="FF000000"/>
      </font>
      <fill>
        <patternFill patternType="solid">
          <bgColor rgb="FF660033"/>
        </patternFill>
      </fill>
    </dxf>
    <dxf>
      <font>
        <b/>
        <color rgb="FF554840"/>
      </font>
      <fill>
        <patternFill patternType="solid">
          <fgColor rgb="FFE2D0AA"/>
          <bgColor rgb="FFE2D0AA"/>
        </patternFill>
      </fill>
    </dxf>
    <dxf>
      <font>
        <b/>
        <color rgb="FF554840"/>
      </font>
      <fill>
        <patternFill patternType="solid">
          <fgColor rgb="FFE2D0AA"/>
          <bgColor rgb="FFE2D0AA"/>
        </patternFill>
      </fill>
    </dxf>
    <dxf>
      <font>
        <b/>
        <color theme="1"/>
      </font>
      <fill>
        <patternFill patternType="solid">
          <fgColor rgb="FFC0C5B2"/>
          <bgColor rgb="FFC0C5B2"/>
        </patternFill>
      </fill>
    </dxf>
    <dxf>
      <font>
        <b/>
      </font>
      <fill>
        <patternFill patternType="solid">
          <fgColor rgb="FFD9EAD3"/>
          <bgColor rgb="FFD9EAD3"/>
        </patternFill>
      </fill>
    </dxf>
    <dxf>
      <fill>
        <patternFill patternType="solid">
          <fgColor rgb="FF5B0F00"/>
          <bgColor rgb="FF5B0F00"/>
        </patternFill>
      </fill>
    </dxf>
    <dxf>
      <font>
        <b/>
        <color rgb="FF000000"/>
      </font>
      <fill>
        <patternFill patternType="solid">
          <fgColor rgb="FF274E13"/>
          <bgColor rgb="FF274E13"/>
        </patternFill>
      </fill>
    </dxf>
    <dxf>
      <font>
        <b/>
        <color rgb="FF5B0F00"/>
      </font>
      <fill>
        <patternFill patternType="none"/>
      </fill>
    </dxf>
    <dxf>
      <font>
        <b/>
        <color rgb="FF0C343D"/>
      </font>
      <fill>
        <patternFill patternType="none"/>
      </fill>
    </dxf>
    <dxf>
      <font>
        <color rgb="FFF5F5F5"/>
      </font>
      <fill>
        <patternFill patternType="solid">
          <fgColor rgb="FF5B0F00"/>
          <bgColor rgb="FF5B0F00"/>
        </patternFill>
      </fill>
    </dxf>
    <dxf>
      <font>
        <color rgb="FFCCCCCC"/>
      </font>
      <fill>
        <patternFill patternType="solid">
          <fgColor rgb="FF5B0F00"/>
          <bgColor rgb="FF5B0F00"/>
        </patternFill>
      </fill>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000000"/>
      </font>
      <fill>
        <patternFill patternType="solid">
          <fgColor rgb="FF85200C"/>
          <bgColor rgb="FF85200C"/>
        </patternFill>
      </fill>
    </dxf>
    <dxf>
      <font>
        <b/>
        <color rgb="FF000000"/>
      </font>
      <fill>
        <patternFill patternType="solid">
          <fgColor rgb="FF85200C"/>
          <bgColor rgb="FF85200C"/>
        </patternFill>
      </fill>
    </dxf>
    <dxf>
      <font>
        <b/>
        <color rgb="FF000000"/>
      </font>
      <fill>
        <patternFill patternType="solid">
          <fgColor rgb="FF85200C"/>
          <bgColor rgb="FF85200C"/>
        </patternFill>
      </fill>
    </dxf>
    <dxf>
      <font>
        <b/>
        <color rgb="FF000000"/>
      </font>
      <fill>
        <patternFill patternType="solid">
          <fgColor rgb="FF980000"/>
          <bgColor rgb="FF980000"/>
        </patternFill>
      </fill>
    </dxf>
    <dxf>
      <font>
        <b/>
        <color rgb="FF980000"/>
      </font>
      <fill>
        <patternFill patternType="solid">
          <fgColor rgb="FFF4CCCC"/>
          <bgColor rgb="FFF4CCCC"/>
        </patternFill>
      </fill>
    </dxf>
    <dxf>
      <font>
        <b/>
      </font>
      <fill>
        <patternFill patternType="solid">
          <fgColor rgb="FFD9EAD3"/>
          <bgColor rgb="FFD9EAD3"/>
        </patternFill>
      </fill>
    </dxf>
    <dxf>
      <font>
        <b/>
        <color rgb="FF554840"/>
      </font>
      <fill>
        <patternFill patternType="solid">
          <fgColor rgb="FFE2D0AA"/>
          <bgColor rgb="FFE2D0AA"/>
        </patternFill>
      </fill>
    </dxf>
    <dxf>
      <font>
        <b/>
        <color theme="1"/>
      </font>
      <fill>
        <patternFill patternType="solid">
          <fgColor rgb="FFC0C5B2"/>
          <bgColor rgb="FFC0C5B2"/>
        </patternFill>
      </fill>
    </dxf>
    <dxf>
      <fill>
        <patternFill patternType="solid">
          <fgColor rgb="FFC0C5B2"/>
          <bgColor rgb="FFC0C5B2"/>
        </patternFill>
      </fill>
    </dxf>
    <dxf>
      <fill>
        <patternFill patternType="solid">
          <fgColor rgb="FFA27547"/>
          <bgColor rgb="FFA27547"/>
        </patternFill>
      </fill>
    </dxf>
    <dxf>
      <font>
        <color rgb="FFD9D9D9"/>
      </font>
      <fill>
        <patternFill patternType="solid">
          <fgColor rgb="FFD9D9D9"/>
          <bgColor rgb="FFD9D9D9"/>
        </patternFill>
      </fill>
    </dxf>
    <dxf>
      <font>
        <b/>
        <color theme="1"/>
      </font>
      <fill>
        <patternFill patternType="solid">
          <fgColor rgb="FFC0C5B2"/>
          <bgColor rgb="FFC0C5B2"/>
        </patternFill>
      </fill>
    </dxf>
    <dxf>
      <font>
        <b/>
        <color rgb="FF554840"/>
      </font>
      <fill>
        <patternFill patternType="solid">
          <fgColor rgb="FFE2D0AA"/>
          <bgColor rgb="FFE2D0AA"/>
        </patternFill>
      </fill>
    </dxf>
    <dxf>
      <font>
        <b/>
        <color theme="1"/>
      </font>
      <fill>
        <patternFill patternType="solid">
          <fgColor rgb="FFC0C5B2"/>
          <bgColor rgb="FFC0C5B2"/>
        </patternFill>
      </fill>
    </dxf>
    <dxf>
      <font>
        <b/>
        <color rgb="FF000000"/>
      </font>
      <fill>
        <patternFill patternType="solid">
          <fgColor rgb="FFD9EAD3"/>
          <bgColor rgb="FFD9EAD3"/>
        </patternFill>
      </fill>
    </dxf>
    <dxf>
      <font>
        <b/>
        <color rgb="FF980000"/>
      </font>
      <fill>
        <patternFill patternType="solid">
          <fgColor rgb="FFF4CCCC"/>
          <bgColor rgb="FFF4CCCC"/>
        </patternFill>
      </fill>
    </dxf>
    <dxf>
      <font>
        <sz val="10"/>
        <name val="Calibri"/>
      </font>
      <numFmt numFmtId="179" formatCode="0.0"/>
      <alignment horizontal="center" vertical="bottom" textRotation="0" wrapText="0" indent="0" justifyLastLine="0" shrinkToFit="0" readingOrder="0"/>
    </dxf>
    <dxf>
      <font>
        <b/>
        <sz val="10"/>
        <name val="Calibri"/>
      </font>
      <numFmt numFmtId="165" formatCode="&quot;$&quot;#,##0.00"/>
      <alignment horizontal="center" vertical="center"/>
    </dxf>
    <dxf>
      <font>
        <b val="0"/>
        <i val="0"/>
        <strike val="0"/>
        <condense val="0"/>
        <extend val="0"/>
        <outline val="0"/>
        <shadow val="0"/>
        <u val="none"/>
        <vertAlign val="baseline"/>
        <sz val="10"/>
        <color rgb="FF000000"/>
        <name val="Calibri"/>
        <scheme val="none"/>
      </font>
      <alignment horizontal="general" vertical="center" textRotation="0" wrapText="0" indent="0" justifyLastLine="0" shrinkToFit="0" readingOrder="0"/>
    </dxf>
    <dxf>
      <font>
        <sz val="10"/>
        <name val="Calibri"/>
      </font>
      <numFmt numFmtId="0" formatCode="General"/>
      <alignment horizontal="center" vertical="center"/>
    </dxf>
    <dxf>
      <font>
        <b val="0"/>
        <i val="0"/>
        <strike val="0"/>
        <condense val="0"/>
        <extend val="0"/>
        <outline val="0"/>
        <shadow val="0"/>
        <u val="none"/>
        <vertAlign val="baseline"/>
        <sz val="10"/>
        <color rgb="FF000000"/>
        <name val="Calibri"/>
        <scheme val="none"/>
      </font>
      <alignment horizontal="general" vertical="center" textRotation="0" wrapText="0" indent="0" justifyLastLine="0" shrinkToFit="0" readingOrder="0"/>
    </dxf>
    <dxf>
      <font>
        <sz val="10"/>
        <name val="Calibri"/>
      </font>
      <numFmt numFmtId="0" formatCode="General"/>
      <alignment horizontal="center" vertical="center"/>
    </dxf>
    <dxf>
      <font>
        <b val="0"/>
        <i val="0"/>
        <strike val="0"/>
        <condense val="0"/>
        <extend val="0"/>
        <outline val="0"/>
        <shadow val="0"/>
        <u val="none"/>
        <vertAlign val="baseline"/>
        <sz val="10"/>
        <color rgb="FF000000"/>
        <name val="Calibri"/>
        <scheme val="none"/>
      </font>
      <alignment horizontal="center" vertical="center" textRotation="0" wrapText="0" indent="0" justifyLastLine="0" shrinkToFit="0" readingOrder="0"/>
    </dxf>
    <dxf>
      <font>
        <sz val="10"/>
        <name val="Calibri"/>
      </font>
      <numFmt numFmtId="178" formatCode="&quot;$&quot;#,##0"/>
      <alignment horizontal="general" vertical="center" textRotation="0" wrapText="0" indent="0" justifyLastLine="0" shrinkToFit="0" readingOrder="0"/>
    </dxf>
    <dxf>
      <font>
        <b val="0"/>
        <i val="0"/>
        <strike val="0"/>
        <condense val="0"/>
        <extend val="0"/>
        <outline val="0"/>
        <shadow val="0"/>
        <u val="none"/>
        <vertAlign val="baseline"/>
        <sz val="10"/>
        <color rgb="FF000000"/>
        <name val="Calibri"/>
        <scheme val="none"/>
      </font>
      <numFmt numFmtId="165" formatCode="&quot;$&quot;#,##0.00"/>
      <alignment horizontal="general" vertical="center" textRotation="0" wrapText="0" indent="0" justifyLastLine="0" shrinkToFit="0" readingOrder="0"/>
    </dxf>
    <dxf>
      <font>
        <sz val="10"/>
        <name val="Calibri"/>
      </font>
      <numFmt numFmtId="179" formatCode="0.0"/>
    </dxf>
    <dxf>
      <font>
        <b val="0"/>
        <i val="0"/>
        <strike val="0"/>
        <condense val="0"/>
        <extend val="0"/>
        <outline val="0"/>
        <shadow val="0"/>
        <u val="none"/>
        <vertAlign val="baseline"/>
        <sz val="10"/>
        <color rgb="FF000000"/>
        <name val="Calibri"/>
        <scheme val="none"/>
      </font>
      <numFmt numFmtId="179" formatCode="0.0"/>
    </dxf>
    <dxf>
      <font>
        <sz val="10"/>
        <name val="Calibri"/>
      </font>
      <numFmt numFmtId="0" formatCode="General"/>
    </dxf>
    <dxf>
      <font>
        <b val="0"/>
        <i val="0"/>
        <strike val="0"/>
        <condense val="0"/>
        <extend val="0"/>
        <outline val="0"/>
        <shadow val="0"/>
        <u val="none"/>
        <vertAlign val="baseline"/>
        <sz val="10"/>
        <color rgb="FF000000"/>
        <name val="Calibri"/>
        <scheme val="none"/>
      </font>
    </dxf>
    <dxf>
      <font>
        <sz val="10"/>
        <name val="Calibri"/>
      </font>
      <numFmt numFmtId="178" formatCode="&quot;$&quot;#,##0"/>
    </dxf>
    <dxf>
      <font>
        <b val="0"/>
        <i val="0"/>
        <strike val="0"/>
        <condense val="0"/>
        <extend val="0"/>
        <outline val="0"/>
        <shadow val="0"/>
        <u val="none"/>
        <vertAlign val="baseline"/>
        <sz val="10"/>
        <color rgb="FF000000"/>
        <name val="Calibri"/>
        <scheme val="none"/>
      </font>
    </dxf>
    <dxf>
      <font>
        <sz val="10"/>
        <name val="Calibri"/>
      </font>
      <numFmt numFmtId="178" formatCode="&quot;$&quot;#,##0"/>
    </dxf>
    <dxf>
      <font>
        <b val="0"/>
        <i val="0"/>
        <strike val="0"/>
        <condense val="0"/>
        <extend val="0"/>
        <outline val="0"/>
        <shadow val="0"/>
        <u val="none"/>
        <vertAlign val="baseline"/>
        <sz val="10"/>
        <color rgb="FF000000"/>
        <name val="Calibri"/>
        <scheme val="none"/>
      </font>
    </dxf>
    <dxf>
      <font>
        <sz val="10"/>
        <name val="Calibri"/>
      </font>
      <numFmt numFmtId="0" formatCode="General"/>
    </dxf>
    <dxf>
      <font>
        <b val="0"/>
        <i val="0"/>
        <strike val="0"/>
        <condense val="0"/>
        <extend val="0"/>
        <outline val="0"/>
        <shadow val="0"/>
        <u val="none"/>
        <vertAlign val="baseline"/>
        <sz val="10"/>
        <color rgb="FF000000"/>
        <name val="Calibri"/>
        <scheme val="none"/>
      </font>
    </dxf>
    <dxf>
      <font>
        <sz val="10"/>
        <name val="Calibri"/>
      </font>
      <numFmt numFmtId="178" formatCode="&quot;$&quot;#,##0"/>
    </dxf>
    <dxf>
      <font>
        <b val="0"/>
        <i val="0"/>
        <strike val="0"/>
        <condense val="0"/>
        <extend val="0"/>
        <outline val="0"/>
        <shadow val="0"/>
        <u val="none"/>
        <vertAlign val="baseline"/>
        <sz val="10"/>
        <color rgb="FF000000"/>
        <name val="Calibri"/>
        <scheme val="none"/>
      </font>
    </dxf>
    <dxf>
      <font>
        <sz val="10"/>
        <name val="Calibri"/>
      </font>
      <numFmt numFmtId="178" formatCode="&quot;$&quot;#,##0"/>
    </dxf>
    <dxf>
      <font>
        <b val="0"/>
        <i val="0"/>
        <strike val="0"/>
        <condense val="0"/>
        <extend val="0"/>
        <outline val="0"/>
        <shadow val="0"/>
        <u val="none"/>
        <vertAlign val="baseline"/>
        <sz val="10"/>
        <color rgb="FF000000"/>
        <name val="Calibri"/>
        <scheme val="none"/>
      </font>
    </dxf>
    <dxf>
      <font>
        <sz val="10"/>
        <name val="Calibri"/>
      </font>
      <numFmt numFmtId="0" formatCode="General"/>
    </dxf>
    <dxf>
      <font>
        <b val="0"/>
        <i val="0"/>
        <strike val="0"/>
        <condense val="0"/>
        <extend val="0"/>
        <outline val="0"/>
        <shadow val="0"/>
        <u val="none"/>
        <vertAlign val="baseline"/>
        <sz val="10"/>
        <color rgb="FF000000"/>
        <name val="Calibri"/>
        <scheme val="none"/>
      </font>
    </dxf>
    <dxf>
      <font>
        <b/>
        <i val="0"/>
        <strike val="0"/>
        <condense val="0"/>
        <extend val="0"/>
        <outline val="0"/>
        <shadow val="0"/>
        <u val="none"/>
        <vertAlign val="baseline"/>
        <sz val="10"/>
        <color rgb="FF000000"/>
        <name val="Calibri"/>
        <scheme val="none"/>
      </font>
    </dxf>
    <dxf>
      <font>
        <sz val="10"/>
        <name val="Calibri"/>
      </font>
      <alignment horizontal="center"/>
    </dxf>
    <dxf>
      <font>
        <b val="0"/>
        <i val="0"/>
        <strike val="0"/>
        <condense val="0"/>
        <extend val="0"/>
        <outline val="0"/>
        <shadow val="0"/>
        <u val="none"/>
        <vertAlign val="baseline"/>
        <sz val="10"/>
        <color rgb="FF000000"/>
        <name val="Calibri"/>
        <scheme val="none"/>
      </font>
      <alignment horizontal="center" vertical="bottom" textRotation="0" wrapText="0" indent="0" justifyLastLine="0" shrinkToFit="0" readingOrder="0"/>
    </dxf>
    <dxf>
      <font>
        <b/>
        <sz val="10"/>
        <name val="Calibri"/>
      </font>
      <alignment vertical="center"/>
    </dxf>
    <dxf>
      <font>
        <b/>
        <i val="0"/>
        <strike val="0"/>
        <condense val="0"/>
        <extend val="0"/>
        <outline val="0"/>
        <shadow val="0"/>
        <u val="none"/>
        <vertAlign val="baseline"/>
        <sz val="10"/>
        <color rgb="FF000000"/>
        <name val="Calibri"/>
        <scheme val="none"/>
      </font>
      <alignment horizontal="general" vertical="center" textRotation="0" wrapText="0" indent="0" justifyLastLine="0" shrinkToFit="0" readingOrder="0"/>
    </dxf>
    <dxf>
      <border outline="0">
        <bottom style="thin">
          <color rgb="FF595959"/>
        </bottom>
      </border>
    </dxf>
    <dxf>
      <border outline="0">
        <top style="thin">
          <color rgb="FF595959"/>
        </top>
      </border>
    </dxf>
    <dxf>
      <font>
        <sz val="10"/>
        <name val="Calibri"/>
      </font>
    </dxf>
    <dxf>
      <font>
        <b/>
        <i val="0"/>
        <strike val="0"/>
        <condense val="0"/>
        <extend val="0"/>
        <outline val="0"/>
        <shadow val="0"/>
        <u val="none"/>
        <vertAlign val="baseline"/>
        <sz val="10"/>
        <color rgb="FF00B0F0"/>
        <name val="Calibri"/>
        <scheme val="minor"/>
      </font>
      <fill>
        <patternFill patternType="solid">
          <fgColor indexed="64"/>
          <bgColor rgb="FF0D0D0D"/>
        </patternFill>
      </fill>
      <border diagonalUp="0" diagonalDown="0">
        <left style="thin">
          <color rgb="FF595959"/>
        </left>
        <right style="thin">
          <color rgb="FF595959"/>
        </right>
        <top/>
        <bottom/>
      </border>
    </dxf>
    <dxf>
      <font>
        <color rgb="FF554840"/>
      </font>
      <fill>
        <patternFill patternType="solid">
          <bgColor rgb="FFE2D0AA"/>
        </patternFill>
      </fill>
    </dxf>
    <dxf>
      <font>
        <color rgb="FF554840"/>
      </font>
      <fill>
        <patternFill patternType="solid">
          <bgColor rgb="FFE2D0AA"/>
        </patternFill>
      </fill>
    </dxf>
    <dxf>
      <font>
        <color rgb="FF554840"/>
      </font>
      <fill>
        <patternFill patternType="solid">
          <bgColor rgb="FFE2D0AA"/>
        </patternFill>
      </fill>
    </dxf>
    <dxf>
      <font>
        <b/>
        <i val="0"/>
        <color rgb="FF554840"/>
      </font>
      <fill>
        <patternFill patternType="solid">
          <bgColor rgb="FFE2D0AA"/>
        </patternFill>
      </fill>
    </dxf>
    <dxf>
      <font>
        <b/>
        <i val="0"/>
        <color rgb="FF375623"/>
      </font>
      <fill>
        <patternFill patternType="solid">
          <bgColor rgb="FFC0C5B2"/>
        </patternFill>
      </fill>
    </dxf>
    <dxf>
      <font>
        <b val="0"/>
        <i val="0"/>
        <strike val="0"/>
        <condense val="0"/>
        <extend val="0"/>
        <outline val="0"/>
        <shadow val="0"/>
        <u val="none"/>
        <vertAlign val="baseline"/>
        <sz val="10"/>
        <color rgb="FF434343"/>
        <name val="Calibri"/>
        <family val="2"/>
        <scheme val="none"/>
      </font>
      <alignment horizontal="general" vertical="top" textRotation="0" wrapText="0" indent="0" justifyLastLine="0" shrinkToFit="0" readingOrder="0"/>
      <border diagonalUp="0" diagonalDown="0">
        <left style="thin">
          <color theme="0" tint="-0.24994659260841701"/>
        </left>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top" textRotation="0" wrapText="0" indent="0" justifyLastLine="0" shrinkToFit="0" readingOrder="0"/>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top"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top"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top"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genera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theme="1"/>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theme="1"/>
        <name val="Calibri"/>
        <family val="2"/>
        <scheme val="none"/>
      </font>
      <numFmt numFmtId="2" formatCode="0.00"/>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5" formatCode="&quot;$&quot;#,##0.00"/>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6" formatCode="0.00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5" formatCode="&quot;$&quot;#,##0.00"/>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numFmt numFmtId="166" formatCode="0.00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alignment horizontal="center"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alignment horizontal="fill" vertical="bottom" textRotation="0" wrapText="0"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i val="0"/>
        <strike val="0"/>
        <condense val="0"/>
        <extend val="0"/>
        <outline val="0"/>
        <shadow val="0"/>
        <u val="none"/>
        <vertAlign val="baseline"/>
        <sz val="10"/>
        <color rgb="FF434343"/>
        <name val="Calibri"/>
        <family val="2"/>
        <scheme val="none"/>
      </font>
      <fill>
        <patternFill patternType="solid">
          <fgColor rgb="FFF3F3F3"/>
          <bgColor rgb="FFF3F3F3"/>
        </patternFill>
      </fill>
      <alignment horizontal="fill" vertical="bottom" textRotation="0" wrapText="1" indent="0" justifyLastLine="0" shrinkToFit="0" readingOrder="0"/>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fill>
        <patternFill patternType="solid">
          <fgColor rgb="FFF3F3F3"/>
          <bgColor rgb="FFF3F3F3"/>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numFmt numFmtId="167" formatCode="d&quot;-&quot;mmm&quot;-&quot;yyyy"/>
      <fill>
        <patternFill patternType="solid">
          <fgColor rgb="FFF3F3F3"/>
          <bgColor rgb="FFF3F3F3"/>
        </patternFill>
      </fill>
      <border diagonalUp="0" diagonalDown="0">
        <left/>
        <right style="thin">
          <color theme="0" tint="-0.24994659260841701"/>
        </right>
        <top style="thin">
          <color theme="0" tint="-0.24994659260841701"/>
        </top>
        <bottom/>
        <vertical/>
        <horizontal/>
      </border>
    </dxf>
    <dxf>
      <font>
        <b val="0"/>
        <i val="0"/>
        <strike val="0"/>
        <condense val="0"/>
        <extend val="0"/>
        <outline val="0"/>
        <shadow val="0"/>
        <u val="none"/>
        <vertAlign val="baseline"/>
        <sz val="10"/>
        <color rgb="FF434343"/>
        <name val="Calibri"/>
        <family val="2"/>
        <scheme val="none"/>
      </font>
      <numFmt numFmtId="167" formatCode="d&quot;-&quot;mmm&quot;-&quot;yyyy"/>
      <fill>
        <patternFill patternType="solid">
          <fgColor rgb="FFF3F3F3"/>
          <bgColor rgb="FFF3F3F3"/>
        </patternFill>
      </fill>
      <border diagonalUp="0" diagonalDown="0" outline="0">
        <left/>
        <right style="thin">
          <color theme="0" tint="-0.24994659260841701"/>
        </right>
        <top style="thin">
          <color theme="0" tint="-0.24994659260841701"/>
        </top>
        <bottom style="thin">
          <color theme="0" tint="-0.24994659260841701"/>
        </bottom>
      </border>
    </dxf>
    <dxf>
      <border>
        <top style="thin">
          <color theme="0" tint="-0.24994659260841701"/>
        </top>
      </border>
    </dxf>
    <dxf>
      <border diagonalUp="0" diagonalDown="0">
        <left style="thin">
          <color theme="0" tint="-0.24994659260841701"/>
        </left>
        <right style="thin">
          <color theme="0" tint="-0.24994659260841701"/>
        </right>
        <top style="thin">
          <color theme="0" tint="-0.24994659260841701"/>
        </top>
        <bottom style="thin">
          <color theme="0" tint="-0.24994659260841701"/>
        </bottom>
      </border>
    </dxf>
    <dxf>
      <font>
        <b val="0"/>
        <i val="0"/>
        <strike val="0"/>
        <condense val="0"/>
        <extend val="0"/>
        <outline val="0"/>
        <shadow val="0"/>
        <u val="none"/>
        <vertAlign val="baseline"/>
        <sz val="10"/>
        <color rgb="FF434343"/>
        <name val="Calibri"/>
        <family val="2"/>
        <scheme val="none"/>
      </font>
    </dxf>
    <dxf>
      <font>
        <b/>
        <i val="0"/>
        <strike val="0"/>
        <condense val="0"/>
        <extend val="0"/>
        <outline val="0"/>
        <shadow val="0"/>
        <u val="none"/>
        <vertAlign val="baseline"/>
        <sz val="10"/>
        <color theme="0"/>
        <name val="Roboto"/>
        <scheme val="none"/>
      </font>
      <fill>
        <patternFill patternType="solid">
          <fgColor rgb="FF333333"/>
          <bgColor rgb="FF333333"/>
        </patternFill>
      </fill>
      <border diagonalUp="0" diagonalDown="0" outline="0">
        <left style="thin">
          <color theme="0" tint="-0.24994659260841701"/>
        </left>
        <right style="thin">
          <color theme="0" tint="-0.24994659260841701"/>
        </right>
        <top/>
        <bottom/>
      </border>
    </dxf>
    <dxf>
      <font>
        <b/>
        <i val="0"/>
        <color theme="3" tint="4.9989318521683403E-2"/>
      </font>
      <fill>
        <patternFill patternType="solid">
          <fgColor rgb="FF5B0F00"/>
          <bgColor rgb="FF5B0F00"/>
        </patternFill>
      </fill>
      <border>
        <left style="thin">
          <color theme="1" tint="0.14996795556505021"/>
        </left>
        <right style="thin">
          <color theme="1" tint="0.14996795556505021"/>
        </right>
        <top style="thin">
          <color theme="1" tint="0.14996795556505021"/>
        </top>
        <bottom style="thin">
          <color theme="1" tint="0.14996795556505021"/>
        </bottom>
      </border>
    </dxf>
    <dxf>
      <font>
        <b/>
        <color rgb="FF000000"/>
      </font>
      <fill>
        <patternFill patternType="solid">
          <fgColor rgb="FF274E13"/>
          <bgColor rgb="FF274E13"/>
        </patternFill>
      </fill>
      <border>
        <left style="thin">
          <color theme="1" tint="0.14996795556505021"/>
        </left>
        <right style="thin">
          <color theme="1" tint="0.14996795556505021"/>
        </right>
        <top style="thin">
          <color theme="1" tint="0.14996795556505021"/>
        </top>
        <bottom style="thin">
          <color theme="1" tint="0.1499679555650502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F3F3F3"/>
      </font>
      <fill>
        <patternFill patternType="solid">
          <fgColor rgb="FF0C343D"/>
          <bgColor rgb="FF0C343D"/>
        </patternFill>
      </fill>
    </dxf>
    <dxf>
      <font>
        <color rgb="FFF3F3F3"/>
      </font>
      <fill>
        <patternFill patternType="solid">
          <fgColor rgb="FF5B0F00"/>
          <bgColor rgb="FF5B0F00"/>
        </patternFill>
      </fill>
    </dxf>
    <dxf>
      <font>
        <b/>
        <color rgb="FFF3F3F3"/>
      </font>
      <fill>
        <patternFill patternType="solid">
          <fgColor rgb="FF5B0F00"/>
          <bgColor rgb="FF5B0F00"/>
        </patternFill>
      </fill>
    </dxf>
    <dxf>
      <font>
        <color rgb="FFF3F3F3"/>
      </font>
      <fill>
        <patternFill patternType="solid">
          <fgColor rgb="FF274E13"/>
          <bgColor rgb="FF274E13"/>
        </patternFill>
      </fill>
    </dxf>
    <dxf>
      <font>
        <b/>
        <color rgb="FF5B0F00"/>
      </font>
      <fill>
        <patternFill patternType="none"/>
      </fill>
    </dxf>
    <dxf>
      <font>
        <b/>
        <color rgb="FF0C343D"/>
      </font>
      <fill>
        <patternFill patternType="none"/>
      </fill>
    </dxf>
    <dxf>
      <font>
        <color rgb="FFF5F5F5"/>
      </font>
      <fill>
        <patternFill patternType="solid">
          <fgColor rgb="FF5B0F00"/>
          <bgColor rgb="FF5B0F00"/>
        </patternFill>
      </fill>
    </dxf>
    <dxf>
      <font>
        <color rgb="FFCCCCCC"/>
      </font>
      <fill>
        <patternFill patternType="solid">
          <fgColor rgb="FF5B0F00"/>
          <bgColor rgb="FF5B0F00"/>
        </patternFill>
      </fill>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F5F5F5"/>
      </font>
      <fill>
        <patternFill patternType="solid">
          <fgColor rgb="FFDF5653"/>
          <bgColor rgb="FFDF5653"/>
        </patternFill>
      </fill>
    </dxf>
    <dxf>
      <font>
        <b/>
        <color theme="0"/>
      </font>
      <fill>
        <patternFill patternType="solid">
          <fgColor rgb="FF5981F5"/>
          <bgColor rgb="FF5981F5"/>
        </patternFill>
      </fill>
    </dxf>
    <dxf>
      <font>
        <b/>
        <color rgb="FF000000"/>
      </font>
      <fill>
        <patternFill patternType="solid">
          <fgColor rgb="FF85200C"/>
          <bgColor rgb="FF85200C"/>
        </patternFill>
      </fill>
    </dxf>
    <dxf>
      <font>
        <b/>
        <color rgb="FF000000"/>
      </font>
      <fill>
        <patternFill patternType="solid">
          <fgColor rgb="FF85200C"/>
          <bgColor rgb="FF85200C"/>
        </patternFill>
      </fill>
    </dxf>
    <dxf>
      <font>
        <b/>
        <color rgb="FF000000"/>
      </font>
      <fill>
        <patternFill patternType="solid">
          <fgColor rgb="FF999999"/>
          <bgColor rgb="FF999999"/>
        </patternFill>
      </fill>
    </dxf>
    <dxf>
      <font>
        <b/>
        <color rgb="FF000000"/>
      </font>
      <fill>
        <patternFill patternType="solid">
          <fgColor rgb="FFA27547"/>
          <bgColor rgb="FFA27547"/>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color rgb="FFD9D9D9"/>
      </font>
      <fill>
        <patternFill patternType="solid">
          <fgColor rgb="FFD9D9D9"/>
          <bgColor rgb="FFD9D9D9"/>
        </patternFill>
      </fill>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FFFFFF"/>
          <bgColor rgb="FFFFFFFF"/>
        </patternFill>
      </fill>
      <border>
        <left style="thin">
          <color theme="0" tint="-0.24994659260841701"/>
        </left>
        <right style="thin">
          <color theme="0" tint="-0.24994659260841701"/>
        </right>
        <top style="thin">
          <color theme="0" tint="-0.24994659260841701"/>
        </top>
        <bottom style="thin">
          <color theme="0" tint="-0.24994659260841701"/>
        </bottom>
      </border>
    </dxf>
    <dxf>
      <font>
        <b/>
      </font>
      <fill>
        <patternFill patternType="solid">
          <fgColor rgb="FFD9EAD3"/>
          <bgColor rgb="FFD9EAD3"/>
        </patternFill>
      </fill>
    </dxf>
    <dxf>
      <font>
        <b/>
        <color rgb="FF980000"/>
      </font>
      <fill>
        <patternFill patternType="solid">
          <fgColor rgb="FFF4CCCC"/>
          <bgColor rgb="FFF4CCCC"/>
        </patternFill>
      </fill>
    </dxf>
    <dxf>
      <font>
        <b/>
        <color rgb="FF980000"/>
      </font>
      <fill>
        <patternFill patternType="solid">
          <fgColor rgb="FFF4CCCC"/>
          <bgColor rgb="FFF4CCCC"/>
        </patternFill>
      </fill>
    </dxf>
    <dxf>
      <font>
        <b/>
      </font>
      <fill>
        <patternFill patternType="solid">
          <fgColor rgb="FFD9EAD3"/>
          <bgColor rgb="FFD9EAD3"/>
        </patternFill>
      </fill>
    </dxf>
    <dxf>
      <font>
        <b/>
        <color theme="1"/>
      </font>
      <fill>
        <patternFill patternType="solid">
          <fgColor rgb="FFC0C5B2"/>
          <bgColor rgb="FFC0C5B2"/>
        </patternFill>
      </fill>
      <border>
        <left style="thin">
          <color theme="0" tint="-0.24994659260841701"/>
        </left>
        <right style="thin">
          <color theme="0" tint="-0.24994659260841701"/>
        </right>
        <top style="thin">
          <color theme="0" tint="-0.24994659260841701"/>
        </top>
        <bottom style="thin">
          <color theme="0" tint="-0.24994659260841701"/>
        </bottom>
      </border>
    </dxf>
    <dxf>
      <font>
        <b/>
        <color rgb="FF554840"/>
      </font>
      <fill>
        <patternFill patternType="solid">
          <fgColor rgb="FFE2D0AA"/>
          <bgColor rgb="FFE2D0AA"/>
        </patternFill>
      </fill>
      <border>
        <left style="thin">
          <color theme="2" tint="-0.24994659260841701"/>
        </left>
        <right style="thin">
          <color theme="2" tint="-0.24994659260841701"/>
        </right>
        <top style="thin">
          <color theme="2" tint="-0.24994659260841701"/>
        </top>
        <bottom style="thin">
          <color theme="2" tint="-0.24994659260841701"/>
        </bottom>
      </border>
    </dxf>
    <dxf>
      <font>
        <color rgb="FF554840"/>
      </font>
      <fill>
        <patternFill patternType="solid">
          <fgColor rgb="FFF3F3F3"/>
          <bgColor rgb="FFF3F3F3"/>
        </patternFill>
      </fill>
    </dxf>
  </dxfs>
  <tableStyles count="0" defaultTableStyle="TableStyleMedium2" defaultPivotStyle="PivotStyleLight16"/>
  <colors>
    <mruColors>
      <color rgb="FF7B0323"/>
      <color rgb="FF02421E"/>
      <color rgb="FFFC0505"/>
      <color rgb="FF660033"/>
      <color rgb="FFC65911"/>
      <color rgb="FFE2D0AA"/>
      <color rgb="FFC0C5B2"/>
      <color rgb="FFF7B1AD"/>
      <color rgb="FF5548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bg2">
                    <a:lumMod val="50000"/>
                  </a:schemeClr>
                </a:solidFill>
                <a:latin typeface="+mn-lt"/>
                <a:ea typeface="+mn-ea"/>
                <a:cs typeface="+mn-cs"/>
              </a:defRPr>
            </a:pPr>
            <a:r>
              <a:rPr lang="en-US">
                <a:solidFill>
                  <a:schemeClr val="bg2">
                    <a:lumMod val="50000"/>
                  </a:schemeClr>
                </a:solidFill>
              </a:rPr>
              <a:t>W/L%</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bg2">
                  <a:lumMod val="50000"/>
                </a:schemeClr>
              </a:solidFill>
              <a:latin typeface="+mn-lt"/>
              <a:ea typeface="+mn-ea"/>
              <a:cs typeface="+mn-cs"/>
            </a:defRPr>
          </a:pPr>
          <a:endParaRPr lang="en-US"/>
        </a:p>
      </c:txPr>
    </c:title>
    <c:autoTitleDeleted val="0"/>
    <c:plotArea>
      <c:layout/>
      <c:barChart>
        <c:barDir val="bar"/>
        <c:grouping val="clustered"/>
        <c:varyColors val="0"/>
        <c:ser>
          <c:idx val="0"/>
          <c:order val="0"/>
          <c:tx>
            <c:v>W%</c:v>
          </c:tx>
          <c:spPr>
            <a:solidFill>
              <a:schemeClr val="tx2">
                <a:lumMod val="85000"/>
                <a:lumOff val="1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80808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ANALYSIS'!$B$6:$B$13</c:f>
              <c:strCache>
                <c:ptCount val="8"/>
                <c:pt idx="0">
                  <c:v>TECHNICAL</c:v>
                </c:pt>
                <c:pt idx="1">
                  <c:v>FUNDAMENTAL</c:v>
                </c:pt>
                <c:pt idx="2">
                  <c:v>CURVE</c:v>
                </c:pt>
                <c:pt idx="3">
                  <c:v>WHITES</c:v>
                </c:pt>
                <c:pt idx="4">
                  <c:v>REDS</c:v>
                </c:pt>
                <c:pt idx="5">
                  <c:v>OUTRIGHTS (IR,IB)</c:v>
                </c:pt>
                <c:pt idx="6">
                  <c:v>SPREADS</c:v>
                </c:pt>
                <c:pt idx="7">
                  <c:v>FLIES</c:v>
                </c:pt>
              </c:strCache>
            </c:strRef>
          </c:cat>
          <c:val>
            <c:numRef>
              <c:f>'PERFORMANCE ANALYSIS'!$G$6:$G$13</c:f>
              <c:numCache>
                <c:formatCode>0%</c:formatCode>
                <c:ptCount val="8"/>
                <c:pt idx="0">
                  <c:v>0.33333333333333331</c:v>
                </c:pt>
                <c:pt idx="1">
                  <c:v>0.5714285714285714</c:v>
                </c:pt>
                <c:pt idx="2">
                  <c:v>0.5</c:v>
                </c:pt>
                <c:pt idx="3">
                  <c:v>0.77777777777777779</c:v>
                </c:pt>
                <c:pt idx="4">
                  <c:v>0.16666666666666666</c:v>
                </c:pt>
                <c:pt idx="5">
                  <c:v>1</c:v>
                </c:pt>
                <c:pt idx="6">
                  <c:v>0.53846153846153844</c:v>
                </c:pt>
                <c:pt idx="7">
                  <c:v>0</c:v>
                </c:pt>
              </c:numCache>
            </c:numRef>
          </c:val>
          <c:extLst>
            <c:ext xmlns:c16="http://schemas.microsoft.com/office/drawing/2014/chart" uri="{C3380CC4-5D6E-409C-BE32-E72D297353CC}">
              <c16:uniqueId val="{00000001-18D4-4BEF-BA7D-D1E928A61AAF}"/>
            </c:ext>
          </c:extLst>
        </c:ser>
        <c:ser>
          <c:idx val="1"/>
          <c:order val="1"/>
          <c:tx>
            <c:v>L%</c:v>
          </c:tx>
          <c:spPr>
            <a:solidFill>
              <a:srgbClr val="C6591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rgbClr val="C65911"/>
                    </a:solidFill>
                    <a:latin typeface="Calibri" panose="020F0502020204030204" pitchFamily="34" charset="0"/>
                    <a:ea typeface="+mn-ea"/>
                    <a:cs typeface="Calibri" panose="020F050202020403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ANALYSIS'!$B$6:$B$13</c:f>
              <c:strCache>
                <c:ptCount val="8"/>
                <c:pt idx="0">
                  <c:v>TECHNICAL</c:v>
                </c:pt>
                <c:pt idx="1">
                  <c:v>FUNDAMENTAL</c:v>
                </c:pt>
                <c:pt idx="2">
                  <c:v>CURVE</c:v>
                </c:pt>
                <c:pt idx="3">
                  <c:v>WHITES</c:v>
                </c:pt>
                <c:pt idx="4">
                  <c:v>REDS</c:v>
                </c:pt>
                <c:pt idx="5">
                  <c:v>OUTRIGHTS (IR,IB)</c:v>
                </c:pt>
                <c:pt idx="6">
                  <c:v>SPREADS</c:v>
                </c:pt>
                <c:pt idx="7">
                  <c:v>FLIES</c:v>
                </c:pt>
              </c:strCache>
            </c:strRef>
          </c:cat>
          <c:val>
            <c:numRef>
              <c:f>'PERFORMANCE ANALYSIS'!$J$6:$J$13</c:f>
              <c:numCache>
                <c:formatCode>0%</c:formatCode>
                <c:ptCount val="8"/>
                <c:pt idx="0">
                  <c:v>0.33333333333333331</c:v>
                </c:pt>
                <c:pt idx="1">
                  <c:v>0.2857142857142857</c:v>
                </c:pt>
                <c:pt idx="2">
                  <c:v>0.16666666666666666</c:v>
                </c:pt>
                <c:pt idx="3">
                  <c:v>0</c:v>
                </c:pt>
                <c:pt idx="4">
                  <c:v>0.33333333333333331</c:v>
                </c:pt>
                <c:pt idx="5">
                  <c:v>0</c:v>
                </c:pt>
                <c:pt idx="6">
                  <c:v>0.15384615384615385</c:v>
                </c:pt>
                <c:pt idx="7">
                  <c:v>0</c:v>
                </c:pt>
              </c:numCache>
            </c:numRef>
          </c:val>
          <c:extLst>
            <c:ext xmlns:c16="http://schemas.microsoft.com/office/drawing/2014/chart" uri="{C3380CC4-5D6E-409C-BE32-E72D297353CC}">
              <c16:uniqueId val="{00000003-18D4-4BEF-BA7D-D1E928A61AAF}"/>
            </c:ext>
          </c:extLst>
        </c:ser>
        <c:dLbls>
          <c:showLegendKey val="0"/>
          <c:showVal val="0"/>
          <c:showCatName val="0"/>
          <c:showSerName val="0"/>
          <c:showPercent val="0"/>
          <c:showBubbleSize val="0"/>
        </c:dLbls>
        <c:gapWidth val="157"/>
        <c:axId val="1417515255"/>
        <c:axId val="1417509015"/>
      </c:barChart>
      <c:catAx>
        <c:axId val="1417515255"/>
        <c:scaling>
          <c:orientation val="maxMin"/>
        </c:scaling>
        <c:delete val="0"/>
        <c:axPos val="l"/>
        <c:numFmt formatCode="General" sourceLinked="1"/>
        <c:majorTickMark val="none"/>
        <c:minorTickMark val="none"/>
        <c:tickLblPos val="nextTo"/>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7509015"/>
        <c:crosses val="autoZero"/>
        <c:auto val="1"/>
        <c:lblAlgn val="ctr"/>
        <c:lblOffset val="100"/>
        <c:noMultiLvlLbl val="0"/>
      </c:catAx>
      <c:valAx>
        <c:axId val="1417509015"/>
        <c:scaling>
          <c:orientation val="minMax"/>
          <c:max val="1"/>
        </c:scaling>
        <c:delete val="0"/>
        <c:axPos val="t"/>
        <c:numFmt formatCode="0%"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4175152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a:t>GAINS V LOSS</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GAINS</c:v>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accent1">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ANALYSIS'!$B$6:$B$13</c:f>
              <c:strCache>
                <c:ptCount val="8"/>
                <c:pt idx="0">
                  <c:v>TECHNICAL</c:v>
                </c:pt>
                <c:pt idx="1">
                  <c:v>FUNDAMENTAL</c:v>
                </c:pt>
                <c:pt idx="2">
                  <c:v>CURVE</c:v>
                </c:pt>
                <c:pt idx="3">
                  <c:v>WHITES</c:v>
                </c:pt>
                <c:pt idx="4">
                  <c:v>REDS</c:v>
                </c:pt>
                <c:pt idx="5">
                  <c:v>OUTRIGHTS (IR,IB)</c:v>
                </c:pt>
                <c:pt idx="6">
                  <c:v>SPREADS</c:v>
                </c:pt>
                <c:pt idx="7">
                  <c:v>FLIES</c:v>
                </c:pt>
              </c:strCache>
            </c:strRef>
          </c:cat>
          <c:val>
            <c:numRef>
              <c:f>'PERFORMANCE ANALYSIS'!$F$6:$F$13</c:f>
              <c:numCache>
                <c:formatCode>"$"#,##0</c:formatCode>
                <c:ptCount val="8"/>
                <c:pt idx="0">
                  <c:v>290.6000000000202</c:v>
                </c:pt>
                <c:pt idx="1">
                  <c:v>463.4000000000201</c:v>
                </c:pt>
                <c:pt idx="2">
                  <c:v>414.29999999999984</c:v>
                </c:pt>
                <c:pt idx="3">
                  <c:v>543.9000000000201</c:v>
                </c:pt>
                <c:pt idx="4">
                  <c:v>160.99999999999994</c:v>
                </c:pt>
                <c:pt idx="5">
                  <c:v>129.60000000002026</c:v>
                </c:pt>
                <c:pt idx="6">
                  <c:v>575.29999999999984</c:v>
                </c:pt>
                <c:pt idx="7">
                  <c:v>0</c:v>
                </c:pt>
              </c:numCache>
            </c:numRef>
          </c:val>
          <c:extLst>
            <c:ext xmlns:c16="http://schemas.microsoft.com/office/drawing/2014/chart" uri="{C3380CC4-5D6E-409C-BE32-E72D297353CC}">
              <c16:uniqueId val="{00000001-E463-489D-A517-AD8EA8E3B875}"/>
            </c:ext>
          </c:extLst>
        </c:ser>
        <c:ser>
          <c:idx val="1"/>
          <c:order val="1"/>
          <c:tx>
            <c:v>LOSS</c:v>
          </c:tx>
          <c:spPr>
            <a:solidFill>
              <a:srgbClr val="C6591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C65911"/>
                    </a:solidFill>
                    <a:latin typeface="+mn-lt"/>
                    <a:ea typeface="+mn-ea"/>
                    <a:cs typeface="+mn-cs"/>
                  </a:defRPr>
                </a:pPr>
                <a:endParaRPr lang="en-US"/>
              </a:p>
            </c:txPr>
            <c:dLblPos val="outEnd"/>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ANALYSIS'!$B$6:$B$13</c:f>
              <c:strCache>
                <c:ptCount val="8"/>
                <c:pt idx="0">
                  <c:v>TECHNICAL</c:v>
                </c:pt>
                <c:pt idx="1">
                  <c:v>FUNDAMENTAL</c:v>
                </c:pt>
                <c:pt idx="2">
                  <c:v>CURVE</c:v>
                </c:pt>
                <c:pt idx="3">
                  <c:v>WHITES</c:v>
                </c:pt>
                <c:pt idx="4">
                  <c:v>REDS</c:v>
                </c:pt>
                <c:pt idx="5">
                  <c:v>OUTRIGHTS (IR,IB)</c:v>
                </c:pt>
                <c:pt idx="6">
                  <c:v>SPREADS</c:v>
                </c:pt>
                <c:pt idx="7">
                  <c:v>FLIES</c:v>
                </c:pt>
              </c:strCache>
            </c:strRef>
          </c:cat>
          <c:val>
            <c:numRef>
              <c:f>'PERFORMANCE ANALYSIS'!$I$6:$I$13</c:f>
              <c:numCache>
                <c:formatCode>"$"#,##0</c:formatCode>
                <c:ptCount val="8"/>
                <c:pt idx="0">
                  <c:v>901.60000000000025</c:v>
                </c:pt>
                <c:pt idx="1">
                  <c:v>901.60000000000025</c:v>
                </c:pt>
                <c:pt idx="2">
                  <c:v>901.60000000000025</c:v>
                </c:pt>
                <c:pt idx="3">
                  <c:v>0</c:v>
                </c:pt>
                <c:pt idx="4">
                  <c:v>901.60000000000025</c:v>
                </c:pt>
                <c:pt idx="5">
                  <c:v>0</c:v>
                </c:pt>
                <c:pt idx="6">
                  <c:v>901.60000000000025</c:v>
                </c:pt>
                <c:pt idx="7">
                  <c:v>0</c:v>
                </c:pt>
              </c:numCache>
            </c:numRef>
          </c:val>
          <c:extLst>
            <c:ext xmlns:c16="http://schemas.microsoft.com/office/drawing/2014/chart" uri="{C3380CC4-5D6E-409C-BE32-E72D297353CC}">
              <c16:uniqueId val="{00000003-E463-489D-A517-AD8EA8E3B875}"/>
            </c:ext>
          </c:extLst>
        </c:ser>
        <c:dLbls>
          <c:showLegendKey val="0"/>
          <c:showVal val="0"/>
          <c:showCatName val="0"/>
          <c:showSerName val="0"/>
          <c:showPercent val="0"/>
          <c:showBubbleSize val="0"/>
        </c:dLbls>
        <c:gapWidth val="182"/>
        <c:axId val="796957815"/>
        <c:axId val="796954455"/>
      </c:barChart>
      <c:catAx>
        <c:axId val="79695781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6954455"/>
        <c:crosses val="autoZero"/>
        <c:auto val="1"/>
        <c:lblAlgn val="ctr"/>
        <c:lblOffset val="100"/>
        <c:noMultiLvlLbl val="0"/>
      </c:catAx>
      <c:valAx>
        <c:axId val="796954455"/>
        <c:scaling>
          <c:orientation val="minMax"/>
        </c:scaling>
        <c:delete val="0"/>
        <c:axPos val="t"/>
        <c:numFmt formatCode="&quot;$&quot;#,##0" sourceLinked="1"/>
        <c:majorTickMark val="none"/>
        <c:minorTickMark val="none"/>
        <c:tickLblPos val="high"/>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7969578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bg2">
                    <a:lumMod val="50000"/>
                  </a:schemeClr>
                </a:solidFill>
                <a:latin typeface="+mn-lt"/>
                <a:ea typeface="+mn-ea"/>
                <a:cs typeface="+mn-cs"/>
              </a:defRPr>
            </a:pPr>
            <a:r>
              <a:rPr lang="en-US">
                <a:solidFill>
                  <a:schemeClr val="bg2">
                    <a:lumMod val="50000"/>
                  </a:schemeClr>
                </a:solidFill>
              </a:rPr>
              <a:t>G/L TOTAL</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bg2">
                  <a:lumMod val="50000"/>
                </a:schemeClr>
              </a:solidFill>
              <a:latin typeface="+mn-lt"/>
              <a:ea typeface="+mn-ea"/>
              <a:cs typeface="+mn-cs"/>
            </a:defRPr>
          </a:pPr>
          <a:endParaRPr lang="en-US"/>
        </a:p>
      </c:txPr>
    </c:title>
    <c:autoTitleDeleted val="0"/>
    <c:plotArea>
      <c:layout/>
      <c:barChart>
        <c:barDir val="bar"/>
        <c:grouping val="clustered"/>
        <c:varyColors val="0"/>
        <c:ser>
          <c:idx val="0"/>
          <c:order val="0"/>
          <c:tx>
            <c:v>G/L</c:v>
          </c:tx>
          <c:spPr>
            <a:solidFill>
              <a:schemeClr val="tx1">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ANALYSIS'!$B$6:$B$13</c:f>
              <c:strCache>
                <c:ptCount val="8"/>
                <c:pt idx="0">
                  <c:v>TECHNICAL</c:v>
                </c:pt>
                <c:pt idx="1">
                  <c:v>FUNDAMENTAL</c:v>
                </c:pt>
                <c:pt idx="2">
                  <c:v>CURVE</c:v>
                </c:pt>
                <c:pt idx="3">
                  <c:v>WHITES</c:v>
                </c:pt>
                <c:pt idx="4">
                  <c:v>REDS</c:v>
                </c:pt>
                <c:pt idx="5">
                  <c:v>OUTRIGHTS (IR,IB)</c:v>
                </c:pt>
                <c:pt idx="6">
                  <c:v>SPREADS</c:v>
                </c:pt>
                <c:pt idx="7">
                  <c:v>FLIES</c:v>
                </c:pt>
              </c:strCache>
            </c:strRef>
          </c:cat>
          <c:val>
            <c:numRef>
              <c:f>'PERFORMANCE ANALYSIS'!$K$6:$K$13</c:f>
              <c:numCache>
                <c:formatCode>0.0</c:formatCode>
                <c:ptCount val="8"/>
                <c:pt idx="0">
                  <c:v>0.32231588287491142</c:v>
                </c:pt>
                <c:pt idx="1">
                  <c:v>0.51397515527952531</c:v>
                </c:pt>
                <c:pt idx="2">
                  <c:v>0.45951641526175657</c:v>
                </c:pt>
                <c:pt idx="3">
                  <c:v>1</c:v>
                </c:pt>
                <c:pt idx="4">
                  <c:v>0.17857142857142846</c:v>
                </c:pt>
                <c:pt idx="5">
                  <c:v>1</c:v>
                </c:pt>
                <c:pt idx="6">
                  <c:v>0.63808784383318506</c:v>
                </c:pt>
                <c:pt idx="7">
                  <c:v>1</c:v>
                </c:pt>
              </c:numCache>
            </c:numRef>
          </c:val>
          <c:extLst>
            <c:ext xmlns:c16="http://schemas.microsoft.com/office/drawing/2014/chart" uri="{C3380CC4-5D6E-409C-BE32-E72D297353CC}">
              <c16:uniqueId val="{00000009-3A63-428B-ABDB-550B9D7A8195}"/>
            </c:ext>
          </c:extLst>
        </c:ser>
        <c:dLbls>
          <c:showLegendKey val="0"/>
          <c:showVal val="0"/>
          <c:showCatName val="0"/>
          <c:showSerName val="0"/>
          <c:showPercent val="0"/>
          <c:showBubbleSize val="0"/>
        </c:dLbls>
        <c:gapWidth val="396"/>
        <c:axId val="1668754919"/>
        <c:axId val="1668743879"/>
      </c:barChart>
      <c:catAx>
        <c:axId val="1668754919"/>
        <c:scaling>
          <c:orientation val="maxMin"/>
        </c:scaling>
        <c:delete val="0"/>
        <c:axPos val="l"/>
        <c:numFmt formatCode="General" sourceLinked="1"/>
        <c:majorTickMark val="none"/>
        <c:minorTickMark val="none"/>
        <c:tickLblPos val="low"/>
        <c:spPr>
          <a:noFill/>
          <a:ln w="9525" cap="flat" cmpd="sng" algn="ctr">
            <a:solidFill>
              <a:schemeClr val="tx2">
                <a:lumMod val="85000"/>
                <a:lumOff val="15000"/>
              </a:schemeClr>
            </a:solidFill>
            <a:round/>
          </a:ln>
          <a:effectLst/>
        </c:spPr>
        <c:txPr>
          <a:bodyPr rot="-60000000" spcFirstLastPara="1" vertOverflow="ellipsis" vert="horz" wrap="square" anchor="ctr" anchorCtr="1"/>
          <a:lstStyle/>
          <a:p>
            <a:pPr>
              <a:defRPr sz="900" b="1" i="0" u="none" strike="noStrike" kern="1200" baseline="0">
                <a:solidFill>
                  <a:schemeClr val="bg2">
                    <a:lumMod val="50000"/>
                  </a:schemeClr>
                </a:solidFill>
                <a:latin typeface="+mn-lt"/>
                <a:ea typeface="+mn-ea"/>
                <a:cs typeface="+mn-cs"/>
              </a:defRPr>
            </a:pPr>
            <a:endParaRPr lang="en-US"/>
          </a:p>
        </c:txPr>
        <c:crossAx val="1668743879"/>
        <c:crossesAt val="1"/>
        <c:auto val="1"/>
        <c:lblAlgn val="ctr"/>
        <c:lblOffset val="50"/>
        <c:noMultiLvlLbl val="0"/>
      </c:catAx>
      <c:valAx>
        <c:axId val="1668743879"/>
        <c:scaling>
          <c:orientation val="minMax"/>
        </c:scaling>
        <c:delete val="1"/>
        <c:axPos val="b"/>
        <c:numFmt formatCode="0.0" sourceLinked="1"/>
        <c:majorTickMark val="none"/>
        <c:minorTickMark val="none"/>
        <c:tickLblPos val="nextTo"/>
        <c:crossAx val="1668754919"/>
        <c:crosses val="max"/>
        <c:crossBetween val="between"/>
      </c:valAx>
      <c:spPr>
        <a:noFill/>
        <a:ln>
          <a:noFill/>
        </a:ln>
        <a:effectLst/>
      </c:spPr>
    </c:plotArea>
    <c:plotVisOnly val="1"/>
    <c:dispBlanksAs val="gap"/>
    <c:showDLblsOverMax val="0"/>
  </c:chart>
  <c:spPr>
    <a:solidFill>
      <a:schemeClr val="tx1">
        <a:lumMod val="95000"/>
        <a:lumOff val="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a:t>G/L PER LOT</a:t>
            </a:r>
          </a:p>
        </c:rich>
      </c:tx>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'PERFORMANCE ANALYSIS'!$B$6:$B$13</c:f>
              <c:strCache>
                <c:ptCount val="8"/>
                <c:pt idx="0">
                  <c:v>TECHNICAL</c:v>
                </c:pt>
                <c:pt idx="1">
                  <c:v>FUNDAMENTAL</c:v>
                </c:pt>
                <c:pt idx="2">
                  <c:v>CURVE</c:v>
                </c:pt>
                <c:pt idx="3">
                  <c:v>WHITES</c:v>
                </c:pt>
                <c:pt idx="4">
                  <c:v>REDS</c:v>
                </c:pt>
                <c:pt idx="5">
                  <c:v>OUTRIGHTS (IR,IB)</c:v>
                </c:pt>
                <c:pt idx="6">
                  <c:v>SPREADS</c:v>
                </c:pt>
                <c:pt idx="7">
                  <c:v>FLIES</c:v>
                </c:pt>
              </c:strCache>
            </c:strRef>
          </c:cat>
          <c:val>
            <c:numRef>
              <c:f>'PERFORMANCE ANALYSIS'!$P$6:$P$13</c:f>
              <c:numCache>
                <c:formatCode>0.0</c:formatCode>
                <c:ptCount val="8"/>
                <c:pt idx="0">
                  <c:v>1.1312111801243805</c:v>
                </c:pt>
                <c:pt idx="1">
                  <c:v>0.68866459627337018</c:v>
                </c:pt>
                <c:pt idx="2">
                  <c:v>0.24870600414078667</c:v>
                </c:pt>
                <c:pt idx="3">
                  <c:v>0</c:v>
                </c:pt>
                <c:pt idx="4">
                  <c:v>0.24999999999999983</c:v>
                </c:pt>
                <c:pt idx="5">
                  <c:v>0</c:v>
                </c:pt>
                <c:pt idx="6">
                  <c:v>0.24889086069210284</c:v>
                </c:pt>
                <c:pt idx="7">
                  <c:v>0</c:v>
                </c:pt>
              </c:numCache>
            </c:numRef>
          </c:val>
          <c:extLst>
            <c:ext xmlns:c16="http://schemas.microsoft.com/office/drawing/2014/chart" uri="{C3380CC4-5D6E-409C-BE32-E72D297353CC}">
              <c16:uniqueId val="{00000000-2C3A-4EAD-8D10-3585220384FB}"/>
            </c:ext>
          </c:extLst>
        </c:ser>
        <c:dLbls>
          <c:showLegendKey val="0"/>
          <c:showVal val="0"/>
          <c:showCatName val="0"/>
          <c:showSerName val="0"/>
          <c:showPercent val="0"/>
          <c:showBubbleSize val="0"/>
        </c:dLbls>
        <c:gapWidth val="182"/>
        <c:axId val="359898688"/>
        <c:axId val="359892032"/>
      </c:barChart>
      <c:catAx>
        <c:axId val="359898688"/>
        <c:scaling>
          <c:orientation val="maxMin"/>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9892032"/>
        <c:crossesAt val="1"/>
        <c:auto val="1"/>
        <c:lblAlgn val="ctr"/>
        <c:lblOffset val="500"/>
        <c:noMultiLvlLbl val="0"/>
      </c:catAx>
      <c:valAx>
        <c:axId val="359892032"/>
        <c:scaling>
          <c:orientation val="minMax"/>
        </c:scaling>
        <c:delete val="1"/>
        <c:axPos val="t"/>
        <c:numFmt formatCode="0.0" sourceLinked="1"/>
        <c:majorTickMark val="none"/>
        <c:minorTickMark val="none"/>
        <c:tickLblPos val="nextTo"/>
        <c:crossAx val="359898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0</xdr:rowOff>
    </xdr:from>
    <xdr:to>
      <xdr:col>4</xdr:col>
      <xdr:colOff>1083405</xdr:colOff>
      <xdr:row>44</xdr:row>
      <xdr:rowOff>138486</xdr:rowOff>
    </xdr:to>
    <xdr:graphicFrame macro="">
      <xdr:nvGraphicFramePr>
        <xdr:cNvPr id="10" name="Chart 3">
          <a:extLst>
            <a:ext uri="{FF2B5EF4-FFF2-40B4-BE49-F238E27FC236}">
              <a16:creationId xmlns:a16="http://schemas.microsoft.com/office/drawing/2014/main" id="{73098ADF-AAA7-52FE-C549-D6A9E2A822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1081221</xdr:colOff>
      <xdr:row>16</xdr:row>
      <xdr:rowOff>0</xdr:rowOff>
    </xdr:from>
    <xdr:to>
      <xdr:col>9</xdr:col>
      <xdr:colOff>1176086</xdr:colOff>
      <xdr:row>44</xdr:row>
      <xdr:rowOff>138486</xdr:rowOff>
    </xdr:to>
    <xdr:graphicFrame macro="">
      <xdr:nvGraphicFramePr>
        <xdr:cNvPr id="7" name="Chart 6">
          <a:extLst>
            <a:ext uri="{FF2B5EF4-FFF2-40B4-BE49-F238E27FC236}">
              <a16:creationId xmlns:a16="http://schemas.microsoft.com/office/drawing/2014/main" id="{3C2437AA-B4EA-9E3A-DFA3-F042572FBD53}"/>
            </a:ext>
            <a:ext uri="{147F2762-F138-4A5C-976F-8EAC2B608ADB}">
              <a16:predDERef xmlns:a16="http://schemas.microsoft.com/office/drawing/2014/main" pred="{73098ADF-AAA7-52FE-C549-D6A9E2A822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314325</xdr:colOff>
      <xdr:row>16</xdr:row>
      <xdr:rowOff>0</xdr:rowOff>
    </xdr:from>
    <xdr:to>
      <xdr:col>12</xdr:col>
      <xdr:colOff>982435</xdr:colOff>
      <xdr:row>44</xdr:row>
      <xdr:rowOff>0</xdr:rowOff>
    </xdr:to>
    <xdr:graphicFrame macro="">
      <xdr:nvGraphicFramePr>
        <xdr:cNvPr id="4" name="Chart 7" descr="Chart type: Clustered Column. 'Field11'&#10;&#10;Description automatically generated">
          <a:extLst>
            <a:ext uri="{FF2B5EF4-FFF2-40B4-BE49-F238E27FC236}">
              <a16:creationId xmlns:a16="http://schemas.microsoft.com/office/drawing/2014/main" id="{5F84C9B8-D949-B161-DE9E-2DB6E72EA5C4}"/>
            </a:ext>
            <a:ext uri="{147F2762-F138-4A5C-976F-8EAC2B608ADB}">
              <a16:predDERef xmlns:a16="http://schemas.microsoft.com/office/drawing/2014/main" pred="{3C2437AA-B4EA-9E3A-DFA3-F042572FBD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986522</xdr:colOff>
      <xdr:row>16</xdr:row>
      <xdr:rowOff>0</xdr:rowOff>
    </xdr:from>
    <xdr:to>
      <xdr:col>16</xdr:col>
      <xdr:colOff>4</xdr:colOff>
      <xdr:row>44</xdr:row>
      <xdr:rowOff>0</xdr:rowOff>
    </xdr:to>
    <xdr:graphicFrame macro="">
      <xdr:nvGraphicFramePr>
        <xdr:cNvPr id="8" name="Chart 2">
          <a:extLst>
            <a:ext uri="{FF2B5EF4-FFF2-40B4-BE49-F238E27FC236}">
              <a16:creationId xmlns:a16="http://schemas.microsoft.com/office/drawing/2014/main" id="{D14EA236-888E-45A3-B614-FAA29B76AD3D}"/>
            </a:ext>
            <a:ext uri="{147F2762-F138-4A5C-976F-8EAC2B608ADB}">
              <a16:predDERef xmlns:a16="http://schemas.microsoft.com/office/drawing/2014/main" pred="{5F84C9B8-D949-B161-DE9E-2DB6E72EA5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1219200</xdr:colOff>
      <xdr:row>12</xdr:row>
      <xdr:rowOff>9525</xdr:rowOff>
    </xdr:from>
    <xdr:to>
      <xdr:col>1</xdr:col>
      <xdr:colOff>1562100</xdr:colOff>
      <xdr:row>21</xdr:row>
      <xdr:rowOff>152400</xdr:rowOff>
    </xdr:to>
    <xdr:sp macro="" textlink="">
      <xdr:nvSpPr>
        <xdr:cNvPr id="2" name="Down Arrow 1">
          <a:extLst>
            <a:ext uri="{FF2B5EF4-FFF2-40B4-BE49-F238E27FC236}">
              <a16:creationId xmlns:a16="http://schemas.microsoft.com/office/drawing/2014/main" id="{7619ACBA-D400-11CE-9F93-949036072E1A}"/>
            </a:ext>
          </a:extLst>
        </xdr:cNvPr>
        <xdr:cNvSpPr/>
      </xdr:nvSpPr>
      <xdr:spPr>
        <a:xfrm>
          <a:off x="2638425" y="3048000"/>
          <a:ext cx="342900" cy="1600200"/>
        </a:xfrm>
        <a:prstGeom prst="downArrow">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44C005-DFE4-4DD4-90DC-84C3177902F0}" name="Table1" displayName="Table1" ref="A2:BC351" totalsRowShown="0" headerRowDxfId="239" dataDxfId="238" tableBorderDxfId="237" totalsRowBorderDxfId="236">
  <autoFilter ref="A2:BC351" xr:uid="{00000000-0009-0000-0000-000000000000}"/>
  <tableColumns count="55">
    <tableColumn id="1" xr3:uid="{573BDAA4-1943-4773-8BD8-CAEB6AD06B05}" name="MONTH" dataDxfId="235"/>
    <tableColumn id="56" xr3:uid="{FBF13D99-387C-439D-AE58-628A33BFB3FE}" name="DATE2" dataDxfId="234"/>
    <tableColumn id="2" xr3:uid="{F02CE009-915D-418E-B8F0-9E88CE5B8941}" name="entry time" dataDxfId="233"/>
    <tableColumn id="3" xr3:uid="{0C4D08BF-D248-4F4A-B40B-FA80F0F8F82D}" name="DAY" dataDxfId="232"/>
    <tableColumn id="4" xr3:uid="{8E6CAF46-38D6-4DE1-866D-A8FE21D53C6E}" name="MAJOR EVENT" dataDxfId="231"/>
    <tableColumn id="5" xr3:uid="{1473CA32-71B0-499C-8D4B-4FB70FEE5637}" name="ACTION" dataDxfId="230"/>
    <tableColumn id="6" xr3:uid="{AB84FA13-05BB-4BDE-B4A0-098C471D297F}" name="CONTRACT " dataDxfId="229"/>
    <tableColumn id="7" xr3:uid="{F66F1806-C2FE-445D-9EB2-0BFF31FE58CD}" name="A" dataDxfId="228"/>
    <tableColumn id="8" xr3:uid="{56C56A55-C7BE-4786-AA1C-437BC3DF96C2}" name="E" dataDxfId="227"/>
    <tableColumn id="9" xr3:uid="{3C396FDC-7ED2-49A5-BC09-942B08AC97A0}" name="B" dataDxfId="226"/>
    <tableColumn id="10" xr3:uid="{492E7CBC-B384-4E13-8953-ACAB994C83A7}" name="D/H" dataDxfId="225"/>
    <tableColumn id="11" xr3:uid="{8BAF6A2B-2A43-4CDD-B029-7A9FFDDCC023}" name="REACTIVE | response to price action" dataDxfId="224"/>
    <tableColumn id="12" xr3:uid="{1936CD64-A845-48C6-AFE6-6CF0488293BA}" name="PROACTIVE  | expectations after consideration" dataDxfId="223"/>
    <tableColumn id="13" xr3:uid="{16C22FC5-16B6-4552-8F43-E730CEDA5DCB}" name="SIGNALS  | technical indicators/models" dataDxfId="222"/>
    <tableColumn id="14" xr3:uid="{18D95C9C-1AB4-40F6-83DB-0AFC3D4BD36B}" name="CODE" dataDxfId="221"/>
    <tableColumn id="15" xr3:uid="{3B198F79-DD5D-4C6C-BAB6-1941C0184216}" name="CODE2" dataDxfId="220"/>
    <tableColumn id="16" xr3:uid="{4D6C2A60-E52B-408D-9992-413E4A1D95C4}" name="O,S,F" dataDxfId="219"/>
    <tableColumn id="17" xr3:uid="{2EB94367-68FE-4400-AB26-4F2B0D27316E}" name="B QTY" dataDxfId="218"/>
    <tableColumn id="18" xr3:uid="{BB36A032-0240-4963-B7C0-0D33F83DFDE0}" name="S QTY" dataDxfId="217"/>
    <tableColumn id="19" xr3:uid="{4FDF2F6E-0AD7-42C8-A028-760103C1E169}" name="MAX SHOT" dataDxfId="216"/>
    <tableColumn id="20" xr3:uid="{EF1207B1-498E-4A95-889D-49A59944636B}" name="B/S" dataDxfId="215"/>
    <tableColumn id="21" xr3:uid="{242391C8-E818-4AF7-A9F1-2709D9770DC0}" name="TICK SIZE" dataDxfId="214"/>
    <tableColumn id="22" xr3:uid="{CD159E34-CFB7-4738-8BCD-2D485467997C}" name="MIN TICK VALUE ADJUSTED" dataDxfId="213"/>
    <tableColumn id="23" xr3:uid="{084C1C3B-F364-436C-AAD4-AE8DE0A4E71A}" name="TECHNICAL" dataDxfId="212"/>
    <tableColumn id="24" xr3:uid="{D3C6560D-EB4B-423D-ADB0-638E79682F42}" name="FUNDAMENTAL" dataDxfId="211"/>
    <tableColumn id="25" xr3:uid="{B69D257F-37C6-429D-A174-913AEF66D399}" name="CURVES" dataDxfId="210"/>
    <tableColumn id="26" xr3:uid="{E792761F-1F93-43FF-A877-9B7D0BEA1D7D}" name="ENTRY" dataDxfId="209"/>
    <tableColumn id="27" xr3:uid="{14564756-4D8B-4F4F-9C6C-E73E099E3738}" name="ENTRY LOGIC" dataDxfId="208"/>
    <tableColumn id="28" xr3:uid="{4C03E083-864E-4A5F-84C5-CEDD7CDE7B42}" name="STOPLOSS" dataDxfId="207"/>
    <tableColumn id="29" xr3:uid="{048C1B26-4104-4E09-A3C7-0B8B1A4D5A8B}" name="STOPLOSS LOGIC" dataDxfId="206"/>
    <tableColumn id="30" xr3:uid="{1F393B37-3FF7-4F5B-BAFE-3136798B4F5C}" name="PLANNED EXIT" dataDxfId="205"/>
    <tableColumn id="31" xr3:uid="{F2A21D3F-CA7A-4DB7-9CCC-2E31EE8027DD}" name="PLANNED EXIT LOGIC" dataDxfId="204"/>
    <tableColumn id="32" xr3:uid="{1047EB71-7A3F-45A8-8D80-FABF32A1F8BE}" name="BACKUP PLAN" dataDxfId="203"/>
    <tableColumn id="33" xr3:uid="{AABD4648-B109-4DF0-A4C2-929EBBC9798E}" name="WORST CASE REWARD/RISK" dataDxfId="202"/>
    <tableColumn id="34" xr3:uid="{5AD1318B-E85E-4768-A274-0B42BABB2CF3}" name="WORST CASE LOSS/LOT" dataDxfId="201"/>
    <tableColumn id="35" xr3:uid="{4E910393-90EE-4B3D-966A-A6DA8109DAAE}" name="WORST CASE LOSS" dataDxfId="200"/>
    <tableColumn id="36" xr3:uid="{F9837CA8-0D2B-4AC6-B0D7-54636FFF8595}" name="PLANNED DURATION" dataDxfId="199"/>
    <tableColumn id="37" xr3:uid="{230A1C5C-9856-4021-B8FE-6FABC3F63BF0}" name="DURATION LOGIC" dataDxfId="198"/>
    <tableColumn id="38" xr3:uid="{0E541C66-F84B-4DAB-BD40-077EABCA8360}" name="DURATION " dataDxfId="197"/>
    <tableColumn id="39" xr3:uid="{0659CDF2-A5CA-42AC-A706-FDF2FA6DF30D}" name="(M/H/D/W) | W - &gt; DAYS" dataDxfId="196"/>
    <tableColumn id="40" xr3:uid="{8BCF1703-A104-4C02-AAFC-AC95FD5E0FA9}" name="exit date/time" dataDxfId="195"/>
    <tableColumn id="41" xr3:uid="{7DD3197A-1C41-49DC-BFD1-0D035517CE9B}" name="EXIT" dataDxfId="194"/>
    <tableColumn id="42" xr3:uid="{80793E94-FD90-4730-9729-99594EBA5309}" name="PNL (PRICE)" dataDxfId="193"/>
    <tableColumn id="43" xr3:uid="{DE70FBFC-A980-4ED2-91D4-1ED482A08855}" name="TOTAL PROFIT" dataDxfId="192"/>
    <tableColumn id="44" xr3:uid="{10A825F7-2CBF-46CD-912A-A6D87A9CA12A}" name="PNL ($) SINGLE ORDER" dataDxfId="191"/>
    <tableColumn id="45" xr3:uid="{C5F3B5EF-6186-4AD5-83B8-AEF950779AA2}" name="W/L" dataDxfId="190"/>
    <tableColumn id="46" xr3:uid="{AD039B48-9431-4A11-B748-93132E3E12F3}" name="REMARKS 1" dataDxfId="189"/>
    <tableColumn id="47" xr3:uid="{8444F280-DFD2-4618-9DF6-00C65614A92C}" name="REMARKS 2" dataDxfId="188"/>
    <tableColumn id="48" xr3:uid="{E7682F10-3E37-4263-A289-BC871CFC3CE0}" name="REMARKS 3" dataDxfId="187"/>
    <tableColumn id="49" xr3:uid="{BD1DDC79-9A0C-40B1-A60D-B3CC530E5593}" name="REMARKS 13" dataDxfId="186"/>
    <tableColumn id="50" xr3:uid="{7A5FB48C-FC48-449E-AD20-CB7E87254914}" name="REMARKS 24" dataDxfId="185"/>
    <tableColumn id="51" xr3:uid="{872572DD-5E17-4703-9DEF-95232C04B3E4}" name="REMARKS 35" dataDxfId="184"/>
    <tableColumn id="52" xr3:uid="{83875B8D-60BF-465D-8982-9E25DAE2CA50}" name="REMARKS 16" dataDxfId="183"/>
    <tableColumn id="53" xr3:uid="{EB61C050-CDD2-4555-A3BC-699E3CBAC022}" name="REMARKS 27" dataDxfId="182"/>
    <tableColumn id="54" xr3:uid="{9F1BEB01-1C4A-4317-817D-8F9BEAC25DDC}" name="REMARKS 38" dataDxfId="18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3FC2D-F099-4B15-A394-984094C2173F}" name="Table2" displayName="Table2" ref="A5:P14" totalsRowCount="1" headerRowDxfId="175" dataDxfId="174" headerRowBorderDxfId="172" tableBorderDxfId="173">
  <autoFilter ref="A5:P13" xr:uid="{8B13FC2D-F099-4B15-A394-984094C2173F}"/>
  <tableColumns count="16">
    <tableColumn id="1" xr3:uid="{67FB27B5-CD7D-4530-A8A1-A12AE44285FE}" name="CATEGORY" dataDxfId="170" totalsRowDxfId="171"/>
    <tableColumn id="2" xr3:uid="{A3B75B1B-9EF5-406F-804B-6DE4B6B574C2}" name="TYPE" dataDxfId="168" totalsRowDxfId="169"/>
    <tableColumn id="3" xr3:uid="{4C6E5ACB-33E0-48D9-ABF3-92FDCAB83C75}" name="# ORDERS" totalsRowDxfId="167">
      <calculatedColumnFormula>COUNTIFS(Table1[MONTH],'PERFORMANCE ANALYSIS'!$A$3,Table1[TECHNICAL],"*")</calculatedColumnFormula>
    </tableColumn>
    <tableColumn id="4" xr3:uid="{BC1C545D-85A5-4832-9DE1-01A18757F0F1}" name="TOTAL LOTS" dataDxfId="165" totalsRowDxfId="166">
      <calculatedColumnFormula>SUMIFS(Table1[B QTY],Table1[MONTH],'PERFORMANCE ANALYSIS'!$A$3,Table1[TECHNICAL],"*")</calculatedColumnFormula>
    </tableColumn>
    <tableColumn id="5" xr3:uid="{1BBBBEB5-1876-408B-BD99-983D1287CABF}" name="AVG GAINS/LOT" dataDxfId="163" totalsRowDxfId="164">
      <calculatedColumnFormula>AVERAGEIFS(Table1[PNL ($) SINGLE ORDER],Table1[MONTH],'PERFORMANCE ANALYSIS'!$A$3,Table1[W/L],"W",Table1[TECHNICAL],"*")</calculatedColumnFormula>
    </tableColumn>
    <tableColumn id="6" xr3:uid="{9931C952-AD09-44ED-86FB-DF84530DD9AA}" name="TOTAL GAINS" dataDxfId="161" totalsRowDxfId="162">
      <calculatedColumnFormula>SUMIFS(Table1[TOTAL PROFIT],Table1[MONTH],'PERFORMANCE ANALYSIS'!$A$3,Table1[W/L],"W",Table1[TECHNICAL],"*")</calculatedColumnFormula>
    </tableColumn>
    <tableColumn id="7" xr3:uid="{2C5E9E55-7830-483D-A106-424323484063}" name="WIN%" dataDxfId="159" totalsRowDxfId="160">
      <calculatedColumnFormula>(COUNTIFS(Table1[W/L],"W",Table1[MONTH],'PERFORMANCE ANALYSIS'!$A$3,Table1[TECHNICAL],"*"))/Table2[[#This Row],['# ORDERS]]</calculatedColumnFormula>
    </tableColumn>
    <tableColumn id="8" xr3:uid="{B27E4ABD-FF32-4B20-A587-D61324F8EEF2}" name="AVG LOSS/ LOT" dataDxfId="157" totalsRowDxfId="158">
      <calculatedColumnFormula>AVERAGEIFS(Table1[PNL ($) SINGLE ORDER],Table1[MONTH],'PERFORMANCE ANALYSIS'!$A$3,Table1[W/L],"L",Table1[TECHNICAL],"*")</calculatedColumnFormula>
    </tableColumn>
    <tableColumn id="9" xr3:uid="{DDD2CADD-495F-4786-8A17-E5C934AD6977}" name="TOTAL LOSS" dataDxfId="155" totalsRowDxfId="156">
      <calculatedColumnFormula>SUMIFS(Table1[TOTAL PROFIT],Table1[MONTH],'PERFORMANCE ANALYSIS'!$A$3,Table1[W/L],"L",Table1[TECHNICAL],"*")</calculatedColumnFormula>
    </tableColumn>
    <tableColumn id="10" xr3:uid="{22558177-A971-477E-B0DC-35CDCD9BD360}" name="LOSS%" dataDxfId="153" totalsRowDxfId="154">
      <calculatedColumnFormula>(COUNTIFS(Table1[W/L],"L",Table1[MONTH],'PERFORMANCE ANALYSIS'!$A$3,Table1[TECHNICAL],"*"))/Table2[[#This Row],['# ORDERS]]</calculatedColumnFormula>
    </tableColumn>
    <tableColumn id="11" xr3:uid="{31475D39-7C28-4CA6-8240-A099EC19C9E7}" name="G/L" dataDxfId="151" totalsRowDxfId="152">
      <calculatedColumnFormula>IFERROR(Table2[[#This Row],[TOTAL GAINS]]/Table2[[#This Row],[TOTAL LOSS]],1)</calculatedColumnFormula>
    </tableColumn>
    <tableColumn id="12" xr3:uid="{9057571D-7CEC-48A5-A6C2-FDAA71F2E6D7}" name="NET P/L" dataDxfId="149" totalsRowDxfId="150">
      <calculatedColumnFormula>Table2[[#This Row],[TOTAL GAINS]]-Table2[[#This Row],[TOTAL LOSS]]</calculatedColumnFormula>
    </tableColumn>
    <tableColumn id="13" xr3:uid="{219D7ED0-CA69-41D1-B18B-23CB9A9BA539}" name="MODE CLIP SIZE" dataDxfId="147" totalsRowDxfId="148">
      <calculatedColumnFormula array="1">MODE(IF(Table1[MONTH]='PERFORMANCE ANALYSIS'!$A$3,IF(Table1[TECHNICAL]&lt;&gt;"",Table1[B QTY])))</calculatedColumnFormula>
    </tableColumn>
    <tableColumn id="14" xr3:uid="{2A681E1D-B8DF-4A34-9266-9E0A0ABB563E}" name="AVG OF CLIP SIZE" dataDxfId="145" totalsRowDxfId="146">
      <calculatedColumnFormula>AVERAGEIFS(Table1[B QTY],Table1[MONTH],'PERFORMANCE ANALYSIS'!$A$3,Table1[TECHNICAL],"*")</calculatedColumnFormula>
    </tableColumn>
    <tableColumn id="15" xr3:uid="{54665246-CCDA-4FD8-9A81-8416D6ECB42F}" name="MAX LOSS" dataDxfId="143" totalsRowDxfId="144">
      <calculatedColumnFormula array="1">MAX(IF(Table1[MONTH]='PERFORMANCE ANALYSIS'!$A$3,IF(Table1[TECHNICAL]&lt;&gt;"",Table1[TOTAL PROFIT])))</calculatedColumnFormula>
    </tableColumn>
    <tableColumn id="16" xr3:uid="{728176E6-D3EF-4682-91A5-432F67A15FB0}" name="G/L per lot" dataDxfId="142">
      <calculatedColumnFormula>IFERROR(Table2[[#This Row],[AVG GAINS/LOT]]/Table2[[#This Row],[AVG LOSS/ LOT]],0)</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F37582-F928-4A26-8C43-AB1599D6D45D}" name="Table3" displayName="Table3" ref="A75:J90" totalsRowShown="0" headerRowDxfId="75">
  <autoFilter ref="A75:J90" xr:uid="{56F37582-F928-4A26-8C43-AB1599D6D45D}"/>
  <tableColumns count="10">
    <tableColumn id="1" xr3:uid="{9074AADB-C407-47B1-A631-65F1B8136E2D}" name="STATES" dataDxfId="74"/>
    <tableColumn id="2" xr3:uid="{D5ACA622-5036-4739-84C4-E6D47D0666C8}" name="PREV STATE" dataDxfId="73"/>
    <tableColumn id="3" xr3:uid="{6796CDFF-E306-4DB6-8F1F-08BDB72A2324}" name="PROB"/>
    <tableColumn id="4" xr3:uid="{5F5D8870-567A-4A53-AC58-171F1046902F}" name="STRATS"/>
    <tableColumn id="5" xr3:uid="{B1A99B3D-D818-4657-8947-8CC7AE56327E}" name="RISK AMT" dataDxfId="72"/>
    <tableColumn id="6" xr3:uid="{3484825C-720A-44FB-814A-8407961BD289}" name="TICKS (for reds can go 2x to 3x)" dataDxfId="71"/>
    <tableColumn id="7" xr3:uid="{48D8BE90-F1BD-4672-89DC-AFE0DFBA1CB6}" name="TICK" dataDxfId="70">
      <calculatedColumnFormula>F76*$F$6</calculatedColumnFormula>
    </tableColumn>
    <tableColumn id="8" xr3:uid="{0B43B84C-3780-4C03-BD42-F2FE807E0439}" name="MAX LOTS (R)" dataDxfId="69">
      <calculatedColumnFormula>I76/G76</calculatedColumnFormula>
    </tableColumn>
    <tableColumn id="9" xr3:uid="{BFCE9B88-5E43-42CF-ADE5-CFD16955459F}" name="LOSS" dataDxfId="68"/>
    <tableColumn id="10" xr3:uid="{1388E6FE-3BC0-49B5-A6B1-33D7D3B13EE9}" name="POSITIONAL V INTRADAY" dataDxfId="6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9EB86C6-9B16-4047-B7E3-715E29B66EEB}" name="Table4" displayName="Table4" ref="J30:V46" totalsRowShown="0" headerRowDxfId="66">
  <autoFilter ref="J30:V46" xr:uid="{59EB86C6-9B16-4047-B7E3-715E29B66EEB}"/>
  <sortState xmlns:xlrd2="http://schemas.microsoft.com/office/spreadsheetml/2017/richdata2" ref="J31:T44">
    <sortCondition descending="1" ref="O30:O44"/>
  </sortState>
  <tableColumns count="13">
    <tableColumn id="1" xr3:uid="{96C74973-4210-4627-A1C5-CF9BC8461318}" name="STRAT   "/>
    <tableColumn id="2" xr3:uid="{D5CC4186-B723-4B9F-8050-0C84EF2C82D2}" name="MAX DD"/>
    <tableColumn id="3" xr3:uid="{A0856DE5-5FB0-48D1-B9D8-BAEF001FCD90}" name="P/M"/>
    <tableColumn id="4" xr3:uid="{257E639D-52F7-4CB9-8869-F3E8C944337C}" name="Ratio" dataDxfId="65">
      <calculatedColumnFormula>L31/K31</calculatedColumnFormula>
    </tableColumn>
    <tableColumn id="5" xr3:uid="{92C65088-E4CE-4FEB-956E-AC9A2A3E8A50}" name="%" dataDxfId="64"/>
    <tableColumn id="6" xr3:uid="{6B8C0288-2AEA-46DF-8DCA-A7AC4E0A1B2D}" name="LVL" dataDxfId="63"/>
    <tableColumn id="7" xr3:uid="{8096094C-F190-4582-BEBC-461A3627BCB2}" name="C. Mkt St." dataDxfId="62"/>
    <tableColumn id="8" xr3:uid="{7B6CB3C7-99EE-4FD4-ACE4-14CC43E3738C}" name="POSITIONAL V INTRADAY/HOUR" dataDxfId="61"/>
    <tableColumn id="9" xr3:uid="{4EDAA39E-0D7C-49FC-BD65-C5778D3CBA5C}" name="MAX" dataDxfId="60"/>
    <tableColumn id="10" xr3:uid="{6AE02E8A-4541-46B3-9008-EF1FA06FDE5C}" name="ENTRY" dataDxfId="59"/>
    <tableColumn id="11" xr3:uid="{FB975BAC-340A-4DE5-A560-C9F829919010}" name="# of entries"/>
    <tableColumn id="12" xr3:uid="{BAC566EB-C193-4AC5-882A-C8CDEDC3E95F}" name="WHEN TO AVOID"/>
    <tableColumn id="13" xr3:uid="{0FA844A0-9A31-42E9-95F2-FF31D96BC4A8}" name="WHEN TO ATTACK"/>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E74252F-71B2-4DF7-92C2-AD9E5BB1CC29}" name="Table5" displayName="Table5" ref="AV30:BM36" totalsRowShown="0" headerRowDxfId="58">
  <autoFilter ref="AV30:BM36" xr:uid="{BE74252F-71B2-4DF7-92C2-AD9E5BB1CC29}"/>
  <tableColumns count="18">
    <tableColumn id="1" xr3:uid="{C825C95A-E008-425A-A327-14A52D46C200}" name="MIDCAP TRADES"/>
    <tableColumn id="2" xr3:uid="{E8DF8CEC-888A-4EFE-8A1F-A01F47A4E1A3}" name="MAX DD / LOT"/>
    <tableColumn id="3" xr3:uid="{2AB28E09-2B42-4472-97F2-927D857B4DB3}" name="P/M / LOT"/>
    <tableColumn id="4" xr3:uid="{052091D1-AA1E-4E9C-A5A3-EB586E55DFEA}" name="MAX CLIP"/>
    <tableColumn id="5" xr3:uid="{505039F3-2944-43D4-AFDF-F0F5316D4FB8}" name="% ALLOCATION" dataDxfId="57"/>
    <tableColumn id="6" xr3:uid="{A7C9C8A5-1F3E-434B-AA6B-A1E121C596F5}" name="ALLOCATION AMT">
      <calculatedColumnFormula>(AZ31*$AW$29)*1000</calculatedColumnFormula>
    </tableColumn>
    <tableColumn id="7" xr3:uid="{3E1AFFAF-C979-490F-8AAA-AE09D5C52537}" name="PROFIT / MONTH % PER LOT" dataDxfId="56">
      <calculatedColumnFormula>AX31/BA31</calculatedColumnFormula>
    </tableColumn>
    <tableColumn id="8" xr3:uid="{72491E8A-7AB3-40F2-ABEB-6820FABBF494}" name="DD% PER LOT" dataDxfId="55">
      <calculatedColumnFormula>AW31/BA31</calculatedColumnFormula>
    </tableColumn>
    <tableColumn id="9" xr3:uid="{4FDDFAB2-4005-4D90-8087-9128DB13C028}" name="LOT SIZE" dataDxfId="54"/>
    <tableColumn id="10" xr3:uid="{CB4793B2-5BEF-47AB-8FBA-02A744DDEB42}" name="PROFIT PER PLAY" dataDxfId="53">
      <calculatedColumnFormula>BD31*BB31</calculatedColumnFormula>
    </tableColumn>
    <tableColumn id="11" xr3:uid="{EC84896B-C6F2-464E-80F0-912FC3AE994E}" name="PROFIT AMT / PLAY">
      <calculatedColumnFormula>BE31*BA31</calculatedColumnFormula>
    </tableColumn>
    <tableColumn id="12" xr3:uid="{20CEF942-F9BD-417B-AD45-2B798D9742E2}" name="DD% PER PLAY" dataDxfId="52"/>
    <tableColumn id="13" xr3:uid="{E52CD742-8BB3-4C10-9645-D7D44E4A4BB7}" name="MAX DD"/>
    <tableColumn id="14" xr3:uid="{07F2A422-82D9-4351-93FC-485EC02FE9CC}" name="# DD / PLAY" dataDxfId="51"/>
    <tableColumn id="15" xr3:uid="{C32B04C2-F145-459B-845D-9FB8695E30EF}" name="TOTAL MAX DD"/>
    <tableColumn id="16" xr3:uid="{220C85DA-A8D3-4C0B-B04C-F74DBD6AE51B}" name="NET PNL PER PLAY"/>
    <tableColumn id="17" xr3:uid="{982613A7-9A44-4DCD-8034-448D822EF7C4}" name="ENTRY1" dataDxfId="50">
      <calculatedColumnFormula>0.4*Table5[[#This Row],[LOT SIZE]]</calculatedColumnFormula>
    </tableColumn>
    <tableColumn id="18" xr3:uid="{365247B8-810E-4E2F-90CD-46DF68311986}" name="ENTRY 2" dataDxfId="49">
      <calculatedColumnFormula>Table5[[#This Row],[LOT SIZE]]-Table5[[#This Row],[ENTRY1]]</calculatedColumnFormula>
    </tableColumn>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99FAF53-A323-4113-A6B1-46EE29C0F6E9}" name="Table6" displayName="Table6" ref="X30:AS36" totalsRowShown="0" headerRowDxfId="48" dataDxfId="47">
  <autoFilter ref="X30:AS36" xr:uid="{A99FAF53-A323-4113-A6B1-46EE29C0F6E9}"/>
  <tableColumns count="22">
    <tableColumn id="1" xr3:uid="{A24FCD3E-AD32-45EB-AE73-0243DF7A8DDA}" name="INDEX FUND TRADES"/>
    <tableColumn id="2" xr3:uid="{E25A647C-5A43-4AAD-BCF3-D9408C0FAC78}" name="MAX DD / LOT" dataDxfId="46"/>
    <tableColumn id="3" xr3:uid="{D7E01FAF-281D-4CFC-B7E9-8026E56D1794}" name="P/M / LOT" dataDxfId="45"/>
    <tableColumn id="4" xr3:uid="{D9E6DBA4-3AEE-4CB9-9066-3035D3D7A2E9}" name="MAX CLIP (WHY NOT MORE?) | entry lots" dataDxfId="44"/>
    <tableColumn id="5" xr3:uid="{88B8E6EC-26C4-4B5E-9B1D-88CC4434D5F4}" name="% ALLOCATION" dataDxfId="43"/>
    <tableColumn id="6" xr3:uid="{C61C83A9-9ACF-4B35-9F3D-C6C489A0E8D1}" name="ALLOCATION AMT">
      <calculatedColumnFormula>(AB31*$Y$29)*1000</calculatedColumnFormula>
    </tableColumn>
    <tableColumn id="7" xr3:uid="{32DE05F1-4E47-45EB-A84B-EF96E918A7C3}" name="PROFIT / MONTH % PER LOT" dataDxfId="42">
      <calculatedColumnFormula>$Z31/AC31</calculatedColumnFormula>
    </tableColumn>
    <tableColumn id="8" xr3:uid="{1CF023EE-DF1A-4CAE-BBDE-C9C3FA491B93}" name="DD% PER LOT" dataDxfId="41">
      <calculatedColumnFormula>$Y31/AC31</calculatedColumnFormula>
    </tableColumn>
    <tableColumn id="9" xr3:uid="{819A8DDE-DF3A-4225-9B4D-7CC51375E09B}" name="LOT SIZE (ratio 1 lots so 1:3 will become lots below: 3 x lots below)" dataDxfId="40"/>
    <tableColumn id="10" xr3:uid="{85F3ABFF-0DF7-49A1-B2FC-10F42EF66102}" name="PROFIT PER PLAY" dataDxfId="39">
      <calculatedColumnFormula>AF31*AD31</calculatedColumnFormula>
    </tableColumn>
    <tableColumn id="11" xr3:uid="{EDC10F29-B9F9-41C8-88E4-48091685BB0B}" name="PROFIT AMT / PLAY">
      <calculatedColumnFormula>AG31*AC31</calculatedColumnFormula>
    </tableColumn>
    <tableColumn id="12" xr3:uid="{9C0ABF76-D072-4516-AA51-89701F6BB2FB}" name="DD% PER PLAY" dataDxfId="38">
      <calculatedColumnFormula>AE31*AF31</calculatedColumnFormula>
    </tableColumn>
    <tableColumn id="13" xr3:uid="{07409C18-0CCA-4966-A7AF-3C4306A7856D}" name="MAX DD" dataDxfId="37">
      <calculatedColumnFormula>AI31*AC31</calculatedColumnFormula>
    </tableColumn>
    <tableColumn id="14" xr3:uid="{96552D8E-7E99-4E16-BF7A-7255450BBC3D}" name="# DD / PLAY" dataDxfId="36"/>
    <tableColumn id="15" xr3:uid="{D4C85B3E-524F-41E2-8D45-AED225DBCD79}" name="TOTAL MAX DD" dataDxfId="35">
      <calculatedColumnFormula>AK31*AJ31</calculatedColumnFormula>
    </tableColumn>
    <tableColumn id="16" xr3:uid="{C2085D2D-195F-42E3-BDCE-E129CC0ECEEA}" name="NET PNL PER PLAY" dataDxfId="34">
      <calculatedColumnFormula>AH31-AL31</calculatedColumnFormula>
    </tableColumn>
    <tableColumn id="18" xr3:uid="{0120963C-C2D8-49F1-8F66-C12DD4D60D35}" name="WHEN TO AVOID"/>
    <tableColumn id="17" xr3:uid="{E666DA3A-0933-438C-A298-010350BC12AC}" name="WHEN TO ATTACK" dataDxfId="33"/>
    <tableColumn id="19" xr3:uid="{91B4BE90-3009-441C-94B4-A3198FD811F9}" name="ENTRY 1 (x)" dataDxfId="32">
      <calculatedColumnFormula>Table6[[#This Row],[LOT SIZE (ratio 1 lots so 1:3 will become lots below: 3 x lots below)]]/2.5</calculatedColumnFormula>
    </tableColumn>
    <tableColumn id="20" xr3:uid="{2DCBA515-71EA-4BAF-B5DA-89A053E335A0}" name="ENTRY 2 (1.5x)" dataDxfId="31">
      <calculatedColumnFormula>Table6[[#This Row],[LOT SIZE (ratio 1 lots so 1:3 will become lots below: 3 x lots below)]]-Table6[[#This Row],[ENTRY 1 (x)]]</calculatedColumnFormula>
    </tableColumn>
    <tableColumn id="21" xr3:uid="{99F9B3DE-1BF0-4C7E-A4EB-E652C08E9CF1}" name="ENTRY 1a (x)" dataDxfId="30">
      <calculatedColumnFormula>Table6[[#This Row],[LOT SIZE (ratio 1 lots so 1:3 will become lots below: 3 x lots below)]]/2.25</calculatedColumnFormula>
    </tableColumn>
    <tableColumn id="22" xr3:uid="{0767EB43-9116-4B57-8C14-03DCE291BA93}" name="ENTRY 2a (1.25x)" dataDxfId="29">
      <calculatedColumnFormula>Table6[[#This Row],[LOT SIZE (ratio 1 lots so 1:3 will become lots below: 3 x lots below)]]-Table6[[#This Row],[ENTRY 1a (x)]]</calculatedColumnFormula>
    </tableColumn>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570F8A-205A-4E98-9650-29B19A684743}" name="Table7" displayName="Table7" ref="AV38:BK44" totalsRowShown="0" headerRowDxfId="28">
  <autoFilter ref="AV38:BK44" xr:uid="{64570F8A-205A-4E98-9650-29B19A684743}"/>
  <tableColumns count="16">
    <tableColumn id="1" xr3:uid="{81F4B3EE-F0AA-49FE-A75B-67DCA2F71A78}" name="HIGH RISK, MAYBE HIGH REWARD"/>
    <tableColumn id="2" xr3:uid="{616DADC5-3349-4F65-9772-A0E5EA158296}" name="MAX DD / LOT"/>
    <tableColumn id="3" xr3:uid="{90202DCA-7EEA-478E-B1EF-B9890E18885B}" name="P/M / LOT"/>
    <tableColumn id="4" xr3:uid="{BE5A3DCB-12CA-431E-99F9-BB65942687BC}" name="MAX CLIP"/>
    <tableColumn id="5" xr3:uid="{64C8BA5A-6AB2-4D08-8F62-C85566351E79}" name="% ALLOCATION" dataDxfId="27"/>
    <tableColumn id="6" xr3:uid="{4FD5CE85-568E-4BFA-B91D-FF04864F32E9}" name="ALLOCATION AMT" dataDxfId="26">
      <calculatedColumnFormula>(Table7[[#This Row],[% ALLOCATION]]*$AW$29)*1000</calculatedColumnFormula>
    </tableColumn>
    <tableColumn id="7" xr3:uid="{5D6EBD03-3519-4B2B-8240-200BDB56C1B0}" name="PROFIT / MONTH % PER LOT" dataDxfId="25">
      <calculatedColumnFormula>Table7[[#This Row],[P/M / LOT]]/Table7[[#This Row],[ALLOCATION AMT]]</calculatedColumnFormula>
    </tableColumn>
    <tableColumn id="8" xr3:uid="{CCDE8312-AB43-44AB-9D0D-AE4F3A240856}" name="DD% PER LOT" dataDxfId="24">
      <calculatedColumnFormula>Table7[[#This Row],[MAX DD / LOT]]/Table7[[#This Row],[ALLOCATION AMT]]</calculatedColumnFormula>
    </tableColumn>
    <tableColumn id="9" xr3:uid="{A1D39E85-F497-4493-B937-A1092092D467}" name="LOT SIZE" dataDxfId="23"/>
    <tableColumn id="10" xr3:uid="{8AB50BA1-E404-46A7-8127-BA8AA6FFD097}" name="PROFIT PER PLAY" dataDxfId="22">
      <calculatedColumnFormula>Table7[[#This Row],[LOT SIZE]]*Table7[[#This Row],[PROFIT / MONTH % PER LOT]]</calculatedColumnFormula>
    </tableColumn>
    <tableColumn id="11" xr3:uid="{E50CC4CB-899E-4883-B9E0-89A52E0AAF82}" name="PROFIT AMT / PLAY" dataDxfId="21">
      <calculatedColumnFormula>Table7[[#This Row],[PROFIT PER PLAY]]*Table7[[#This Row],[LOT SIZE]]</calculatedColumnFormula>
    </tableColumn>
    <tableColumn id="12" xr3:uid="{4B58C6C8-B6C5-4D54-A5B5-D9FBFB968A4C}" name="DD% PER PLAY" dataDxfId="20">
      <calculatedColumnFormula>Table7[[#This Row],[LOT SIZE]]*Table7[[#This Row],[DD% PER LOT]]</calculatedColumnFormula>
    </tableColumn>
    <tableColumn id="13" xr3:uid="{754D67F2-EB61-4488-B471-7741FC4BC6A3}" name="MAX DD" dataDxfId="19">
      <calculatedColumnFormula>Table7[[#This Row],[DD% PER PLAY]]*Table7[[#This Row],[ALLOCATION AMT]]</calculatedColumnFormula>
    </tableColumn>
    <tableColumn id="14" xr3:uid="{CA0D11F7-A936-435A-A6A3-23FE32F86959}" name="# DD / PLAY"/>
    <tableColumn id="15" xr3:uid="{146C1EFF-DB9C-4111-9062-34BF6F2E15CB}" name="TOTAL MAX DD" dataDxfId="18">
      <calculatedColumnFormula>Table7[[#This Row],['# DD / PLAY]]*Table7[[#This Row],[MAX DD]]</calculatedColumnFormula>
    </tableColumn>
    <tableColumn id="16" xr3:uid="{9D17C063-7AC6-47A5-9EE3-178B3CEF047D}" name="NET PNL PER PLAY" dataDxfId="17">
      <calculatedColumnFormula>Table7[[#This Row],[PROFIT AMT / PLAY]]-Table7[[#This Row],[TOTAL MAX DD]]</calculatedColumnFormula>
    </tableColum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A0653A1-CA99-4E4E-809A-65DB5468F1DD}" name="Table59" displayName="Table59" ref="A2:G15" totalsRowShown="0">
  <autoFilter ref="A2:G15" xr:uid="{9A0653A1-CA99-4E4E-809A-65DB5468F1DD}"/>
  <tableColumns count="7">
    <tableColumn id="1" xr3:uid="{A4AF4EC9-40A2-464F-9D43-61672FD95230}" name="M"/>
    <tableColumn id="2" xr3:uid="{D917480C-C439-4740-AB24-43A0E0FA8089}" name="S working most (ATTTACK)"/>
    <tableColumn id="3" xr3:uid="{21E5CECE-07E5-4FFD-AB96-C455B7DF0A62}" name="T WINNER" dataDxfId="9"/>
    <tableColumn id="4" xr3:uid="{2EBBDDA3-8F5C-4032-92A1-B877AA7D6A3E}" name="T LOSER" dataDxfId="8"/>
    <tableColumn id="5" xr3:uid="{D1EF056E-E9D0-4F96-8C4C-224600732F3D}" name="S working least (DEFENSIVE / AVOID COMPLETELY)" dataDxfId="7"/>
    <tableColumn id="6" xr3:uid="{EACCC26E-35E1-4974-9F5E-90331BC99C84}" name="ROLL" dataDxfId="6"/>
    <tableColumn id="7" xr3:uid="{2F1D3E85-0553-4C3F-A540-2FA8D9DBCAED}" name="COMMENTS"/>
  </tableColumns>
  <tableStyleInfo name="TableStyleDark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1EEF8C3-1430-4103-B10C-D9BCA239901B}" name="Table610" displayName="Table610" ref="A19:G31" totalsRowShown="0" headerRowDxfId="5" headerRowBorderDxfId="4">
  <autoFilter ref="A19:G31" xr:uid="{01EEF8C3-1430-4103-B10C-D9BCA239901B}"/>
  <tableColumns count="7">
    <tableColumn id="1" xr3:uid="{C11CC73F-782A-41B4-857C-E444309911FE}" name="M"/>
    <tableColumn id="2" xr3:uid="{DC0D713C-412C-464A-8EBE-F15EC1AB5BFF}" name="S working most (ATTTACK)"/>
    <tableColumn id="3" xr3:uid="{48654348-6C98-448F-A2FC-D18C689F503F}" name="T WINNER" dataDxfId="3"/>
    <tableColumn id="4" xr3:uid="{E9E1A19B-C067-40FF-887C-C62CB3DF33CA}" name="T LOSER" dataDxfId="2"/>
    <tableColumn id="5" xr3:uid="{F437B5D6-2C52-4569-B245-DBE21EB441AF}" name="S working least (DEFENSIVE / AVOID COMPLETELY)" dataDxfId="1"/>
    <tableColumn id="6" xr3:uid="{076C9C28-1AB5-4A0D-AE43-EF1D3DF251F8}" name="ROLL" dataDxfId="0"/>
    <tableColumn id="7" xr3:uid="{7DAA1EA9-01C8-4F89-9505-5FFB39980649}" name="COMMENTS"/>
  </tableColumns>
  <tableStyleInfo name="TableStyleDark1"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nvesting.com/economic-calendar/retail-sales-256" TargetMode="External"/><Relationship Id="rId13" Type="http://schemas.openxmlformats.org/officeDocument/2006/relationships/hyperlink" Target="https://www.investing.com/economic-calendar/initial-jobless-claims-294" TargetMode="External"/><Relationship Id="rId18" Type="http://schemas.openxmlformats.org/officeDocument/2006/relationships/hyperlink" Target="https://www.investing.com/economic-calendar/nonfarm-payrolls-227" TargetMode="External"/><Relationship Id="rId26" Type="http://schemas.openxmlformats.org/officeDocument/2006/relationships/hyperlink" Target="https://www.investing.com/economic-calendar/cpi-1011" TargetMode="External"/><Relationship Id="rId3" Type="http://schemas.openxmlformats.org/officeDocument/2006/relationships/hyperlink" Target="https://www.investing.com/economic-calendar/cpi-69" TargetMode="External"/><Relationship Id="rId21" Type="http://schemas.openxmlformats.org/officeDocument/2006/relationships/hyperlink" Target="https://www.investing.com/economic-calendar/core-cpi-56" TargetMode="External"/><Relationship Id="rId7" Type="http://schemas.openxmlformats.org/officeDocument/2006/relationships/hyperlink" Target="https://www.investing.com/economic-calendar/core-retail-sales-63" TargetMode="External"/><Relationship Id="rId12" Type="http://schemas.openxmlformats.org/officeDocument/2006/relationships/hyperlink" Target="https://www.investing.com/economic-calendar/participation-rate-1051" TargetMode="External"/><Relationship Id="rId17" Type="http://schemas.openxmlformats.org/officeDocument/2006/relationships/hyperlink" Target="https://www.investing.com/economic-calendar/retail-sales-262" TargetMode="External"/><Relationship Id="rId25" Type="http://schemas.openxmlformats.org/officeDocument/2006/relationships/hyperlink" Target="https://www.investing.com/economic-calendar/gdp-375" TargetMode="External"/><Relationship Id="rId2" Type="http://schemas.openxmlformats.org/officeDocument/2006/relationships/hyperlink" Target="https://www.investing.com/economic-calendar/core-cpi-56" TargetMode="External"/><Relationship Id="rId16" Type="http://schemas.openxmlformats.org/officeDocument/2006/relationships/hyperlink" Target="https://www.investing.com/economic-calendar/trimmed-mean-cpi-293" TargetMode="External"/><Relationship Id="rId20" Type="http://schemas.openxmlformats.org/officeDocument/2006/relationships/hyperlink" Target="https://www.investing.com/economic-calendar/retail-trade-1283" TargetMode="External"/><Relationship Id="rId29" Type="http://schemas.openxmlformats.org/officeDocument/2006/relationships/printerSettings" Target="../printerSettings/printerSettings1.bin"/><Relationship Id="rId1" Type="http://schemas.openxmlformats.org/officeDocument/2006/relationships/hyperlink" Target="https://www.investing.com/economic-calendar/nab-business-confidence-217" TargetMode="External"/><Relationship Id="rId6" Type="http://schemas.openxmlformats.org/officeDocument/2006/relationships/hyperlink" Target="https://www.investing.com/economic-calendar/westpac-consumer-sentiment-364" TargetMode="External"/><Relationship Id="rId11" Type="http://schemas.openxmlformats.org/officeDocument/2006/relationships/hyperlink" Target="https://www.investing.com/economic-calendar/unemployment-rate-302" TargetMode="External"/><Relationship Id="rId24" Type="http://schemas.openxmlformats.org/officeDocument/2006/relationships/hyperlink" Target="https://www.investing.com/economic-calendar/retail-sales-256" TargetMode="External"/><Relationship Id="rId5" Type="http://schemas.openxmlformats.org/officeDocument/2006/relationships/hyperlink" Target="https://www.investing.com/economic-calendar/initial-jobless-claims-294" TargetMode="External"/><Relationship Id="rId15" Type="http://schemas.openxmlformats.org/officeDocument/2006/relationships/hyperlink" Target="https://www.investing.com/economic-calendar/cpi-1011" TargetMode="External"/><Relationship Id="rId23" Type="http://schemas.openxmlformats.org/officeDocument/2006/relationships/hyperlink" Target="https://www.investing.com/economic-calendar/core-retail-sales-63" TargetMode="External"/><Relationship Id="rId28" Type="http://schemas.openxmlformats.org/officeDocument/2006/relationships/hyperlink" Target="https://www.investing.com/economic-calendar/adp-nonfarm-employment-change-1" TargetMode="External"/><Relationship Id="rId10" Type="http://schemas.openxmlformats.org/officeDocument/2006/relationships/hyperlink" Target="https://www.investing.com/economic-calendar/employment-change-94" TargetMode="External"/><Relationship Id="rId19" Type="http://schemas.openxmlformats.org/officeDocument/2006/relationships/hyperlink" Target="https://www.investing.com/economic-calendar/unemployment-rate-300" TargetMode="External"/><Relationship Id="rId4" Type="http://schemas.openxmlformats.org/officeDocument/2006/relationships/hyperlink" Target="https://www.investing.com/economic-calendar/cpi-733" TargetMode="External"/><Relationship Id="rId9" Type="http://schemas.openxmlformats.org/officeDocument/2006/relationships/hyperlink" Target="https://www.investing.com/economic-calendar/ppi-238" TargetMode="External"/><Relationship Id="rId14" Type="http://schemas.openxmlformats.org/officeDocument/2006/relationships/hyperlink" Target="https://www.investing.com/economic-calendar/cpi-73" TargetMode="External"/><Relationship Id="rId22" Type="http://schemas.openxmlformats.org/officeDocument/2006/relationships/hyperlink" Target="https://www.investing.com/economic-calendar/cpi-69" TargetMode="External"/><Relationship Id="rId27" Type="http://schemas.openxmlformats.org/officeDocument/2006/relationships/hyperlink" Target="https://www.investing.com/economic-calendar/gdp-124" TargetMode="External"/><Relationship Id="rId30"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hyperlink" Target="https://library.tradingtechnologies.com/trade/as-spread-configuration-order-execution.html" TargetMode="External"/><Relationship Id="rId13" Type="http://schemas.openxmlformats.org/officeDocument/2006/relationships/hyperlink" Target="https://www.investing.com/economic-calendar/cpi-69" TargetMode="External"/><Relationship Id="rId18" Type="http://schemas.openxmlformats.org/officeDocument/2006/relationships/hyperlink" Target="https://www.investing.com/economic-calendar/initial-jobless-claims-294" TargetMode="External"/><Relationship Id="rId3" Type="http://schemas.openxmlformats.org/officeDocument/2006/relationships/hyperlink" Target="https://www.investing.com/economic-calendar/retail-sales-262" TargetMode="External"/><Relationship Id="rId21" Type="http://schemas.openxmlformats.org/officeDocument/2006/relationships/hyperlink" Target="https://www.investing.com/economic-calendar/cpi-68" TargetMode="External"/><Relationship Id="rId7" Type="http://schemas.openxmlformats.org/officeDocument/2006/relationships/hyperlink" Target="https://library.tradingtechnologies.com/trade/as-spread-configuration-order-execution.html" TargetMode="External"/><Relationship Id="rId12" Type="http://schemas.openxmlformats.org/officeDocument/2006/relationships/hyperlink" Target="https://www.investing.com/economic-calendar/cpi-733" TargetMode="External"/><Relationship Id="rId17" Type="http://schemas.openxmlformats.org/officeDocument/2006/relationships/hyperlink" Target="https://www.investing.com/economic-calendar/core-retail-sales-63" TargetMode="External"/><Relationship Id="rId25" Type="http://schemas.openxmlformats.org/officeDocument/2006/relationships/hyperlink" Target="https://www.investing.com/economic-calendar/nab-business-confidence-217" TargetMode="External"/><Relationship Id="rId2" Type="http://schemas.openxmlformats.org/officeDocument/2006/relationships/hyperlink" Target="https://www.investing.com/economic-calendar/unemployment-rate-302" TargetMode="External"/><Relationship Id="rId16" Type="http://schemas.openxmlformats.org/officeDocument/2006/relationships/hyperlink" Target="https://www.investing.com/economic-calendar/unemployment-rate-302" TargetMode="External"/><Relationship Id="rId20" Type="http://schemas.openxmlformats.org/officeDocument/2006/relationships/hyperlink" Target="https://www.investing.com/economic-calendar/cpi-68" TargetMode="External"/><Relationship Id="rId1" Type="http://schemas.openxmlformats.org/officeDocument/2006/relationships/hyperlink" Target="https://www.investing.com/economic-calendar/employment-change-94" TargetMode="External"/><Relationship Id="rId6" Type="http://schemas.openxmlformats.org/officeDocument/2006/relationships/hyperlink" Target="https://www.investing.com/economic-calendar/retail-sales-262" TargetMode="External"/><Relationship Id="rId11" Type="http://schemas.openxmlformats.org/officeDocument/2006/relationships/hyperlink" Target="https://www.investing.com/economic-calendar/interest-rate-decision-171" TargetMode="External"/><Relationship Id="rId24" Type="http://schemas.openxmlformats.org/officeDocument/2006/relationships/hyperlink" Target="https://www.investing.com/economic-calendar/employment-change-95" TargetMode="External"/><Relationship Id="rId5" Type="http://schemas.openxmlformats.org/officeDocument/2006/relationships/hyperlink" Target="https://www.investing.com/economic-calendar/retail-sales-262" TargetMode="External"/><Relationship Id="rId15" Type="http://schemas.openxmlformats.org/officeDocument/2006/relationships/hyperlink" Target="https://www.investing.com/economic-calendar/cpi-67" TargetMode="External"/><Relationship Id="rId23" Type="http://schemas.openxmlformats.org/officeDocument/2006/relationships/hyperlink" Target="https://www.investing.com/economic-calendar/unemployment-rate-300" TargetMode="External"/><Relationship Id="rId10" Type="http://schemas.openxmlformats.org/officeDocument/2006/relationships/hyperlink" Target="https://www.investing.com/economic-calendar/interest-rate-decision-171" TargetMode="External"/><Relationship Id="rId19" Type="http://schemas.openxmlformats.org/officeDocument/2006/relationships/hyperlink" Target="https://www.investing.com/economic-calendar/retail-sales-256" TargetMode="External"/><Relationship Id="rId4" Type="http://schemas.openxmlformats.org/officeDocument/2006/relationships/hyperlink" Target="https://www.investing.com/economic-calendar/retail-sales-262" TargetMode="External"/><Relationship Id="rId9" Type="http://schemas.openxmlformats.org/officeDocument/2006/relationships/hyperlink" Target="https://www.investing.com/economic-calendar/interest-rate-decision-171" TargetMode="External"/><Relationship Id="rId14" Type="http://schemas.openxmlformats.org/officeDocument/2006/relationships/hyperlink" Target="https://www.investing.com/economic-calendar/core-cpi-56" TargetMode="External"/><Relationship Id="rId22" Type="http://schemas.openxmlformats.org/officeDocument/2006/relationships/hyperlink" Target="https://www.investing.com/economic-calendar/nonfarm-payrolls-227" TargetMode="External"/></Relationships>
</file>

<file path=xl/worksheets/_rels/sheet4.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vmlDrawing" Target="../drawings/vmlDrawing1.vml"/><Relationship Id="rId7"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C376"/>
  <sheetViews>
    <sheetView zoomScale="80" zoomScaleNormal="80" workbookViewId="0">
      <pane xSplit="7" ySplit="2" topLeftCell="AW293" activePane="bottomRight" state="frozen"/>
      <selection pane="bottomRight" activeCell="F300" sqref="F300"/>
      <selection pane="bottomLeft" activeCell="A3" sqref="A3"/>
      <selection pane="topRight" activeCell="G1" sqref="G1"/>
    </sheetView>
  </sheetViews>
  <sheetFormatPr defaultColWidth="12.5703125" defaultRowHeight="15.75" customHeight="1"/>
  <cols>
    <col min="1" max="1" width="14.85546875" bestFit="1" customWidth="1"/>
    <col min="2" max="2" width="12.7109375" customWidth="1"/>
    <col min="3" max="3" width="12" customWidth="1"/>
    <col min="4" max="4" width="11.5703125" customWidth="1"/>
    <col min="5" max="5" width="15.85546875" customWidth="1"/>
    <col min="6" max="6" width="9.85546875" customWidth="1"/>
    <col min="7" max="7" width="20.5703125" customWidth="1"/>
    <col min="8" max="8" width="4.42578125" customWidth="1"/>
    <col min="9" max="9" width="4.140625" customWidth="1"/>
    <col min="10" max="10" width="4.42578125" customWidth="1"/>
    <col min="11" max="11" width="6.42578125" customWidth="1"/>
    <col min="12" max="13" width="4.140625" customWidth="1"/>
    <col min="14" max="14" width="4" customWidth="1"/>
    <col min="15" max="15" width="5.85546875" customWidth="1"/>
    <col min="16" max="16" width="6" customWidth="1"/>
    <col min="17" max="17" width="5.28515625" customWidth="1"/>
    <col min="18" max="19" width="8.5703125" customWidth="1"/>
    <col min="20" max="20" width="8.7109375" customWidth="1"/>
    <col min="21" max="21" width="6.28515625" customWidth="1"/>
    <col min="22" max="22" width="11.5703125" customWidth="1"/>
    <col min="23" max="23" width="11" customWidth="1"/>
    <col min="24" max="24" width="26.5703125" customWidth="1"/>
    <col min="25" max="25" width="28.28515625" customWidth="1"/>
    <col min="26" max="26" width="27.5703125" customWidth="1"/>
    <col min="27" max="27" width="9.140625" customWidth="1"/>
    <col min="28" max="28" width="20.42578125" customWidth="1"/>
    <col min="29" max="29" width="12.7109375" customWidth="1"/>
    <col min="30" max="30" width="19.42578125" customWidth="1"/>
    <col min="31" max="31" width="15.85546875" customWidth="1"/>
    <col min="32" max="32" width="21.7109375" customWidth="1"/>
    <col min="33" max="33" width="15.42578125" customWidth="1"/>
    <col min="34" max="34" width="27.5703125" customWidth="1"/>
    <col min="35" max="35" width="24.140625" customWidth="1"/>
    <col min="36" max="36" width="20" customWidth="1"/>
    <col min="37" max="37" width="21" customWidth="1"/>
    <col min="38" max="38" width="18.140625" customWidth="1"/>
    <col min="39" max="39" width="12.7109375" customWidth="1"/>
    <col min="40" max="40" width="10.85546875" customWidth="1"/>
    <col min="41" max="41" width="16.28515625" customWidth="1"/>
    <col min="42" max="42" width="7" customWidth="1"/>
    <col min="43" max="43" width="12.85546875" customWidth="1"/>
    <col min="44" max="44" width="16" customWidth="1"/>
    <col min="45" max="45" width="22.85546875" customWidth="1"/>
    <col min="46" max="46" width="6.5703125" customWidth="1"/>
    <col min="47" max="47" width="38.5703125" customWidth="1"/>
    <col min="48" max="48" width="30.28515625" customWidth="1"/>
    <col min="49" max="49" width="30" customWidth="1"/>
    <col min="50" max="50" width="22.5703125" customWidth="1"/>
    <col min="51" max="51" width="26.140625" customWidth="1"/>
    <col min="52" max="52" width="21.85546875" customWidth="1"/>
    <col min="53" max="53" width="31.42578125" customWidth="1"/>
    <col min="54" max="54" width="27.42578125" customWidth="1"/>
    <col min="55" max="55" width="41.85546875" customWidth="1"/>
  </cols>
  <sheetData>
    <row r="1" spans="1:55" ht="23.45">
      <c r="A1" s="613" t="s">
        <v>0</v>
      </c>
      <c r="B1" s="614"/>
      <c r="C1" s="614"/>
      <c r="D1" s="614"/>
      <c r="E1" s="614"/>
      <c r="F1" s="614"/>
      <c r="G1" s="329" t="s">
        <v>1</v>
      </c>
      <c r="H1" s="612" t="s">
        <v>2</v>
      </c>
      <c r="I1" s="650"/>
      <c r="J1" s="651"/>
      <c r="K1" s="153" t="s">
        <v>3</v>
      </c>
      <c r="L1" s="611" t="s">
        <v>4</v>
      </c>
      <c r="M1" s="650"/>
      <c r="N1" s="651"/>
      <c r="O1" s="612" t="s">
        <v>5</v>
      </c>
      <c r="P1" s="650"/>
      <c r="Q1" s="650"/>
      <c r="R1" s="650"/>
      <c r="S1" s="650"/>
      <c r="T1" s="650"/>
      <c r="U1" s="650"/>
      <c r="V1" s="650"/>
      <c r="W1" s="651"/>
      <c r="X1" s="612" t="s">
        <v>6</v>
      </c>
      <c r="Y1" s="650"/>
      <c r="Z1" s="651"/>
      <c r="AA1" s="615" t="s">
        <v>7</v>
      </c>
      <c r="AB1" s="650"/>
      <c r="AC1" s="650"/>
      <c r="AD1" s="650"/>
      <c r="AE1" s="650"/>
      <c r="AF1" s="650"/>
      <c r="AG1" s="650"/>
      <c r="AH1" s="650"/>
      <c r="AI1" s="650"/>
      <c r="AJ1" s="650"/>
      <c r="AK1" s="650"/>
      <c r="AL1" s="650"/>
      <c r="AM1" s="650"/>
      <c r="AN1" s="650"/>
      <c r="AO1" s="650"/>
      <c r="AP1" s="651"/>
      <c r="AQ1" s="611" t="s">
        <v>8</v>
      </c>
      <c r="AR1" s="650"/>
      <c r="AS1" s="650"/>
      <c r="AT1" s="651"/>
      <c r="AU1" s="611" t="s">
        <v>9</v>
      </c>
      <c r="AV1" s="650"/>
      <c r="AW1" s="651"/>
      <c r="AX1" s="612" t="s">
        <v>10</v>
      </c>
      <c r="AY1" s="650"/>
      <c r="AZ1" s="651"/>
      <c r="BA1" s="612" t="s">
        <v>11</v>
      </c>
      <c r="BB1" s="650"/>
      <c r="BC1" s="651"/>
    </row>
    <row r="2" spans="1:55" ht="13.15">
      <c r="A2" s="154" t="s">
        <v>12</v>
      </c>
      <c r="B2" s="154" t="s">
        <v>13</v>
      </c>
      <c r="C2" s="154" t="s">
        <v>14</v>
      </c>
      <c r="D2" s="87" t="s">
        <v>15</v>
      </c>
      <c r="E2" s="87" t="s">
        <v>16</v>
      </c>
      <c r="F2" s="87" t="s">
        <v>17</v>
      </c>
      <c r="G2" s="88" t="s">
        <v>18</v>
      </c>
      <c r="H2" s="154" t="s">
        <v>19</v>
      </c>
      <c r="I2" s="154" t="s">
        <v>20</v>
      </c>
      <c r="J2" s="154" t="s">
        <v>21</v>
      </c>
      <c r="K2" s="155" t="s">
        <v>3</v>
      </c>
      <c r="L2" s="87" t="s">
        <v>22</v>
      </c>
      <c r="M2" s="87" t="s">
        <v>23</v>
      </c>
      <c r="N2" s="87" t="s">
        <v>24</v>
      </c>
      <c r="O2" s="156" t="s">
        <v>25</v>
      </c>
      <c r="P2" s="156" t="s">
        <v>26</v>
      </c>
      <c r="Q2" s="156" t="s">
        <v>27</v>
      </c>
      <c r="R2" s="156" t="s">
        <v>28</v>
      </c>
      <c r="S2" s="156" t="s">
        <v>29</v>
      </c>
      <c r="T2" s="156" t="s">
        <v>30</v>
      </c>
      <c r="U2" s="156" t="s">
        <v>31</v>
      </c>
      <c r="V2" s="156" t="s">
        <v>32</v>
      </c>
      <c r="W2" s="156" t="s">
        <v>33</v>
      </c>
      <c r="X2" s="87" t="s">
        <v>34</v>
      </c>
      <c r="Y2" s="87" t="s">
        <v>35</v>
      </c>
      <c r="Z2" s="87" t="s">
        <v>36</v>
      </c>
      <c r="AA2" s="157" t="s">
        <v>37</v>
      </c>
      <c r="AB2" s="87" t="s">
        <v>38</v>
      </c>
      <c r="AC2" s="158" t="s">
        <v>39</v>
      </c>
      <c r="AD2" s="87" t="s">
        <v>40</v>
      </c>
      <c r="AE2" s="87" t="s">
        <v>41</v>
      </c>
      <c r="AF2" s="87" t="s">
        <v>42</v>
      </c>
      <c r="AG2" s="158" t="s">
        <v>43</v>
      </c>
      <c r="AH2" s="159" t="s">
        <v>44</v>
      </c>
      <c r="AI2" s="159" t="s">
        <v>45</v>
      </c>
      <c r="AJ2" s="159" t="s">
        <v>46</v>
      </c>
      <c r="AK2" s="87" t="s">
        <v>47</v>
      </c>
      <c r="AL2" s="87" t="s">
        <v>48</v>
      </c>
      <c r="AM2" s="87" t="s">
        <v>49</v>
      </c>
      <c r="AN2" s="87" t="s">
        <v>50</v>
      </c>
      <c r="AO2" s="154" t="s">
        <v>51</v>
      </c>
      <c r="AP2" s="89" t="s">
        <v>52</v>
      </c>
      <c r="AQ2" s="87" t="s">
        <v>53</v>
      </c>
      <c r="AR2" s="87" t="s">
        <v>54</v>
      </c>
      <c r="AS2" s="160" t="s">
        <v>55</v>
      </c>
      <c r="AT2" s="88" t="s">
        <v>56</v>
      </c>
      <c r="AU2" s="87" t="s">
        <v>57</v>
      </c>
      <c r="AV2" s="87" t="s">
        <v>58</v>
      </c>
      <c r="AW2" s="87" t="s">
        <v>59</v>
      </c>
      <c r="AX2" s="87" t="s">
        <v>60</v>
      </c>
      <c r="AY2" s="87" t="s">
        <v>61</v>
      </c>
      <c r="AZ2" s="87" t="s">
        <v>62</v>
      </c>
      <c r="BA2" s="87" t="s">
        <v>63</v>
      </c>
      <c r="BB2" s="87" t="s">
        <v>64</v>
      </c>
      <c r="BC2" s="87" t="s">
        <v>65</v>
      </c>
    </row>
    <row r="3" spans="1:55" ht="18" customHeight="1">
      <c r="A3" s="161" t="s">
        <v>66</v>
      </c>
      <c r="B3" s="161"/>
      <c r="C3" s="162"/>
      <c r="D3" s="162"/>
      <c r="E3" s="163"/>
      <c r="F3" s="164"/>
      <c r="G3" s="165"/>
      <c r="H3" s="162"/>
      <c r="I3" s="162"/>
      <c r="J3" s="162"/>
      <c r="K3" s="165"/>
      <c r="L3" s="162"/>
      <c r="M3" s="162"/>
      <c r="N3" s="162"/>
      <c r="O3" s="165"/>
      <c r="P3" s="165"/>
      <c r="Q3" s="165"/>
      <c r="R3" s="165"/>
      <c r="S3" s="165"/>
      <c r="T3" s="165"/>
      <c r="U3" s="165"/>
      <c r="V3" s="165"/>
      <c r="W3" s="165"/>
      <c r="X3" s="162"/>
      <c r="Y3" s="162"/>
      <c r="Z3" s="162"/>
      <c r="AA3" s="166"/>
      <c r="AB3" s="162"/>
      <c r="AC3" s="162"/>
      <c r="AD3" s="162"/>
      <c r="AE3" s="162"/>
      <c r="AF3" s="162"/>
      <c r="AG3" s="162"/>
      <c r="AH3" s="162"/>
      <c r="AI3" s="167"/>
      <c r="AJ3" s="165"/>
      <c r="AK3" s="162"/>
      <c r="AL3" s="162"/>
      <c r="AM3" s="162"/>
      <c r="AN3" s="162"/>
      <c r="AO3" s="162"/>
      <c r="AP3" s="166"/>
      <c r="AQ3" s="162"/>
      <c r="AR3" s="168"/>
      <c r="AS3" s="169"/>
      <c r="AT3" s="170"/>
      <c r="AU3" s="162"/>
      <c r="AV3" s="162"/>
      <c r="AW3" s="162"/>
      <c r="AX3" s="359"/>
      <c r="AY3" s="359"/>
      <c r="AZ3" s="359"/>
      <c r="BA3" s="359"/>
      <c r="BB3" s="359"/>
      <c r="BC3" s="359"/>
    </row>
    <row r="4" spans="1:55" ht="18" customHeight="1">
      <c r="A4" s="171" t="s">
        <v>67</v>
      </c>
      <c r="B4" s="171">
        <v>44840</v>
      </c>
      <c r="C4" s="172" t="s">
        <v>68</v>
      </c>
      <c r="D4" s="172" t="s">
        <v>69</v>
      </c>
      <c r="E4" s="173"/>
      <c r="F4" s="174"/>
      <c r="G4" s="175" t="s">
        <v>70</v>
      </c>
      <c r="H4" s="172"/>
      <c r="I4" s="172"/>
      <c r="J4" s="172"/>
      <c r="K4" s="175"/>
      <c r="L4" s="172">
        <v>1</v>
      </c>
      <c r="M4" s="172"/>
      <c r="N4" s="172"/>
      <c r="O4" s="175" t="s">
        <v>71</v>
      </c>
      <c r="P4" s="175" t="s">
        <v>72</v>
      </c>
      <c r="Q4" s="175" t="s">
        <v>73</v>
      </c>
      <c r="R4" s="175">
        <v>1</v>
      </c>
      <c r="S4" s="175">
        <v>1</v>
      </c>
      <c r="T4" s="175">
        <v>1</v>
      </c>
      <c r="U4" s="176" t="s">
        <v>73</v>
      </c>
      <c r="V4" s="177">
        <f t="shared" ref="V4:V9" si="0">IF(ISBLANK(O4),,(IF(O4=UPPER("IB"),0.005,0.01)))</f>
        <v>0.01</v>
      </c>
      <c r="W4" s="177">
        <f t="shared" ref="W4:W7" si="1">IF(ISBLANK(O4),,IF(O4=UPPER("IB"),8.63*200,15.5*100))</f>
        <v>1550</v>
      </c>
      <c r="X4" s="178" t="s">
        <v>74</v>
      </c>
      <c r="Y4" s="178"/>
      <c r="Z4" s="178" t="s">
        <v>75</v>
      </c>
      <c r="AA4" s="179">
        <v>0.02</v>
      </c>
      <c r="AB4" s="172" t="s">
        <v>76</v>
      </c>
      <c r="AC4" s="172">
        <v>0.04</v>
      </c>
      <c r="AD4" s="172" t="s">
        <v>77</v>
      </c>
      <c r="AE4" s="172">
        <v>0.01</v>
      </c>
      <c r="AF4" s="172"/>
      <c r="AG4" s="172" t="s">
        <v>78</v>
      </c>
      <c r="AH4" s="172" t="s">
        <v>79</v>
      </c>
      <c r="AI4" s="180">
        <f>-0.02*W4</f>
        <v>-31</v>
      </c>
      <c r="AJ4" s="180">
        <f t="shared" ref="AJ4:AJ8" si="2">AI4*R4</f>
        <v>-31</v>
      </c>
      <c r="AK4" s="172" t="s">
        <v>80</v>
      </c>
      <c r="AL4" s="172"/>
      <c r="AM4" s="172" t="s">
        <v>81</v>
      </c>
      <c r="AN4" s="172" t="s">
        <v>82</v>
      </c>
      <c r="AO4" s="172" t="s">
        <v>83</v>
      </c>
      <c r="AP4" s="181">
        <v>0.01</v>
      </c>
      <c r="AQ4" s="181">
        <f t="shared" ref="AQ4:AQ19" si="3">IF(ISBLANK(AP4),,IF(U4="S",AA4-AP4,AP4-AA4))</f>
        <v>0.01</v>
      </c>
      <c r="AR4" s="180">
        <f>AS4*R4</f>
        <v>15.5</v>
      </c>
      <c r="AS4" s="182">
        <f t="shared" ref="AS4:AS19" si="4">IF(ISBLANK(AP4),,(AQ4*W4))</f>
        <v>15.5</v>
      </c>
      <c r="AT4" s="183" t="s">
        <v>72</v>
      </c>
      <c r="AU4" s="172" t="s">
        <v>84</v>
      </c>
      <c r="AV4" s="172" t="s">
        <v>85</v>
      </c>
      <c r="AW4" s="172" t="s">
        <v>86</v>
      </c>
      <c r="AX4" s="360"/>
      <c r="AY4" s="360"/>
      <c r="AZ4" s="360"/>
      <c r="BA4" s="360"/>
      <c r="BB4" s="360"/>
      <c r="BC4" s="372"/>
    </row>
    <row r="5" spans="1:55" ht="18" customHeight="1">
      <c r="A5" s="185" t="s">
        <v>67</v>
      </c>
      <c r="B5" s="184">
        <v>44841</v>
      </c>
      <c r="C5" s="185" t="s">
        <v>87</v>
      </c>
      <c r="D5" s="185" t="s">
        <v>88</v>
      </c>
      <c r="E5" s="186"/>
      <c r="F5" s="187"/>
      <c r="G5" s="188" t="s">
        <v>70</v>
      </c>
      <c r="H5" s="189"/>
      <c r="I5" s="189"/>
      <c r="J5" s="189"/>
      <c r="K5" s="190"/>
      <c r="L5" s="189">
        <v>1</v>
      </c>
      <c r="M5" s="189"/>
      <c r="N5" s="189"/>
      <c r="O5" s="190" t="s">
        <v>71</v>
      </c>
      <c r="P5" s="190" t="s">
        <v>72</v>
      </c>
      <c r="Q5" s="190" t="s">
        <v>73</v>
      </c>
      <c r="R5" s="190">
        <v>1</v>
      </c>
      <c r="S5" s="190">
        <v>1</v>
      </c>
      <c r="T5" s="190">
        <v>1</v>
      </c>
      <c r="U5" s="190" t="s">
        <v>21</v>
      </c>
      <c r="V5" s="191">
        <f t="shared" si="0"/>
        <v>0.01</v>
      </c>
      <c r="W5" s="191">
        <f t="shared" si="1"/>
        <v>1550</v>
      </c>
      <c r="X5" s="192" t="s">
        <v>89</v>
      </c>
      <c r="Y5" s="192"/>
      <c r="Z5" s="192" t="s">
        <v>75</v>
      </c>
      <c r="AA5" s="193">
        <v>0</v>
      </c>
      <c r="AB5" s="189" t="s">
        <v>76</v>
      </c>
      <c r="AC5" s="189">
        <v>-0.03</v>
      </c>
      <c r="AD5" s="189"/>
      <c r="AE5" s="189">
        <v>0.01</v>
      </c>
      <c r="AF5" s="189"/>
      <c r="AG5" s="189" t="s">
        <v>90</v>
      </c>
      <c r="AH5" s="189" t="s">
        <v>79</v>
      </c>
      <c r="AI5" s="194">
        <f t="shared" ref="AI5:AI6" si="5">-0.03*W5</f>
        <v>-46.5</v>
      </c>
      <c r="AJ5" s="194">
        <f t="shared" si="2"/>
        <v>-46.5</v>
      </c>
      <c r="AK5" s="189" t="s">
        <v>80</v>
      </c>
      <c r="AL5" s="189"/>
      <c r="AM5" s="189" t="s">
        <v>91</v>
      </c>
      <c r="AN5" s="189" t="s">
        <v>92</v>
      </c>
      <c r="AO5" s="195">
        <v>44844.184027777781</v>
      </c>
      <c r="AP5" s="196">
        <v>0</v>
      </c>
      <c r="AQ5" s="196">
        <f t="shared" si="3"/>
        <v>0</v>
      </c>
      <c r="AR5" s="194">
        <f>AS5*R5</f>
        <v>0</v>
      </c>
      <c r="AS5" s="197">
        <f t="shared" si="4"/>
        <v>0</v>
      </c>
      <c r="AT5" s="198" t="s">
        <v>92</v>
      </c>
      <c r="AU5" s="189" t="s">
        <v>93</v>
      </c>
      <c r="AV5" s="189" t="s">
        <v>94</v>
      </c>
      <c r="AW5" s="189" t="s">
        <v>95</v>
      </c>
      <c r="AX5" s="361"/>
      <c r="AY5" s="361"/>
      <c r="AZ5" s="361"/>
      <c r="BA5" s="361" t="s">
        <v>96</v>
      </c>
      <c r="BB5" s="361" t="s">
        <v>97</v>
      </c>
      <c r="BC5" s="373" t="s">
        <v>98</v>
      </c>
    </row>
    <row r="6" spans="1:55" ht="18" customHeight="1">
      <c r="A6" s="185" t="s">
        <v>67</v>
      </c>
      <c r="B6" s="184">
        <v>44841</v>
      </c>
      <c r="C6" s="185" t="s">
        <v>99</v>
      </c>
      <c r="D6" s="185" t="s">
        <v>88</v>
      </c>
      <c r="E6" s="186"/>
      <c r="F6" s="187"/>
      <c r="G6" s="188" t="s">
        <v>70</v>
      </c>
      <c r="H6" s="189"/>
      <c r="I6" s="189"/>
      <c r="J6" s="189"/>
      <c r="K6" s="190"/>
      <c r="L6" s="189">
        <v>1</v>
      </c>
      <c r="M6" s="189"/>
      <c r="N6" s="189"/>
      <c r="O6" s="190" t="s">
        <v>71</v>
      </c>
      <c r="P6" s="190" t="s">
        <v>72</v>
      </c>
      <c r="Q6" s="190" t="s">
        <v>73</v>
      </c>
      <c r="R6" s="190">
        <v>1</v>
      </c>
      <c r="S6" s="190">
        <v>1</v>
      </c>
      <c r="T6" s="190">
        <v>1</v>
      </c>
      <c r="U6" s="190" t="s">
        <v>21</v>
      </c>
      <c r="V6" s="191">
        <f t="shared" si="0"/>
        <v>0.01</v>
      </c>
      <c r="W6" s="191">
        <f t="shared" si="1"/>
        <v>1550</v>
      </c>
      <c r="X6" s="192" t="s">
        <v>89</v>
      </c>
      <c r="Y6" s="192"/>
      <c r="Z6" s="192" t="s">
        <v>75</v>
      </c>
      <c r="AA6" s="193">
        <v>0</v>
      </c>
      <c r="AB6" s="189" t="s">
        <v>76</v>
      </c>
      <c r="AC6" s="189">
        <v>-0.03</v>
      </c>
      <c r="AD6" s="189"/>
      <c r="AE6" s="189">
        <v>0.01</v>
      </c>
      <c r="AF6" s="189"/>
      <c r="AG6" s="189" t="s">
        <v>100</v>
      </c>
      <c r="AH6" s="189" t="s">
        <v>79</v>
      </c>
      <c r="AI6" s="194">
        <f t="shared" si="5"/>
        <v>-46.5</v>
      </c>
      <c r="AJ6" s="194">
        <f t="shared" si="2"/>
        <v>-46.5</v>
      </c>
      <c r="AK6" s="189" t="s">
        <v>80</v>
      </c>
      <c r="AL6" s="189"/>
      <c r="AM6" s="189" t="s">
        <v>101</v>
      </c>
      <c r="AN6" s="189" t="s">
        <v>92</v>
      </c>
      <c r="AO6" s="199">
        <v>44844</v>
      </c>
      <c r="AP6" s="196">
        <v>0</v>
      </c>
      <c r="AQ6" s="196">
        <f t="shared" si="3"/>
        <v>0</v>
      </c>
      <c r="AR6" s="194">
        <f>AS6*R6</f>
        <v>0</v>
      </c>
      <c r="AS6" s="197">
        <f t="shared" si="4"/>
        <v>0</v>
      </c>
      <c r="AT6" s="198" t="s">
        <v>92</v>
      </c>
      <c r="AU6" s="189" t="s">
        <v>102</v>
      </c>
      <c r="AV6" s="189" t="s">
        <v>103</v>
      </c>
      <c r="AW6" s="189" t="s">
        <v>104</v>
      </c>
      <c r="AX6" s="361"/>
      <c r="AY6" s="361"/>
      <c r="AZ6" s="361"/>
      <c r="BA6" s="361" t="s">
        <v>105</v>
      </c>
      <c r="BB6" s="361" t="s">
        <v>106</v>
      </c>
      <c r="BC6" s="373" t="s">
        <v>107</v>
      </c>
    </row>
    <row r="7" spans="1:55" ht="18" customHeight="1">
      <c r="A7" s="185" t="s">
        <v>67</v>
      </c>
      <c r="B7" s="184">
        <v>44844</v>
      </c>
      <c r="C7" s="185" t="s">
        <v>108</v>
      </c>
      <c r="D7" s="185" t="s">
        <v>109</v>
      </c>
      <c r="E7" s="200"/>
      <c r="F7" s="187"/>
      <c r="G7" s="188" t="s">
        <v>110</v>
      </c>
      <c r="H7" s="189"/>
      <c r="I7" s="189"/>
      <c r="J7" s="189"/>
      <c r="K7" s="190"/>
      <c r="L7" s="189"/>
      <c r="M7" s="189"/>
      <c r="N7" s="189"/>
      <c r="O7" s="190" t="s">
        <v>71</v>
      </c>
      <c r="P7" s="190" t="s">
        <v>72</v>
      </c>
      <c r="Q7" s="190" t="s">
        <v>73</v>
      </c>
      <c r="R7" s="190">
        <v>1</v>
      </c>
      <c r="S7" s="190">
        <v>1</v>
      </c>
      <c r="T7" s="190">
        <v>1</v>
      </c>
      <c r="U7" s="190" t="s">
        <v>73</v>
      </c>
      <c r="V7" s="191">
        <f t="shared" si="0"/>
        <v>0.01</v>
      </c>
      <c r="W7" s="191">
        <f t="shared" si="1"/>
        <v>1550</v>
      </c>
      <c r="X7" s="192"/>
      <c r="Y7" s="192"/>
      <c r="Z7" s="192"/>
      <c r="AA7" s="193">
        <v>0</v>
      </c>
      <c r="AB7" s="189" t="s">
        <v>111</v>
      </c>
      <c r="AC7" s="189"/>
      <c r="AD7" s="189"/>
      <c r="AE7" s="189"/>
      <c r="AF7" s="189"/>
      <c r="AG7" s="189"/>
      <c r="AH7" s="189"/>
      <c r="AI7" s="194"/>
      <c r="AJ7" s="194">
        <f t="shared" si="2"/>
        <v>0</v>
      </c>
      <c r="AK7" s="189"/>
      <c r="AL7" s="189"/>
      <c r="AM7" s="189"/>
      <c r="AN7" s="189"/>
      <c r="AO7" s="199">
        <v>44844</v>
      </c>
      <c r="AP7" s="196">
        <v>0</v>
      </c>
      <c r="AQ7" s="196">
        <f t="shared" si="3"/>
        <v>0</v>
      </c>
      <c r="AR7" s="194">
        <f>AS7*R7</f>
        <v>0</v>
      </c>
      <c r="AS7" s="197">
        <f t="shared" si="4"/>
        <v>0</v>
      </c>
      <c r="AT7" s="198" t="s">
        <v>92</v>
      </c>
      <c r="AU7" s="189" t="s">
        <v>112</v>
      </c>
      <c r="AV7" s="189"/>
      <c r="AW7" s="189"/>
      <c r="AX7" s="361"/>
      <c r="AY7" s="361"/>
      <c r="AZ7" s="361"/>
      <c r="BA7" s="361"/>
      <c r="BB7" s="361"/>
      <c r="BC7" s="373"/>
    </row>
    <row r="8" spans="1:55" ht="18" customHeight="1">
      <c r="A8" s="185" t="s">
        <v>67</v>
      </c>
      <c r="B8" s="184">
        <v>44844</v>
      </c>
      <c r="C8" s="201">
        <v>0.83333333333333337</v>
      </c>
      <c r="D8" s="185" t="s">
        <v>109</v>
      </c>
      <c r="E8" s="186"/>
      <c r="F8" s="187"/>
      <c r="G8" s="188" t="s">
        <v>113</v>
      </c>
      <c r="H8" s="189"/>
      <c r="I8" s="189"/>
      <c r="J8" s="189"/>
      <c r="K8" s="190"/>
      <c r="L8" s="189">
        <v>1</v>
      </c>
      <c r="M8" s="189"/>
      <c r="N8" s="189"/>
      <c r="O8" s="190" t="s">
        <v>71</v>
      </c>
      <c r="P8" s="190" t="s">
        <v>114</v>
      </c>
      <c r="Q8" s="190" t="s">
        <v>73</v>
      </c>
      <c r="R8" s="190">
        <v>1</v>
      </c>
      <c r="S8" s="190">
        <v>1</v>
      </c>
      <c r="T8" s="190">
        <v>1</v>
      </c>
      <c r="U8" s="190" t="s">
        <v>73</v>
      </c>
      <c r="V8" s="191">
        <f t="shared" si="0"/>
        <v>0.01</v>
      </c>
      <c r="W8" s="191">
        <f>IF(ISBLANK(O8),,IF(O8=UPPER("IB"),8.63*200,15.4*100))</f>
        <v>1540</v>
      </c>
      <c r="X8" s="192" t="s">
        <v>115</v>
      </c>
      <c r="Y8" s="192"/>
      <c r="Z8" s="192" t="s">
        <v>75</v>
      </c>
      <c r="AA8" s="193">
        <v>-0.02</v>
      </c>
      <c r="AB8" s="189"/>
      <c r="AC8" s="189"/>
      <c r="AD8" s="189"/>
      <c r="AE8" s="189">
        <v>-0.03</v>
      </c>
      <c r="AF8" s="189"/>
      <c r="AG8" s="189" t="s">
        <v>116</v>
      </c>
      <c r="AH8" s="189"/>
      <c r="AI8" s="194">
        <f>-0.03*W8</f>
        <v>-46.199999999999996</v>
      </c>
      <c r="AJ8" s="194">
        <f t="shared" si="2"/>
        <v>-46.199999999999996</v>
      </c>
      <c r="AK8" s="189"/>
      <c r="AL8" s="189"/>
      <c r="AM8" s="189" t="s">
        <v>117</v>
      </c>
      <c r="AN8" s="189" t="s">
        <v>82</v>
      </c>
      <c r="AO8" s="189" t="s">
        <v>118</v>
      </c>
      <c r="AP8" s="196">
        <v>-0.03</v>
      </c>
      <c r="AQ8" s="196">
        <f t="shared" si="3"/>
        <v>9.9999999999999985E-3</v>
      </c>
      <c r="AR8" s="194">
        <f>AS8*R8</f>
        <v>15.399999999999997</v>
      </c>
      <c r="AS8" s="197">
        <f t="shared" si="4"/>
        <v>15.399999999999997</v>
      </c>
      <c r="AT8" s="198" t="s">
        <v>72</v>
      </c>
      <c r="AU8" s="189" t="s">
        <v>119</v>
      </c>
      <c r="AV8" s="189" t="s">
        <v>120</v>
      </c>
      <c r="AW8" s="189" t="s">
        <v>121</v>
      </c>
      <c r="AX8" s="361"/>
      <c r="AY8" s="361"/>
      <c r="AZ8" s="361"/>
      <c r="BA8" s="361" t="s">
        <v>122</v>
      </c>
      <c r="BB8" s="361"/>
      <c r="BC8" s="373"/>
    </row>
    <row r="9" spans="1:55" ht="18" customHeight="1">
      <c r="A9" s="185" t="s">
        <v>67</v>
      </c>
      <c r="B9" s="184">
        <v>44845</v>
      </c>
      <c r="C9" s="185"/>
      <c r="D9" s="185" t="s">
        <v>123</v>
      </c>
      <c r="E9" s="186" t="s">
        <v>124</v>
      </c>
      <c r="F9" s="187" t="s">
        <v>125</v>
      </c>
      <c r="G9" s="188"/>
      <c r="H9" s="189"/>
      <c r="I9" s="189"/>
      <c r="J9" s="189">
        <v>1</v>
      </c>
      <c r="K9" s="190"/>
      <c r="L9" s="189"/>
      <c r="M9" s="189"/>
      <c r="N9" s="189"/>
      <c r="O9" s="190"/>
      <c r="P9" s="190"/>
      <c r="Q9" s="190"/>
      <c r="R9" s="190"/>
      <c r="S9" s="190"/>
      <c r="T9" s="190"/>
      <c r="U9" s="190"/>
      <c r="V9" s="190">
        <f t="shared" si="0"/>
        <v>0</v>
      </c>
      <c r="W9" s="190">
        <f>IF(ISBLANK(O9),,IF(O9=UPPER("IB"),8.63*200,16.65*100))</f>
        <v>0</v>
      </c>
      <c r="X9" s="192"/>
      <c r="Y9" s="192"/>
      <c r="Z9" s="192"/>
      <c r="AA9" s="193"/>
      <c r="AB9" s="189"/>
      <c r="AC9" s="189"/>
      <c r="AD9" s="189"/>
      <c r="AE9" s="189"/>
      <c r="AF9" s="189"/>
      <c r="AG9" s="189"/>
      <c r="AH9" s="189"/>
      <c r="AI9" s="194"/>
      <c r="AJ9" s="190"/>
      <c r="AK9" s="189"/>
      <c r="AL9" s="189"/>
      <c r="AM9" s="189"/>
      <c r="AN9" s="189"/>
      <c r="AO9" s="189"/>
      <c r="AP9" s="196"/>
      <c r="AQ9" s="189">
        <f t="shared" si="3"/>
        <v>0</v>
      </c>
      <c r="AR9" s="194"/>
      <c r="AS9" s="197">
        <f t="shared" si="4"/>
        <v>0</v>
      </c>
      <c r="AT9" s="198"/>
      <c r="AU9" s="192"/>
      <c r="AV9" s="192" t="s">
        <v>126</v>
      </c>
      <c r="AW9" s="189" t="s">
        <v>127</v>
      </c>
      <c r="AX9" s="362"/>
      <c r="AY9" s="362"/>
      <c r="AZ9" s="362"/>
      <c r="BA9" s="362" t="s">
        <v>126</v>
      </c>
      <c r="BB9" s="361" t="s">
        <v>127</v>
      </c>
      <c r="BC9" s="373"/>
    </row>
    <row r="10" spans="1:55" ht="18" customHeight="1">
      <c r="A10" s="185" t="s">
        <v>67</v>
      </c>
      <c r="B10" s="184">
        <v>44846</v>
      </c>
      <c r="C10" s="185"/>
      <c r="D10" s="185" t="s">
        <v>128</v>
      </c>
      <c r="E10" s="186" t="s">
        <v>129</v>
      </c>
      <c r="F10" s="187" t="s">
        <v>130</v>
      </c>
      <c r="G10" s="188"/>
      <c r="H10" s="189">
        <v>1</v>
      </c>
      <c r="I10" s="189"/>
      <c r="J10" s="189"/>
      <c r="K10" s="190"/>
      <c r="L10" s="189"/>
      <c r="M10" s="189"/>
      <c r="N10" s="189"/>
      <c r="O10" s="190"/>
      <c r="P10" s="190"/>
      <c r="Q10" s="190"/>
      <c r="R10" s="190"/>
      <c r="S10" s="190"/>
      <c r="T10" s="190"/>
      <c r="U10" s="190"/>
      <c r="V10" s="191"/>
      <c r="W10" s="191"/>
      <c r="X10" s="192"/>
      <c r="Y10" s="192"/>
      <c r="Z10" s="192"/>
      <c r="AA10" s="193"/>
      <c r="AB10" s="189"/>
      <c r="AC10" s="189"/>
      <c r="AD10" s="189"/>
      <c r="AE10" s="189"/>
      <c r="AF10" s="189"/>
      <c r="AG10" s="189"/>
      <c r="AH10" s="189"/>
      <c r="AI10" s="194"/>
      <c r="AJ10" s="190"/>
      <c r="AK10" s="189"/>
      <c r="AL10" s="189"/>
      <c r="AM10" s="189"/>
      <c r="AN10" s="189"/>
      <c r="AO10" s="189"/>
      <c r="AP10" s="196"/>
      <c r="AQ10" s="189">
        <f t="shared" si="3"/>
        <v>0</v>
      </c>
      <c r="AR10" s="194"/>
      <c r="AS10" s="197">
        <f t="shared" si="4"/>
        <v>0</v>
      </c>
      <c r="AT10" s="198"/>
      <c r="AU10" s="189"/>
      <c r="AV10" s="189"/>
      <c r="AW10" s="189"/>
      <c r="AX10" s="361"/>
      <c r="AY10" s="361"/>
      <c r="AZ10" s="361"/>
      <c r="BA10" s="361"/>
      <c r="BB10" s="361"/>
      <c r="BC10" s="373"/>
    </row>
    <row r="11" spans="1:55" ht="18" customHeight="1">
      <c r="A11" s="185" t="s">
        <v>67</v>
      </c>
      <c r="B11" s="184">
        <v>44847</v>
      </c>
      <c r="C11" s="185" t="s">
        <v>131</v>
      </c>
      <c r="D11" s="185" t="s">
        <v>69</v>
      </c>
      <c r="E11" s="186"/>
      <c r="F11" s="187"/>
      <c r="G11" s="188" t="s">
        <v>113</v>
      </c>
      <c r="H11" s="189"/>
      <c r="I11" s="189"/>
      <c r="J11" s="189"/>
      <c r="K11" s="190"/>
      <c r="L11" s="189">
        <v>1</v>
      </c>
      <c r="M11" s="189"/>
      <c r="N11" s="189"/>
      <c r="O11" s="190" t="s">
        <v>71</v>
      </c>
      <c r="P11" s="190" t="s">
        <v>114</v>
      </c>
      <c r="Q11" s="190" t="s">
        <v>73</v>
      </c>
      <c r="R11" s="190">
        <v>1</v>
      </c>
      <c r="S11" s="190">
        <v>1</v>
      </c>
      <c r="T11" s="190">
        <v>1</v>
      </c>
      <c r="U11" s="190" t="s">
        <v>73</v>
      </c>
      <c r="V11" s="191">
        <f t="shared" ref="V11:V19" si="6">IF(ISBLANK(O11),,(IF(O11=UPPER("IB"),0.005,0.01)))</f>
        <v>0.01</v>
      </c>
      <c r="W11" s="191">
        <f t="shared" ref="W11:W13" si="7">IF(ISBLANK(O11),,IF(O11=UPPER("IB"),8.63*200,15.14*100))</f>
        <v>1514</v>
      </c>
      <c r="X11" s="192" t="s">
        <v>115</v>
      </c>
      <c r="Y11" s="192"/>
      <c r="Z11" s="192" t="s">
        <v>75</v>
      </c>
      <c r="AA11" s="193">
        <v>-0.02</v>
      </c>
      <c r="AB11" s="189" t="s">
        <v>132</v>
      </c>
      <c r="AC11" s="189"/>
      <c r="AD11" s="189"/>
      <c r="AE11" s="189">
        <v>-0.03</v>
      </c>
      <c r="AF11" s="189"/>
      <c r="AG11" s="189" t="s">
        <v>133</v>
      </c>
      <c r="AH11" s="189"/>
      <c r="AI11" s="194">
        <f>-0.03*W11</f>
        <v>-45.42</v>
      </c>
      <c r="AJ11" s="194">
        <f t="shared" ref="AJ11:AJ17" si="8">AI11*R11</f>
        <v>-45.42</v>
      </c>
      <c r="AK11" s="189" t="s">
        <v>134</v>
      </c>
      <c r="AL11" s="189"/>
      <c r="AM11" s="189" t="s">
        <v>135</v>
      </c>
      <c r="AN11" s="189" t="s">
        <v>92</v>
      </c>
      <c r="AO11" s="189" t="s">
        <v>136</v>
      </c>
      <c r="AP11" s="196">
        <v>-0.03</v>
      </c>
      <c r="AQ11" s="196">
        <f t="shared" si="3"/>
        <v>9.9999999999999985E-3</v>
      </c>
      <c r="AR11" s="194">
        <f>AS11*R11</f>
        <v>15.139999999999997</v>
      </c>
      <c r="AS11" s="197">
        <f t="shared" si="4"/>
        <v>15.139999999999997</v>
      </c>
      <c r="AT11" s="198" t="s">
        <v>72</v>
      </c>
      <c r="AU11" s="189" t="s">
        <v>137</v>
      </c>
      <c r="AV11" s="189" t="s">
        <v>138</v>
      </c>
      <c r="AW11" s="189" t="s">
        <v>139</v>
      </c>
      <c r="AX11" s="361"/>
      <c r="AY11" s="361"/>
      <c r="AZ11" s="361"/>
      <c r="BA11" s="361"/>
      <c r="BB11" s="361"/>
      <c r="BC11" s="373" t="s">
        <v>140</v>
      </c>
    </row>
    <row r="12" spans="1:55" ht="18" customHeight="1">
      <c r="A12" s="185" t="s">
        <v>67</v>
      </c>
      <c r="B12" s="184">
        <v>44847</v>
      </c>
      <c r="C12" s="201">
        <v>0.75</v>
      </c>
      <c r="D12" s="185" t="s">
        <v>69</v>
      </c>
      <c r="E12" s="186" t="s">
        <v>141</v>
      </c>
      <c r="F12" s="187" t="s">
        <v>142</v>
      </c>
      <c r="G12" s="188"/>
      <c r="H12" s="189">
        <v>1</v>
      </c>
      <c r="I12" s="189"/>
      <c r="J12" s="189"/>
      <c r="K12" s="190"/>
      <c r="L12" s="189"/>
      <c r="M12" s="189"/>
      <c r="N12" s="189"/>
      <c r="O12" s="190"/>
      <c r="P12" s="190"/>
      <c r="Q12" s="190"/>
      <c r="R12" s="190"/>
      <c r="S12" s="190"/>
      <c r="T12" s="190"/>
      <c r="U12" s="190"/>
      <c r="V12" s="191">
        <f t="shared" si="6"/>
        <v>0</v>
      </c>
      <c r="W12" s="191">
        <f t="shared" si="7"/>
        <v>0</v>
      </c>
      <c r="X12" s="192"/>
      <c r="Y12" s="192"/>
      <c r="Z12" s="192"/>
      <c r="AA12" s="193"/>
      <c r="AB12" s="189"/>
      <c r="AC12" s="189"/>
      <c r="AD12" s="189"/>
      <c r="AE12" s="189"/>
      <c r="AF12" s="189"/>
      <c r="AG12" s="189"/>
      <c r="AH12" s="189"/>
      <c r="AI12" s="194"/>
      <c r="AJ12" s="194">
        <f t="shared" si="8"/>
        <v>0</v>
      </c>
      <c r="AK12" s="189"/>
      <c r="AL12" s="189"/>
      <c r="AM12" s="189"/>
      <c r="AN12" s="189"/>
      <c r="AO12" s="189"/>
      <c r="AP12" s="196"/>
      <c r="AQ12" s="189">
        <f t="shared" si="3"/>
        <v>0</v>
      </c>
      <c r="AR12" s="194"/>
      <c r="AS12" s="197">
        <f t="shared" si="4"/>
        <v>0</v>
      </c>
      <c r="AT12" s="198"/>
      <c r="AU12" s="189" t="s">
        <v>143</v>
      </c>
      <c r="AV12" s="189" t="s">
        <v>144</v>
      </c>
      <c r="AW12" s="189"/>
      <c r="AX12" s="361"/>
      <c r="AY12" s="361"/>
      <c r="AZ12" s="361"/>
      <c r="BA12" s="361"/>
      <c r="BB12" s="361"/>
      <c r="BC12" s="373" t="s">
        <v>145</v>
      </c>
    </row>
    <row r="13" spans="1:55" ht="18" customHeight="1">
      <c r="A13" s="185" t="s">
        <v>67</v>
      </c>
      <c r="B13" s="184"/>
      <c r="C13" s="185"/>
      <c r="D13" s="185"/>
      <c r="E13" s="186" t="s">
        <v>146</v>
      </c>
      <c r="F13" s="187" t="s">
        <v>147</v>
      </c>
      <c r="G13" s="188"/>
      <c r="H13" s="189">
        <v>1</v>
      </c>
      <c r="I13" s="189"/>
      <c r="J13" s="189"/>
      <c r="K13" s="190"/>
      <c r="L13" s="189"/>
      <c r="M13" s="189"/>
      <c r="N13" s="189"/>
      <c r="O13" s="190"/>
      <c r="P13" s="190"/>
      <c r="Q13" s="190"/>
      <c r="R13" s="190"/>
      <c r="S13" s="190"/>
      <c r="T13" s="190"/>
      <c r="U13" s="190"/>
      <c r="V13" s="191">
        <f t="shared" si="6"/>
        <v>0</v>
      </c>
      <c r="W13" s="191">
        <f t="shared" si="7"/>
        <v>0</v>
      </c>
      <c r="X13" s="192"/>
      <c r="Y13" s="192"/>
      <c r="Z13" s="192"/>
      <c r="AA13" s="193"/>
      <c r="AB13" s="189"/>
      <c r="AC13" s="189"/>
      <c r="AD13" s="189"/>
      <c r="AE13" s="189"/>
      <c r="AF13" s="189"/>
      <c r="AG13" s="189"/>
      <c r="AH13" s="189"/>
      <c r="AI13" s="194"/>
      <c r="AJ13" s="194">
        <f t="shared" si="8"/>
        <v>0</v>
      </c>
      <c r="AK13" s="189"/>
      <c r="AL13" s="189"/>
      <c r="AM13" s="189"/>
      <c r="AN13" s="189"/>
      <c r="AO13" s="189"/>
      <c r="AP13" s="196"/>
      <c r="AQ13" s="189">
        <f t="shared" si="3"/>
        <v>0</v>
      </c>
      <c r="AR13" s="194"/>
      <c r="AS13" s="197">
        <f t="shared" si="4"/>
        <v>0</v>
      </c>
      <c r="AT13" s="198"/>
      <c r="AU13" s="189"/>
      <c r="AV13" s="189"/>
      <c r="AW13" s="189"/>
      <c r="AX13" s="361"/>
      <c r="AY13" s="361"/>
      <c r="AZ13" s="361"/>
      <c r="BA13" s="361"/>
      <c r="BB13" s="361"/>
      <c r="BC13" s="373"/>
    </row>
    <row r="14" spans="1:55" ht="18" customHeight="1">
      <c r="A14" s="185" t="s">
        <v>67</v>
      </c>
      <c r="B14" s="184">
        <v>44851</v>
      </c>
      <c r="C14" s="185" t="s">
        <v>148</v>
      </c>
      <c r="D14" s="185" t="s">
        <v>109</v>
      </c>
      <c r="E14" s="186"/>
      <c r="F14" s="187"/>
      <c r="G14" s="188" t="s">
        <v>113</v>
      </c>
      <c r="H14" s="189"/>
      <c r="I14" s="189"/>
      <c r="J14" s="189"/>
      <c r="K14" s="190"/>
      <c r="L14" s="189">
        <v>1</v>
      </c>
      <c r="M14" s="189"/>
      <c r="N14" s="189"/>
      <c r="O14" s="190" t="s">
        <v>71</v>
      </c>
      <c r="P14" s="190" t="s">
        <v>114</v>
      </c>
      <c r="Q14" s="190" t="s">
        <v>73</v>
      </c>
      <c r="R14" s="190">
        <v>1</v>
      </c>
      <c r="S14" s="190">
        <v>1</v>
      </c>
      <c r="T14" s="190">
        <v>1</v>
      </c>
      <c r="U14" s="190" t="s">
        <v>73</v>
      </c>
      <c r="V14" s="191">
        <f t="shared" si="6"/>
        <v>0.01</v>
      </c>
      <c r="W14" s="191">
        <f t="shared" ref="W14:W15" si="9">IF(ISBLANK(O14),,IF(O14=UPPER("IB"),8.63*200,15*100))</f>
        <v>1500</v>
      </c>
      <c r="X14" s="192" t="s">
        <v>115</v>
      </c>
      <c r="Y14" s="192"/>
      <c r="Z14" s="192" t="s">
        <v>75</v>
      </c>
      <c r="AA14" s="193">
        <v>-0.02</v>
      </c>
      <c r="AB14" s="189"/>
      <c r="AC14" s="189"/>
      <c r="AD14" s="189"/>
      <c r="AE14" s="189">
        <v>-0.03</v>
      </c>
      <c r="AF14" s="189"/>
      <c r="AG14" s="189"/>
      <c r="AH14" s="189"/>
      <c r="AI14" s="194">
        <f t="shared" ref="AI14:AI16" si="10">-0.03*W14</f>
        <v>-45</v>
      </c>
      <c r="AJ14" s="194">
        <f t="shared" si="8"/>
        <v>-45</v>
      </c>
      <c r="AK14" s="189" t="s">
        <v>149</v>
      </c>
      <c r="AL14" s="189"/>
      <c r="AM14" s="189" t="s">
        <v>135</v>
      </c>
      <c r="AN14" s="189" t="s">
        <v>82</v>
      </c>
      <c r="AO14" s="189" t="s">
        <v>150</v>
      </c>
      <c r="AP14" s="196">
        <v>-0.03</v>
      </c>
      <c r="AQ14" s="196">
        <f t="shared" si="3"/>
        <v>9.9999999999999985E-3</v>
      </c>
      <c r="AR14" s="194">
        <f>AS14*R14</f>
        <v>14.999999999999998</v>
      </c>
      <c r="AS14" s="197">
        <f t="shared" si="4"/>
        <v>14.999999999999998</v>
      </c>
      <c r="AT14" s="198" t="s">
        <v>72</v>
      </c>
      <c r="AU14" s="189" t="s">
        <v>151</v>
      </c>
      <c r="AV14" s="189" t="s">
        <v>152</v>
      </c>
      <c r="AW14" s="189" t="s">
        <v>153</v>
      </c>
      <c r="AX14" s="361"/>
      <c r="AY14" s="361"/>
      <c r="AZ14" s="361"/>
      <c r="BA14" s="361"/>
      <c r="BB14" s="361"/>
      <c r="BC14" s="373"/>
    </row>
    <row r="15" spans="1:55" ht="18" customHeight="1">
      <c r="A15" s="185" t="s">
        <v>67</v>
      </c>
      <c r="B15" s="184">
        <v>44852</v>
      </c>
      <c r="C15" s="185" t="s">
        <v>154</v>
      </c>
      <c r="D15" s="185" t="s">
        <v>123</v>
      </c>
      <c r="E15" s="186" t="s">
        <v>155</v>
      </c>
      <c r="F15" s="187" t="s">
        <v>156</v>
      </c>
      <c r="G15" s="188"/>
      <c r="H15" s="189"/>
      <c r="I15" s="189"/>
      <c r="J15" s="189"/>
      <c r="K15" s="190"/>
      <c r="L15" s="189"/>
      <c r="M15" s="189"/>
      <c r="N15" s="189"/>
      <c r="O15" s="190"/>
      <c r="P15" s="190"/>
      <c r="Q15" s="190"/>
      <c r="R15" s="190"/>
      <c r="S15" s="190"/>
      <c r="T15" s="190"/>
      <c r="U15" s="190"/>
      <c r="V15" s="191">
        <f t="shared" si="6"/>
        <v>0</v>
      </c>
      <c r="W15" s="191">
        <f t="shared" si="9"/>
        <v>0</v>
      </c>
      <c r="X15" s="192"/>
      <c r="Y15" s="192"/>
      <c r="Z15" s="192"/>
      <c r="AA15" s="193"/>
      <c r="AB15" s="189"/>
      <c r="AC15" s="189"/>
      <c r="AD15" s="189"/>
      <c r="AE15" s="189"/>
      <c r="AF15" s="189"/>
      <c r="AG15" s="189"/>
      <c r="AH15" s="189"/>
      <c r="AI15" s="194">
        <f t="shared" si="10"/>
        <v>0</v>
      </c>
      <c r="AJ15" s="194">
        <f t="shared" si="8"/>
        <v>0</v>
      </c>
      <c r="AK15" s="189"/>
      <c r="AL15" s="189"/>
      <c r="AM15" s="189"/>
      <c r="AN15" s="189"/>
      <c r="AO15" s="189"/>
      <c r="AP15" s="196"/>
      <c r="AQ15" s="189">
        <f t="shared" si="3"/>
        <v>0</v>
      </c>
      <c r="AR15" s="194"/>
      <c r="AS15" s="197">
        <f t="shared" si="4"/>
        <v>0</v>
      </c>
      <c r="AT15" s="198"/>
      <c r="AU15" s="189"/>
      <c r="AV15" s="189"/>
      <c r="AW15" s="189"/>
      <c r="AX15" s="361"/>
      <c r="AY15" s="361"/>
      <c r="AZ15" s="361"/>
      <c r="BA15" s="361"/>
      <c r="BB15" s="361"/>
      <c r="BC15" s="373"/>
    </row>
    <row r="16" spans="1:55" ht="18" customHeight="1">
      <c r="A16" s="185" t="s">
        <v>67</v>
      </c>
      <c r="B16" s="184">
        <v>44852</v>
      </c>
      <c r="C16" s="185" t="s">
        <v>157</v>
      </c>
      <c r="D16" s="185" t="s">
        <v>123</v>
      </c>
      <c r="E16" s="186"/>
      <c r="F16" s="187"/>
      <c r="G16" s="188" t="s">
        <v>158</v>
      </c>
      <c r="H16" s="189"/>
      <c r="I16" s="189"/>
      <c r="J16" s="189"/>
      <c r="K16" s="190"/>
      <c r="L16" s="189">
        <v>1</v>
      </c>
      <c r="M16" s="189"/>
      <c r="N16" s="189"/>
      <c r="O16" s="190" t="s">
        <v>71</v>
      </c>
      <c r="P16" s="190" t="s">
        <v>114</v>
      </c>
      <c r="Q16" s="190" t="s">
        <v>73</v>
      </c>
      <c r="R16" s="190">
        <v>1</v>
      </c>
      <c r="S16" s="190">
        <v>1</v>
      </c>
      <c r="T16" s="190">
        <v>1</v>
      </c>
      <c r="U16" s="190" t="s">
        <v>73</v>
      </c>
      <c r="V16" s="191">
        <f t="shared" si="6"/>
        <v>0.01</v>
      </c>
      <c r="W16" s="191">
        <f>IF(ISBLANK(O16),,IF(O16=UPPER("IB"),8.63*200,15.13*100))</f>
        <v>1513</v>
      </c>
      <c r="X16" s="192" t="s">
        <v>115</v>
      </c>
      <c r="Y16" s="192"/>
      <c r="Z16" s="192" t="s">
        <v>75</v>
      </c>
      <c r="AA16" s="193">
        <v>-0.04</v>
      </c>
      <c r="AB16" s="189" t="s">
        <v>159</v>
      </c>
      <c r="AC16" s="189"/>
      <c r="AD16" s="189"/>
      <c r="AE16" s="189">
        <v>-0.05</v>
      </c>
      <c r="AF16" s="189"/>
      <c r="AG16" s="189" t="s">
        <v>160</v>
      </c>
      <c r="AH16" s="189"/>
      <c r="AI16" s="194">
        <f t="shared" si="10"/>
        <v>-45.39</v>
      </c>
      <c r="AJ16" s="194">
        <f t="shared" si="8"/>
        <v>-45.39</v>
      </c>
      <c r="AK16" s="189" t="s">
        <v>161</v>
      </c>
      <c r="AL16" s="189"/>
      <c r="AM16" s="189" t="s">
        <v>162</v>
      </c>
      <c r="AN16" s="189" t="s">
        <v>82</v>
      </c>
      <c r="AO16" s="189" t="s">
        <v>163</v>
      </c>
      <c r="AP16" s="196">
        <v>-0.05</v>
      </c>
      <c r="AQ16" s="196">
        <f t="shared" si="3"/>
        <v>1.0000000000000002E-2</v>
      </c>
      <c r="AR16" s="194">
        <f>AS16*R16</f>
        <v>15.130000000000003</v>
      </c>
      <c r="AS16" s="197">
        <f t="shared" si="4"/>
        <v>15.130000000000003</v>
      </c>
      <c r="AT16" s="198" t="s">
        <v>72</v>
      </c>
      <c r="AU16" s="189" t="s">
        <v>151</v>
      </c>
      <c r="AV16" s="189" t="s">
        <v>164</v>
      </c>
      <c r="AW16" s="189" t="s">
        <v>165</v>
      </c>
      <c r="AX16" s="361"/>
      <c r="AY16" s="361"/>
      <c r="AZ16" s="361"/>
      <c r="BA16" s="361"/>
      <c r="BB16" s="361"/>
      <c r="BC16" s="373"/>
    </row>
    <row r="17" spans="1:55" ht="18" customHeight="1">
      <c r="A17" s="185" t="s">
        <v>67</v>
      </c>
      <c r="B17" s="184">
        <v>44852</v>
      </c>
      <c r="C17" s="185" t="s">
        <v>166</v>
      </c>
      <c r="D17" s="185" t="s">
        <v>123</v>
      </c>
      <c r="E17" s="186"/>
      <c r="F17" s="187"/>
      <c r="G17" s="188" t="s">
        <v>70</v>
      </c>
      <c r="H17" s="189"/>
      <c r="I17" s="189"/>
      <c r="J17" s="189"/>
      <c r="K17" s="190"/>
      <c r="L17" s="189">
        <v>1</v>
      </c>
      <c r="M17" s="189"/>
      <c r="N17" s="189"/>
      <c r="O17" s="190" t="s">
        <v>71</v>
      </c>
      <c r="P17" s="190" t="s">
        <v>114</v>
      </c>
      <c r="Q17" s="190" t="s">
        <v>73</v>
      </c>
      <c r="R17" s="190">
        <v>1</v>
      </c>
      <c r="S17" s="190">
        <v>1</v>
      </c>
      <c r="T17" s="190">
        <v>1</v>
      </c>
      <c r="U17" s="190" t="s">
        <v>21</v>
      </c>
      <c r="V17" s="191">
        <f t="shared" si="6"/>
        <v>0.01</v>
      </c>
      <c r="W17" s="191">
        <f>IF(ISBLANK(O17),,IF(O17=UPPER("IB"),8.63*200,15.15*100))</f>
        <v>1515</v>
      </c>
      <c r="X17" s="192" t="s">
        <v>115</v>
      </c>
      <c r="Y17" s="192"/>
      <c r="Z17" s="192" t="s">
        <v>75</v>
      </c>
      <c r="AA17" s="193">
        <v>-0.01</v>
      </c>
      <c r="AB17" s="189"/>
      <c r="AC17" s="189"/>
      <c r="AD17" s="189"/>
      <c r="AE17" s="189">
        <v>1</v>
      </c>
      <c r="AF17" s="189"/>
      <c r="AG17" s="189" t="s">
        <v>167</v>
      </c>
      <c r="AH17" s="189"/>
      <c r="AI17" s="194">
        <f>-0.02*W17</f>
        <v>-30.3</v>
      </c>
      <c r="AJ17" s="194">
        <f t="shared" si="8"/>
        <v>-30.3</v>
      </c>
      <c r="AK17" s="189" t="s">
        <v>168</v>
      </c>
      <c r="AL17" s="189"/>
      <c r="AM17" s="189" t="s">
        <v>169</v>
      </c>
      <c r="AN17" s="189" t="s">
        <v>92</v>
      </c>
      <c r="AO17" s="189" t="s">
        <v>170</v>
      </c>
      <c r="AP17" s="196">
        <v>0</v>
      </c>
      <c r="AQ17" s="196">
        <f t="shared" si="3"/>
        <v>0.01</v>
      </c>
      <c r="AR17" s="194">
        <f>AS17*R17</f>
        <v>15.15</v>
      </c>
      <c r="AS17" s="197">
        <f t="shared" si="4"/>
        <v>15.15</v>
      </c>
      <c r="AT17" s="198" t="s">
        <v>72</v>
      </c>
      <c r="AU17" s="189" t="s">
        <v>171</v>
      </c>
      <c r="AV17" s="189" t="s">
        <v>172</v>
      </c>
      <c r="AW17" s="189"/>
      <c r="AX17" s="361"/>
      <c r="AY17" s="361"/>
      <c r="AZ17" s="361"/>
      <c r="BA17" s="370" t="s">
        <v>172</v>
      </c>
      <c r="BB17" s="361"/>
      <c r="BC17" s="373"/>
    </row>
    <row r="18" spans="1:55" ht="18" customHeight="1">
      <c r="A18" s="185" t="s">
        <v>67</v>
      </c>
      <c r="B18" s="184">
        <v>44852</v>
      </c>
      <c r="C18" s="185" t="s">
        <v>173</v>
      </c>
      <c r="D18" s="185" t="s">
        <v>123</v>
      </c>
      <c r="E18" s="186"/>
      <c r="F18" s="187"/>
      <c r="G18" s="188" t="s">
        <v>110</v>
      </c>
      <c r="H18" s="189"/>
      <c r="I18" s="189"/>
      <c r="J18" s="189"/>
      <c r="K18" s="190"/>
      <c r="L18" s="189">
        <v>1</v>
      </c>
      <c r="M18" s="189"/>
      <c r="N18" s="189"/>
      <c r="O18" s="190" t="s">
        <v>71</v>
      </c>
      <c r="P18" s="190" t="s">
        <v>72</v>
      </c>
      <c r="Q18" s="190" t="s">
        <v>73</v>
      </c>
      <c r="R18" s="190">
        <v>1</v>
      </c>
      <c r="S18" s="190">
        <v>1</v>
      </c>
      <c r="T18" s="190">
        <v>1</v>
      </c>
      <c r="U18" s="190" t="s">
        <v>21</v>
      </c>
      <c r="V18" s="191">
        <f t="shared" si="6"/>
        <v>0.01</v>
      </c>
      <c r="W18" s="191">
        <f>IF(ISBLANK(O18),,IF(O18=UPPER("IB"),8.63*200,15*100))</f>
        <v>1500</v>
      </c>
      <c r="X18" s="192" t="s">
        <v>115</v>
      </c>
      <c r="Y18" s="192"/>
      <c r="Z18" s="192" t="s">
        <v>75</v>
      </c>
      <c r="AA18" s="193">
        <v>-0.01</v>
      </c>
      <c r="AB18" s="189"/>
      <c r="AC18" s="189"/>
      <c r="AD18" s="189"/>
      <c r="AE18" s="189"/>
      <c r="AF18" s="189"/>
      <c r="AG18" s="189" t="s">
        <v>174</v>
      </c>
      <c r="AH18" s="189"/>
      <c r="AI18" s="194"/>
      <c r="AJ18" s="190"/>
      <c r="AK18" s="189"/>
      <c r="AL18" s="189"/>
      <c r="AM18" s="189" t="s">
        <v>169</v>
      </c>
      <c r="AN18" s="189" t="s">
        <v>92</v>
      </c>
      <c r="AO18" s="189" t="s">
        <v>175</v>
      </c>
      <c r="AP18" s="196">
        <v>-0.01</v>
      </c>
      <c r="AQ18" s="196">
        <f t="shared" si="3"/>
        <v>0</v>
      </c>
      <c r="AR18" s="194">
        <f>AS18*R18</f>
        <v>0</v>
      </c>
      <c r="AS18" s="197">
        <f t="shared" si="4"/>
        <v>0</v>
      </c>
      <c r="AT18" s="198" t="s">
        <v>92</v>
      </c>
      <c r="AU18" s="189" t="s">
        <v>176</v>
      </c>
      <c r="AV18" s="189" t="s">
        <v>177</v>
      </c>
      <c r="AW18" s="189" t="s">
        <v>178</v>
      </c>
      <c r="AX18" s="361"/>
      <c r="AY18" s="361"/>
      <c r="AZ18" s="361"/>
      <c r="BA18" s="361"/>
      <c r="BB18" s="361"/>
      <c r="BC18" s="373"/>
    </row>
    <row r="19" spans="1:55" ht="18" customHeight="1">
      <c r="A19" s="185" t="s">
        <v>67</v>
      </c>
      <c r="B19" s="184">
        <v>44853</v>
      </c>
      <c r="C19" s="185" t="s">
        <v>179</v>
      </c>
      <c r="D19" s="185" t="s">
        <v>128</v>
      </c>
      <c r="E19" s="186"/>
      <c r="F19" s="187"/>
      <c r="G19" s="188" t="s">
        <v>158</v>
      </c>
      <c r="H19" s="189"/>
      <c r="I19" s="189"/>
      <c r="J19" s="189"/>
      <c r="K19" s="190"/>
      <c r="L19" s="189">
        <v>1</v>
      </c>
      <c r="M19" s="189"/>
      <c r="N19" s="189"/>
      <c r="O19" s="190" t="s">
        <v>71</v>
      </c>
      <c r="P19" s="190" t="s">
        <v>114</v>
      </c>
      <c r="Q19" s="190" t="s">
        <v>73</v>
      </c>
      <c r="R19" s="190">
        <v>1</v>
      </c>
      <c r="S19" s="190">
        <v>1</v>
      </c>
      <c r="T19" s="190">
        <v>1</v>
      </c>
      <c r="U19" s="190" t="s">
        <v>73</v>
      </c>
      <c r="V19" s="191">
        <f t="shared" si="6"/>
        <v>0.01</v>
      </c>
      <c r="W19" s="191">
        <f t="shared" ref="W19:W25" si="11">IF(ISBLANK(O19),,IF(O19=UPPER("IB"),8.63*200,15.15*100))</f>
        <v>1515</v>
      </c>
      <c r="X19" s="192" t="s">
        <v>115</v>
      </c>
      <c r="Y19" s="192"/>
      <c r="Z19" s="192" t="s">
        <v>75</v>
      </c>
      <c r="AA19" s="193">
        <v>-0.04</v>
      </c>
      <c r="AB19" s="189" t="s">
        <v>159</v>
      </c>
      <c r="AC19" s="189"/>
      <c r="AD19" s="189"/>
      <c r="AE19" s="189">
        <v>-0.05</v>
      </c>
      <c r="AF19" s="189"/>
      <c r="AG19" s="189" t="s">
        <v>160</v>
      </c>
      <c r="AH19" s="189"/>
      <c r="AI19" s="194">
        <f>-0.03*W19</f>
        <v>-45.449999999999996</v>
      </c>
      <c r="AJ19" s="194">
        <f t="shared" ref="AJ19:AJ26" si="12">AI19*R19</f>
        <v>-45.449999999999996</v>
      </c>
      <c r="AK19" s="189" t="s">
        <v>161</v>
      </c>
      <c r="AL19" s="189"/>
      <c r="AM19" s="189" t="s">
        <v>180</v>
      </c>
      <c r="AN19" s="189" t="s">
        <v>82</v>
      </c>
      <c r="AO19" s="202">
        <v>44853.333333333336</v>
      </c>
      <c r="AP19" s="196">
        <v>-0.05</v>
      </c>
      <c r="AQ19" s="196">
        <f t="shared" si="3"/>
        <v>1.0000000000000002E-2</v>
      </c>
      <c r="AR19" s="194">
        <f>AS19*R19</f>
        <v>15.150000000000002</v>
      </c>
      <c r="AS19" s="197">
        <f t="shared" si="4"/>
        <v>15.150000000000002</v>
      </c>
      <c r="AT19" s="198" t="s">
        <v>72</v>
      </c>
      <c r="AU19" s="189" t="s">
        <v>181</v>
      </c>
      <c r="AV19" s="189"/>
      <c r="AW19" s="189" t="s">
        <v>182</v>
      </c>
      <c r="AX19" s="361"/>
      <c r="AY19" s="361"/>
      <c r="AZ19" s="361"/>
      <c r="BA19" s="361"/>
      <c r="BB19" s="361"/>
      <c r="BC19" s="373"/>
    </row>
    <row r="20" spans="1:55" ht="18" customHeight="1">
      <c r="A20" s="185" t="s">
        <v>67</v>
      </c>
      <c r="B20" s="184">
        <v>44854</v>
      </c>
      <c r="C20" s="185"/>
      <c r="D20" s="185" t="s">
        <v>69</v>
      </c>
      <c r="E20" s="186" t="s">
        <v>183</v>
      </c>
      <c r="F20" s="187" t="s">
        <v>184</v>
      </c>
      <c r="G20" s="188"/>
      <c r="H20" s="189"/>
      <c r="I20" s="189"/>
      <c r="J20" s="189">
        <v>1</v>
      </c>
      <c r="K20" s="190"/>
      <c r="L20" s="189"/>
      <c r="M20" s="189"/>
      <c r="N20" s="189"/>
      <c r="O20" s="190"/>
      <c r="P20" s="190"/>
      <c r="Q20" s="190"/>
      <c r="R20" s="190"/>
      <c r="S20" s="190"/>
      <c r="T20" s="190"/>
      <c r="U20" s="190"/>
      <c r="V20" s="191"/>
      <c r="W20" s="191">
        <f t="shared" si="11"/>
        <v>0</v>
      </c>
      <c r="X20" s="192"/>
      <c r="Y20" s="192"/>
      <c r="Z20" s="192"/>
      <c r="AA20" s="193"/>
      <c r="AB20" s="189"/>
      <c r="AC20" s="189"/>
      <c r="AD20" s="189"/>
      <c r="AE20" s="189"/>
      <c r="AF20" s="189"/>
      <c r="AG20" s="189"/>
      <c r="AH20" s="189"/>
      <c r="AI20" s="194"/>
      <c r="AJ20" s="194">
        <f t="shared" si="12"/>
        <v>0</v>
      </c>
      <c r="AK20" s="189"/>
      <c r="AL20" s="189"/>
      <c r="AM20" s="189"/>
      <c r="AN20" s="189"/>
      <c r="AO20" s="189"/>
      <c r="AP20" s="196"/>
      <c r="AQ20" s="189"/>
      <c r="AR20" s="194"/>
      <c r="AS20" s="197"/>
      <c r="AT20" s="198"/>
      <c r="AU20" s="189"/>
      <c r="AV20" s="189"/>
      <c r="AW20" s="189"/>
      <c r="AX20" s="361"/>
      <c r="AY20" s="361"/>
      <c r="AZ20" s="361"/>
      <c r="BA20" s="361"/>
      <c r="BB20" s="361"/>
      <c r="BC20" s="373"/>
    </row>
    <row r="21" spans="1:55" ht="18" customHeight="1">
      <c r="A21" s="185" t="s">
        <v>67</v>
      </c>
      <c r="B21" s="184"/>
      <c r="C21" s="185"/>
      <c r="D21" s="185"/>
      <c r="E21" s="186" t="s">
        <v>185</v>
      </c>
      <c r="F21" s="187"/>
      <c r="G21" s="188"/>
      <c r="H21" s="189"/>
      <c r="I21" s="189">
        <v>1</v>
      </c>
      <c r="J21" s="189"/>
      <c r="K21" s="190"/>
      <c r="L21" s="189"/>
      <c r="M21" s="189"/>
      <c r="N21" s="189"/>
      <c r="O21" s="190"/>
      <c r="P21" s="190"/>
      <c r="Q21" s="190"/>
      <c r="R21" s="190"/>
      <c r="S21" s="190"/>
      <c r="T21" s="190"/>
      <c r="U21" s="190"/>
      <c r="V21" s="191"/>
      <c r="W21" s="191">
        <f t="shared" si="11"/>
        <v>0</v>
      </c>
      <c r="X21" s="192"/>
      <c r="Y21" s="192"/>
      <c r="Z21" s="192"/>
      <c r="AA21" s="193"/>
      <c r="AB21" s="189"/>
      <c r="AC21" s="189"/>
      <c r="AD21" s="189"/>
      <c r="AE21" s="189"/>
      <c r="AF21" s="189"/>
      <c r="AG21" s="189"/>
      <c r="AH21" s="189"/>
      <c r="AI21" s="194"/>
      <c r="AJ21" s="194">
        <f t="shared" si="12"/>
        <v>0</v>
      </c>
      <c r="AK21" s="189"/>
      <c r="AL21" s="189"/>
      <c r="AM21" s="189"/>
      <c r="AN21" s="189"/>
      <c r="AO21" s="189"/>
      <c r="AP21" s="196"/>
      <c r="AQ21" s="189"/>
      <c r="AR21" s="194"/>
      <c r="AS21" s="197"/>
      <c r="AT21" s="198"/>
      <c r="AU21" s="189"/>
      <c r="AV21" s="189"/>
      <c r="AW21" s="189"/>
      <c r="AX21" s="361"/>
      <c r="AY21" s="361"/>
      <c r="AZ21" s="361"/>
      <c r="BA21" s="361"/>
      <c r="BB21" s="361"/>
      <c r="BC21" s="373"/>
    </row>
    <row r="22" spans="1:55" ht="18" customHeight="1">
      <c r="A22" s="185" t="s">
        <v>67</v>
      </c>
      <c r="B22" s="184">
        <v>44854</v>
      </c>
      <c r="C22" s="185" t="s">
        <v>186</v>
      </c>
      <c r="D22" s="185" t="s">
        <v>69</v>
      </c>
      <c r="E22" s="186"/>
      <c r="F22" s="187"/>
      <c r="G22" s="188" t="s">
        <v>187</v>
      </c>
      <c r="H22" s="189"/>
      <c r="I22" s="189"/>
      <c r="J22" s="189"/>
      <c r="K22" s="190"/>
      <c r="L22" s="189">
        <v>1</v>
      </c>
      <c r="M22" s="189">
        <v>1</v>
      </c>
      <c r="N22" s="189"/>
      <c r="O22" s="190" t="s">
        <v>71</v>
      </c>
      <c r="P22" s="190" t="s">
        <v>72</v>
      </c>
      <c r="Q22" s="190" t="s">
        <v>73</v>
      </c>
      <c r="R22" s="190">
        <v>1</v>
      </c>
      <c r="S22" s="190">
        <v>1</v>
      </c>
      <c r="T22" s="190">
        <v>1</v>
      </c>
      <c r="U22" s="190" t="s">
        <v>73</v>
      </c>
      <c r="V22" s="191">
        <f t="shared" ref="V22:V24" si="13">IF(ISBLANK(O22),,(IF(O22=UPPER("IB"),0.005,0.01)))</f>
        <v>0.01</v>
      </c>
      <c r="W22" s="191">
        <f t="shared" si="11"/>
        <v>1515</v>
      </c>
      <c r="X22" s="192" t="s">
        <v>188</v>
      </c>
      <c r="Y22" s="192" t="s">
        <v>189</v>
      </c>
      <c r="Z22" s="192"/>
      <c r="AA22" s="193">
        <v>0.67</v>
      </c>
      <c r="AB22" s="189"/>
      <c r="AC22" s="189">
        <v>72</v>
      </c>
      <c r="AD22" s="189"/>
      <c r="AE22" s="189">
        <v>60</v>
      </c>
      <c r="AF22" s="189" t="s">
        <v>190</v>
      </c>
      <c r="AG22" s="189" t="s">
        <v>191</v>
      </c>
      <c r="AH22" s="189">
        <f t="shared" ref="AH22:AH24" si="14">7/5</f>
        <v>1.4</v>
      </c>
      <c r="AI22" s="194">
        <f t="shared" ref="AI22:AI23" si="15">-0.05*W22</f>
        <v>-75.75</v>
      </c>
      <c r="AJ22" s="194">
        <f t="shared" si="12"/>
        <v>-75.75</v>
      </c>
      <c r="AK22" s="189" t="s">
        <v>192</v>
      </c>
      <c r="AL22" s="189"/>
      <c r="AM22" s="189" t="s">
        <v>193</v>
      </c>
      <c r="AN22" s="189" t="s">
        <v>82</v>
      </c>
      <c r="AO22" s="189"/>
      <c r="AP22" s="196">
        <v>0.67</v>
      </c>
      <c r="AQ22" s="196">
        <f t="shared" ref="AQ22:AQ32" si="16">IF(ISBLANK(AP22),,IF(U22="S",AA22-AP22,AP22-AA22))</f>
        <v>0</v>
      </c>
      <c r="AR22" s="194">
        <f>AS22*R22</f>
        <v>0</v>
      </c>
      <c r="AS22" s="197">
        <f t="shared" ref="AS22:AS32" si="17">IF(ISBLANK(AP22),,(AQ22*W22))</f>
        <v>0</v>
      </c>
      <c r="AT22" s="198" t="s">
        <v>92</v>
      </c>
      <c r="AU22" s="189" t="s">
        <v>194</v>
      </c>
      <c r="AV22" s="189" t="s">
        <v>195</v>
      </c>
      <c r="AW22" s="189" t="s">
        <v>196</v>
      </c>
      <c r="AX22" s="361" t="s">
        <v>197</v>
      </c>
      <c r="AY22" s="361"/>
      <c r="AZ22" s="361"/>
      <c r="BA22" s="361" t="s">
        <v>198</v>
      </c>
      <c r="BB22" s="361"/>
      <c r="BC22" s="373" t="s">
        <v>199</v>
      </c>
    </row>
    <row r="23" spans="1:55" ht="18" customHeight="1">
      <c r="A23" s="185" t="s">
        <v>67</v>
      </c>
      <c r="B23" s="184">
        <v>44854</v>
      </c>
      <c r="C23" s="185" t="s">
        <v>186</v>
      </c>
      <c r="D23" s="185" t="s">
        <v>69</v>
      </c>
      <c r="E23" s="186"/>
      <c r="F23" s="187"/>
      <c r="G23" s="188" t="s">
        <v>187</v>
      </c>
      <c r="H23" s="189"/>
      <c r="I23" s="189"/>
      <c r="J23" s="189"/>
      <c r="K23" s="190"/>
      <c r="L23" s="189">
        <v>1</v>
      </c>
      <c r="M23" s="189">
        <v>1</v>
      </c>
      <c r="N23" s="189"/>
      <c r="O23" s="190" t="s">
        <v>71</v>
      </c>
      <c r="P23" s="190" t="s">
        <v>72</v>
      </c>
      <c r="Q23" s="190" t="s">
        <v>73</v>
      </c>
      <c r="R23" s="190">
        <v>1</v>
      </c>
      <c r="S23" s="190">
        <v>1</v>
      </c>
      <c r="T23" s="190">
        <v>1</v>
      </c>
      <c r="U23" s="190" t="s">
        <v>73</v>
      </c>
      <c r="V23" s="191">
        <f t="shared" si="13"/>
        <v>0.01</v>
      </c>
      <c r="W23" s="192">
        <f t="shared" si="11"/>
        <v>1515</v>
      </c>
      <c r="X23" s="192" t="s">
        <v>188</v>
      </c>
      <c r="Y23" s="192" t="s">
        <v>189</v>
      </c>
      <c r="Z23" s="192"/>
      <c r="AA23" s="193">
        <v>0.7</v>
      </c>
      <c r="AB23" s="189"/>
      <c r="AC23" s="189">
        <v>74</v>
      </c>
      <c r="AD23" s="189"/>
      <c r="AE23" s="189" t="s">
        <v>200</v>
      </c>
      <c r="AF23" s="189" t="s">
        <v>201</v>
      </c>
      <c r="AG23" s="189" t="s">
        <v>202</v>
      </c>
      <c r="AH23" s="189">
        <f t="shared" si="14"/>
        <v>1.4</v>
      </c>
      <c r="AI23" s="194">
        <f t="shared" si="15"/>
        <v>-75.75</v>
      </c>
      <c r="AJ23" s="194">
        <f t="shared" si="12"/>
        <v>-75.75</v>
      </c>
      <c r="AK23" s="189" t="s">
        <v>203</v>
      </c>
      <c r="AL23" s="189"/>
      <c r="AM23" s="189" t="s">
        <v>204</v>
      </c>
      <c r="AN23" s="189" t="s">
        <v>92</v>
      </c>
      <c r="AO23" s="189" t="s">
        <v>205</v>
      </c>
      <c r="AP23" s="196">
        <v>0.74</v>
      </c>
      <c r="AQ23" s="196">
        <f t="shared" si="16"/>
        <v>-4.0000000000000036E-2</v>
      </c>
      <c r="AR23" s="194">
        <f>AS23*R23</f>
        <v>-60.600000000000051</v>
      </c>
      <c r="AS23" s="197">
        <f t="shared" si="17"/>
        <v>-60.600000000000051</v>
      </c>
      <c r="AT23" s="198" t="s">
        <v>206</v>
      </c>
      <c r="AU23" s="189" t="s">
        <v>207</v>
      </c>
      <c r="AV23" s="189" t="s">
        <v>208</v>
      </c>
      <c r="AW23" s="189" t="s">
        <v>209</v>
      </c>
      <c r="AX23" s="361" t="s">
        <v>210</v>
      </c>
      <c r="AY23" s="361" t="s">
        <v>211</v>
      </c>
      <c r="AZ23" s="361" t="s">
        <v>212</v>
      </c>
      <c r="BA23" s="361" t="s">
        <v>213</v>
      </c>
      <c r="BB23" s="361"/>
      <c r="BC23" s="373" t="s">
        <v>199</v>
      </c>
    </row>
    <row r="24" spans="1:55" ht="18" customHeight="1">
      <c r="A24" s="185" t="s">
        <v>67</v>
      </c>
      <c r="B24" s="184">
        <v>44854</v>
      </c>
      <c r="C24" s="185" t="s">
        <v>186</v>
      </c>
      <c r="D24" s="185" t="s">
        <v>69</v>
      </c>
      <c r="E24" s="186"/>
      <c r="F24" s="187"/>
      <c r="G24" s="188" t="s">
        <v>187</v>
      </c>
      <c r="H24" s="189"/>
      <c r="I24" s="189"/>
      <c r="J24" s="189"/>
      <c r="K24" s="190"/>
      <c r="L24" s="189">
        <v>1</v>
      </c>
      <c r="M24" s="189">
        <v>1</v>
      </c>
      <c r="N24" s="189"/>
      <c r="O24" s="190" t="s">
        <v>71</v>
      </c>
      <c r="P24" s="190" t="s">
        <v>72</v>
      </c>
      <c r="Q24" s="190" t="s">
        <v>73</v>
      </c>
      <c r="R24" s="190">
        <v>1</v>
      </c>
      <c r="S24" s="190">
        <v>1</v>
      </c>
      <c r="T24" s="190">
        <v>1</v>
      </c>
      <c r="U24" s="190" t="s">
        <v>73</v>
      </c>
      <c r="V24" s="191">
        <f t="shared" si="13"/>
        <v>0.01</v>
      </c>
      <c r="W24" s="192">
        <f t="shared" si="11"/>
        <v>1515</v>
      </c>
      <c r="X24" s="192" t="s">
        <v>188</v>
      </c>
      <c r="Y24" s="192" t="s">
        <v>189</v>
      </c>
      <c r="Z24" s="192"/>
      <c r="AA24" s="193">
        <v>0.69</v>
      </c>
      <c r="AB24" s="189"/>
      <c r="AC24" s="189">
        <v>73</v>
      </c>
      <c r="AD24" s="189"/>
      <c r="AE24" s="189">
        <v>67</v>
      </c>
      <c r="AF24" s="189" t="s">
        <v>214</v>
      </c>
      <c r="AG24" s="189" t="s">
        <v>202</v>
      </c>
      <c r="AH24" s="189">
        <f t="shared" si="14"/>
        <v>1.4</v>
      </c>
      <c r="AI24" s="194">
        <f t="shared" ref="AI24:AI25" si="18">-0.04*W24</f>
        <v>-60.6</v>
      </c>
      <c r="AJ24" s="194">
        <f t="shared" si="12"/>
        <v>-60.6</v>
      </c>
      <c r="AK24" s="189" t="s">
        <v>203</v>
      </c>
      <c r="AL24" s="189"/>
      <c r="AM24" s="189" t="s">
        <v>215</v>
      </c>
      <c r="AN24" s="189" t="s">
        <v>82</v>
      </c>
      <c r="AO24" s="189" t="s">
        <v>216</v>
      </c>
      <c r="AP24" s="196">
        <v>0.71</v>
      </c>
      <c r="AQ24" s="196">
        <f t="shared" si="16"/>
        <v>-2.0000000000000018E-2</v>
      </c>
      <c r="AR24" s="194">
        <f>AS24*R24</f>
        <v>-30.300000000000026</v>
      </c>
      <c r="AS24" s="197">
        <f t="shared" si="17"/>
        <v>-30.300000000000026</v>
      </c>
      <c r="AT24" s="198" t="s">
        <v>206</v>
      </c>
      <c r="AU24" s="189" t="s">
        <v>217</v>
      </c>
      <c r="AV24" s="189" t="s">
        <v>218</v>
      </c>
      <c r="AW24" s="189" t="s">
        <v>219</v>
      </c>
      <c r="AX24" s="363" t="s">
        <v>220</v>
      </c>
      <c r="AY24" s="369" t="s">
        <v>221</v>
      </c>
      <c r="AZ24" s="371" t="s">
        <v>222</v>
      </c>
      <c r="BA24" s="369" t="s">
        <v>223</v>
      </c>
      <c r="BB24" s="361" t="s">
        <v>224</v>
      </c>
      <c r="BC24" s="373" t="s">
        <v>225</v>
      </c>
    </row>
    <row r="25" spans="1:55" ht="18" customHeight="1">
      <c r="A25" s="185" t="s">
        <v>67</v>
      </c>
      <c r="B25" s="184"/>
      <c r="C25" s="185"/>
      <c r="D25" s="185"/>
      <c r="E25" s="186"/>
      <c r="F25" s="187"/>
      <c r="G25" s="188"/>
      <c r="H25" s="189"/>
      <c r="I25" s="189"/>
      <c r="J25" s="189"/>
      <c r="K25" s="190"/>
      <c r="L25" s="189"/>
      <c r="M25" s="189"/>
      <c r="N25" s="189"/>
      <c r="O25" s="190"/>
      <c r="P25" s="190"/>
      <c r="Q25" s="190"/>
      <c r="R25" s="190"/>
      <c r="S25" s="190"/>
      <c r="T25" s="190"/>
      <c r="U25" s="190"/>
      <c r="V25" s="191"/>
      <c r="W25" s="191">
        <f t="shared" si="11"/>
        <v>0</v>
      </c>
      <c r="X25" s="192"/>
      <c r="Y25" s="192"/>
      <c r="Z25" s="192"/>
      <c r="AA25" s="193"/>
      <c r="AB25" s="189"/>
      <c r="AC25" s="189"/>
      <c r="AD25" s="189"/>
      <c r="AE25" s="189"/>
      <c r="AF25" s="189"/>
      <c r="AG25" s="189"/>
      <c r="AH25" s="189"/>
      <c r="AI25" s="194">
        <f t="shared" si="18"/>
        <v>0</v>
      </c>
      <c r="AJ25" s="194">
        <f t="shared" si="12"/>
        <v>0</v>
      </c>
      <c r="AK25" s="189"/>
      <c r="AL25" s="189"/>
      <c r="AM25" s="189"/>
      <c r="AN25" s="189"/>
      <c r="AO25" s="189"/>
      <c r="AP25" s="196"/>
      <c r="AQ25" s="189">
        <f t="shared" si="16"/>
        <v>0</v>
      </c>
      <c r="AR25" s="194"/>
      <c r="AS25" s="197">
        <f t="shared" si="17"/>
        <v>0</v>
      </c>
      <c r="AT25" s="198"/>
      <c r="AU25" s="189" t="s">
        <v>226</v>
      </c>
      <c r="AV25" s="189" t="s">
        <v>227</v>
      </c>
      <c r="AW25" s="192" t="s">
        <v>228</v>
      </c>
      <c r="AX25" s="361"/>
      <c r="AY25" s="361"/>
      <c r="AZ25" s="361"/>
      <c r="BA25" s="361"/>
      <c r="BB25" s="361"/>
      <c r="BC25" s="373"/>
    </row>
    <row r="26" spans="1:55" ht="18" customHeight="1">
      <c r="A26" s="185" t="s">
        <v>67</v>
      </c>
      <c r="B26" s="184">
        <v>44855</v>
      </c>
      <c r="C26" s="185" t="s">
        <v>229</v>
      </c>
      <c r="D26" s="185" t="s">
        <v>88</v>
      </c>
      <c r="E26" s="186" t="s">
        <v>230</v>
      </c>
      <c r="F26" s="187" t="s">
        <v>231</v>
      </c>
      <c r="G26" s="188" t="s">
        <v>232</v>
      </c>
      <c r="H26" s="189"/>
      <c r="I26" s="189"/>
      <c r="J26" s="189"/>
      <c r="K26" s="190"/>
      <c r="L26" s="189">
        <v>1</v>
      </c>
      <c r="M26" s="189">
        <v>1</v>
      </c>
      <c r="N26" s="189"/>
      <c r="O26" s="190" t="s">
        <v>71</v>
      </c>
      <c r="P26" s="190" t="s">
        <v>72</v>
      </c>
      <c r="Q26" s="190" t="s">
        <v>233</v>
      </c>
      <c r="R26" s="190">
        <v>2</v>
      </c>
      <c r="S26" s="190">
        <v>2</v>
      </c>
      <c r="T26" s="190">
        <v>2</v>
      </c>
      <c r="U26" s="190" t="s">
        <v>73</v>
      </c>
      <c r="V26" s="191">
        <f t="shared" ref="V26:V51" si="19">IF(ISBLANK(O26),,(IF(O26=UPPER("IB"),0.005,0.01)))</f>
        <v>0.01</v>
      </c>
      <c r="W26" s="191">
        <f t="shared" ref="W26:W30" si="20">IF(ISBLANK(O26),,IF(O26=UPPER("IB"),8.63*200,15.2*100))</f>
        <v>1520</v>
      </c>
      <c r="X26" s="192" t="s">
        <v>234</v>
      </c>
      <c r="Y26" s="192"/>
      <c r="Z26" s="192" t="s">
        <v>235</v>
      </c>
      <c r="AA26" s="193">
        <v>0.28000000000000003</v>
      </c>
      <c r="AB26" s="189"/>
      <c r="AC26" s="189">
        <v>0.31</v>
      </c>
      <c r="AD26" s="189"/>
      <c r="AE26" s="189" t="s">
        <v>236</v>
      </c>
      <c r="AF26" s="189" t="s">
        <v>237</v>
      </c>
      <c r="AG26" s="189"/>
      <c r="AH26" s="189"/>
      <c r="AI26" s="194">
        <f>-0.03*W26</f>
        <v>-45.6</v>
      </c>
      <c r="AJ26" s="194">
        <f t="shared" si="12"/>
        <v>-91.2</v>
      </c>
      <c r="AK26" s="189" t="s">
        <v>238</v>
      </c>
      <c r="AL26" s="189" t="s">
        <v>239</v>
      </c>
      <c r="AM26" s="189" t="s">
        <v>240</v>
      </c>
      <c r="AN26" s="189" t="s">
        <v>92</v>
      </c>
      <c r="AO26" s="189" t="s">
        <v>241</v>
      </c>
      <c r="AP26" s="196">
        <v>0.26500000000000001</v>
      </c>
      <c r="AQ26" s="196">
        <f t="shared" si="16"/>
        <v>1.5000000000000013E-2</v>
      </c>
      <c r="AR26" s="194">
        <f t="shared" ref="AR26:AR32" si="21">AS26*R26</f>
        <v>45.600000000000037</v>
      </c>
      <c r="AS26" s="197">
        <f t="shared" si="17"/>
        <v>22.800000000000018</v>
      </c>
      <c r="AT26" s="198" t="s">
        <v>72</v>
      </c>
      <c r="AU26" s="189" t="s">
        <v>242</v>
      </c>
      <c r="AV26" s="189" t="s">
        <v>243</v>
      </c>
      <c r="AW26" s="189" t="s">
        <v>244</v>
      </c>
      <c r="AX26" s="361" t="s">
        <v>245</v>
      </c>
      <c r="AY26" s="361" t="s">
        <v>246</v>
      </c>
      <c r="AZ26" s="361"/>
      <c r="BA26" s="361"/>
      <c r="BB26" s="361"/>
      <c r="BC26" s="373"/>
    </row>
    <row r="27" spans="1:55" ht="18" customHeight="1">
      <c r="A27" s="185" t="s">
        <v>67</v>
      </c>
      <c r="B27" s="184">
        <v>44858</v>
      </c>
      <c r="C27" s="185" t="s">
        <v>247</v>
      </c>
      <c r="D27" s="185" t="s">
        <v>109</v>
      </c>
      <c r="E27" s="186"/>
      <c r="F27" s="187"/>
      <c r="G27" s="188" t="s">
        <v>248</v>
      </c>
      <c r="H27" s="189"/>
      <c r="I27" s="189"/>
      <c r="J27" s="189"/>
      <c r="K27" s="190"/>
      <c r="L27" s="189">
        <v>1</v>
      </c>
      <c r="M27" s="189"/>
      <c r="N27" s="189"/>
      <c r="O27" s="190" t="s">
        <v>71</v>
      </c>
      <c r="P27" s="190" t="s">
        <v>114</v>
      </c>
      <c r="Q27" s="190" t="s">
        <v>73</v>
      </c>
      <c r="R27" s="190">
        <v>1</v>
      </c>
      <c r="S27" s="190">
        <v>1</v>
      </c>
      <c r="T27" s="190">
        <v>1</v>
      </c>
      <c r="U27" s="190" t="s">
        <v>21</v>
      </c>
      <c r="V27" s="191">
        <f t="shared" si="19"/>
        <v>0.01</v>
      </c>
      <c r="W27" s="191">
        <f t="shared" si="20"/>
        <v>1520</v>
      </c>
      <c r="X27" s="192" t="s">
        <v>115</v>
      </c>
      <c r="Y27" s="192"/>
      <c r="Z27" s="192" t="s">
        <v>75</v>
      </c>
      <c r="AA27" s="193">
        <v>-7.0000000000000007E-2</v>
      </c>
      <c r="AB27" s="189"/>
      <c r="AC27" s="189"/>
      <c r="AD27" s="189"/>
      <c r="AE27" s="189"/>
      <c r="AF27" s="189"/>
      <c r="AG27" s="189"/>
      <c r="AH27" s="189"/>
      <c r="AI27" s="194"/>
      <c r="AJ27" s="190"/>
      <c r="AK27" s="189"/>
      <c r="AL27" s="189"/>
      <c r="AM27" s="189"/>
      <c r="AN27" s="189" t="s">
        <v>92</v>
      </c>
      <c r="AO27" s="189" t="s">
        <v>249</v>
      </c>
      <c r="AP27" s="196">
        <v>-7.0000000000000007E-2</v>
      </c>
      <c r="AQ27" s="196">
        <f t="shared" si="16"/>
        <v>0</v>
      </c>
      <c r="AR27" s="194">
        <f t="shared" si="21"/>
        <v>0</v>
      </c>
      <c r="AS27" s="197">
        <f t="shared" si="17"/>
        <v>0</v>
      </c>
      <c r="AT27" s="198" t="s">
        <v>92</v>
      </c>
      <c r="AU27" s="189" t="s">
        <v>250</v>
      </c>
      <c r="AV27" s="189" t="s">
        <v>251</v>
      </c>
      <c r="AW27" s="189" t="s">
        <v>252</v>
      </c>
      <c r="AX27" s="361"/>
      <c r="AY27" s="361"/>
      <c r="AZ27" s="361"/>
      <c r="BA27" s="361"/>
      <c r="BB27" s="361"/>
      <c r="BC27" s="373"/>
    </row>
    <row r="28" spans="1:55" ht="18" customHeight="1">
      <c r="A28" s="185" t="s">
        <v>67</v>
      </c>
      <c r="B28" s="184">
        <v>44858</v>
      </c>
      <c r="C28" s="185" t="s">
        <v>253</v>
      </c>
      <c r="D28" s="185" t="s">
        <v>109</v>
      </c>
      <c r="E28" s="186"/>
      <c r="F28" s="187"/>
      <c r="G28" s="188" t="s">
        <v>248</v>
      </c>
      <c r="H28" s="189"/>
      <c r="I28" s="189"/>
      <c r="J28" s="189"/>
      <c r="K28" s="190"/>
      <c r="L28" s="189">
        <v>1</v>
      </c>
      <c r="M28" s="189"/>
      <c r="N28" s="189"/>
      <c r="O28" s="190" t="s">
        <v>71</v>
      </c>
      <c r="P28" s="190" t="s">
        <v>114</v>
      </c>
      <c r="Q28" s="190" t="s">
        <v>73</v>
      </c>
      <c r="R28" s="190">
        <v>1</v>
      </c>
      <c r="S28" s="190">
        <v>1</v>
      </c>
      <c r="T28" s="190">
        <v>1</v>
      </c>
      <c r="U28" s="190" t="s">
        <v>21</v>
      </c>
      <c r="V28" s="191">
        <f t="shared" si="19"/>
        <v>0.01</v>
      </c>
      <c r="W28" s="191">
        <f t="shared" si="20"/>
        <v>1520</v>
      </c>
      <c r="X28" s="192" t="s">
        <v>115</v>
      </c>
      <c r="Y28" s="192"/>
      <c r="Z28" s="192" t="s">
        <v>75</v>
      </c>
      <c r="AA28" s="193">
        <v>-7.0000000000000007E-2</v>
      </c>
      <c r="AB28" s="189"/>
      <c r="AC28" s="189"/>
      <c r="AD28" s="189"/>
      <c r="AE28" s="189"/>
      <c r="AF28" s="189"/>
      <c r="AG28" s="189"/>
      <c r="AH28" s="189"/>
      <c r="AI28" s="194"/>
      <c r="AJ28" s="190"/>
      <c r="AK28" s="189"/>
      <c r="AL28" s="189"/>
      <c r="AM28" s="189"/>
      <c r="AN28" s="189" t="s">
        <v>92</v>
      </c>
      <c r="AO28" s="189" t="s">
        <v>254</v>
      </c>
      <c r="AP28" s="196">
        <v>-7.0000000000000007E-2</v>
      </c>
      <c r="AQ28" s="196">
        <f t="shared" si="16"/>
        <v>0</v>
      </c>
      <c r="AR28" s="194">
        <f t="shared" si="21"/>
        <v>0</v>
      </c>
      <c r="AS28" s="197">
        <f t="shared" si="17"/>
        <v>0</v>
      </c>
      <c r="AT28" s="198" t="s">
        <v>92</v>
      </c>
      <c r="AU28" s="189" t="s">
        <v>250</v>
      </c>
      <c r="AV28" s="189" t="s">
        <v>255</v>
      </c>
      <c r="AW28" s="189" t="s">
        <v>252</v>
      </c>
      <c r="AX28" s="361"/>
      <c r="AY28" s="361"/>
      <c r="AZ28" s="361"/>
      <c r="BA28" s="361"/>
      <c r="BB28" s="361"/>
      <c r="BC28" s="373"/>
    </row>
    <row r="29" spans="1:55" ht="18" customHeight="1">
      <c r="A29" s="185" t="s">
        <v>67</v>
      </c>
      <c r="B29" s="184">
        <v>44858</v>
      </c>
      <c r="C29" s="185" t="s">
        <v>256</v>
      </c>
      <c r="D29" s="185" t="s">
        <v>109</v>
      </c>
      <c r="E29" s="186"/>
      <c r="F29" s="187"/>
      <c r="G29" s="188" t="s">
        <v>257</v>
      </c>
      <c r="H29" s="189"/>
      <c r="I29" s="189"/>
      <c r="J29" s="189"/>
      <c r="K29" s="190"/>
      <c r="L29" s="189">
        <v>1</v>
      </c>
      <c r="M29" s="189"/>
      <c r="N29" s="189"/>
      <c r="O29" s="190" t="s">
        <v>71</v>
      </c>
      <c r="P29" s="190" t="s">
        <v>114</v>
      </c>
      <c r="Q29" s="190" t="s">
        <v>73</v>
      </c>
      <c r="R29" s="190">
        <v>1</v>
      </c>
      <c r="S29" s="190">
        <v>1</v>
      </c>
      <c r="T29" s="190">
        <v>1</v>
      </c>
      <c r="U29" s="190" t="s">
        <v>21</v>
      </c>
      <c r="V29" s="191">
        <f t="shared" si="19"/>
        <v>0.01</v>
      </c>
      <c r="W29" s="191">
        <f t="shared" si="20"/>
        <v>1520</v>
      </c>
      <c r="X29" s="192" t="s">
        <v>258</v>
      </c>
      <c r="Y29" s="192"/>
      <c r="Z29" s="192" t="s">
        <v>75</v>
      </c>
      <c r="AA29" s="193">
        <v>-7.0000000000000007E-2</v>
      </c>
      <c r="AB29" s="189"/>
      <c r="AC29" s="189">
        <v>-0.1</v>
      </c>
      <c r="AD29" s="189"/>
      <c r="AE29" s="189">
        <v>-0.06</v>
      </c>
      <c r="AF29" s="189"/>
      <c r="AG29" s="189"/>
      <c r="AH29" s="189"/>
      <c r="AI29" s="194">
        <f t="shared" ref="AI29:AI35" si="22">-0.03*W29</f>
        <v>-45.6</v>
      </c>
      <c r="AJ29" s="194">
        <f t="shared" ref="AJ29:AJ35" si="23">AI29*R29</f>
        <v>-45.6</v>
      </c>
      <c r="AK29" s="189" t="s">
        <v>149</v>
      </c>
      <c r="AL29" s="189"/>
      <c r="AM29" s="189" t="s">
        <v>215</v>
      </c>
      <c r="AN29" s="189" t="s">
        <v>82</v>
      </c>
      <c r="AO29" s="189" t="s">
        <v>259</v>
      </c>
      <c r="AP29" s="196">
        <v>-0.06</v>
      </c>
      <c r="AQ29" s="196">
        <f t="shared" si="16"/>
        <v>1.0000000000000009E-2</v>
      </c>
      <c r="AR29" s="194">
        <f t="shared" si="21"/>
        <v>15.200000000000014</v>
      </c>
      <c r="AS29" s="197">
        <f t="shared" si="17"/>
        <v>15.200000000000014</v>
      </c>
      <c r="AT29" s="198" t="s">
        <v>72</v>
      </c>
      <c r="AU29" s="189" t="s">
        <v>250</v>
      </c>
      <c r="AV29" s="189" t="s">
        <v>260</v>
      </c>
      <c r="AW29" s="189"/>
      <c r="AX29" s="361"/>
      <c r="AY29" s="361"/>
      <c r="AZ29" s="361"/>
      <c r="BA29" s="361"/>
      <c r="BB29" s="361"/>
      <c r="BC29" s="373"/>
    </row>
    <row r="30" spans="1:55" ht="18" customHeight="1">
      <c r="A30" s="185" t="s">
        <v>67</v>
      </c>
      <c r="B30" s="184">
        <v>44858</v>
      </c>
      <c r="C30" s="185"/>
      <c r="D30" s="185" t="s">
        <v>261</v>
      </c>
      <c r="E30" s="186"/>
      <c r="F30" s="187"/>
      <c r="G30" s="188" t="s">
        <v>257</v>
      </c>
      <c r="H30" s="189"/>
      <c r="I30" s="189"/>
      <c r="J30" s="189"/>
      <c r="K30" s="190"/>
      <c r="L30" s="189"/>
      <c r="M30" s="189"/>
      <c r="N30" s="189"/>
      <c r="O30" s="190" t="s">
        <v>71</v>
      </c>
      <c r="P30" s="190" t="s">
        <v>114</v>
      </c>
      <c r="Q30" s="190" t="s">
        <v>73</v>
      </c>
      <c r="R30" s="190">
        <v>2</v>
      </c>
      <c r="S30" s="190">
        <v>2</v>
      </c>
      <c r="T30" s="190">
        <v>2</v>
      </c>
      <c r="U30" s="190" t="s">
        <v>21</v>
      </c>
      <c r="V30" s="191">
        <f t="shared" si="19"/>
        <v>0.01</v>
      </c>
      <c r="W30" s="191">
        <f t="shared" si="20"/>
        <v>1520</v>
      </c>
      <c r="X30" s="192" t="s">
        <v>262</v>
      </c>
      <c r="Y30" s="192"/>
      <c r="Z30" s="192" t="s">
        <v>75</v>
      </c>
      <c r="AA30" s="193">
        <v>-7.0000000000000007E-2</v>
      </c>
      <c r="AB30" s="189"/>
      <c r="AC30" s="189"/>
      <c r="AD30" s="189"/>
      <c r="AE30" s="189"/>
      <c r="AF30" s="189"/>
      <c r="AG30" s="189"/>
      <c r="AH30" s="189"/>
      <c r="AI30" s="194">
        <f t="shared" si="22"/>
        <v>-45.6</v>
      </c>
      <c r="AJ30" s="194">
        <f t="shared" si="23"/>
        <v>-91.2</v>
      </c>
      <c r="AK30" s="189"/>
      <c r="AL30" s="189"/>
      <c r="AM30" s="189"/>
      <c r="AN30" s="189"/>
      <c r="AO30" s="189"/>
      <c r="AP30" s="196">
        <v>-7.0000000000000007E-2</v>
      </c>
      <c r="AQ30" s="196">
        <f t="shared" si="16"/>
        <v>0</v>
      </c>
      <c r="AR30" s="194">
        <f t="shared" si="21"/>
        <v>0</v>
      </c>
      <c r="AS30" s="197">
        <f t="shared" si="17"/>
        <v>0</v>
      </c>
      <c r="AT30" s="198" t="s">
        <v>92</v>
      </c>
      <c r="AU30" s="189" t="s">
        <v>263</v>
      </c>
      <c r="AV30" s="189"/>
      <c r="AW30" s="189"/>
      <c r="AX30" s="361"/>
      <c r="AY30" s="361"/>
      <c r="AZ30" s="361"/>
      <c r="BA30" s="361"/>
      <c r="BB30" s="361"/>
      <c r="BC30" s="373"/>
    </row>
    <row r="31" spans="1:55" ht="18" customHeight="1">
      <c r="A31" s="185" t="s">
        <v>67</v>
      </c>
      <c r="B31" s="184">
        <v>44859</v>
      </c>
      <c r="C31" s="185" t="s">
        <v>264</v>
      </c>
      <c r="D31" s="185" t="s">
        <v>123</v>
      </c>
      <c r="E31" s="186"/>
      <c r="F31" s="187"/>
      <c r="G31" s="188" t="s">
        <v>257</v>
      </c>
      <c r="H31" s="189"/>
      <c r="I31" s="189"/>
      <c r="J31" s="189"/>
      <c r="K31" s="190"/>
      <c r="L31" s="189">
        <v>1</v>
      </c>
      <c r="M31" s="189"/>
      <c r="N31" s="189"/>
      <c r="O31" s="190" t="s">
        <v>71</v>
      </c>
      <c r="P31" s="190" t="s">
        <v>114</v>
      </c>
      <c r="Q31" s="190" t="s">
        <v>73</v>
      </c>
      <c r="R31" s="190">
        <v>1</v>
      </c>
      <c r="S31" s="190">
        <v>1</v>
      </c>
      <c r="T31" s="190">
        <v>1</v>
      </c>
      <c r="U31" s="190" t="s">
        <v>21</v>
      </c>
      <c r="V31" s="191">
        <f t="shared" si="19"/>
        <v>0.01</v>
      </c>
      <c r="W31" s="191">
        <f>IF(ISBLANK(O31),,IF(O31=UPPER("IB"),8.63*200,15.3*100))</f>
        <v>1530</v>
      </c>
      <c r="X31" s="192" t="s">
        <v>115</v>
      </c>
      <c r="Y31" s="192"/>
      <c r="Z31" s="192" t="s">
        <v>75</v>
      </c>
      <c r="AA31" s="193">
        <v>-0.08</v>
      </c>
      <c r="AB31" s="189"/>
      <c r="AC31" s="189"/>
      <c r="AD31" s="189"/>
      <c r="AE31" s="189"/>
      <c r="AF31" s="189"/>
      <c r="AG31" s="189" t="s">
        <v>265</v>
      </c>
      <c r="AH31" s="189"/>
      <c r="AI31" s="194">
        <f t="shared" si="22"/>
        <v>-45.9</v>
      </c>
      <c r="AJ31" s="194">
        <f t="shared" si="23"/>
        <v>-45.9</v>
      </c>
      <c r="AK31" s="189"/>
      <c r="AL31" s="189"/>
      <c r="AM31" s="189" t="s">
        <v>266</v>
      </c>
      <c r="AN31" s="189" t="s">
        <v>82</v>
      </c>
      <c r="AO31" s="189" t="s">
        <v>267</v>
      </c>
      <c r="AP31" s="196">
        <v>-7.0000000000000007E-2</v>
      </c>
      <c r="AQ31" s="196">
        <f t="shared" si="16"/>
        <v>9.999999999999995E-3</v>
      </c>
      <c r="AR31" s="194">
        <f t="shared" si="21"/>
        <v>15.299999999999992</v>
      </c>
      <c r="AS31" s="197">
        <f t="shared" si="17"/>
        <v>15.299999999999992</v>
      </c>
      <c r="AT31" s="198" t="s">
        <v>72</v>
      </c>
      <c r="AU31" s="204"/>
      <c r="AV31" s="189"/>
      <c r="AW31" s="189" t="s">
        <v>268</v>
      </c>
      <c r="AX31" s="361"/>
      <c r="AY31" s="361"/>
      <c r="AZ31" s="361"/>
      <c r="BA31" s="361"/>
      <c r="BB31" s="361"/>
      <c r="BC31" s="373"/>
    </row>
    <row r="32" spans="1:55" ht="18" customHeight="1">
      <c r="A32" s="185" t="s">
        <v>67</v>
      </c>
      <c r="B32" s="184">
        <v>44859</v>
      </c>
      <c r="C32" s="185" t="s">
        <v>269</v>
      </c>
      <c r="D32" s="185" t="s">
        <v>123</v>
      </c>
      <c r="E32" s="186"/>
      <c r="F32" s="187"/>
      <c r="G32" s="188" t="s">
        <v>248</v>
      </c>
      <c r="H32" s="189"/>
      <c r="I32" s="189"/>
      <c r="J32" s="189"/>
      <c r="K32" s="190"/>
      <c r="L32" s="189">
        <v>1</v>
      </c>
      <c r="M32" s="189"/>
      <c r="N32" s="189"/>
      <c r="O32" s="190" t="s">
        <v>71</v>
      </c>
      <c r="P32" s="190" t="s">
        <v>114</v>
      </c>
      <c r="Q32" s="190" t="s">
        <v>73</v>
      </c>
      <c r="R32" s="190">
        <v>1</v>
      </c>
      <c r="S32" s="190">
        <v>1</v>
      </c>
      <c r="T32" s="190">
        <v>1</v>
      </c>
      <c r="U32" s="190" t="s">
        <v>21</v>
      </c>
      <c r="V32" s="191">
        <f t="shared" si="19"/>
        <v>0.01</v>
      </c>
      <c r="W32" s="191">
        <f t="shared" ref="W32:W39" si="24">IF(ISBLANK(O32),,IF(O32=UPPER("IB"),8.63*200,15.2*100))</f>
        <v>1520</v>
      </c>
      <c r="X32" s="192" t="s">
        <v>115</v>
      </c>
      <c r="Y32" s="192"/>
      <c r="Z32" s="192" t="s">
        <v>75</v>
      </c>
      <c r="AA32" s="193">
        <v>-0.08</v>
      </c>
      <c r="AB32" s="189"/>
      <c r="AC32" s="189"/>
      <c r="AD32" s="189"/>
      <c r="AE32" s="189"/>
      <c r="AF32" s="189"/>
      <c r="AG32" s="189"/>
      <c r="AH32" s="189"/>
      <c r="AI32" s="194">
        <f t="shared" si="22"/>
        <v>-45.6</v>
      </c>
      <c r="AJ32" s="194">
        <f t="shared" si="23"/>
        <v>-45.6</v>
      </c>
      <c r="AK32" s="189"/>
      <c r="AL32" s="189"/>
      <c r="AM32" s="189" t="s">
        <v>270</v>
      </c>
      <c r="AN32" s="189" t="s">
        <v>82</v>
      </c>
      <c r="AO32" s="189" t="s">
        <v>271</v>
      </c>
      <c r="AP32" s="196">
        <v>-7.0000000000000007E-2</v>
      </c>
      <c r="AQ32" s="196">
        <f t="shared" si="16"/>
        <v>9.999999999999995E-3</v>
      </c>
      <c r="AR32" s="194">
        <f t="shared" si="21"/>
        <v>15.199999999999992</v>
      </c>
      <c r="AS32" s="197">
        <f t="shared" si="17"/>
        <v>15.199999999999992</v>
      </c>
      <c r="AT32" s="198" t="s">
        <v>72</v>
      </c>
      <c r="AU32" s="189" t="s">
        <v>252</v>
      </c>
      <c r="AV32" s="189"/>
      <c r="AW32" s="189"/>
      <c r="AX32" s="361"/>
      <c r="AY32" s="361"/>
      <c r="AZ32" s="361"/>
      <c r="BA32" s="361"/>
      <c r="BB32" s="361"/>
      <c r="BC32" s="373"/>
    </row>
    <row r="33" spans="1:55" ht="18" customHeight="1">
      <c r="A33" s="185" t="s">
        <v>67</v>
      </c>
      <c r="B33" s="184">
        <v>44860</v>
      </c>
      <c r="C33" s="185"/>
      <c r="D33" s="185" t="s">
        <v>128</v>
      </c>
      <c r="E33" s="186" t="s">
        <v>272</v>
      </c>
      <c r="F33" s="187" t="s">
        <v>273</v>
      </c>
      <c r="G33" s="205"/>
      <c r="H33" s="189">
        <v>1</v>
      </c>
      <c r="I33" s="189"/>
      <c r="J33" s="189"/>
      <c r="K33" s="190"/>
      <c r="L33" s="189"/>
      <c r="M33" s="189"/>
      <c r="N33" s="189"/>
      <c r="O33" s="190"/>
      <c r="P33" s="190"/>
      <c r="Q33" s="190"/>
      <c r="R33" s="190"/>
      <c r="S33" s="190"/>
      <c r="T33" s="190"/>
      <c r="U33" s="190"/>
      <c r="V33" s="191">
        <f t="shared" si="19"/>
        <v>0</v>
      </c>
      <c r="W33" s="191">
        <f t="shared" si="24"/>
        <v>0</v>
      </c>
      <c r="X33" s="192"/>
      <c r="Y33" s="192"/>
      <c r="Z33" s="192"/>
      <c r="AA33" s="193"/>
      <c r="AB33" s="189"/>
      <c r="AC33" s="189"/>
      <c r="AD33" s="189"/>
      <c r="AE33" s="189"/>
      <c r="AF33" s="189"/>
      <c r="AG33" s="189"/>
      <c r="AH33" s="189"/>
      <c r="AI33" s="194">
        <f t="shared" si="22"/>
        <v>0</v>
      </c>
      <c r="AJ33" s="194">
        <f t="shared" si="23"/>
        <v>0</v>
      </c>
      <c r="AK33" s="189"/>
      <c r="AL33" s="189"/>
      <c r="AM33" s="189"/>
      <c r="AN33" s="189"/>
      <c r="AO33" s="189"/>
      <c r="AP33" s="196"/>
      <c r="AQ33" s="189"/>
      <c r="AR33" s="194"/>
      <c r="AS33" s="197"/>
      <c r="AT33" s="198"/>
      <c r="AU33" s="189" t="s">
        <v>274</v>
      </c>
      <c r="AV33" s="189" t="s">
        <v>275</v>
      </c>
      <c r="AW33" s="192" t="s">
        <v>276</v>
      </c>
      <c r="AX33" s="362" t="s">
        <v>277</v>
      </c>
      <c r="AY33" s="361" t="s">
        <v>278</v>
      </c>
      <c r="AZ33" s="361"/>
      <c r="BA33" s="361" t="s">
        <v>279</v>
      </c>
      <c r="BB33" s="361"/>
      <c r="BC33" s="373"/>
    </row>
    <row r="34" spans="1:55" ht="18" customHeight="1">
      <c r="A34" s="185" t="s">
        <v>67</v>
      </c>
      <c r="B34" s="184"/>
      <c r="C34" s="185"/>
      <c r="D34" s="185"/>
      <c r="E34" s="186" t="s">
        <v>280</v>
      </c>
      <c r="F34" s="187"/>
      <c r="G34" s="188"/>
      <c r="H34" s="189">
        <v>1</v>
      </c>
      <c r="I34" s="189"/>
      <c r="J34" s="189"/>
      <c r="K34" s="190"/>
      <c r="L34" s="189"/>
      <c r="M34" s="189"/>
      <c r="N34" s="189"/>
      <c r="O34" s="190"/>
      <c r="P34" s="190"/>
      <c r="Q34" s="190"/>
      <c r="R34" s="190"/>
      <c r="S34" s="190"/>
      <c r="T34" s="190"/>
      <c r="U34" s="190"/>
      <c r="V34" s="191">
        <f t="shared" si="19"/>
        <v>0</v>
      </c>
      <c r="W34" s="191">
        <f t="shared" si="24"/>
        <v>0</v>
      </c>
      <c r="X34" s="192"/>
      <c r="Y34" s="192"/>
      <c r="Z34" s="192"/>
      <c r="AA34" s="193"/>
      <c r="AB34" s="189"/>
      <c r="AC34" s="189"/>
      <c r="AD34" s="189"/>
      <c r="AE34" s="189"/>
      <c r="AF34" s="189"/>
      <c r="AG34" s="189"/>
      <c r="AH34" s="189"/>
      <c r="AI34" s="194">
        <f t="shared" si="22"/>
        <v>0</v>
      </c>
      <c r="AJ34" s="194">
        <f t="shared" si="23"/>
        <v>0</v>
      </c>
      <c r="AK34" s="189"/>
      <c r="AL34" s="189"/>
      <c r="AM34" s="189"/>
      <c r="AN34" s="189"/>
      <c r="AO34" s="189"/>
      <c r="AP34" s="196"/>
      <c r="AQ34" s="189"/>
      <c r="AR34" s="194"/>
      <c r="AS34" s="197"/>
      <c r="AT34" s="198"/>
      <c r="AU34" s="189"/>
      <c r="AV34" s="189"/>
      <c r="AW34" s="189"/>
      <c r="AX34" s="361" t="s">
        <v>281</v>
      </c>
      <c r="AY34" s="361" t="s">
        <v>282</v>
      </c>
      <c r="AZ34" s="361"/>
      <c r="BA34" s="361"/>
      <c r="BB34" s="361"/>
      <c r="BC34" s="373"/>
    </row>
    <row r="35" spans="1:55" ht="18" customHeight="1">
      <c r="A35" s="185" t="s">
        <v>67</v>
      </c>
      <c r="B35" s="184">
        <v>44860</v>
      </c>
      <c r="C35" s="185"/>
      <c r="D35" s="185" t="s">
        <v>128</v>
      </c>
      <c r="E35" s="186"/>
      <c r="F35" s="187"/>
      <c r="G35" s="188" t="s">
        <v>232</v>
      </c>
      <c r="H35" s="189"/>
      <c r="I35" s="189"/>
      <c r="J35" s="189"/>
      <c r="K35" s="190"/>
      <c r="L35" s="189"/>
      <c r="M35" s="189"/>
      <c r="N35" s="189"/>
      <c r="O35" s="190" t="s">
        <v>71</v>
      </c>
      <c r="P35" s="190" t="s">
        <v>72</v>
      </c>
      <c r="Q35" s="190" t="s">
        <v>233</v>
      </c>
      <c r="R35" s="190"/>
      <c r="S35" s="190"/>
      <c r="T35" s="190"/>
      <c r="U35" s="190" t="s">
        <v>21</v>
      </c>
      <c r="V35" s="191">
        <f t="shared" si="19"/>
        <v>0.01</v>
      </c>
      <c r="W35" s="191">
        <f t="shared" si="24"/>
        <v>1520</v>
      </c>
      <c r="X35" s="192"/>
      <c r="Y35" s="192"/>
      <c r="Z35" s="192"/>
      <c r="AA35" s="193">
        <v>0.25</v>
      </c>
      <c r="AB35" s="189"/>
      <c r="AC35" s="189"/>
      <c r="AD35" s="189"/>
      <c r="AE35" s="189"/>
      <c r="AF35" s="189"/>
      <c r="AG35" s="189"/>
      <c r="AH35" s="189"/>
      <c r="AI35" s="194">
        <f t="shared" si="22"/>
        <v>-45.6</v>
      </c>
      <c r="AJ35" s="194">
        <f t="shared" si="23"/>
        <v>0</v>
      </c>
      <c r="AK35" s="189"/>
      <c r="AL35" s="189"/>
      <c r="AM35" s="189"/>
      <c r="AN35" s="189" t="s">
        <v>82</v>
      </c>
      <c r="AO35" s="189"/>
      <c r="AP35" s="196">
        <v>0.25</v>
      </c>
      <c r="AQ35" s="196">
        <f t="shared" ref="AQ35:AQ51" si="25">IF(ISBLANK(AP35),,IF(U35="S",AA35-AP35,AP35-AA35))</f>
        <v>0</v>
      </c>
      <c r="AR35" s="194">
        <f>AS35*R35</f>
        <v>0</v>
      </c>
      <c r="AS35" s="197">
        <f t="shared" ref="AS35:AS51" si="26">IF(ISBLANK(AP35),,(AQ35*W35))</f>
        <v>0</v>
      </c>
      <c r="AT35" s="198" t="s">
        <v>92</v>
      </c>
      <c r="AU35" s="189" t="s">
        <v>283</v>
      </c>
      <c r="AV35" s="189"/>
      <c r="AW35" s="189"/>
      <c r="AX35" s="361"/>
      <c r="AY35" s="361"/>
      <c r="AZ35" s="361"/>
      <c r="BA35" s="361"/>
      <c r="BB35" s="361"/>
      <c r="BC35" s="373"/>
    </row>
    <row r="36" spans="1:55" ht="18" customHeight="1">
      <c r="A36" s="185" t="s">
        <v>67</v>
      </c>
      <c r="B36" s="184">
        <v>44861</v>
      </c>
      <c r="C36" s="185" t="s">
        <v>284</v>
      </c>
      <c r="D36" s="185" t="s">
        <v>69</v>
      </c>
      <c r="E36" s="186" t="s">
        <v>285</v>
      </c>
      <c r="F36" s="187" t="s">
        <v>286</v>
      </c>
      <c r="G36" s="188"/>
      <c r="H36" s="189"/>
      <c r="I36" s="189"/>
      <c r="J36" s="189"/>
      <c r="K36" s="190"/>
      <c r="L36" s="189"/>
      <c r="M36" s="189"/>
      <c r="N36" s="189"/>
      <c r="O36" s="190"/>
      <c r="P36" s="190"/>
      <c r="Q36" s="190"/>
      <c r="R36" s="190"/>
      <c r="S36" s="190"/>
      <c r="T36" s="190"/>
      <c r="U36" s="190"/>
      <c r="V36" s="191">
        <f t="shared" si="19"/>
        <v>0</v>
      </c>
      <c r="W36" s="191">
        <f t="shared" si="24"/>
        <v>0</v>
      </c>
      <c r="X36" s="192"/>
      <c r="Y36" s="192"/>
      <c r="Z36" s="192"/>
      <c r="AA36" s="193"/>
      <c r="AB36" s="189"/>
      <c r="AC36" s="189"/>
      <c r="AD36" s="189"/>
      <c r="AE36" s="189"/>
      <c r="AF36" s="189"/>
      <c r="AG36" s="189"/>
      <c r="AH36" s="189"/>
      <c r="AI36" s="194"/>
      <c r="AJ36" s="190"/>
      <c r="AK36" s="189"/>
      <c r="AL36" s="189"/>
      <c r="AM36" s="189"/>
      <c r="AN36" s="189"/>
      <c r="AO36" s="189"/>
      <c r="AP36" s="196"/>
      <c r="AQ36" s="189">
        <f t="shared" si="25"/>
        <v>0</v>
      </c>
      <c r="AR36" s="194"/>
      <c r="AS36" s="197">
        <f t="shared" si="26"/>
        <v>0</v>
      </c>
      <c r="AT36" s="198"/>
      <c r="AU36" s="189"/>
      <c r="AV36" s="189"/>
      <c r="AW36" s="189"/>
      <c r="AX36" s="362" t="s">
        <v>287</v>
      </c>
      <c r="AY36" s="361"/>
      <c r="AZ36" s="361"/>
      <c r="BA36" s="361"/>
      <c r="BB36" s="361"/>
      <c r="BC36" s="373"/>
    </row>
    <row r="37" spans="1:55" ht="18" customHeight="1">
      <c r="A37" s="185" t="s">
        <v>67</v>
      </c>
      <c r="B37" s="184">
        <v>44861</v>
      </c>
      <c r="C37" s="185" t="s">
        <v>288</v>
      </c>
      <c r="D37" s="185" t="s">
        <v>69</v>
      </c>
      <c r="E37" s="186" t="s">
        <v>289</v>
      </c>
      <c r="F37" s="187"/>
      <c r="G37" s="188"/>
      <c r="H37" s="189"/>
      <c r="I37" s="189">
        <v>1</v>
      </c>
      <c r="J37" s="189"/>
      <c r="K37" s="190"/>
      <c r="L37" s="189"/>
      <c r="M37" s="189"/>
      <c r="N37" s="189"/>
      <c r="O37" s="190"/>
      <c r="P37" s="190"/>
      <c r="Q37" s="190"/>
      <c r="R37" s="190"/>
      <c r="S37" s="190"/>
      <c r="T37" s="190"/>
      <c r="U37" s="190"/>
      <c r="V37" s="191">
        <f t="shared" si="19"/>
        <v>0</v>
      </c>
      <c r="W37" s="191">
        <f t="shared" si="24"/>
        <v>0</v>
      </c>
      <c r="X37" s="192"/>
      <c r="Y37" s="192"/>
      <c r="Z37" s="192"/>
      <c r="AA37" s="193"/>
      <c r="AB37" s="189"/>
      <c r="AC37" s="189"/>
      <c r="AD37" s="189"/>
      <c r="AE37" s="189"/>
      <c r="AF37" s="189"/>
      <c r="AG37" s="189"/>
      <c r="AH37" s="189"/>
      <c r="AI37" s="194"/>
      <c r="AJ37" s="190"/>
      <c r="AK37" s="189"/>
      <c r="AL37" s="189"/>
      <c r="AM37" s="189"/>
      <c r="AN37" s="189"/>
      <c r="AO37" s="189"/>
      <c r="AP37" s="196"/>
      <c r="AQ37" s="189">
        <f t="shared" si="25"/>
        <v>0</v>
      </c>
      <c r="AR37" s="194"/>
      <c r="AS37" s="197">
        <f t="shared" si="26"/>
        <v>0</v>
      </c>
      <c r="AT37" s="198"/>
      <c r="AU37" s="189"/>
      <c r="AV37" s="189"/>
      <c r="AW37" s="189"/>
      <c r="AX37" s="361"/>
      <c r="AY37" s="361"/>
      <c r="AZ37" s="361"/>
      <c r="BA37" s="361"/>
      <c r="BB37" s="361"/>
      <c r="BC37" s="373"/>
    </row>
    <row r="38" spans="1:55" ht="18" customHeight="1">
      <c r="A38" s="185" t="s">
        <v>67</v>
      </c>
      <c r="B38" s="184">
        <v>44861</v>
      </c>
      <c r="C38" s="201">
        <v>0.75</v>
      </c>
      <c r="D38" s="185" t="s">
        <v>69</v>
      </c>
      <c r="E38" s="186" t="s">
        <v>290</v>
      </c>
      <c r="F38" s="187" t="s">
        <v>291</v>
      </c>
      <c r="G38" s="188"/>
      <c r="H38" s="189">
        <v>1</v>
      </c>
      <c r="I38" s="189"/>
      <c r="J38" s="189"/>
      <c r="K38" s="190" t="s">
        <v>92</v>
      </c>
      <c r="L38" s="189"/>
      <c r="M38" s="189"/>
      <c r="N38" s="189"/>
      <c r="O38" s="190"/>
      <c r="P38" s="190"/>
      <c r="Q38" s="190"/>
      <c r="R38" s="190"/>
      <c r="S38" s="190"/>
      <c r="T38" s="190"/>
      <c r="U38" s="190"/>
      <c r="V38" s="191">
        <f t="shared" si="19"/>
        <v>0</v>
      </c>
      <c r="W38" s="191">
        <f t="shared" si="24"/>
        <v>0</v>
      </c>
      <c r="X38" s="192"/>
      <c r="Y38" s="192"/>
      <c r="Z38" s="192"/>
      <c r="AA38" s="193"/>
      <c r="AB38" s="189"/>
      <c r="AC38" s="189"/>
      <c r="AD38" s="189"/>
      <c r="AE38" s="189"/>
      <c r="AF38" s="189"/>
      <c r="AG38" s="189"/>
      <c r="AH38" s="189"/>
      <c r="AI38" s="194"/>
      <c r="AJ38" s="190"/>
      <c r="AK38" s="189"/>
      <c r="AL38" s="189"/>
      <c r="AM38" s="189"/>
      <c r="AN38" s="189"/>
      <c r="AO38" s="189"/>
      <c r="AP38" s="196"/>
      <c r="AQ38" s="189">
        <f t="shared" si="25"/>
        <v>0</v>
      </c>
      <c r="AR38" s="194"/>
      <c r="AS38" s="197">
        <f t="shared" si="26"/>
        <v>0</v>
      </c>
      <c r="AT38" s="198"/>
      <c r="AU38" s="189"/>
      <c r="AV38" s="189"/>
      <c r="AW38" s="189"/>
      <c r="AX38" s="361"/>
      <c r="AY38" s="361"/>
      <c r="AZ38" s="361"/>
      <c r="BA38" s="361"/>
      <c r="BB38" s="361"/>
      <c r="BC38" s="373"/>
    </row>
    <row r="39" spans="1:55" ht="18" customHeight="1">
      <c r="A39" s="184" t="s">
        <v>67</v>
      </c>
      <c r="B39" s="184">
        <v>44862</v>
      </c>
      <c r="C39" s="201">
        <v>0.25</v>
      </c>
      <c r="D39" s="185" t="s">
        <v>88</v>
      </c>
      <c r="E39" s="186" t="s">
        <v>292</v>
      </c>
      <c r="F39" s="187"/>
      <c r="G39" s="188"/>
      <c r="H39" s="189"/>
      <c r="I39" s="189"/>
      <c r="J39" s="189"/>
      <c r="K39" s="190"/>
      <c r="L39" s="189"/>
      <c r="M39" s="189"/>
      <c r="N39" s="189"/>
      <c r="O39" s="190"/>
      <c r="P39" s="190"/>
      <c r="Q39" s="190"/>
      <c r="R39" s="190"/>
      <c r="S39" s="190"/>
      <c r="T39" s="190"/>
      <c r="U39" s="190"/>
      <c r="V39" s="191">
        <f t="shared" si="19"/>
        <v>0</v>
      </c>
      <c r="W39" s="191">
        <f t="shared" si="24"/>
        <v>0</v>
      </c>
      <c r="X39" s="192"/>
      <c r="Y39" s="192"/>
      <c r="Z39" s="192"/>
      <c r="AA39" s="193"/>
      <c r="AB39" s="189"/>
      <c r="AC39" s="189"/>
      <c r="AD39" s="189"/>
      <c r="AE39" s="189"/>
      <c r="AF39" s="189"/>
      <c r="AG39" s="189"/>
      <c r="AH39" s="189"/>
      <c r="AI39" s="194"/>
      <c r="AJ39" s="190"/>
      <c r="AK39" s="189"/>
      <c r="AL39" s="189"/>
      <c r="AM39" s="189"/>
      <c r="AN39" s="189"/>
      <c r="AO39" s="189"/>
      <c r="AP39" s="196"/>
      <c r="AQ39" s="189">
        <f t="shared" si="25"/>
        <v>0</v>
      </c>
      <c r="AR39" s="194"/>
      <c r="AS39" s="197">
        <f t="shared" si="26"/>
        <v>0</v>
      </c>
      <c r="AT39" s="198"/>
      <c r="AU39" s="189"/>
      <c r="AV39" s="189"/>
      <c r="AW39" s="189"/>
      <c r="AX39" s="361"/>
      <c r="AY39" s="361"/>
      <c r="AZ39" s="361"/>
      <c r="BA39" s="361"/>
      <c r="BB39" s="361"/>
      <c r="BC39" s="373"/>
    </row>
    <row r="40" spans="1:55" ht="18" customHeight="1">
      <c r="A40" s="184" t="s">
        <v>67</v>
      </c>
      <c r="B40" s="184">
        <v>44862</v>
      </c>
      <c r="C40" s="185" t="s">
        <v>293</v>
      </c>
      <c r="D40" s="185" t="s">
        <v>88</v>
      </c>
      <c r="E40" s="186"/>
      <c r="F40" s="187"/>
      <c r="G40" s="206" t="s">
        <v>158</v>
      </c>
      <c r="H40" s="189"/>
      <c r="I40" s="189"/>
      <c r="J40" s="189"/>
      <c r="K40" s="190"/>
      <c r="L40" s="189">
        <v>1</v>
      </c>
      <c r="M40" s="189"/>
      <c r="N40" s="189">
        <v>1</v>
      </c>
      <c r="O40" s="190" t="s">
        <v>71</v>
      </c>
      <c r="P40" s="190" t="s">
        <v>114</v>
      </c>
      <c r="Q40" s="190" t="s">
        <v>73</v>
      </c>
      <c r="R40" s="190">
        <v>1</v>
      </c>
      <c r="S40" s="190">
        <v>1</v>
      </c>
      <c r="T40" s="190">
        <v>1</v>
      </c>
      <c r="U40" s="190" t="s">
        <v>21</v>
      </c>
      <c r="V40" s="191">
        <f t="shared" si="19"/>
        <v>0.01</v>
      </c>
      <c r="W40" s="191">
        <f>IF(ISBLANK(O40),,IF(O40=UPPER("IB"),8.63*200,15.3*100))</f>
        <v>1530</v>
      </c>
      <c r="X40" s="192" t="s">
        <v>294</v>
      </c>
      <c r="Y40" s="192"/>
      <c r="Z40" s="192"/>
      <c r="AA40" s="193">
        <v>-0.09</v>
      </c>
      <c r="AB40" s="189"/>
      <c r="AC40" s="189"/>
      <c r="AD40" s="189"/>
      <c r="AE40" s="192">
        <v>-7.0000000000000007E-2</v>
      </c>
      <c r="AF40" s="189" t="s">
        <v>295</v>
      </c>
      <c r="AG40" s="189" t="s">
        <v>296</v>
      </c>
      <c r="AH40" s="189"/>
      <c r="AI40" s="194">
        <f t="shared" ref="AI40:AI45" si="27">-0.03*W40</f>
        <v>-45.9</v>
      </c>
      <c r="AJ40" s="194">
        <f t="shared" ref="AJ40:AJ42" si="28">AI40*R40</f>
        <v>-45.9</v>
      </c>
      <c r="AK40" s="189"/>
      <c r="AL40" s="189"/>
      <c r="AM40" s="189" t="s">
        <v>297</v>
      </c>
      <c r="AN40" s="189" t="s">
        <v>92</v>
      </c>
      <c r="AO40" s="189" t="s">
        <v>298</v>
      </c>
      <c r="AP40" s="196">
        <v>-7.0000000000000007E-2</v>
      </c>
      <c r="AQ40" s="196">
        <f t="shared" si="25"/>
        <v>1.999999999999999E-2</v>
      </c>
      <c r="AR40" s="194">
        <f>AS40*R40</f>
        <v>30.599999999999984</v>
      </c>
      <c r="AS40" s="197">
        <f t="shared" si="26"/>
        <v>30.599999999999984</v>
      </c>
      <c r="AT40" s="198" t="s">
        <v>72</v>
      </c>
      <c r="AU40" s="207" t="s">
        <v>299</v>
      </c>
      <c r="AV40" s="189" t="s">
        <v>300</v>
      </c>
      <c r="AW40" s="189" t="s">
        <v>301</v>
      </c>
      <c r="AX40" s="361" t="s">
        <v>302</v>
      </c>
      <c r="AY40" s="361"/>
      <c r="AZ40" s="361"/>
      <c r="BA40" s="361" t="s">
        <v>303</v>
      </c>
      <c r="BB40" s="361"/>
      <c r="BC40" s="373"/>
    </row>
    <row r="41" spans="1:55" ht="18" customHeight="1">
      <c r="A41" s="184" t="s">
        <v>67</v>
      </c>
      <c r="B41" s="184">
        <v>44862</v>
      </c>
      <c r="C41" s="185" t="s">
        <v>304</v>
      </c>
      <c r="D41" s="185" t="s">
        <v>88</v>
      </c>
      <c r="E41" s="186"/>
      <c r="F41" s="187"/>
      <c r="G41" s="188" t="s">
        <v>248</v>
      </c>
      <c r="H41" s="189"/>
      <c r="I41" s="189"/>
      <c r="J41" s="189"/>
      <c r="K41" s="190"/>
      <c r="L41" s="189">
        <v>1</v>
      </c>
      <c r="M41" s="189"/>
      <c r="N41" s="189"/>
      <c r="O41" s="190" t="s">
        <v>71</v>
      </c>
      <c r="P41" s="190" t="s">
        <v>114</v>
      </c>
      <c r="Q41" s="190" t="s">
        <v>73</v>
      </c>
      <c r="R41" s="190">
        <v>1</v>
      </c>
      <c r="S41" s="190">
        <v>1</v>
      </c>
      <c r="T41" s="190">
        <v>1</v>
      </c>
      <c r="U41" s="190" t="s">
        <v>21</v>
      </c>
      <c r="V41" s="191">
        <f t="shared" si="19"/>
        <v>0.01</v>
      </c>
      <c r="W41" s="191">
        <f>IF(ISBLANK(O41),,IF(O41=UPPER("IB"),8.63*200,15.4*100))</f>
        <v>1540</v>
      </c>
      <c r="X41" s="192" t="s">
        <v>115</v>
      </c>
      <c r="Y41" s="192"/>
      <c r="Z41" s="192" t="s">
        <v>75</v>
      </c>
      <c r="AA41" s="193">
        <v>-0.09</v>
      </c>
      <c r="AB41" s="189"/>
      <c r="AC41" s="189"/>
      <c r="AD41" s="189"/>
      <c r="AE41" s="189">
        <v>-0.08</v>
      </c>
      <c r="AF41" s="189"/>
      <c r="AG41" s="189" t="s">
        <v>305</v>
      </c>
      <c r="AH41" s="189"/>
      <c r="AI41" s="194">
        <f t="shared" si="27"/>
        <v>-46.199999999999996</v>
      </c>
      <c r="AJ41" s="194">
        <f t="shared" si="28"/>
        <v>-46.199999999999996</v>
      </c>
      <c r="AK41" s="189"/>
      <c r="AL41" s="189"/>
      <c r="AM41" s="189" t="s">
        <v>306</v>
      </c>
      <c r="AN41" s="189" t="s">
        <v>82</v>
      </c>
      <c r="AO41" s="189" t="s">
        <v>307</v>
      </c>
      <c r="AP41" s="196">
        <v>-0.08</v>
      </c>
      <c r="AQ41" s="196">
        <f t="shared" si="25"/>
        <v>9.999999999999995E-3</v>
      </c>
      <c r="AR41" s="194">
        <f>AS41*R41</f>
        <v>15.399999999999991</v>
      </c>
      <c r="AS41" s="197">
        <f t="shared" si="26"/>
        <v>15.399999999999991</v>
      </c>
      <c r="AT41" s="198" t="s">
        <v>72</v>
      </c>
      <c r="AU41" s="189" t="s">
        <v>308</v>
      </c>
      <c r="AV41" s="189"/>
      <c r="AW41" s="189" t="s">
        <v>309</v>
      </c>
      <c r="AX41" s="361"/>
      <c r="AY41" s="361"/>
      <c r="AZ41" s="361"/>
      <c r="BA41" s="361"/>
      <c r="BB41" s="361"/>
      <c r="BC41" s="373"/>
    </row>
    <row r="42" spans="1:55" ht="18" customHeight="1">
      <c r="A42" s="184" t="s">
        <v>67</v>
      </c>
      <c r="B42" s="184">
        <v>44862</v>
      </c>
      <c r="C42" s="185" t="s">
        <v>310</v>
      </c>
      <c r="D42" s="185" t="s">
        <v>88</v>
      </c>
      <c r="E42" s="186"/>
      <c r="F42" s="187"/>
      <c r="G42" s="206" t="s">
        <v>257</v>
      </c>
      <c r="H42" s="189"/>
      <c r="I42" s="189"/>
      <c r="J42" s="189"/>
      <c r="K42" s="190"/>
      <c r="L42" s="189">
        <v>1</v>
      </c>
      <c r="M42" s="189"/>
      <c r="N42" s="189"/>
      <c r="O42" s="190" t="s">
        <v>71</v>
      </c>
      <c r="P42" s="190" t="s">
        <v>114</v>
      </c>
      <c r="Q42" s="190" t="s">
        <v>73</v>
      </c>
      <c r="R42" s="190">
        <v>1</v>
      </c>
      <c r="S42" s="190">
        <v>1</v>
      </c>
      <c r="T42" s="190">
        <v>1</v>
      </c>
      <c r="U42" s="190" t="s">
        <v>21</v>
      </c>
      <c r="V42" s="191">
        <f t="shared" si="19"/>
        <v>0.01</v>
      </c>
      <c r="W42" s="191">
        <f t="shared" ref="W42:W51" si="29">IF(ISBLANK(O42),,IF(O42=UPPER("IB"),8.63*200,15.3*100))</f>
        <v>1530</v>
      </c>
      <c r="X42" s="192" t="s">
        <v>115</v>
      </c>
      <c r="Y42" s="192"/>
      <c r="Z42" s="192" t="s">
        <v>75</v>
      </c>
      <c r="AA42" s="193">
        <v>-0.08</v>
      </c>
      <c r="AB42" s="189"/>
      <c r="AC42" s="189"/>
      <c r="AD42" s="189"/>
      <c r="AE42" s="192">
        <v>-7.0000000000000007E-2</v>
      </c>
      <c r="AF42" s="189"/>
      <c r="AG42" s="189" t="s">
        <v>305</v>
      </c>
      <c r="AH42" s="189"/>
      <c r="AI42" s="194">
        <f t="shared" si="27"/>
        <v>-45.9</v>
      </c>
      <c r="AJ42" s="194">
        <f t="shared" si="28"/>
        <v>-45.9</v>
      </c>
      <c r="AK42" s="189"/>
      <c r="AL42" s="189"/>
      <c r="AM42" s="189" t="s">
        <v>311</v>
      </c>
      <c r="AN42" s="189" t="s">
        <v>92</v>
      </c>
      <c r="AO42" s="189" t="s">
        <v>312</v>
      </c>
      <c r="AP42" s="196">
        <v>-7.0000000000000007E-2</v>
      </c>
      <c r="AQ42" s="196">
        <f t="shared" si="25"/>
        <v>9.999999999999995E-3</v>
      </c>
      <c r="AR42" s="194">
        <f>AS42*R42</f>
        <v>15.299999999999992</v>
      </c>
      <c r="AS42" s="197">
        <f t="shared" si="26"/>
        <v>15.299999999999992</v>
      </c>
      <c r="AT42" s="198" t="s">
        <v>72</v>
      </c>
      <c r="AU42" s="189" t="s">
        <v>303</v>
      </c>
      <c r="AV42" s="189" t="s">
        <v>313</v>
      </c>
      <c r="AW42" s="189"/>
      <c r="AX42" s="361" t="s">
        <v>314</v>
      </c>
      <c r="AY42" s="361"/>
      <c r="AZ42" s="361"/>
      <c r="BA42" s="361" t="s">
        <v>303</v>
      </c>
      <c r="BB42" s="361" t="s">
        <v>315</v>
      </c>
      <c r="BC42" s="373"/>
    </row>
    <row r="43" spans="1:55" ht="18" customHeight="1">
      <c r="A43" s="184" t="s">
        <v>67</v>
      </c>
      <c r="B43" s="184">
        <v>44865</v>
      </c>
      <c r="C43" s="201">
        <v>0.25</v>
      </c>
      <c r="D43" s="185" t="s">
        <v>109</v>
      </c>
      <c r="E43" s="186" t="s">
        <v>316</v>
      </c>
      <c r="F43" s="187" t="s">
        <v>317</v>
      </c>
      <c r="G43" s="188"/>
      <c r="H43" s="189"/>
      <c r="I43" s="189">
        <v>1</v>
      </c>
      <c r="J43" s="189"/>
      <c r="K43" s="190"/>
      <c r="L43" s="189"/>
      <c r="M43" s="189"/>
      <c r="N43" s="189"/>
      <c r="O43" s="190"/>
      <c r="P43" s="190"/>
      <c r="Q43" s="190"/>
      <c r="R43" s="190"/>
      <c r="S43" s="190"/>
      <c r="T43" s="190"/>
      <c r="U43" s="190"/>
      <c r="V43" s="191">
        <f t="shared" si="19"/>
        <v>0</v>
      </c>
      <c r="W43" s="191">
        <f t="shared" si="29"/>
        <v>0</v>
      </c>
      <c r="X43" s="192"/>
      <c r="Y43" s="192"/>
      <c r="Z43" s="192"/>
      <c r="AA43" s="193"/>
      <c r="AB43" s="189"/>
      <c r="AC43" s="189"/>
      <c r="AD43" s="189"/>
      <c r="AE43" s="189"/>
      <c r="AF43" s="189"/>
      <c r="AG43" s="189"/>
      <c r="AH43" s="189"/>
      <c r="AI43" s="194">
        <f t="shared" si="27"/>
        <v>0</v>
      </c>
      <c r="AJ43" s="190"/>
      <c r="AK43" s="189"/>
      <c r="AL43" s="189"/>
      <c r="AM43" s="189"/>
      <c r="AN43" s="189"/>
      <c r="AO43" s="189"/>
      <c r="AP43" s="196"/>
      <c r="AQ43" s="189">
        <f t="shared" si="25"/>
        <v>0</v>
      </c>
      <c r="AR43" s="194"/>
      <c r="AS43" s="197">
        <f t="shared" si="26"/>
        <v>0</v>
      </c>
      <c r="AT43" s="198"/>
      <c r="AU43" s="203"/>
      <c r="AV43" s="189"/>
      <c r="AW43" s="189"/>
      <c r="AX43" s="361"/>
      <c r="AY43" s="361"/>
      <c r="AZ43" s="361"/>
      <c r="BA43" s="361"/>
      <c r="BB43" s="361"/>
      <c r="BC43" s="373"/>
    </row>
    <row r="44" spans="1:55" ht="18" customHeight="1">
      <c r="A44" s="184" t="s">
        <v>67</v>
      </c>
      <c r="B44" s="184">
        <v>44865</v>
      </c>
      <c r="C44" s="185" t="s">
        <v>318</v>
      </c>
      <c r="D44" s="185" t="s">
        <v>109</v>
      </c>
      <c r="E44" s="186" t="s">
        <v>319</v>
      </c>
      <c r="F44" s="187" t="s">
        <v>320</v>
      </c>
      <c r="G44" s="188"/>
      <c r="H44" s="189">
        <v>1</v>
      </c>
      <c r="I44" s="189"/>
      <c r="J44" s="189"/>
      <c r="K44" s="190"/>
      <c r="L44" s="189"/>
      <c r="M44" s="189"/>
      <c r="N44" s="189"/>
      <c r="O44" s="190"/>
      <c r="P44" s="190"/>
      <c r="Q44" s="190"/>
      <c r="R44" s="190"/>
      <c r="S44" s="190"/>
      <c r="T44" s="190"/>
      <c r="U44" s="190"/>
      <c r="V44" s="191">
        <f t="shared" si="19"/>
        <v>0</v>
      </c>
      <c r="W44" s="191">
        <f t="shared" si="29"/>
        <v>0</v>
      </c>
      <c r="X44" s="192"/>
      <c r="Y44" s="192"/>
      <c r="Z44" s="192"/>
      <c r="AA44" s="193"/>
      <c r="AB44" s="189"/>
      <c r="AC44" s="189"/>
      <c r="AD44" s="189"/>
      <c r="AE44" s="189"/>
      <c r="AF44" s="189"/>
      <c r="AG44" s="189"/>
      <c r="AH44" s="189"/>
      <c r="AI44" s="194">
        <f t="shared" si="27"/>
        <v>0</v>
      </c>
      <c r="AJ44" s="190"/>
      <c r="AK44" s="189"/>
      <c r="AL44" s="189"/>
      <c r="AM44" s="189"/>
      <c r="AN44" s="189"/>
      <c r="AO44" s="189"/>
      <c r="AP44" s="196"/>
      <c r="AQ44" s="189">
        <f t="shared" si="25"/>
        <v>0</v>
      </c>
      <c r="AR44" s="194"/>
      <c r="AS44" s="197">
        <f t="shared" si="26"/>
        <v>0</v>
      </c>
      <c r="AT44" s="198"/>
      <c r="AU44" s="203"/>
      <c r="AV44" s="189"/>
      <c r="AW44" s="189"/>
      <c r="AX44" s="361"/>
      <c r="AY44" s="361"/>
      <c r="AZ44" s="361"/>
      <c r="BA44" s="361"/>
      <c r="BB44" s="361"/>
      <c r="BC44" s="373"/>
    </row>
    <row r="45" spans="1:55" ht="18" customHeight="1">
      <c r="A45" s="184" t="s">
        <v>67</v>
      </c>
      <c r="B45" s="208"/>
      <c r="C45" s="209"/>
      <c r="D45" s="209"/>
      <c r="E45" s="210"/>
      <c r="F45" s="211"/>
      <c r="G45" s="212"/>
      <c r="H45" s="213"/>
      <c r="I45" s="213"/>
      <c r="J45" s="213"/>
      <c r="K45" s="214"/>
      <c r="L45" s="213"/>
      <c r="M45" s="213"/>
      <c r="N45" s="213"/>
      <c r="O45" s="214"/>
      <c r="P45" s="214"/>
      <c r="Q45" s="214"/>
      <c r="R45" s="214"/>
      <c r="S45" s="214"/>
      <c r="T45" s="214"/>
      <c r="U45" s="214"/>
      <c r="V45" s="215">
        <f t="shared" si="19"/>
        <v>0</v>
      </c>
      <c r="W45" s="215">
        <f t="shared" si="29"/>
        <v>0</v>
      </c>
      <c r="X45" s="216"/>
      <c r="Y45" s="216"/>
      <c r="Z45" s="216"/>
      <c r="AA45" s="217"/>
      <c r="AB45" s="213"/>
      <c r="AC45" s="213"/>
      <c r="AD45" s="213"/>
      <c r="AE45" s="213"/>
      <c r="AF45" s="213"/>
      <c r="AG45" s="213"/>
      <c r="AH45" s="213"/>
      <c r="AI45" s="218">
        <f t="shared" si="27"/>
        <v>0</v>
      </c>
      <c r="AJ45" s="214"/>
      <c r="AK45" s="213"/>
      <c r="AL45" s="213"/>
      <c r="AM45" s="213"/>
      <c r="AN45" s="213"/>
      <c r="AO45" s="213"/>
      <c r="AP45" s="219"/>
      <c r="AQ45" s="213">
        <f t="shared" si="25"/>
        <v>0</v>
      </c>
      <c r="AR45" s="218"/>
      <c r="AS45" s="220">
        <f t="shared" si="26"/>
        <v>0</v>
      </c>
      <c r="AT45" s="221"/>
      <c r="AU45" s="222" t="s">
        <v>321</v>
      </c>
      <c r="AV45" s="222" t="s">
        <v>322</v>
      </c>
      <c r="AW45" s="213"/>
      <c r="AX45" s="364"/>
      <c r="AY45" s="364"/>
      <c r="AZ45" s="364"/>
      <c r="BA45" s="364"/>
      <c r="BB45" s="364"/>
      <c r="BC45" s="374"/>
    </row>
    <row r="46" spans="1:55" ht="18" customHeight="1">
      <c r="A46" s="161" t="s">
        <v>323</v>
      </c>
      <c r="B46" s="161"/>
      <c r="C46" s="223"/>
      <c r="D46" s="223"/>
      <c r="E46" s="224"/>
      <c r="F46" s="225"/>
      <c r="G46" s="223"/>
      <c r="H46" s="223"/>
      <c r="I46" s="223"/>
      <c r="J46" s="223"/>
      <c r="K46" s="226"/>
      <c r="L46" s="223"/>
      <c r="M46" s="223"/>
      <c r="N46" s="223"/>
      <c r="O46" s="226"/>
      <c r="P46" s="226"/>
      <c r="Q46" s="226"/>
      <c r="R46" s="226"/>
      <c r="S46" s="226"/>
      <c r="T46" s="226"/>
      <c r="U46" s="226"/>
      <c r="V46" s="227">
        <f t="shared" si="19"/>
        <v>0</v>
      </c>
      <c r="W46" s="227">
        <f t="shared" si="29"/>
        <v>0</v>
      </c>
      <c r="X46" s="227"/>
      <c r="Y46" s="227"/>
      <c r="Z46" s="227"/>
      <c r="AA46" s="228"/>
      <c r="AB46" s="223"/>
      <c r="AC46" s="223"/>
      <c r="AD46" s="223"/>
      <c r="AE46" s="223"/>
      <c r="AF46" s="223"/>
      <c r="AG46" s="223"/>
      <c r="AH46" s="223"/>
      <c r="AI46" s="229"/>
      <c r="AJ46" s="229"/>
      <c r="AK46" s="223"/>
      <c r="AL46" s="223"/>
      <c r="AM46" s="223"/>
      <c r="AN46" s="223"/>
      <c r="AO46" s="223"/>
      <c r="AP46" s="230"/>
      <c r="AQ46" s="230">
        <f t="shared" si="25"/>
        <v>0</v>
      </c>
      <c r="AR46" s="230"/>
      <c r="AS46" s="230">
        <f t="shared" si="26"/>
        <v>0</v>
      </c>
      <c r="AT46" s="231"/>
      <c r="AU46" s="223"/>
      <c r="AV46" s="223"/>
      <c r="AW46" s="223"/>
      <c r="AX46" s="365"/>
      <c r="AY46" s="365"/>
      <c r="AZ46" s="365"/>
      <c r="BA46" s="365"/>
      <c r="BB46" s="365"/>
      <c r="BC46" s="365"/>
    </row>
    <row r="47" spans="1:55" ht="18" customHeight="1">
      <c r="A47" s="232" t="s">
        <v>324</v>
      </c>
      <c r="B47" s="232">
        <v>44866</v>
      </c>
      <c r="C47" s="233">
        <v>0.375</v>
      </c>
      <c r="D47" s="234" t="s">
        <v>123</v>
      </c>
      <c r="E47" s="235" t="s">
        <v>325</v>
      </c>
      <c r="F47" s="236" t="s">
        <v>326</v>
      </c>
      <c r="G47" s="237"/>
      <c r="H47" s="172"/>
      <c r="I47" s="172">
        <v>1</v>
      </c>
      <c r="J47" s="172"/>
      <c r="K47" s="175"/>
      <c r="L47" s="172"/>
      <c r="M47" s="172"/>
      <c r="N47" s="172"/>
      <c r="O47" s="175"/>
      <c r="P47" s="175"/>
      <c r="Q47" s="175"/>
      <c r="R47" s="175"/>
      <c r="S47" s="175"/>
      <c r="T47" s="175"/>
      <c r="U47" s="175"/>
      <c r="V47" s="177">
        <f t="shared" si="19"/>
        <v>0</v>
      </c>
      <c r="W47" s="177">
        <f t="shared" si="29"/>
        <v>0</v>
      </c>
      <c r="X47" s="178"/>
      <c r="Y47" s="178"/>
      <c r="Z47" s="178"/>
      <c r="AA47" s="179"/>
      <c r="AB47" s="172"/>
      <c r="AC47" s="172"/>
      <c r="AD47" s="172"/>
      <c r="AE47" s="172"/>
      <c r="AF47" s="172"/>
      <c r="AG47" s="172"/>
      <c r="AH47" s="172"/>
      <c r="AI47" s="180">
        <f t="shared" ref="AI47:AI48" si="30">-0.03*W47</f>
        <v>0</v>
      </c>
      <c r="AJ47" s="175"/>
      <c r="AK47" s="172"/>
      <c r="AL47" s="172"/>
      <c r="AM47" s="172"/>
      <c r="AN47" s="172"/>
      <c r="AO47" s="172"/>
      <c r="AP47" s="181"/>
      <c r="AQ47" s="172">
        <f t="shared" si="25"/>
        <v>0</v>
      </c>
      <c r="AR47" s="180"/>
      <c r="AS47" s="182">
        <f t="shared" si="26"/>
        <v>0</v>
      </c>
      <c r="AT47" s="183"/>
      <c r="AU47" s="172"/>
      <c r="AV47" s="172"/>
      <c r="AW47" s="172"/>
      <c r="AX47" s="360"/>
      <c r="AY47" s="360"/>
      <c r="AZ47" s="360"/>
      <c r="BA47" s="360"/>
      <c r="BB47" s="360"/>
      <c r="BC47" s="372"/>
    </row>
    <row r="48" spans="1:55" ht="18" customHeight="1">
      <c r="A48" s="232" t="s">
        <v>324</v>
      </c>
      <c r="B48" s="184">
        <v>44866</v>
      </c>
      <c r="C48" s="185" t="s">
        <v>327</v>
      </c>
      <c r="D48" s="185" t="s">
        <v>123</v>
      </c>
      <c r="E48" s="238"/>
      <c r="F48" s="187"/>
      <c r="G48" s="188" t="s">
        <v>110</v>
      </c>
      <c r="H48" s="189"/>
      <c r="I48" s="189"/>
      <c r="J48" s="189"/>
      <c r="K48" s="190"/>
      <c r="L48" s="189">
        <v>1</v>
      </c>
      <c r="M48" s="189"/>
      <c r="N48" s="189"/>
      <c r="O48" s="190" t="s">
        <v>71</v>
      </c>
      <c r="P48" s="190" t="s">
        <v>72</v>
      </c>
      <c r="Q48" s="190" t="s">
        <v>73</v>
      </c>
      <c r="R48" s="190">
        <v>2</v>
      </c>
      <c r="S48" s="190">
        <v>2</v>
      </c>
      <c r="T48" s="190">
        <v>2</v>
      </c>
      <c r="U48" s="190" t="s">
        <v>21</v>
      </c>
      <c r="V48" s="191">
        <f t="shared" si="19"/>
        <v>0.01</v>
      </c>
      <c r="W48" s="191">
        <f t="shared" si="29"/>
        <v>1530</v>
      </c>
      <c r="X48" s="192" t="s">
        <v>115</v>
      </c>
      <c r="Y48" s="192"/>
      <c r="Z48" s="192" t="s">
        <v>75</v>
      </c>
      <c r="AA48" s="193">
        <v>0.01</v>
      </c>
      <c r="AB48" s="189"/>
      <c r="AC48" s="189"/>
      <c r="AD48" s="189"/>
      <c r="AE48" s="189">
        <v>0.02</v>
      </c>
      <c r="AF48" s="189"/>
      <c r="AG48" s="189" t="s">
        <v>328</v>
      </c>
      <c r="AH48" s="189"/>
      <c r="AI48" s="194">
        <f t="shared" si="30"/>
        <v>-45.9</v>
      </c>
      <c r="AJ48" s="194">
        <f t="shared" ref="AJ48:AJ51" si="31">AI48*R48</f>
        <v>-91.8</v>
      </c>
      <c r="AK48" s="189"/>
      <c r="AL48" s="189"/>
      <c r="AM48" s="189" t="s">
        <v>329</v>
      </c>
      <c r="AN48" s="189" t="s">
        <v>82</v>
      </c>
      <c r="AO48" s="189" t="s">
        <v>330</v>
      </c>
      <c r="AP48" s="196">
        <v>0.02</v>
      </c>
      <c r="AQ48" s="196">
        <f t="shared" si="25"/>
        <v>0.01</v>
      </c>
      <c r="AR48" s="194">
        <f>AS48*R48</f>
        <v>30.6</v>
      </c>
      <c r="AS48" s="197">
        <f t="shared" si="26"/>
        <v>15.3</v>
      </c>
      <c r="AT48" s="198" t="s">
        <v>72</v>
      </c>
      <c r="AU48" s="189" t="s">
        <v>331</v>
      </c>
      <c r="AV48" s="189"/>
      <c r="AW48" s="189"/>
      <c r="AX48" s="361"/>
      <c r="AY48" s="361"/>
      <c r="AZ48" s="361"/>
      <c r="BA48" s="361"/>
      <c r="BB48" s="361"/>
      <c r="BC48" s="373"/>
    </row>
    <row r="49" spans="1:55" ht="18" customHeight="1">
      <c r="A49" s="232" t="s">
        <v>324</v>
      </c>
      <c r="B49" s="184">
        <v>44866</v>
      </c>
      <c r="C49" s="185" t="s">
        <v>332</v>
      </c>
      <c r="D49" s="185" t="s">
        <v>123</v>
      </c>
      <c r="E49" s="238"/>
      <c r="F49" s="187"/>
      <c r="G49" s="188" t="s">
        <v>333</v>
      </c>
      <c r="H49" s="189"/>
      <c r="I49" s="189"/>
      <c r="J49" s="189"/>
      <c r="K49" s="190"/>
      <c r="L49" s="189">
        <v>1</v>
      </c>
      <c r="M49" s="189"/>
      <c r="N49" s="189"/>
      <c r="O49" s="190" t="s">
        <v>71</v>
      </c>
      <c r="P49" s="190" t="s">
        <v>72</v>
      </c>
      <c r="Q49" s="190" t="s">
        <v>73</v>
      </c>
      <c r="R49" s="190">
        <v>2</v>
      </c>
      <c r="S49" s="190">
        <v>2</v>
      </c>
      <c r="T49" s="190">
        <v>2</v>
      </c>
      <c r="U49" s="190" t="s">
        <v>21</v>
      </c>
      <c r="V49" s="191">
        <f t="shared" si="19"/>
        <v>0.01</v>
      </c>
      <c r="W49" s="191">
        <f t="shared" si="29"/>
        <v>1530</v>
      </c>
      <c r="X49" s="192" t="s">
        <v>115</v>
      </c>
      <c r="Y49" s="192"/>
      <c r="Z49" s="192" t="s">
        <v>75</v>
      </c>
      <c r="AA49" s="193">
        <v>0.01</v>
      </c>
      <c r="AB49" s="189"/>
      <c r="AC49" s="189"/>
      <c r="AD49" s="189"/>
      <c r="AE49" s="189">
        <v>0.02</v>
      </c>
      <c r="AF49" s="189"/>
      <c r="AG49" s="189" t="s">
        <v>328</v>
      </c>
      <c r="AH49" s="189"/>
      <c r="AI49" s="194">
        <f>-0.02*W49</f>
        <v>-30.6</v>
      </c>
      <c r="AJ49" s="194">
        <f t="shared" si="31"/>
        <v>-61.2</v>
      </c>
      <c r="AK49" s="189"/>
      <c r="AL49" s="189"/>
      <c r="AM49" s="189" t="s">
        <v>329</v>
      </c>
      <c r="AN49" s="189" t="s">
        <v>82</v>
      </c>
      <c r="AO49" s="189" t="s">
        <v>330</v>
      </c>
      <c r="AP49" s="196">
        <v>0.02</v>
      </c>
      <c r="AQ49" s="196">
        <f t="shared" si="25"/>
        <v>0.01</v>
      </c>
      <c r="AR49" s="194">
        <f>AS49*R49</f>
        <v>30.6</v>
      </c>
      <c r="AS49" s="197">
        <f t="shared" si="26"/>
        <v>15.3</v>
      </c>
      <c r="AT49" s="198" t="s">
        <v>72</v>
      </c>
      <c r="AU49" s="189" t="s">
        <v>334</v>
      </c>
      <c r="AV49" s="189" t="s">
        <v>335</v>
      </c>
      <c r="AW49" s="189" t="s">
        <v>336</v>
      </c>
      <c r="AX49" s="361"/>
      <c r="AY49" s="361"/>
      <c r="AZ49" s="361"/>
      <c r="BA49" s="370" t="s">
        <v>172</v>
      </c>
      <c r="BB49" s="361"/>
      <c r="BC49" s="373"/>
    </row>
    <row r="50" spans="1:55" ht="18" customHeight="1">
      <c r="A50" s="232" t="s">
        <v>324</v>
      </c>
      <c r="B50" s="184">
        <v>44866</v>
      </c>
      <c r="C50" s="185" t="s">
        <v>337</v>
      </c>
      <c r="D50" s="185" t="s">
        <v>123</v>
      </c>
      <c r="E50" s="238"/>
      <c r="F50" s="187"/>
      <c r="G50" s="188" t="s">
        <v>110</v>
      </c>
      <c r="H50" s="189"/>
      <c r="I50" s="189"/>
      <c r="J50" s="189"/>
      <c r="K50" s="190"/>
      <c r="L50" s="189">
        <v>1</v>
      </c>
      <c r="M50" s="189"/>
      <c r="N50" s="189">
        <v>1</v>
      </c>
      <c r="O50" s="190" t="s">
        <v>71</v>
      </c>
      <c r="P50" s="190" t="s">
        <v>72</v>
      </c>
      <c r="Q50" s="190" t="s">
        <v>73</v>
      </c>
      <c r="R50" s="190">
        <v>2</v>
      </c>
      <c r="S50" s="190">
        <v>2</v>
      </c>
      <c r="T50" s="190">
        <v>2</v>
      </c>
      <c r="U50" s="190" t="s">
        <v>21</v>
      </c>
      <c r="V50" s="191">
        <f t="shared" si="19"/>
        <v>0.01</v>
      </c>
      <c r="W50" s="191">
        <f t="shared" si="29"/>
        <v>1530</v>
      </c>
      <c r="X50" s="192" t="s">
        <v>338</v>
      </c>
      <c r="Y50" s="192"/>
      <c r="Z50" s="192"/>
      <c r="AA50" s="193">
        <v>0</v>
      </c>
      <c r="AB50" s="189"/>
      <c r="AC50" s="189"/>
      <c r="AD50" s="189"/>
      <c r="AE50" s="189">
        <v>0.02</v>
      </c>
      <c r="AF50" s="189"/>
      <c r="AG50" s="189">
        <v>-0.01</v>
      </c>
      <c r="AH50" s="189"/>
      <c r="AI50" s="194">
        <f t="shared" ref="AI50:AI51" si="32">-0.01*W50</f>
        <v>-15.3</v>
      </c>
      <c r="AJ50" s="194">
        <f t="shared" si="31"/>
        <v>-30.6</v>
      </c>
      <c r="AK50" s="189"/>
      <c r="AL50" s="189"/>
      <c r="AM50" s="189" t="s">
        <v>329</v>
      </c>
      <c r="AN50" s="189" t="s">
        <v>82</v>
      </c>
      <c r="AO50" s="239">
        <v>44867.208333333336</v>
      </c>
      <c r="AP50" s="196">
        <v>0.02</v>
      </c>
      <c r="AQ50" s="196">
        <f t="shared" si="25"/>
        <v>0.02</v>
      </c>
      <c r="AR50" s="194">
        <f>AS50*R50</f>
        <v>61.2</v>
      </c>
      <c r="AS50" s="197">
        <f t="shared" si="26"/>
        <v>30.6</v>
      </c>
      <c r="AT50" s="198" t="s">
        <v>72</v>
      </c>
      <c r="AU50" s="189" t="s">
        <v>339</v>
      </c>
      <c r="AV50" s="189" t="s">
        <v>340</v>
      </c>
      <c r="AW50" s="189"/>
      <c r="AX50" s="361"/>
      <c r="AY50" s="361"/>
      <c r="AZ50" s="361"/>
      <c r="BA50" s="361"/>
      <c r="BB50" s="361"/>
      <c r="BC50" s="373"/>
    </row>
    <row r="51" spans="1:55" ht="18" customHeight="1">
      <c r="A51" s="232" t="s">
        <v>324</v>
      </c>
      <c r="B51" s="184">
        <v>44866</v>
      </c>
      <c r="C51" s="185" t="s">
        <v>341</v>
      </c>
      <c r="D51" s="185" t="s">
        <v>123</v>
      </c>
      <c r="E51" s="238"/>
      <c r="F51" s="187"/>
      <c r="G51" s="188" t="s">
        <v>342</v>
      </c>
      <c r="H51" s="189"/>
      <c r="I51" s="189"/>
      <c r="J51" s="189"/>
      <c r="K51" s="190"/>
      <c r="L51" s="189">
        <v>1</v>
      </c>
      <c r="M51" s="189"/>
      <c r="N51" s="189"/>
      <c r="O51" s="190" t="s">
        <v>71</v>
      </c>
      <c r="P51" s="190" t="s">
        <v>114</v>
      </c>
      <c r="Q51" s="190" t="s">
        <v>73</v>
      </c>
      <c r="R51" s="190">
        <v>2</v>
      </c>
      <c r="S51" s="190">
        <v>2</v>
      </c>
      <c r="T51" s="190">
        <v>2</v>
      </c>
      <c r="U51" s="190" t="s">
        <v>21</v>
      </c>
      <c r="V51" s="191">
        <f t="shared" si="19"/>
        <v>0.01</v>
      </c>
      <c r="W51" s="191">
        <f t="shared" si="29"/>
        <v>1530</v>
      </c>
      <c r="X51" s="192" t="s">
        <v>343</v>
      </c>
      <c r="Y51" s="192"/>
      <c r="Z51" s="192" t="s">
        <v>75</v>
      </c>
      <c r="AA51" s="193">
        <v>-0.03</v>
      </c>
      <c r="AB51" s="189"/>
      <c r="AC51" s="189"/>
      <c r="AD51" s="189"/>
      <c r="AE51" s="189">
        <v>-0.02</v>
      </c>
      <c r="AF51" s="189"/>
      <c r="AG51" s="189" t="s">
        <v>344</v>
      </c>
      <c r="AH51" s="189"/>
      <c r="AI51" s="194">
        <f t="shared" si="32"/>
        <v>-15.3</v>
      </c>
      <c r="AJ51" s="194">
        <f t="shared" si="31"/>
        <v>-30.6</v>
      </c>
      <c r="AK51" s="189"/>
      <c r="AL51" s="189"/>
      <c r="AM51" s="189"/>
      <c r="AN51" s="189" t="s">
        <v>82</v>
      </c>
      <c r="AO51" s="189"/>
      <c r="AP51" s="196">
        <f>-0.03</f>
        <v>-0.03</v>
      </c>
      <c r="AQ51" s="196">
        <f t="shared" si="25"/>
        <v>0</v>
      </c>
      <c r="AR51" s="194">
        <f>AS51*R51</f>
        <v>0</v>
      </c>
      <c r="AS51" s="197">
        <f t="shared" si="26"/>
        <v>0</v>
      </c>
      <c r="AT51" s="198" t="s">
        <v>92</v>
      </c>
      <c r="AU51" s="189" t="s">
        <v>345</v>
      </c>
      <c r="AV51" s="189" t="s">
        <v>346</v>
      </c>
      <c r="AW51" s="189" t="s">
        <v>347</v>
      </c>
      <c r="AX51" s="361"/>
      <c r="AY51" s="361"/>
      <c r="AZ51" s="361"/>
      <c r="BA51" s="361"/>
      <c r="BB51" s="361"/>
      <c r="BC51" s="373"/>
    </row>
    <row r="52" spans="1:55" ht="18" customHeight="1">
      <c r="A52" s="232" t="s">
        <v>324</v>
      </c>
      <c r="B52" s="184">
        <v>44867</v>
      </c>
      <c r="C52" s="185"/>
      <c r="D52" s="185" t="s">
        <v>128</v>
      </c>
      <c r="E52" s="238" t="s">
        <v>348</v>
      </c>
      <c r="F52" s="187"/>
      <c r="G52" s="188"/>
      <c r="H52" s="189"/>
      <c r="I52" s="189">
        <v>1</v>
      </c>
      <c r="J52" s="189"/>
      <c r="K52" s="190" t="s">
        <v>82</v>
      </c>
      <c r="L52" s="189"/>
      <c r="M52" s="189"/>
      <c r="N52" s="189"/>
      <c r="O52" s="190"/>
      <c r="P52" s="190"/>
      <c r="Q52" s="190"/>
      <c r="R52" s="190"/>
      <c r="S52" s="190"/>
      <c r="T52" s="190"/>
      <c r="U52" s="190"/>
      <c r="V52" s="191"/>
      <c r="W52" s="191"/>
      <c r="X52" s="192"/>
      <c r="Y52" s="192"/>
      <c r="Z52" s="192"/>
      <c r="AA52" s="193"/>
      <c r="AB52" s="189"/>
      <c r="AC52" s="189"/>
      <c r="AD52" s="189"/>
      <c r="AE52" s="189"/>
      <c r="AF52" s="189"/>
      <c r="AG52" s="189"/>
      <c r="AH52" s="189"/>
      <c r="AI52" s="194"/>
      <c r="AJ52" s="190"/>
      <c r="AK52" s="189"/>
      <c r="AL52" s="189"/>
      <c r="AM52" s="189"/>
      <c r="AN52" s="189"/>
      <c r="AO52" s="189"/>
      <c r="AP52" s="196"/>
      <c r="AQ52" s="189"/>
      <c r="AR52" s="194"/>
      <c r="AS52" s="197"/>
      <c r="AT52" s="198"/>
      <c r="AU52" s="189"/>
      <c r="AV52" s="189"/>
      <c r="AW52" s="189"/>
      <c r="AX52" s="361"/>
      <c r="AY52" s="361"/>
      <c r="AZ52" s="361"/>
      <c r="BA52" s="361"/>
      <c r="BB52" s="361"/>
      <c r="BC52" s="373"/>
    </row>
    <row r="53" spans="1:55" ht="18" customHeight="1">
      <c r="A53" s="232" t="s">
        <v>324</v>
      </c>
      <c r="B53" s="184">
        <v>44868</v>
      </c>
      <c r="C53" s="185" t="s">
        <v>349</v>
      </c>
      <c r="D53" s="185" t="s">
        <v>69</v>
      </c>
      <c r="E53" s="238"/>
      <c r="F53" s="187"/>
      <c r="G53" s="188" t="s">
        <v>350</v>
      </c>
      <c r="H53" s="189"/>
      <c r="I53" s="189"/>
      <c r="J53" s="189"/>
      <c r="K53" s="190"/>
      <c r="L53" s="189">
        <v>1</v>
      </c>
      <c r="M53" s="189"/>
      <c r="N53" s="189"/>
      <c r="O53" s="190" t="s">
        <v>71</v>
      </c>
      <c r="P53" s="190" t="s">
        <v>72</v>
      </c>
      <c r="Q53" s="190" t="s">
        <v>73</v>
      </c>
      <c r="R53" s="190">
        <v>2</v>
      </c>
      <c r="S53" s="190">
        <v>2</v>
      </c>
      <c r="T53" s="190">
        <v>2</v>
      </c>
      <c r="U53" s="190" t="s">
        <v>73</v>
      </c>
      <c r="V53" s="191">
        <f t="shared" ref="V53:V64" si="33">IF(ISBLANK(O53),,(IF(O53=UPPER("IB"),0.005,0.01)))</f>
        <v>0.01</v>
      </c>
      <c r="W53" s="191">
        <f>IF(ISBLANK(O53),,IF(O53=UPPER("IB"),8.63*200,15.2*100))</f>
        <v>1520</v>
      </c>
      <c r="X53" s="192" t="s">
        <v>115</v>
      </c>
      <c r="Y53" s="192"/>
      <c r="Z53" s="192" t="s">
        <v>75</v>
      </c>
      <c r="AA53" s="193">
        <v>0.03</v>
      </c>
      <c r="AB53" s="189"/>
      <c r="AC53" s="189"/>
      <c r="AD53" s="189"/>
      <c r="AE53" s="189">
        <v>0.02</v>
      </c>
      <c r="AF53" s="189"/>
      <c r="AG53" s="189" t="s">
        <v>351</v>
      </c>
      <c r="AH53" s="189"/>
      <c r="AI53" s="194">
        <f t="shared" ref="AI53:AI57" si="34">-0.03*W53</f>
        <v>-45.6</v>
      </c>
      <c r="AJ53" s="194">
        <f t="shared" ref="AJ53:AJ64" si="35">AI53*R53</f>
        <v>-91.2</v>
      </c>
      <c r="AK53" s="189"/>
      <c r="AL53" s="189"/>
      <c r="AM53" s="189" t="s">
        <v>352</v>
      </c>
      <c r="AN53" s="189" t="s">
        <v>82</v>
      </c>
      <c r="AO53" s="189" t="s">
        <v>353</v>
      </c>
      <c r="AP53" s="196">
        <v>0.02</v>
      </c>
      <c r="AQ53" s="196">
        <f t="shared" ref="AQ53:AQ84" si="36">IF(ISBLANK(AP53),,IF(U53="S",AA53-AP53,AP53-AA53))</f>
        <v>9.9999999999999985E-3</v>
      </c>
      <c r="AR53" s="194">
        <f t="shared" ref="AR53:AR77" si="37">AS53*R53</f>
        <v>30.399999999999995</v>
      </c>
      <c r="AS53" s="197">
        <f t="shared" ref="AS53:AS84" si="38">IF(ISBLANK(AP53),,(AQ53*W53))</f>
        <v>15.199999999999998</v>
      </c>
      <c r="AT53" s="198" t="s">
        <v>72</v>
      </c>
      <c r="AU53" s="189"/>
      <c r="AV53" s="189"/>
      <c r="AW53" s="189"/>
      <c r="AX53" s="361"/>
      <c r="AY53" s="361"/>
      <c r="AZ53" s="361"/>
      <c r="BA53" s="361" t="s">
        <v>354</v>
      </c>
      <c r="BB53" s="361"/>
      <c r="BC53" s="373"/>
    </row>
    <row r="54" spans="1:55" ht="18" customHeight="1">
      <c r="A54" s="232" t="s">
        <v>324</v>
      </c>
      <c r="B54" s="184">
        <v>44868</v>
      </c>
      <c r="C54" s="185" t="s">
        <v>355</v>
      </c>
      <c r="D54" s="185" t="s">
        <v>69</v>
      </c>
      <c r="E54" s="238"/>
      <c r="F54" s="187"/>
      <c r="G54" s="188" t="s">
        <v>350</v>
      </c>
      <c r="H54" s="189"/>
      <c r="I54" s="189"/>
      <c r="J54" s="189"/>
      <c r="K54" s="190"/>
      <c r="L54" s="189">
        <v>1</v>
      </c>
      <c r="M54" s="189"/>
      <c r="N54" s="189"/>
      <c r="O54" s="190" t="s">
        <v>71</v>
      </c>
      <c r="P54" s="190" t="s">
        <v>72</v>
      </c>
      <c r="Q54" s="190" t="s">
        <v>73</v>
      </c>
      <c r="R54" s="190">
        <v>2</v>
      </c>
      <c r="S54" s="190">
        <v>2</v>
      </c>
      <c r="T54" s="190">
        <v>2</v>
      </c>
      <c r="U54" s="190" t="s">
        <v>21</v>
      </c>
      <c r="V54" s="191">
        <f t="shared" si="33"/>
        <v>0.01</v>
      </c>
      <c r="W54" s="191">
        <f t="shared" ref="W54:W55" si="39">IF(ISBLANK(O54),,IF(O54=UPPER("IB"),8.63*200,15.15*100))</f>
        <v>1515</v>
      </c>
      <c r="X54" s="192" t="s">
        <v>115</v>
      </c>
      <c r="Y54" s="192"/>
      <c r="Z54" s="192" t="s">
        <v>75</v>
      </c>
      <c r="AA54" s="193">
        <v>0.01</v>
      </c>
      <c r="AB54" s="189"/>
      <c r="AC54" s="189"/>
      <c r="AD54" s="189"/>
      <c r="AE54" s="189">
        <v>0.02</v>
      </c>
      <c r="AF54" s="189"/>
      <c r="AG54" s="189" t="s">
        <v>356</v>
      </c>
      <c r="AH54" s="189"/>
      <c r="AI54" s="194">
        <f t="shared" si="34"/>
        <v>-45.449999999999996</v>
      </c>
      <c r="AJ54" s="194">
        <f t="shared" si="35"/>
        <v>-90.899999999999991</v>
      </c>
      <c r="AK54" s="189"/>
      <c r="AL54" s="189"/>
      <c r="AM54" s="189" t="s">
        <v>357</v>
      </c>
      <c r="AN54" s="189" t="s">
        <v>82</v>
      </c>
      <c r="AO54" s="189" t="s">
        <v>358</v>
      </c>
      <c r="AP54" s="196">
        <v>0.02</v>
      </c>
      <c r="AQ54" s="196">
        <f t="shared" si="36"/>
        <v>0.01</v>
      </c>
      <c r="AR54" s="194">
        <f t="shared" si="37"/>
        <v>30.3</v>
      </c>
      <c r="AS54" s="197">
        <f t="shared" si="38"/>
        <v>15.15</v>
      </c>
      <c r="AT54" s="198" t="s">
        <v>72</v>
      </c>
      <c r="AU54" s="189"/>
      <c r="AV54" s="189"/>
      <c r="AW54" s="189"/>
      <c r="AX54" s="361"/>
      <c r="AY54" s="361"/>
      <c r="AZ54" s="361"/>
      <c r="BA54" s="361"/>
      <c r="BB54" s="361"/>
      <c r="BC54" s="373"/>
    </row>
    <row r="55" spans="1:55" ht="18" customHeight="1">
      <c r="A55" s="232" t="s">
        <v>324</v>
      </c>
      <c r="B55" s="184">
        <v>44869</v>
      </c>
      <c r="C55" s="185" t="s">
        <v>359</v>
      </c>
      <c r="D55" s="185" t="s">
        <v>88</v>
      </c>
      <c r="E55" s="238"/>
      <c r="F55" s="187"/>
      <c r="G55" s="188" t="s">
        <v>257</v>
      </c>
      <c r="H55" s="189"/>
      <c r="I55" s="189"/>
      <c r="J55" s="189"/>
      <c r="K55" s="190"/>
      <c r="L55" s="189">
        <v>1</v>
      </c>
      <c r="M55" s="189"/>
      <c r="N55" s="189"/>
      <c r="O55" s="190" t="s">
        <v>71</v>
      </c>
      <c r="P55" s="190" t="s">
        <v>114</v>
      </c>
      <c r="Q55" s="190" t="s">
        <v>73</v>
      </c>
      <c r="R55" s="190">
        <v>1</v>
      </c>
      <c r="S55" s="190">
        <v>1</v>
      </c>
      <c r="T55" s="190">
        <v>1</v>
      </c>
      <c r="U55" s="190" t="s">
        <v>73</v>
      </c>
      <c r="V55" s="191">
        <f t="shared" si="33"/>
        <v>0.01</v>
      </c>
      <c r="W55" s="191">
        <f t="shared" si="39"/>
        <v>1515</v>
      </c>
      <c r="X55" s="192" t="s">
        <v>360</v>
      </c>
      <c r="Y55" s="192"/>
      <c r="Z55" s="192" t="s">
        <v>75</v>
      </c>
      <c r="AA55" s="193">
        <v>-0.05</v>
      </c>
      <c r="AB55" s="189"/>
      <c r="AC55" s="189"/>
      <c r="AD55" s="189"/>
      <c r="AE55" s="189">
        <v>-0.06</v>
      </c>
      <c r="AF55" s="189"/>
      <c r="AG55" s="189" t="s">
        <v>361</v>
      </c>
      <c r="AH55" s="189"/>
      <c r="AI55" s="194">
        <f t="shared" si="34"/>
        <v>-45.449999999999996</v>
      </c>
      <c r="AJ55" s="194">
        <f t="shared" si="35"/>
        <v>-45.449999999999996</v>
      </c>
      <c r="AK55" s="189"/>
      <c r="AL55" s="189"/>
      <c r="AM55" s="204"/>
      <c r="AN55" s="189" t="s">
        <v>82</v>
      </c>
      <c r="AO55" s="189" t="s">
        <v>362</v>
      </c>
      <c r="AP55" s="196">
        <v>-0.05</v>
      </c>
      <c r="AQ55" s="196">
        <f t="shared" si="36"/>
        <v>0</v>
      </c>
      <c r="AR55" s="194">
        <f t="shared" si="37"/>
        <v>0</v>
      </c>
      <c r="AS55" s="197">
        <f t="shared" si="38"/>
        <v>0</v>
      </c>
      <c r="AT55" s="198" t="s">
        <v>92</v>
      </c>
      <c r="AU55" s="189" t="s">
        <v>363</v>
      </c>
      <c r="AV55" s="189" t="s">
        <v>364</v>
      </c>
      <c r="AW55" s="189"/>
      <c r="AX55" s="361"/>
      <c r="AY55" s="361"/>
      <c r="AZ55" s="361"/>
      <c r="BA55" s="361"/>
      <c r="BB55" s="361"/>
      <c r="BC55" s="373"/>
    </row>
    <row r="56" spans="1:55" ht="18" customHeight="1">
      <c r="A56" s="232" t="s">
        <v>324</v>
      </c>
      <c r="B56" s="184">
        <v>44872</v>
      </c>
      <c r="C56" s="185" t="s">
        <v>365</v>
      </c>
      <c r="D56" s="185" t="s">
        <v>109</v>
      </c>
      <c r="E56" s="238"/>
      <c r="F56" s="187"/>
      <c r="G56" s="188" t="s">
        <v>158</v>
      </c>
      <c r="H56" s="189"/>
      <c r="I56" s="189"/>
      <c r="J56" s="189"/>
      <c r="K56" s="190"/>
      <c r="L56" s="189">
        <v>1</v>
      </c>
      <c r="M56" s="189"/>
      <c r="N56" s="189"/>
      <c r="O56" s="190" t="s">
        <v>71</v>
      </c>
      <c r="P56" s="190" t="s">
        <v>114</v>
      </c>
      <c r="Q56" s="190" t="s">
        <v>73</v>
      </c>
      <c r="R56" s="190">
        <v>1</v>
      </c>
      <c r="S56" s="190">
        <v>1</v>
      </c>
      <c r="T56" s="190">
        <v>1</v>
      </c>
      <c r="U56" s="190" t="s">
        <v>73</v>
      </c>
      <c r="V56" s="191">
        <f t="shared" si="33"/>
        <v>0.01</v>
      </c>
      <c r="W56" s="191">
        <f t="shared" ref="W56:W57" si="40">IF(ISBLANK(O56),,IF(O56=UPPER("IB"),8.63*200,15.5*100))</f>
        <v>1550</v>
      </c>
      <c r="X56" s="192" t="s">
        <v>115</v>
      </c>
      <c r="Y56" s="192"/>
      <c r="Z56" s="192" t="s">
        <v>75</v>
      </c>
      <c r="AA56" s="193">
        <v>-0.04</v>
      </c>
      <c r="AB56" s="189"/>
      <c r="AC56" s="189"/>
      <c r="AD56" s="189"/>
      <c r="AE56" s="189">
        <v>-0.05</v>
      </c>
      <c r="AF56" s="189"/>
      <c r="AG56" s="189"/>
      <c r="AH56" s="189"/>
      <c r="AI56" s="194">
        <f t="shared" si="34"/>
        <v>-46.5</v>
      </c>
      <c r="AJ56" s="194">
        <f t="shared" si="35"/>
        <v>-46.5</v>
      </c>
      <c r="AK56" s="189"/>
      <c r="AL56" s="189"/>
      <c r="AM56" s="189"/>
      <c r="AN56" s="189" t="s">
        <v>82</v>
      </c>
      <c r="AO56" s="240">
        <v>0.91666666666666663</v>
      </c>
      <c r="AP56" s="196">
        <v>-0.05</v>
      </c>
      <c r="AQ56" s="196">
        <f t="shared" si="36"/>
        <v>1.0000000000000002E-2</v>
      </c>
      <c r="AR56" s="194">
        <f t="shared" si="37"/>
        <v>15.500000000000004</v>
      </c>
      <c r="AS56" s="197">
        <f t="shared" si="38"/>
        <v>15.500000000000004</v>
      </c>
      <c r="AT56" s="198" t="s">
        <v>72</v>
      </c>
      <c r="AU56" s="189" t="s">
        <v>366</v>
      </c>
      <c r="AV56" s="189"/>
      <c r="AW56" s="189"/>
      <c r="AX56" s="361"/>
      <c r="AY56" s="361"/>
      <c r="AZ56" s="361"/>
      <c r="BA56" s="361"/>
      <c r="BB56" s="361"/>
      <c r="BC56" s="373"/>
    </row>
    <row r="57" spans="1:55" ht="18" customHeight="1">
      <c r="A57" s="232" t="s">
        <v>324</v>
      </c>
      <c r="B57" s="184">
        <v>44872</v>
      </c>
      <c r="C57" s="185" t="s">
        <v>367</v>
      </c>
      <c r="D57" s="185"/>
      <c r="E57" s="238"/>
      <c r="F57" s="187"/>
      <c r="G57" s="188" t="s">
        <v>368</v>
      </c>
      <c r="H57" s="189"/>
      <c r="I57" s="189"/>
      <c r="J57" s="189"/>
      <c r="K57" s="190"/>
      <c r="L57" s="189">
        <v>1</v>
      </c>
      <c r="M57" s="189"/>
      <c r="N57" s="189"/>
      <c r="O57" s="190" t="s">
        <v>71</v>
      </c>
      <c r="P57" s="190" t="s">
        <v>72</v>
      </c>
      <c r="Q57" s="190" t="s">
        <v>73</v>
      </c>
      <c r="R57" s="190">
        <v>1</v>
      </c>
      <c r="S57" s="190">
        <v>1</v>
      </c>
      <c r="T57" s="190">
        <v>1</v>
      </c>
      <c r="U57" s="190" t="s">
        <v>21</v>
      </c>
      <c r="V57" s="191">
        <f t="shared" si="33"/>
        <v>0.01</v>
      </c>
      <c r="W57" s="191">
        <f t="shared" si="40"/>
        <v>1550</v>
      </c>
      <c r="X57" s="192"/>
      <c r="Y57" s="192"/>
      <c r="Z57" s="192" t="s">
        <v>369</v>
      </c>
      <c r="AA57" s="193">
        <v>95.71</v>
      </c>
      <c r="AB57" s="189"/>
      <c r="AC57" s="189"/>
      <c r="AD57" s="189"/>
      <c r="AE57" s="189"/>
      <c r="AF57" s="189"/>
      <c r="AG57" s="189"/>
      <c r="AH57" s="189"/>
      <c r="AI57" s="194">
        <f t="shared" si="34"/>
        <v>-46.5</v>
      </c>
      <c r="AJ57" s="194">
        <f t="shared" si="35"/>
        <v>-46.5</v>
      </c>
      <c r="AK57" s="189"/>
      <c r="AL57" s="189"/>
      <c r="AM57" s="189" t="s">
        <v>370</v>
      </c>
      <c r="AN57" s="189" t="s">
        <v>371</v>
      </c>
      <c r="AO57" s="189"/>
      <c r="AP57" s="196">
        <v>95.68</v>
      </c>
      <c r="AQ57" s="196">
        <f t="shared" si="36"/>
        <v>-2.9999999999986926E-2</v>
      </c>
      <c r="AR57" s="194">
        <f t="shared" si="37"/>
        <v>-46.499999999979735</v>
      </c>
      <c r="AS57" s="197">
        <f t="shared" si="38"/>
        <v>-46.499999999979735</v>
      </c>
      <c r="AT57" s="198" t="s">
        <v>206</v>
      </c>
      <c r="AU57" s="189" t="s">
        <v>372</v>
      </c>
      <c r="AV57" s="189" t="s">
        <v>373</v>
      </c>
      <c r="AW57" s="189" t="s">
        <v>374</v>
      </c>
      <c r="AX57" s="361"/>
      <c r="AY57" s="361"/>
      <c r="AZ57" s="361"/>
      <c r="BA57" s="361" t="s">
        <v>375</v>
      </c>
      <c r="BB57" s="361" t="s">
        <v>376</v>
      </c>
      <c r="BC57" s="373"/>
    </row>
    <row r="58" spans="1:55" ht="18" customHeight="1">
      <c r="A58" s="232" t="s">
        <v>324</v>
      </c>
      <c r="B58" s="184">
        <v>44873</v>
      </c>
      <c r="C58" s="185" t="s">
        <v>377</v>
      </c>
      <c r="D58" s="185" t="s">
        <v>123</v>
      </c>
      <c r="E58" s="238"/>
      <c r="F58" s="187"/>
      <c r="G58" s="188" t="s">
        <v>257</v>
      </c>
      <c r="H58" s="189"/>
      <c r="I58" s="189"/>
      <c r="J58" s="189"/>
      <c r="K58" s="190"/>
      <c r="L58" s="189"/>
      <c r="M58" s="189"/>
      <c r="N58" s="189"/>
      <c r="O58" s="190" t="s">
        <v>71</v>
      </c>
      <c r="P58" s="190" t="s">
        <v>114</v>
      </c>
      <c r="Q58" s="190" t="s">
        <v>73</v>
      </c>
      <c r="R58" s="190">
        <v>2</v>
      </c>
      <c r="S58" s="190">
        <v>2</v>
      </c>
      <c r="T58" s="190">
        <v>2</v>
      </c>
      <c r="U58" s="190" t="s">
        <v>21</v>
      </c>
      <c r="V58" s="191">
        <f t="shared" si="33"/>
        <v>0.01</v>
      </c>
      <c r="W58" s="191">
        <f>IF(ISBLANK(O58),,IF(O58=UPPER("IB"),8.63*200,15.6*100))</f>
        <v>1560</v>
      </c>
      <c r="X58" s="192" t="s">
        <v>343</v>
      </c>
      <c r="Y58" s="192"/>
      <c r="Z58" s="192" t="s">
        <v>75</v>
      </c>
      <c r="AA58" s="193">
        <v>-0.06</v>
      </c>
      <c r="AB58" s="189"/>
      <c r="AC58" s="189"/>
      <c r="AD58" s="189"/>
      <c r="AE58" s="189">
        <v>-0.05</v>
      </c>
      <c r="AF58" s="189"/>
      <c r="AG58" s="189" t="s">
        <v>344</v>
      </c>
      <c r="AH58" s="189"/>
      <c r="AI58" s="194">
        <f t="shared" ref="AI58:AI60" si="41">-0.02*W58</f>
        <v>-31.2</v>
      </c>
      <c r="AJ58" s="194">
        <f t="shared" si="35"/>
        <v>-62.4</v>
      </c>
      <c r="AK58" s="189"/>
      <c r="AL58" s="189"/>
      <c r="AM58" s="189"/>
      <c r="AN58" s="189" t="s">
        <v>92</v>
      </c>
      <c r="AO58" s="189" t="s">
        <v>378</v>
      </c>
      <c r="AP58" s="196">
        <v>-0.06</v>
      </c>
      <c r="AQ58" s="196">
        <f t="shared" si="36"/>
        <v>0</v>
      </c>
      <c r="AR58" s="194">
        <f t="shared" si="37"/>
        <v>0</v>
      </c>
      <c r="AS58" s="197">
        <f t="shared" si="38"/>
        <v>0</v>
      </c>
      <c r="AT58" s="198" t="s">
        <v>92</v>
      </c>
      <c r="AU58" s="189" t="s">
        <v>379</v>
      </c>
      <c r="AV58" s="189"/>
      <c r="AW58" s="189"/>
      <c r="AX58" s="361"/>
      <c r="AY58" s="361"/>
      <c r="AZ58" s="361"/>
      <c r="BA58" s="361"/>
      <c r="BB58" s="361"/>
      <c r="BC58" s="373"/>
    </row>
    <row r="59" spans="1:55" ht="18" customHeight="1">
      <c r="A59" s="232" t="s">
        <v>324</v>
      </c>
      <c r="B59" s="184">
        <v>44873</v>
      </c>
      <c r="C59" s="185" t="s">
        <v>380</v>
      </c>
      <c r="D59" s="185" t="s">
        <v>123</v>
      </c>
      <c r="E59" s="238"/>
      <c r="F59" s="187"/>
      <c r="G59" s="188" t="s">
        <v>342</v>
      </c>
      <c r="H59" s="189"/>
      <c r="I59" s="189"/>
      <c r="J59" s="189"/>
      <c r="K59" s="190"/>
      <c r="L59" s="189"/>
      <c r="M59" s="189"/>
      <c r="N59" s="189"/>
      <c r="O59" s="190" t="s">
        <v>71</v>
      </c>
      <c r="P59" s="190" t="s">
        <v>114</v>
      </c>
      <c r="Q59" s="190" t="s">
        <v>73</v>
      </c>
      <c r="R59" s="190">
        <v>2</v>
      </c>
      <c r="S59" s="190">
        <v>2</v>
      </c>
      <c r="T59" s="190">
        <v>2</v>
      </c>
      <c r="U59" s="190" t="s">
        <v>73</v>
      </c>
      <c r="V59" s="191">
        <f t="shared" si="33"/>
        <v>0.01</v>
      </c>
      <c r="W59" s="191">
        <f>IF(ISBLANK(O59),,IF(O59=UPPER("IB"),8.63*200,15.15*100))</f>
        <v>1515</v>
      </c>
      <c r="X59" s="192" t="s">
        <v>381</v>
      </c>
      <c r="Y59" s="192"/>
      <c r="Z59" s="192"/>
      <c r="AA59" s="193">
        <v>-0.03</v>
      </c>
      <c r="AB59" s="189"/>
      <c r="AC59" s="189"/>
      <c r="AD59" s="189"/>
      <c r="AE59" s="189" t="s">
        <v>382</v>
      </c>
      <c r="AF59" s="189"/>
      <c r="AG59" s="189" t="s">
        <v>383</v>
      </c>
      <c r="AH59" s="189"/>
      <c r="AI59" s="194">
        <f t="shared" si="41"/>
        <v>-30.3</v>
      </c>
      <c r="AJ59" s="194">
        <f t="shared" si="35"/>
        <v>-60.6</v>
      </c>
      <c r="AK59" s="189"/>
      <c r="AL59" s="189"/>
      <c r="AM59" s="189"/>
      <c r="AN59" s="189" t="s">
        <v>92</v>
      </c>
      <c r="AO59" s="189"/>
      <c r="AP59" s="196">
        <v>-0.03</v>
      </c>
      <c r="AQ59" s="196">
        <f t="shared" si="36"/>
        <v>0</v>
      </c>
      <c r="AR59" s="194">
        <f t="shared" si="37"/>
        <v>0</v>
      </c>
      <c r="AS59" s="197">
        <f t="shared" si="38"/>
        <v>0</v>
      </c>
      <c r="AT59" s="198" t="s">
        <v>92</v>
      </c>
      <c r="AU59" s="189" t="s">
        <v>384</v>
      </c>
      <c r="AV59" s="189" t="s">
        <v>385</v>
      </c>
      <c r="AW59" s="189"/>
      <c r="AX59" s="361" t="s">
        <v>386</v>
      </c>
      <c r="AY59" s="361"/>
      <c r="AZ59" s="361"/>
      <c r="BA59" s="361"/>
      <c r="BB59" s="361"/>
      <c r="BC59" s="373"/>
    </row>
    <row r="60" spans="1:55" ht="18" customHeight="1">
      <c r="A60" s="232" t="s">
        <v>324</v>
      </c>
      <c r="B60" s="184">
        <v>44873</v>
      </c>
      <c r="C60" s="185" t="s">
        <v>387</v>
      </c>
      <c r="D60" s="185" t="s">
        <v>123</v>
      </c>
      <c r="E60" s="238"/>
      <c r="F60" s="187"/>
      <c r="G60" s="188" t="s">
        <v>257</v>
      </c>
      <c r="H60" s="189"/>
      <c r="I60" s="189"/>
      <c r="J60" s="189"/>
      <c r="K60" s="190"/>
      <c r="L60" s="189">
        <v>1</v>
      </c>
      <c r="M60" s="189"/>
      <c r="N60" s="189">
        <v>1</v>
      </c>
      <c r="O60" s="190" t="s">
        <v>71</v>
      </c>
      <c r="P60" s="190" t="s">
        <v>114</v>
      </c>
      <c r="Q60" s="190" t="s">
        <v>73</v>
      </c>
      <c r="R60" s="190">
        <v>1</v>
      </c>
      <c r="S60" s="190">
        <v>1</v>
      </c>
      <c r="T60" s="190">
        <v>1</v>
      </c>
      <c r="U60" s="190" t="s">
        <v>21</v>
      </c>
      <c r="V60" s="191">
        <f t="shared" si="33"/>
        <v>0.01</v>
      </c>
      <c r="W60" s="191">
        <f>IF(ISBLANK(O60),,IF(O60=UPPER("IB"),8.63*200,15.6*100))</f>
        <v>1560</v>
      </c>
      <c r="X60" s="192" t="s">
        <v>388</v>
      </c>
      <c r="Y60" s="192"/>
      <c r="Z60" s="192"/>
      <c r="AA60" s="193">
        <v>-7.0000000000000007E-2</v>
      </c>
      <c r="AB60" s="189"/>
      <c r="AC60" s="189"/>
      <c r="AD60" s="189"/>
      <c r="AE60" s="189">
        <v>5</v>
      </c>
      <c r="AF60" s="189"/>
      <c r="AG60" s="189" t="s">
        <v>344</v>
      </c>
      <c r="AH60" s="189"/>
      <c r="AI60" s="194">
        <f t="shared" si="41"/>
        <v>-31.2</v>
      </c>
      <c r="AJ60" s="194">
        <f t="shared" si="35"/>
        <v>-31.2</v>
      </c>
      <c r="AK60" s="189"/>
      <c r="AL60" s="189"/>
      <c r="AM60" s="189" t="s">
        <v>389</v>
      </c>
      <c r="AN60" s="189" t="s">
        <v>82</v>
      </c>
      <c r="AO60" s="189" t="s">
        <v>378</v>
      </c>
      <c r="AP60" s="196">
        <v>-0.06</v>
      </c>
      <c r="AQ60" s="196">
        <f t="shared" si="36"/>
        <v>1.0000000000000009E-2</v>
      </c>
      <c r="AR60" s="194">
        <f t="shared" si="37"/>
        <v>15.600000000000014</v>
      </c>
      <c r="AS60" s="197">
        <f t="shared" si="38"/>
        <v>15.600000000000014</v>
      </c>
      <c r="AT60" s="198" t="s">
        <v>72</v>
      </c>
      <c r="AU60" s="189" t="s">
        <v>384</v>
      </c>
      <c r="AV60" s="189" t="s">
        <v>390</v>
      </c>
      <c r="AW60" s="189"/>
      <c r="AX60" s="361"/>
      <c r="AY60" s="361"/>
      <c r="AZ60" s="361"/>
      <c r="BA60" s="361" t="s">
        <v>391</v>
      </c>
      <c r="BB60" s="361"/>
      <c r="BC60" s="373"/>
    </row>
    <row r="61" spans="1:55" ht="18" customHeight="1">
      <c r="A61" s="232" t="s">
        <v>324</v>
      </c>
      <c r="B61" s="184">
        <v>44873</v>
      </c>
      <c r="C61" s="185" t="s">
        <v>392</v>
      </c>
      <c r="D61" s="185" t="s">
        <v>123</v>
      </c>
      <c r="E61" s="238"/>
      <c r="F61" s="187"/>
      <c r="G61" s="206" t="s">
        <v>350</v>
      </c>
      <c r="H61" s="189"/>
      <c r="I61" s="189"/>
      <c r="J61" s="189"/>
      <c r="K61" s="190"/>
      <c r="L61" s="189">
        <v>1</v>
      </c>
      <c r="M61" s="189"/>
      <c r="N61" s="189">
        <v>1</v>
      </c>
      <c r="O61" s="190" t="s">
        <v>71</v>
      </c>
      <c r="P61" s="190" t="s">
        <v>72</v>
      </c>
      <c r="Q61" s="190" t="s">
        <v>73</v>
      </c>
      <c r="R61" s="190">
        <v>2</v>
      </c>
      <c r="S61" s="190">
        <v>2</v>
      </c>
      <c r="T61" s="190">
        <v>2</v>
      </c>
      <c r="U61" s="190" t="s">
        <v>73</v>
      </c>
      <c r="V61" s="191">
        <f t="shared" si="33"/>
        <v>0.01</v>
      </c>
      <c r="W61" s="191">
        <f>IF(ISBLANK(O61),,IF(O61=UPPER("IB"),8.63*200,15.5*100))</f>
        <v>1550</v>
      </c>
      <c r="X61" s="192" t="s">
        <v>393</v>
      </c>
      <c r="Y61" s="192"/>
      <c r="Z61" s="192"/>
      <c r="AA61" s="193">
        <v>0.02</v>
      </c>
      <c r="AB61" s="189"/>
      <c r="AC61" s="189"/>
      <c r="AD61" s="189"/>
      <c r="AE61" s="189" t="s">
        <v>394</v>
      </c>
      <c r="AF61" s="189"/>
      <c r="AG61" s="189" t="s">
        <v>395</v>
      </c>
      <c r="AH61" s="189"/>
      <c r="AI61" s="194">
        <f t="shared" ref="AI61:AI62" si="42">-0.03*W61</f>
        <v>-46.5</v>
      </c>
      <c r="AJ61" s="194">
        <f t="shared" si="35"/>
        <v>-93</v>
      </c>
      <c r="AK61" s="189"/>
      <c r="AL61" s="189"/>
      <c r="AM61" s="189" t="s">
        <v>396</v>
      </c>
      <c r="AN61" s="189" t="s">
        <v>82</v>
      </c>
      <c r="AO61" s="189" t="s">
        <v>397</v>
      </c>
      <c r="AP61" s="196">
        <v>0.01</v>
      </c>
      <c r="AQ61" s="196">
        <f t="shared" si="36"/>
        <v>0.01</v>
      </c>
      <c r="AR61" s="194">
        <f t="shared" si="37"/>
        <v>31</v>
      </c>
      <c r="AS61" s="197">
        <f t="shared" si="38"/>
        <v>15.5</v>
      </c>
      <c r="AT61" s="198" t="s">
        <v>72</v>
      </c>
      <c r="AU61" s="189" t="s">
        <v>384</v>
      </c>
      <c r="AV61" s="189" t="s">
        <v>385</v>
      </c>
      <c r="AW61" s="189"/>
      <c r="AX61" s="361" t="s">
        <v>398</v>
      </c>
      <c r="AY61" s="361" t="s">
        <v>386</v>
      </c>
      <c r="AZ61" s="361"/>
      <c r="BA61" s="361" t="s">
        <v>391</v>
      </c>
      <c r="BB61" s="361"/>
      <c r="BC61" s="373"/>
    </row>
    <row r="62" spans="1:55" ht="18" customHeight="1">
      <c r="A62" s="232" t="s">
        <v>324</v>
      </c>
      <c r="B62" s="241">
        <v>44874</v>
      </c>
      <c r="C62" s="185" t="s">
        <v>399</v>
      </c>
      <c r="D62" s="185" t="s">
        <v>128</v>
      </c>
      <c r="E62" s="238"/>
      <c r="F62" s="187"/>
      <c r="G62" s="206" t="s">
        <v>400</v>
      </c>
      <c r="H62" s="189"/>
      <c r="I62" s="189"/>
      <c r="J62" s="189"/>
      <c r="K62" s="190"/>
      <c r="L62" s="189"/>
      <c r="M62" s="189">
        <v>1</v>
      </c>
      <c r="N62" s="189"/>
      <c r="O62" s="190" t="s">
        <v>71</v>
      </c>
      <c r="P62" s="190" t="s">
        <v>72</v>
      </c>
      <c r="Q62" s="242" t="s">
        <v>233</v>
      </c>
      <c r="R62" s="190">
        <v>1</v>
      </c>
      <c r="S62" s="190">
        <v>1</v>
      </c>
      <c r="T62" s="190">
        <v>1</v>
      </c>
      <c r="U62" s="190" t="s">
        <v>21</v>
      </c>
      <c r="V62" s="191">
        <f t="shared" si="33"/>
        <v>0.01</v>
      </c>
      <c r="W62" s="191">
        <f>IF(ISBLANK(O62),,IF(O62=UPPER("IB"),8.63*200,16.2*100))</f>
        <v>1620</v>
      </c>
      <c r="X62" s="192"/>
      <c r="Y62" s="192"/>
      <c r="Z62" s="192" t="s">
        <v>401</v>
      </c>
      <c r="AA62" s="193">
        <v>0.03</v>
      </c>
      <c r="AB62" s="189" t="s">
        <v>402</v>
      </c>
      <c r="AC62" s="189"/>
      <c r="AD62" s="189"/>
      <c r="AE62" s="189">
        <v>0.05</v>
      </c>
      <c r="AF62" s="189" t="s">
        <v>403</v>
      </c>
      <c r="AG62" s="189"/>
      <c r="AH62" s="189"/>
      <c r="AI62" s="194">
        <f t="shared" si="42"/>
        <v>-48.6</v>
      </c>
      <c r="AJ62" s="194">
        <f t="shared" si="35"/>
        <v>-48.6</v>
      </c>
      <c r="AK62" s="189" t="s">
        <v>404</v>
      </c>
      <c r="AL62" s="189"/>
      <c r="AM62" s="189" t="s">
        <v>405</v>
      </c>
      <c r="AN62" s="189" t="s">
        <v>72</v>
      </c>
      <c r="AO62" s="239">
        <v>44881.208333333336</v>
      </c>
      <c r="AP62" s="196">
        <v>0.04</v>
      </c>
      <c r="AQ62" s="196">
        <f t="shared" si="36"/>
        <v>1.0000000000000002E-2</v>
      </c>
      <c r="AR62" s="194">
        <f t="shared" si="37"/>
        <v>16.200000000000003</v>
      </c>
      <c r="AS62" s="197">
        <f t="shared" si="38"/>
        <v>16.200000000000003</v>
      </c>
      <c r="AT62" s="198" t="s">
        <v>72</v>
      </c>
      <c r="AU62" s="189" t="s">
        <v>406</v>
      </c>
      <c r="AV62" s="189" t="s">
        <v>407</v>
      </c>
      <c r="AW62" s="204" t="s">
        <v>408</v>
      </c>
      <c r="AX62" s="361"/>
      <c r="AY62" s="361"/>
      <c r="AZ62" s="361"/>
      <c r="BA62" s="361" t="s">
        <v>409</v>
      </c>
      <c r="BB62" s="361" t="s">
        <v>410</v>
      </c>
      <c r="BC62" s="373"/>
    </row>
    <row r="63" spans="1:55" ht="18" customHeight="1">
      <c r="A63" s="232" t="s">
        <v>324</v>
      </c>
      <c r="B63" s="184">
        <v>44875</v>
      </c>
      <c r="C63" s="185" t="s">
        <v>411</v>
      </c>
      <c r="D63" s="185" t="s">
        <v>69</v>
      </c>
      <c r="E63" s="238"/>
      <c r="F63" s="187"/>
      <c r="G63" s="188" t="s">
        <v>412</v>
      </c>
      <c r="H63" s="189"/>
      <c r="I63" s="189"/>
      <c r="J63" s="189"/>
      <c r="K63" s="190"/>
      <c r="L63" s="189"/>
      <c r="M63" s="189"/>
      <c r="N63" s="189">
        <v>1</v>
      </c>
      <c r="O63" s="190" t="s">
        <v>71</v>
      </c>
      <c r="P63" s="190" t="s">
        <v>72</v>
      </c>
      <c r="Q63" s="190" t="s">
        <v>73</v>
      </c>
      <c r="R63" s="190">
        <v>1</v>
      </c>
      <c r="S63" s="190">
        <v>1</v>
      </c>
      <c r="T63" s="190">
        <v>1</v>
      </c>
      <c r="U63" s="190" t="s">
        <v>21</v>
      </c>
      <c r="V63" s="191">
        <f t="shared" si="33"/>
        <v>0.01</v>
      </c>
      <c r="W63" s="191">
        <f>IF(ISBLANK(O63),,IF(O63=UPPER("IB"),8.63*200,15.8*100))</f>
        <v>1580</v>
      </c>
      <c r="X63" s="192" t="s">
        <v>413</v>
      </c>
      <c r="Y63" s="192"/>
      <c r="Z63" s="192"/>
      <c r="AA63" s="193">
        <v>0.26</v>
      </c>
      <c r="AB63" s="189" t="s">
        <v>414</v>
      </c>
      <c r="AC63" s="189">
        <v>0.23</v>
      </c>
      <c r="AD63" s="189" t="s">
        <v>415</v>
      </c>
      <c r="AE63" s="189" t="s">
        <v>416</v>
      </c>
      <c r="AF63" s="189" t="s">
        <v>417</v>
      </c>
      <c r="AG63" s="189"/>
      <c r="AH63" s="189">
        <v>1</v>
      </c>
      <c r="AI63" s="194">
        <f>-0.04*W63</f>
        <v>-63.2</v>
      </c>
      <c r="AJ63" s="194">
        <f t="shared" si="35"/>
        <v>-63.2</v>
      </c>
      <c r="AK63" s="189" t="s">
        <v>418</v>
      </c>
      <c r="AL63" s="189"/>
      <c r="AM63" s="189"/>
      <c r="AN63" s="189" t="s">
        <v>82</v>
      </c>
      <c r="AO63" s="189" t="s">
        <v>419</v>
      </c>
      <c r="AP63" s="196">
        <v>0.22</v>
      </c>
      <c r="AQ63" s="196">
        <f t="shared" si="36"/>
        <v>-4.0000000000000008E-2</v>
      </c>
      <c r="AR63" s="194">
        <f t="shared" si="37"/>
        <v>-63.20000000000001</v>
      </c>
      <c r="AS63" s="197">
        <f t="shared" si="38"/>
        <v>-63.20000000000001</v>
      </c>
      <c r="AT63" s="198" t="s">
        <v>206</v>
      </c>
      <c r="AU63" s="189" t="s">
        <v>420</v>
      </c>
      <c r="AV63" s="189" t="s">
        <v>421</v>
      </c>
      <c r="AW63" s="189"/>
      <c r="AX63" s="361"/>
      <c r="AY63" s="361"/>
      <c r="AZ63" s="361"/>
      <c r="BA63" s="361" t="s">
        <v>422</v>
      </c>
      <c r="BB63" s="361"/>
      <c r="BC63" s="373"/>
    </row>
    <row r="64" spans="1:55" ht="18" customHeight="1">
      <c r="A64" s="232" t="s">
        <v>324</v>
      </c>
      <c r="B64" s="243">
        <v>44875</v>
      </c>
      <c r="C64" s="244" t="s">
        <v>423</v>
      </c>
      <c r="D64" s="185" t="s">
        <v>69</v>
      </c>
      <c r="E64" s="238"/>
      <c r="F64" s="187"/>
      <c r="G64" s="206" t="s">
        <v>400</v>
      </c>
      <c r="H64" s="189"/>
      <c r="I64" s="189"/>
      <c r="J64" s="189"/>
      <c r="K64" s="190"/>
      <c r="L64" s="189"/>
      <c r="M64" s="189">
        <v>1</v>
      </c>
      <c r="N64" s="189"/>
      <c r="O64" s="190" t="s">
        <v>71</v>
      </c>
      <c r="P64" s="190" t="s">
        <v>72</v>
      </c>
      <c r="Q64" s="190" t="s">
        <v>233</v>
      </c>
      <c r="R64" s="190">
        <v>1</v>
      </c>
      <c r="S64" s="190">
        <v>1</v>
      </c>
      <c r="T64" s="190">
        <v>1</v>
      </c>
      <c r="U64" s="190" t="s">
        <v>21</v>
      </c>
      <c r="V64" s="191">
        <f t="shared" si="33"/>
        <v>0.01</v>
      </c>
      <c r="W64" s="191">
        <f>IF(ISBLANK(O64),,IF(O64=UPPER("IB"),8.63*200,16.1*100))</f>
        <v>1610.0000000000002</v>
      </c>
      <c r="X64" s="192"/>
      <c r="Y64" s="192"/>
      <c r="Z64" s="192" t="s">
        <v>424</v>
      </c>
      <c r="AA64" s="193">
        <v>0.03</v>
      </c>
      <c r="AB64" s="189"/>
      <c r="AC64" s="189"/>
      <c r="AD64" s="189"/>
      <c r="AE64" s="189">
        <v>5</v>
      </c>
      <c r="AF64" s="189" t="s">
        <v>403</v>
      </c>
      <c r="AG64" s="189"/>
      <c r="AH64" s="189"/>
      <c r="AI64" s="194">
        <f>-0.03*W64</f>
        <v>-48.300000000000004</v>
      </c>
      <c r="AJ64" s="194">
        <f t="shared" si="35"/>
        <v>-48.300000000000004</v>
      </c>
      <c r="AK64" s="189" t="s">
        <v>425</v>
      </c>
      <c r="AL64" s="189"/>
      <c r="AM64" s="189" t="s">
        <v>426</v>
      </c>
      <c r="AN64" s="189" t="s">
        <v>72</v>
      </c>
      <c r="AO64" s="189" t="s">
        <v>427</v>
      </c>
      <c r="AP64" s="196">
        <v>7.0000000000000007E-2</v>
      </c>
      <c r="AQ64" s="196">
        <f t="shared" si="36"/>
        <v>4.0000000000000008E-2</v>
      </c>
      <c r="AR64" s="194">
        <f t="shared" si="37"/>
        <v>64.40000000000002</v>
      </c>
      <c r="AS64" s="197">
        <f t="shared" si="38"/>
        <v>64.40000000000002</v>
      </c>
      <c r="AT64" s="198" t="s">
        <v>72</v>
      </c>
      <c r="AU64" s="189" t="s">
        <v>407</v>
      </c>
      <c r="AV64" s="189" t="s">
        <v>428</v>
      </c>
      <c r="AW64" s="189"/>
      <c r="AX64" s="361" t="s">
        <v>429</v>
      </c>
      <c r="AY64" s="361"/>
      <c r="AZ64" s="361"/>
      <c r="BA64" s="362" t="s">
        <v>430</v>
      </c>
      <c r="BB64" s="361"/>
      <c r="BC64" s="373"/>
    </row>
    <row r="65" spans="1:55" ht="18" customHeight="1">
      <c r="A65" s="232" t="s">
        <v>324</v>
      </c>
      <c r="B65" s="243">
        <v>44875</v>
      </c>
      <c r="C65" s="201">
        <v>0.79166666666666663</v>
      </c>
      <c r="D65" s="185" t="s">
        <v>69</v>
      </c>
      <c r="E65" s="238" t="s">
        <v>431</v>
      </c>
      <c r="F65" s="245" t="s">
        <v>432</v>
      </c>
      <c r="G65" s="188"/>
      <c r="H65" s="189"/>
      <c r="I65" s="189"/>
      <c r="J65" s="189">
        <v>1</v>
      </c>
      <c r="K65" s="190" t="s">
        <v>92</v>
      </c>
      <c r="L65" s="189"/>
      <c r="M65" s="189"/>
      <c r="N65" s="189"/>
      <c r="O65" s="190"/>
      <c r="P65" s="190"/>
      <c r="Q65" s="190"/>
      <c r="R65" s="190"/>
      <c r="S65" s="190"/>
      <c r="T65" s="190"/>
      <c r="U65" s="190"/>
      <c r="V65" s="191"/>
      <c r="W65" s="191"/>
      <c r="X65" s="192"/>
      <c r="Y65" s="192"/>
      <c r="Z65" s="192"/>
      <c r="AA65" s="193"/>
      <c r="AB65" s="189"/>
      <c r="AC65" s="189"/>
      <c r="AD65" s="189"/>
      <c r="AE65" s="189"/>
      <c r="AF65" s="189"/>
      <c r="AG65" s="189"/>
      <c r="AH65" s="189"/>
      <c r="AI65" s="194"/>
      <c r="AJ65" s="190"/>
      <c r="AK65" s="189"/>
      <c r="AL65" s="189"/>
      <c r="AM65" s="189"/>
      <c r="AN65" s="189"/>
      <c r="AO65" s="189"/>
      <c r="AP65" s="196"/>
      <c r="AQ65" s="189">
        <f t="shared" si="36"/>
        <v>0</v>
      </c>
      <c r="AR65" s="194">
        <f t="shared" si="37"/>
        <v>0</v>
      </c>
      <c r="AS65" s="197">
        <f t="shared" si="38"/>
        <v>0</v>
      </c>
      <c r="AT65" s="198"/>
      <c r="AU65" s="189"/>
      <c r="AV65" s="189"/>
      <c r="AW65" s="189"/>
      <c r="AX65" s="361"/>
      <c r="AY65" s="361"/>
      <c r="AZ65" s="361"/>
      <c r="BA65" s="361"/>
      <c r="BB65" s="361"/>
      <c r="BC65" s="373"/>
    </row>
    <row r="66" spans="1:55" ht="18" customHeight="1">
      <c r="A66" s="232" t="s">
        <v>324</v>
      </c>
      <c r="B66" s="246"/>
      <c r="C66" s="201"/>
      <c r="D66" s="185"/>
      <c r="E66" s="238" t="s">
        <v>433</v>
      </c>
      <c r="F66" s="187"/>
      <c r="G66" s="188"/>
      <c r="H66" s="189"/>
      <c r="I66" s="189"/>
      <c r="J66" s="189">
        <v>1</v>
      </c>
      <c r="K66" s="190" t="s">
        <v>92</v>
      </c>
      <c r="L66" s="189"/>
      <c r="M66" s="189"/>
      <c r="N66" s="189"/>
      <c r="O66" s="190"/>
      <c r="P66" s="190"/>
      <c r="Q66" s="190"/>
      <c r="R66" s="190"/>
      <c r="S66" s="190"/>
      <c r="T66" s="190"/>
      <c r="U66" s="190"/>
      <c r="V66" s="191"/>
      <c r="W66" s="191"/>
      <c r="X66" s="192"/>
      <c r="Y66" s="192"/>
      <c r="Z66" s="192"/>
      <c r="AA66" s="193"/>
      <c r="AB66" s="189"/>
      <c r="AC66" s="189"/>
      <c r="AD66" s="189"/>
      <c r="AE66" s="189"/>
      <c r="AF66" s="189"/>
      <c r="AG66" s="189"/>
      <c r="AH66" s="189"/>
      <c r="AI66" s="194"/>
      <c r="AJ66" s="190"/>
      <c r="AK66" s="189"/>
      <c r="AL66" s="189"/>
      <c r="AM66" s="189"/>
      <c r="AN66" s="189"/>
      <c r="AO66" s="189"/>
      <c r="AP66" s="196"/>
      <c r="AQ66" s="189">
        <f t="shared" si="36"/>
        <v>0</v>
      </c>
      <c r="AR66" s="194">
        <f t="shared" si="37"/>
        <v>0</v>
      </c>
      <c r="AS66" s="197">
        <f t="shared" si="38"/>
        <v>0</v>
      </c>
      <c r="AT66" s="198"/>
      <c r="AU66" s="189"/>
      <c r="AV66" s="189"/>
      <c r="AW66" s="189"/>
      <c r="AX66" s="361"/>
      <c r="AY66" s="361"/>
      <c r="AZ66" s="361"/>
      <c r="BA66" s="361"/>
      <c r="BB66" s="361"/>
      <c r="BC66" s="373"/>
    </row>
    <row r="67" spans="1:55" ht="18" customHeight="1">
      <c r="A67" s="232" t="s">
        <v>324</v>
      </c>
      <c r="B67" s="243"/>
      <c r="C67" s="201"/>
      <c r="D67" s="185"/>
      <c r="E67" s="238" t="s">
        <v>434</v>
      </c>
      <c r="F67" s="187"/>
      <c r="G67" s="188"/>
      <c r="H67" s="189"/>
      <c r="I67" s="189"/>
      <c r="J67" s="189">
        <v>1</v>
      </c>
      <c r="K67" s="190" t="s">
        <v>92</v>
      </c>
      <c r="L67" s="189"/>
      <c r="M67" s="189"/>
      <c r="N67" s="189"/>
      <c r="O67" s="190"/>
      <c r="P67" s="190"/>
      <c r="Q67" s="190"/>
      <c r="R67" s="190"/>
      <c r="S67" s="190"/>
      <c r="T67" s="190"/>
      <c r="U67" s="190"/>
      <c r="V67" s="191"/>
      <c r="W67" s="191"/>
      <c r="X67" s="192"/>
      <c r="Y67" s="192"/>
      <c r="Z67" s="192"/>
      <c r="AA67" s="193"/>
      <c r="AB67" s="189"/>
      <c r="AC67" s="189"/>
      <c r="AD67" s="189"/>
      <c r="AE67" s="189"/>
      <c r="AF67" s="189"/>
      <c r="AG67" s="189"/>
      <c r="AH67" s="189"/>
      <c r="AI67" s="194"/>
      <c r="AJ67" s="190"/>
      <c r="AK67" s="189"/>
      <c r="AL67" s="189"/>
      <c r="AM67" s="189"/>
      <c r="AN67" s="189"/>
      <c r="AO67" s="189"/>
      <c r="AP67" s="196"/>
      <c r="AQ67" s="189">
        <f t="shared" si="36"/>
        <v>0</v>
      </c>
      <c r="AR67" s="194">
        <f t="shared" si="37"/>
        <v>0</v>
      </c>
      <c r="AS67" s="197">
        <f t="shared" si="38"/>
        <v>0</v>
      </c>
      <c r="AT67" s="198"/>
      <c r="AU67" s="189"/>
      <c r="AV67" s="189"/>
      <c r="AW67" s="189"/>
      <c r="AX67" s="361"/>
      <c r="AY67" s="361"/>
      <c r="AZ67" s="361"/>
      <c r="BA67" s="361"/>
      <c r="BB67" s="361"/>
      <c r="BC67" s="373"/>
    </row>
    <row r="68" spans="1:55" ht="18" customHeight="1">
      <c r="A68" s="232" t="s">
        <v>324</v>
      </c>
      <c r="B68" s="243">
        <v>44875</v>
      </c>
      <c r="C68" s="185"/>
      <c r="D68" s="185" t="s">
        <v>69</v>
      </c>
      <c r="E68" s="238"/>
      <c r="F68" s="187"/>
      <c r="G68" s="247" t="s">
        <v>435</v>
      </c>
      <c r="H68" s="189"/>
      <c r="I68" s="189"/>
      <c r="J68" s="189"/>
      <c r="K68" s="190"/>
      <c r="L68" s="189">
        <v>1</v>
      </c>
      <c r="M68" s="189">
        <v>1</v>
      </c>
      <c r="N68" s="189"/>
      <c r="O68" s="190" t="s">
        <v>71</v>
      </c>
      <c r="P68" s="190" t="s">
        <v>72</v>
      </c>
      <c r="Q68" s="190" t="s">
        <v>73</v>
      </c>
      <c r="R68" s="190">
        <v>1</v>
      </c>
      <c r="S68" s="190">
        <v>1</v>
      </c>
      <c r="T68" s="190">
        <v>1</v>
      </c>
      <c r="U68" s="190" t="s">
        <v>21</v>
      </c>
      <c r="V68" s="191">
        <f t="shared" ref="V68:V146" si="43">IF(ISBLANK(O68),,(IF(O68=UPPER("IB"),0.005,0.01)))</f>
        <v>0.01</v>
      </c>
      <c r="W68" s="191">
        <f t="shared" ref="W68:W71" si="44">IF(ISBLANK(O68),,IF(O68=UPPER("IB"),8.63*200,15.8*100))</f>
        <v>1580</v>
      </c>
      <c r="X68" s="192"/>
      <c r="Y68" s="192"/>
      <c r="Z68" s="192" t="s">
        <v>436</v>
      </c>
      <c r="AA68" s="193">
        <v>0.03</v>
      </c>
      <c r="AB68" s="189" t="s">
        <v>437</v>
      </c>
      <c r="AC68" s="189"/>
      <c r="AD68" s="189"/>
      <c r="AE68" s="189" t="s">
        <v>438</v>
      </c>
      <c r="AF68" s="189"/>
      <c r="AG68" s="189"/>
      <c r="AH68" s="189"/>
      <c r="AI68" s="194">
        <f t="shared" ref="AI68:AI70" si="45">-0.03*W68</f>
        <v>-47.4</v>
      </c>
      <c r="AJ68" s="194">
        <f t="shared" ref="AJ68:AJ77" si="46">AI68*R68</f>
        <v>-47.4</v>
      </c>
      <c r="AK68" s="189"/>
      <c r="AL68" s="189"/>
      <c r="AM68" s="189" t="s">
        <v>439</v>
      </c>
      <c r="AN68" s="189" t="s">
        <v>72</v>
      </c>
      <c r="AO68" s="189" t="s">
        <v>440</v>
      </c>
      <c r="AP68" s="196">
        <v>0.06</v>
      </c>
      <c r="AQ68" s="196">
        <f t="shared" si="36"/>
        <v>0.03</v>
      </c>
      <c r="AR68" s="194">
        <f t="shared" si="37"/>
        <v>47.4</v>
      </c>
      <c r="AS68" s="197">
        <f t="shared" si="38"/>
        <v>47.4</v>
      </c>
      <c r="AT68" s="198" t="s">
        <v>72</v>
      </c>
      <c r="AU68" s="189" t="s">
        <v>441</v>
      </c>
      <c r="AV68" s="189" t="s">
        <v>442</v>
      </c>
      <c r="AW68" s="189"/>
      <c r="AX68" s="361"/>
      <c r="AY68" s="361"/>
      <c r="AZ68" s="361"/>
      <c r="BA68" s="361"/>
      <c r="BB68" s="361"/>
      <c r="BC68" s="373"/>
    </row>
    <row r="69" spans="1:55" ht="18" customHeight="1">
      <c r="A69" s="232" t="s">
        <v>324</v>
      </c>
      <c r="B69" s="184">
        <v>44876</v>
      </c>
      <c r="C69" s="185" t="s">
        <v>443</v>
      </c>
      <c r="D69" s="185" t="s">
        <v>88</v>
      </c>
      <c r="E69" s="238"/>
      <c r="F69" s="187"/>
      <c r="G69" s="188" t="s">
        <v>412</v>
      </c>
      <c r="H69" s="189"/>
      <c r="I69" s="189"/>
      <c r="J69" s="189"/>
      <c r="K69" s="190"/>
      <c r="L69" s="189"/>
      <c r="M69" s="189"/>
      <c r="N69" s="189">
        <v>1</v>
      </c>
      <c r="O69" s="190" t="s">
        <v>71</v>
      </c>
      <c r="P69" s="190" t="s">
        <v>72</v>
      </c>
      <c r="Q69" s="190" t="s">
        <v>73</v>
      </c>
      <c r="R69" s="190">
        <v>1</v>
      </c>
      <c r="S69" s="190">
        <v>1</v>
      </c>
      <c r="T69" s="190">
        <v>1</v>
      </c>
      <c r="U69" s="190" t="s">
        <v>73</v>
      </c>
      <c r="V69" s="191">
        <f t="shared" si="43"/>
        <v>0.01</v>
      </c>
      <c r="W69" s="191">
        <f t="shared" si="44"/>
        <v>1580</v>
      </c>
      <c r="X69" s="192" t="s">
        <v>444</v>
      </c>
      <c r="Y69" s="192"/>
      <c r="Z69" s="192"/>
      <c r="AA69" s="193">
        <v>0.2</v>
      </c>
      <c r="AB69" s="189"/>
      <c r="AC69" s="189"/>
      <c r="AD69" s="189"/>
      <c r="AE69" s="189"/>
      <c r="AF69" s="189"/>
      <c r="AG69" s="189"/>
      <c r="AH69" s="189"/>
      <c r="AI69" s="194">
        <f t="shared" si="45"/>
        <v>-47.4</v>
      </c>
      <c r="AJ69" s="194">
        <f t="shared" si="46"/>
        <v>-47.4</v>
      </c>
      <c r="AK69" s="189"/>
      <c r="AL69" s="189"/>
      <c r="AM69" s="189"/>
      <c r="AN69" s="189" t="s">
        <v>82</v>
      </c>
      <c r="AO69" s="240">
        <v>0.16666666666666666</v>
      </c>
      <c r="AP69" s="196">
        <v>0.22</v>
      </c>
      <c r="AQ69" s="196">
        <f t="shared" si="36"/>
        <v>-1.999999999999999E-2</v>
      </c>
      <c r="AR69" s="194">
        <f t="shared" si="37"/>
        <v>-31.599999999999984</v>
      </c>
      <c r="AS69" s="197">
        <f t="shared" si="38"/>
        <v>-31.599999999999984</v>
      </c>
      <c r="AT69" s="198" t="s">
        <v>206</v>
      </c>
      <c r="AU69" s="189" t="s">
        <v>445</v>
      </c>
      <c r="AV69" s="189" t="s">
        <v>446</v>
      </c>
      <c r="AW69" s="189" t="s">
        <v>447</v>
      </c>
      <c r="AX69" s="361" t="s">
        <v>448</v>
      </c>
      <c r="AY69" s="361" t="s">
        <v>449</v>
      </c>
      <c r="AZ69" s="361" t="s">
        <v>450</v>
      </c>
      <c r="BA69" s="361" t="s">
        <v>451</v>
      </c>
      <c r="BB69" s="361"/>
      <c r="BC69" s="373"/>
    </row>
    <row r="70" spans="1:55" ht="18" customHeight="1">
      <c r="A70" s="232" t="s">
        <v>324</v>
      </c>
      <c r="B70" s="184">
        <v>44876</v>
      </c>
      <c r="C70" s="185" t="s">
        <v>452</v>
      </c>
      <c r="D70" s="185" t="s">
        <v>88</v>
      </c>
      <c r="E70" s="238"/>
      <c r="F70" s="187"/>
      <c r="G70" s="248" t="s">
        <v>435</v>
      </c>
      <c r="H70" s="189"/>
      <c r="I70" s="189"/>
      <c r="J70" s="189"/>
      <c r="K70" s="190"/>
      <c r="L70" s="189"/>
      <c r="M70" s="189">
        <v>2</v>
      </c>
      <c r="N70" s="189"/>
      <c r="O70" s="190" t="s">
        <v>71</v>
      </c>
      <c r="P70" s="190" t="s">
        <v>72</v>
      </c>
      <c r="Q70" s="190" t="s">
        <v>233</v>
      </c>
      <c r="R70" s="190">
        <v>1</v>
      </c>
      <c r="S70" s="190">
        <v>1</v>
      </c>
      <c r="T70" s="190">
        <v>1</v>
      </c>
      <c r="U70" s="190" t="s">
        <v>21</v>
      </c>
      <c r="V70" s="191">
        <f t="shared" si="43"/>
        <v>0.01</v>
      </c>
      <c r="W70" s="191">
        <f t="shared" si="44"/>
        <v>1580</v>
      </c>
      <c r="X70" s="192" t="s">
        <v>453</v>
      </c>
      <c r="Y70" s="192"/>
      <c r="Z70" s="192" t="s">
        <v>401</v>
      </c>
      <c r="AA70" s="193">
        <v>0.02</v>
      </c>
      <c r="AB70" s="191"/>
      <c r="AC70" s="189"/>
      <c r="AD70" s="189"/>
      <c r="AE70" s="189" t="s">
        <v>438</v>
      </c>
      <c r="AF70" s="189"/>
      <c r="AG70" s="189"/>
      <c r="AH70" s="189"/>
      <c r="AI70" s="194">
        <f t="shared" si="45"/>
        <v>-47.4</v>
      </c>
      <c r="AJ70" s="194">
        <f t="shared" si="46"/>
        <v>-47.4</v>
      </c>
      <c r="AK70" s="189"/>
      <c r="AL70" s="189"/>
      <c r="AM70" s="189" t="s">
        <v>439</v>
      </c>
      <c r="AN70" s="189" t="s">
        <v>72</v>
      </c>
      <c r="AO70" s="189" t="s">
        <v>454</v>
      </c>
      <c r="AP70" s="196">
        <v>0.06</v>
      </c>
      <c r="AQ70" s="196">
        <f t="shared" si="36"/>
        <v>3.9999999999999994E-2</v>
      </c>
      <c r="AR70" s="194">
        <f t="shared" si="37"/>
        <v>63.199999999999989</v>
      </c>
      <c r="AS70" s="197">
        <f t="shared" si="38"/>
        <v>63.199999999999989</v>
      </c>
      <c r="AT70" s="198" t="s">
        <v>72</v>
      </c>
      <c r="AU70" s="189" t="s">
        <v>455</v>
      </c>
      <c r="AV70" s="189" t="s">
        <v>441</v>
      </c>
      <c r="AW70" s="189"/>
      <c r="AX70" s="361" t="s">
        <v>456</v>
      </c>
      <c r="AY70" s="362" t="s">
        <v>457</v>
      </c>
      <c r="AZ70" s="361" t="s">
        <v>458</v>
      </c>
      <c r="BA70" s="361"/>
      <c r="BB70" s="361"/>
      <c r="BC70" s="373"/>
    </row>
    <row r="71" spans="1:55" ht="18" customHeight="1">
      <c r="A71" s="232" t="s">
        <v>324</v>
      </c>
      <c r="B71" s="184">
        <v>44876</v>
      </c>
      <c r="C71" s="185" t="s">
        <v>459</v>
      </c>
      <c r="D71" s="185" t="s">
        <v>88</v>
      </c>
      <c r="E71" s="238"/>
      <c r="F71" s="187"/>
      <c r="G71" s="188" t="s">
        <v>257</v>
      </c>
      <c r="H71" s="189"/>
      <c r="I71" s="189"/>
      <c r="J71" s="189"/>
      <c r="K71" s="190"/>
      <c r="L71" s="189">
        <v>1</v>
      </c>
      <c r="M71" s="189">
        <v>1</v>
      </c>
      <c r="N71" s="189"/>
      <c r="O71" s="190" t="s">
        <v>71</v>
      </c>
      <c r="P71" s="190" t="s">
        <v>114</v>
      </c>
      <c r="Q71" s="190" t="s">
        <v>73</v>
      </c>
      <c r="R71" s="190">
        <v>2</v>
      </c>
      <c r="S71" s="190">
        <v>2</v>
      </c>
      <c r="T71" s="190">
        <v>2</v>
      </c>
      <c r="U71" s="190" t="s">
        <v>73</v>
      </c>
      <c r="V71" s="191">
        <f t="shared" si="43"/>
        <v>0.01</v>
      </c>
      <c r="W71" s="191">
        <f t="shared" si="44"/>
        <v>1580</v>
      </c>
      <c r="X71" s="192" t="s">
        <v>460</v>
      </c>
      <c r="Y71" s="192"/>
      <c r="Z71" s="192" t="s">
        <v>75</v>
      </c>
      <c r="AA71" s="193">
        <v>-0.04</v>
      </c>
      <c r="AB71" s="189"/>
      <c r="AC71" s="189">
        <v>0</v>
      </c>
      <c r="AD71" s="189"/>
      <c r="AE71" s="189">
        <v>-0.04</v>
      </c>
      <c r="AF71" s="189" t="s">
        <v>461</v>
      </c>
      <c r="AG71" s="189"/>
      <c r="AH71" s="189"/>
      <c r="AI71" s="194">
        <f>-0.02*W71</f>
        <v>-31.6</v>
      </c>
      <c r="AJ71" s="194">
        <f t="shared" si="46"/>
        <v>-63.2</v>
      </c>
      <c r="AK71" s="189"/>
      <c r="AL71" s="189"/>
      <c r="AM71" s="189" t="s">
        <v>462</v>
      </c>
      <c r="AN71" s="189" t="s">
        <v>92</v>
      </c>
      <c r="AO71" s="189" t="s">
        <v>463</v>
      </c>
      <c r="AP71" s="196">
        <v>-0.04</v>
      </c>
      <c r="AQ71" s="196">
        <f t="shared" si="36"/>
        <v>0</v>
      </c>
      <c r="AR71" s="194">
        <f t="shared" si="37"/>
        <v>0</v>
      </c>
      <c r="AS71" s="197">
        <f t="shared" si="38"/>
        <v>0</v>
      </c>
      <c r="AT71" s="198" t="s">
        <v>92</v>
      </c>
      <c r="AU71" s="189"/>
      <c r="AV71" s="189"/>
      <c r="AW71" s="189"/>
      <c r="AX71" s="361"/>
      <c r="AY71" s="361"/>
      <c r="AZ71" s="361"/>
      <c r="BA71" s="361"/>
      <c r="BB71" s="361"/>
      <c r="BC71" s="373"/>
    </row>
    <row r="72" spans="1:55" ht="18" customHeight="1">
      <c r="A72" s="232" t="s">
        <v>324</v>
      </c>
      <c r="B72" s="184">
        <v>44876</v>
      </c>
      <c r="C72" s="185" t="s">
        <v>464</v>
      </c>
      <c r="D72" s="185" t="s">
        <v>88</v>
      </c>
      <c r="E72" s="238"/>
      <c r="F72" s="187"/>
      <c r="G72" s="190" t="s">
        <v>248</v>
      </c>
      <c r="H72" s="189"/>
      <c r="I72" s="189"/>
      <c r="J72" s="189"/>
      <c r="K72" s="190"/>
      <c r="L72" s="189">
        <v>1</v>
      </c>
      <c r="M72" s="189">
        <v>1</v>
      </c>
      <c r="N72" s="189"/>
      <c r="O72" s="190" t="s">
        <v>71</v>
      </c>
      <c r="P72" s="190" t="s">
        <v>114</v>
      </c>
      <c r="Q72" s="190" t="s">
        <v>73</v>
      </c>
      <c r="R72" s="190">
        <v>2</v>
      </c>
      <c r="S72" s="190">
        <v>2</v>
      </c>
      <c r="T72" s="190">
        <v>2</v>
      </c>
      <c r="U72" s="190" t="s">
        <v>73</v>
      </c>
      <c r="V72" s="191">
        <f t="shared" si="43"/>
        <v>0.01</v>
      </c>
      <c r="W72" s="191">
        <f t="shared" ref="W72:W74" si="47">IF(ISBLANK(O72),,IF(O72=UPPER("IB"),8.63*200,16.2*100))</f>
        <v>1620</v>
      </c>
      <c r="X72" s="192"/>
      <c r="Y72" s="192"/>
      <c r="Z72" s="192" t="s">
        <v>465</v>
      </c>
      <c r="AA72" s="193">
        <v>-0.04</v>
      </c>
      <c r="AB72" s="189"/>
      <c r="AC72" s="189">
        <v>-0.01</v>
      </c>
      <c r="AD72" s="189"/>
      <c r="AE72" s="189"/>
      <c r="AF72" s="189"/>
      <c r="AG72" s="189"/>
      <c r="AH72" s="189"/>
      <c r="AI72" s="194">
        <f t="shared" ref="AI72:AI75" si="48">-0.03*W72</f>
        <v>-48.6</v>
      </c>
      <c r="AJ72" s="194">
        <f t="shared" si="46"/>
        <v>-97.2</v>
      </c>
      <c r="AK72" s="189"/>
      <c r="AL72" s="189"/>
      <c r="AM72" s="189" t="s">
        <v>466</v>
      </c>
      <c r="AN72" s="189" t="s">
        <v>92</v>
      </c>
      <c r="AO72" s="202">
        <v>44880.666666666664</v>
      </c>
      <c r="AP72" s="196">
        <v>-0.05</v>
      </c>
      <c r="AQ72" s="196">
        <f t="shared" si="36"/>
        <v>1.0000000000000002E-2</v>
      </c>
      <c r="AR72" s="194">
        <f t="shared" si="37"/>
        <v>32.400000000000006</v>
      </c>
      <c r="AS72" s="197">
        <f t="shared" si="38"/>
        <v>16.200000000000003</v>
      </c>
      <c r="AT72" s="198" t="s">
        <v>72</v>
      </c>
      <c r="AU72" s="189"/>
      <c r="AV72" s="189"/>
      <c r="AW72" s="189"/>
      <c r="AX72" s="361"/>
      <c r="AY72" s="361"/>
      <c r="AZ72" s="361"/>
      <c r="BA72" s="361"/>
      <c r="BB72" s="361"/>
      <c r="BC72" s="373"/>
    </row>
    <row r="73" spans="1:55" ht="18" customHeight="1">
      <c r="A73" s="232" t="s">
        <v>324</v>
      </c>
      <c r="B73" s="184">
        <v>44876</v>
      </c>
      <c r="C73" s="185" t="s">
        <v>467</v>
      </c>
      <c r="D73" s="185" t="s">
        <v>88</v>
      </c>
      <c r="E73" s="238"/>
      <c r="F73" s="187"/>
      <c r="G73" s="249" t="s">
        <v>257</v>
      </c>
      <c r="H73" s="189"/>
      <c r="I73" s="189"/>
      <c r="J73" s="189"/>
      <c r="K73" s="190"/>
      <c r="L73" s="189">
        <v>1</v>
      </c>
      <c r="M73" s="189"/>
      <c r="N73" s="189"/>
      <c r="O73" s="190" t="s">
        <v>71</v>
      </c>
      <c r="P73" s="190" t="s">
        <v>114</v>
      </c>
      <c r="Q73" s="190" t="s">
        <v>73</v>
      </c>
      <c r="R73" s="190">
        <v>2</v>
      </c>
      <c r="S73" s="190">
        <v>2</v>
      </c>
      <c r="T73" s="190">
        <v>2</v>
      </c>
      <c r="U73" s="190" t="s">
        <v>73</v>
      </c>
      <c r="V73" s="191">
        <f t="shared" si="43"/>
        <v>0.01</v>
      </c>
      <c r="W73" s="191">
        <f t="shared" si="47"/>
        <v>1620</v>
      </c>
      <c r="X73" s="192"/>
      <c r="Y73" s="192"/>
      <c r="Z73" s="192" t="s">
        <v>465</v>
      </c>
      <c r="AA73" s="193">
        <v>-0.03</v>
      </c>
      <c r="AB73" s="189"/>
      <c r="AC73" s="189">
        <v>0</v>
      </c>
      <c r="AD73" s="189"/>
      <c r="AE73" s="189"/>
      <c r="AF73" s="189"/>
      <c r="AG73" s="189"/>
      <c r="AH73" s="189"/>
      <c r="AI73" s="194">
        <f t="shared" si="48"/>
        <v>-48.6</v>
      </c>
      <c r="AJ73" s="194">
        <f t="shared" si="46"/>
        <v>-97.2</v>
      </c>
      <c r="AK73" s="189"/>
      <c r="AL73" s="189"/>
      <c r="AM73" s="189" t="s">
        <v>466</v>
      </c>
      <c r="AN73" s="189" t="s">
        <v>92</v>
      </c>
      <c r="AO73" s="189" t="s">
        <v>468</v>
      </c>
      <c r="AP73" s="196">
        <v>-0.05</v>
      </c>
      <c r="AQ73" s="196">
        <f t="shared" si="36"/>
        <v>2.0000000000000004E-2</v>
      </c>
      <c r="AR73" s="194">
        <f t="shared" si="37"/>
        <v>64.800000000000011</v>
      </c>
      <c r="AS73" s="197">
        <f t="shared" si="38"/>
        <v>32.400000000000006</v>
      </c>
      <c r="AT73" s="198" t="s">
        <v>72</v>
      </c>
      <c r="AU73" s="189" t="s">
        <v>469</v>
      </c>
      <c r="AV73" s="189"/>
      <c r="AW73" s="189"/>
      <c r="AX73" s="361"/>
      <c r="AY73" s="361"/>
      <c r="AZ73" s="361"/>
      <c r="BA73" s="361"/>
      <c r="BB73" s="361"/>
      <c r="BC73" s="373"/>
    </row>
    <row r="74" spans="1:55" ht="18" customHeight="1">
      <c r="A74" s="232" t="s">
        <v>324</v>
      </c>
      <c r="B74" s="184">
        <v>44876</v>
      </c>
      <c r="C74" s="185" t="s">
        <v>470</v>
      </c>
      <c r="D74" s="185" t="s">
        <v>88</v>
      </c>
      <c r="E74" s="238"/>
      <c r="F74" s="187"/>
      <c r="G74" s="206" t="s">
        <v>248</v>
      </c>
      <c r="H74" s="189"/>
      <c r="I74" s="189"/>
      <c r="J74" s="189"/>
      <c r="K74" s="190"/>
      <c r="L74" s="189">
        <v>1</v>
      </c>
      <c r="M74" s="189"/>
      <c r="N74" s="189"/>
      <c r="O74" s="190" t="s">
        <v>71</v>
      </c>
      <c r="P74" s="190" t="s">
        <v>114</v>
      </c>
      <c r="Q74" s="190" t="s">
        <v>73</v>
      </c>
      <c r="R74" s="190">
        <v>2</v>
      </c>
      <c r="S74" s="190">
        <v>2</v>
      </c>
      <c r="T74" s="190">
        <v>2</v>
      </c>
      <c r="U74" s="190" t="s">
        <v>73</v>
      </c>
      <c r="V74" s="191">
        <f t="shared" si="43"/>
        <v>0.01</v>
      </c>
      <c r="W74" s="191">
        <f t="shared" si="47"/>
        <v>1620</v>
      </c>
      <c r="X74" s="192"/>
      <c r="Y74" s="192"/>
      <c r="Z74" s="192" t="s">
        <v>471</v>
      </c>
      <c r="AA74" s="193">
        <v>-0.03</v>
      </c>
      <c r="AB74" s="189"/>
      <c r="AC74" s="189"/>
      <c r="AD74" s="189"/>
      <c r="AE74" s="189"/>
      <c r="AF74" s="189"/>
      <c r="AG74" s="189"/>
      <c r="AH74" s="189"/>
      <c r="AI74" s="194">
        <f t="shared" si="48"/>
        <v>-48.6</v>
      </c>
      <c r="AJ74" s="194">
        <f t="shared" si="46"/>
        <v>-97.2</v>
      </c>
      <c r="AK74" s="189"/>
      <c r="AL74" s="189"/>
      <c r="AM74" s="189" t="s">
        <v>466</v>
      </c>
      <c r="AN74" s="189" t="s">
        <v>92</v>
      </c>
      <c r="AO74" s="189" t="s">
        <v>472</v>
      </c>
      <c r="AP74" s="196">
        <v>-0.06</v>
      </c>
      <c r="AQ74" s="196">
        <f t="shared" si="36"/>
        <v>0.03</v>
      </c>
      <c r="AR74" s="194">
        <f t="shared" si="37"/>
        <v>97.2</v>
      </c>
      <c r="AS74" s="197">
        <f t="shared" si="38"/>
        <v>48.6</v>
      </c>
      <c r="AT74" s="198" t="s">
        <v>72</v>
      </c>
      <c r="AU74" s="189" t="s">
        <v>473</v>
      </c>
      <c r="AV74" s="189" t="s">
        <v>474</v>
      </c>
      <c r="AW74" s="189"/>
      <c r="AX74" s="361" t="s">
        <v>475</v>
      </c>
      <c r="AY74" s="361" t="s">
        <v>476</v>
      </c>
      <c r="AZ74" s="361"/>
      <c r="BA74" s="361"/>
      <c r="BB74" s="361"/>
      <c r="BC74" s="373"/>
    </row>
    <row r="75" spans="1:55" ht="18" customHeight="1">
      <c r="A75" s="232" t="s">
        <v>324</v>
      </c>
      <c r="B75" s="184">
        <v>44876</v>
      </c>
      <c r="C75" s="185" t="s">
        <v>477</v>
      </c>
      <c r="D75" s="185" t="s">
        <v>88</v>
      </c>
      <c r="E75" s="238"/>
      <c r="F75" s="187"/>
      <c r="G75" s="188" t="s">
        <v>342</v>
      </c>
      <c r="H75" s="189"/>
      <c r="I75" s="189"/>
      <c r="J75" s="189"/>
      <c r="K75" s="190"/>
      <c r="L75" s="189">
        <v>1</v>
      </c>
      <c r="M75" s="189"/>
      <c r="N75" s="189"/>
      <c r="O75" s="190" t="s">
        <v>71</v>
      </c>
      <c r="P75" s="190" t="s">
        <v>114</v>
      </c>
      <c r="Q75" s="190" t="s">
        <v>73</v>
      </c>
      <c r="R75" s="190">
        <v>2</v>
      </c>
      <c r="S75" s="190">
        <v>2</v>
      </c>
      <c r="T75" s="190">
        <v>2</v>
      </c>
      <c r="U75" s="190" t="s">
        <v>73</v>
      </c>
      <c r="V75" s="191">
        <f t="shared" si="43"/>
        <v>0.01</v>
      </c>
      <c r="W75" s="191">
        <f>IF(ISBLANK(O75),,IF(O75=UPPER("IB"),8.63*200,15.8*100))</f>
        <v>1580</v>
      </c>
      <c r="X75" s="192"/>
      <c r="Y75" s="192"/>
      <c r="Z75" s="192" t="s">
        <v>478</v>
      </c>
      <c r="AA75" s="193">
        <v>-0.03</v>
      </c>
      <c r="AB75" s="189"/>
      <c r="AC75" s="189"/>
      <c r="AD75" s="189"/>
      <c r="AE75" s="189">
        <v>-0.03</v>
      </c>
      <c r="AF75" s="189" t="s">
        <v>479</v>
      </c>
      <c r="AG75" s="189"/>
      <c r="AH75" s="189"/>
      <c r="AI75" s="194">
        <f t="shared" si="48"/>
        <v>-47.4</v>
      </c>
      <c r="AJ75" s="194">
        <f t="shared" si="46"/>
        <v>-94.8</v>
      </c>
      <c r="AK75" s="189"/>
      <c r="AL75" s="189"/>
      <c r="AM75" s="189" t="s">
        <v>466</v>
      </c>
      <c r="AN75" s="189" t="s">
        <v>92</v>
      </c>
      <c r="AO75" s="189" t="s">
        <v>480</v>
      </c>
      <c r="AP75" s="196">
        <v>-0.03</v>
      </c>
      <c r="AQ75" s="196">
        <f t="shared" si="36"/>
        <v>0</v>
      </c>
      <c r="AR75" s="194">
        <f t="shared" si="37"/>
        <v>0</v>
      </c>
      <c r="AS75" s="197">
        <f t="shared" si="38"/>
        <v>0</v>
      </c>
      <c r="AT75" s="198" t="s">
        <v>92</v>
      </c>
      <c r="AU75" s="189" t="s">
        <v>481</v>
      </c>
      <c r="AV75" s="189"/>
      <c r="AW75" s="189"/>
      <c r="AX75" s="361"/>
      <c r="AY75" s="361"/>
      <c r="AZ75" s="361"/>
      <c r="BA75" s="361"/>
      <c r="BB75" s="361"/>
      <c r="BC75" s="373"/>
    </row>
    <row r="76" spans="1:55" ht="18" customHeight="1">
      <c r="A76" s="232" t="s">
        <v>324</v>
      </c>
      <c r="B76" s="184">
        <v>44876</v>
      </c>
      <c r="C76" s="185" t="s">
        <v>482</v>
      </c>
      <c r="D76" s="185" t="s">
        <v>88</v>
      </c>
      <c r="E76" s="238"/>
      <c r="F76" s="187"/>
      <c r="G76" s="206" t="s">
        <v>483</v>
      </c>
      <c r="H76" s="189"/>
      <c r="I76" s="189"/>
      <c r="J76" s="189"/>
      <c r="K76" s="190"/>
      <c r="L76" s="189">
        <v>1</v>
      </c>
      <c r="M76" s="189">
        <v>1</v>
      </c>
      <c r="N76" s="189"/>
      <c r="O76" s="190" t="s">
        <v>71</v>
      </c>
      <c r="P76" s="190" t="s">
        <v>72</v>
      </c>
      <c r="Q76" s="190" t="s">
        <v>233</v>
      </c>
      <c r="R76" s="190">
        <v>1</v>
      </c>
      <c r="S76" s="190">
        <v>1</v>
      </c>
      <c r="T76" s="190">
        <v>1</v>
      </c>
      <c r="U76" s="190" t="s">
        <v>21</v>
      </c>
      <c r="V76" s="191">
        <f t="shared" si="43"/>
        <v>0.01</v>
      </c>
      <c r="W76" s="191">
        <f>IF(ISBLANK(O76),,IF(O76=UPPER("IB"),8.63*200,16.2*100))</f>
        <v>1620</v>
      </c>
      <c r="X76" s="192" t="s">
        <v>484</v>
      </c>
      <c r="Y76" s="192"/>
      <c r="Z76" s="192" t="s">
        <v>485</v>
      </c>
      <c r="AA76" s="193">
        <v>0.15</v>
      </c>
      <c r="AB76" s="189" t="s">
        <v>486</v>
      </c>
      <c r="AC76" s="189">
        <v>12</v>
      </c>
      <c r="AD76" s="189"/>
      <c r="AE76" s="189" t="s">
        <v>487</v>
      </c>
      <c r="AF76" s="189" t="s">
        <v>488</v>
      </c>
      <c r="AG76" s="189"/>
      <c r="AH76" s="189"/>
      <c r="AI76" s="194">
        <f t="shared" ref="AI76:AI77" si="49">-0.04*W76</f>
        <v>-64.8</v>
      </c>
      <c r="AJ76" s="194">
        <f t="shared" si="46"/>
        <v>-64.8</v>
      </c>
      <c r="AK76" s="189" t="s">
        <v>489</v>
      </c>
      <c r="AL76" s="189" t="s">
        <v>490</v>
      </c>
      <c r="AM76" s="189"/>
      <c r="AN76" s="189" t="s">
        <v>92</v>
      </c>
      <c r="AO76" s="189" t="s">
        <v>491</v>
      </c>
      <c r="AP76" s="196">
        <v>0.13</v>
      </c>
      <c r="AQ76" s="196">
        <f t="shared" si="36"/>
        <v>-1.999999999999999E-2</v>
      </c>
      <c r="AR76" s="194">
        <f t="shared" si="37"/>
        <v>-32.399999999999984</v>
      </c>
      <c r="AS76" s="197">
        <f t="shared" si="38"/>
        <v>-32.399999999999984</v>
      </c>
      <c r="AT76" s="198" t="s">
        <v>206</v>
      </c>
      <c r="AU76" s="189" t="s">
        <v>492</v>
      </c>
      <c r="AV76" s="189" t="s">
        <v>493</v>
      </c>
      <c r="AW76" s="189" t="s">
        <v>494</v>
      </c>
      <c r="AX76" s="361"/>
      <c r="AY76" s="361"/>
      <c r="AZ76" s="361"/>
      <c r="BA76" s="361"/>
      <c r="BB76" s="361"/>
      <c r="BC76" s="373"/>
    </row>
    <row r="77" spans="1:55" ht="18" customHeight="1">
      <c r="A77" s="232" t="s">
        <v>324</v>
      </c>
      <c r="B77" s="184">
        <v>40861</v>
      </c>
      <c r="C77" s="185" t="s">
        <v>495</v>
      </c>
      <c r="D77" s="185" t="s">
        <v>88</v>
      </c>
      <c r="E77" s="238"/>
      <c r="F77" s="187"/>
      <c r="G77" s="188" t="s">
        <v>496</v>
      </c>
      <c r="H77" s="189"/>
      <c r="I77" s="189"/>
      <c r="J77" s="189"/>
      <c r="K77" s="190"/>
      <c r="L77" s="189"/>
      <c r="M77" s="189">
        <v>1</v>
      </c>
      <c r="N77" s="189"/>
      <c r="O77" s="190" t="s">
        <v>71</v>
      </c>
      <c r="P77" s="190" t="s">
        <v>72</v>
      </c>
      <c r="Q77" s="190" t="s">
        <v>233</v>
      </c>
      <c r="R77" s="190">
        <v>1</v>
      </c>
      <c r="S77" s="190">
        <v>1</v>
      </c>
      <c r="T77" s="190">
        <v>1</v>
      </c>
      <c r="U77" s="190" t="s">
        <v>21</v>
      </c>
      <c r="V77" s="191">
        <f t="shared" si="43"/>
        <v>0.01</v>
      </c>
      <c r="W77" s="191">
        <f t="shared" ref="W77:W86" si="50">IF(ISBLANK(O77),,IF(O77=UPPER("IB"),8.63*200,15.8*100))</f>
        <v>1580</v>
      </c>
      <c r="X77" s="192" t="s">
        <v>497</v>
      </c>
      <c r="Y77" s="192"/>
      <c r="Z77" s="192" t="s">
        <v>498</v>
      </c>
      <c r="AA77" s="193">
        <v>0.02</v>
      </c>
      <c r="AB77" s="189"/>
      <c r="AC77" s="189">
        <v>-2</v>
      </c>
      <c r="AD77" s="189"/>
      <c r="AE77" s="189" t="s">
        <v>499</v>
      </c>
      <c r="AF77" s="189" t="s">
        <v>500</v>
      </c>
      <c r="AG77" s="189"/>
      <c r="AH77" s="189"/>
      <c r="AI77" s="194">
        <f t="shared" si="49"/>
        <v>-63.2</v>
      </c>
      <c r="AJ77" s="194">
        <f t="shared" si="46"/>
        <v>-63.2</v>
      </c>
      <c r="AK77" s="189" t="s">
        <v>238</v>
      </c>
      <c r="AL77" s="189"/>
      <c r="AM77" s="250">
        <v>44895</v>
      </c>
      <c r="AN77" s="189" t="s">
        <v>72</v>
      </c>
      <c r="AO77" s="189" t="s">
        <v>501</v>
      </c>
      <c r="AP77" s="196">
        <v>0.02</v>
      </c>
      <c r="AQ77" s="196">
        <f t="shared" si="36"/>
        <v>0</v>
      </c>
      <c r="AR77" s="194">
        <f t="shared" si="37"/>
        <v>0</v>
      </c>
      <c r="AS77" s="197">
        <f t="shared" si="38"/>
        <v>0</v>
      </c>
      <c r="AT77" s="198" t="s">
        <v>92</v>
      </c>
      <c r="AU77" s="189" t="s">
        <v>502</v>
      </c>
      <c r="AV77" s="189" t="s">
        <v>503</v>
      </c>
      <c r="AW77" s="189" t="s">
        <v>504</v>
      </c>
      <c r="AX77" s="361" t="s">
        <v>505</v>
      </c>
      <c r="AY77" s="361"/>
      <c r="AZ77" s="361"/>
      <c r="BA77" s="361"/>
      <c r="BB77" s="361"/>
      <c r="BC77" s="373"/>
    </row>
    <row r="78" spans="1:55" ht="18" customHeight="1">
      <c r="A78" s="232" t="s">
        <v>324</v>
      </c>
      <c r="B78" s="184">
        <v>44876</v>
      </c>
      <c r="C78" s="185" t="s">
        <v>482</v>
      </c>
      <c r="D78" s="185" t="s">
        <v>88</v>
      </c>
      <c r="E78" s="238"/>
      <c r="F78" s="187"/>
      <c r="G78" s="188" t="s">
        <v>483</v>
      </c>
      <c r="H78" s="189"/>
      <c r="I78" s="189"/>
      <c r="J78" s="189"/>
      <c r="K78" s="190"/>
      <c r="L78" s="189"/>
      <c r="M78" s="189"/>
      <c r="N78" s="189"/>
      <c r="O78" s="190"/>
      <c r="P78" s="190"/>
      <c r="Q78" s="190"/>
      <c r="R78" s="190"/>
      <c r="S78" s="190"/>
      <c r="T78" s="190"/>
      <c r="U78" s="190"/>
      <c r="V78" s="191">
        <f t="shared" si="43"/>
        <v>0</v>
      </c>
      <c r="W78" s="191">
        <f t="shared" si="50"/>
        <v>0</v>
      </c>
      <c r="X78" s="192"/>
      <c r="Y78" s="192"/>
      <c r="Z78" s="192"/>
      <c r="AA78" s="193">
        <v>0.14000000000000001</v>
      </c>
      <c r="AB78" s="189"/>
      <c r="AC78" s="189"/>
      <c r="AD78" s="189"/>
      <c r="AE78" s="189"/>
      <c r="AF78" s="189"/>
      <c r="AG78" s="189"/>
      <c r="AH78" s="189"/>
      <c r="AI78" s="194"/>
      <c r="AJ78" s="190"/>
      <c r="AK78" s="189"/>
      <c r="AL78" s="189"/>
      <c r="AM78" s="189" t="s">
        <v>506</v>
      </c>
      <c r="AN78" s="189"/>
      <c r="AO78" s="189"/>
      <c r="AP78" s="196"/>
      <c r="AQ78" s="189">
        <f t="shared" si="36"/>
        <v>0</v>
      </c>
      <c r="AR78" s="194"/>
      <c r="AS78" s="197">
        <f t="shared" si="38"/>
        <v>0</v>
      </c>
      <c r="AT78" s="198"/>
      <c r="AU78" s="189" t="s">
        <v>507</v>
      </c>
      <c r="AV78" s="189" t="s">
        <v>493</v>
      </c>
      <c r="AW78" s="189"/>
      <c r="AX78" s="361"/>
      <c r="AY78" s="361"/>
      <c r="AZ78" s="361"/>
      <c r="BA78" s="361"/>
      <c r="BB78" s="361"/>
      <c r="BC78" s="373"/>
    </row>
    <row r="79" spans="1:55" ht="18" customHeight="1">
      <c r="A79" s="232" t="s">
        <v>324</v>
      </c>
      <c r="B79" s="184">
        <v>44879</v>
      </c>
      <c r="C79" s="185" t="s">
        <v>495</v>
      </c>
      <c r="D79" s="185" t="s">
        <v>109</v>
      </c>
      <c r="E79" s="238"/>
      <c r="F79" s="187"/>
      <c r="G79" s="188" t="s">
        <v>508</v>
      </c>
      <c r="H79" s="189"/>
      <c r="I79" s="189"/>
      <c r="J79" s="189"/>
      <c r="K79" s="190"/>
      <c r="L79" s="189"/>
      <c r="M79" s="189"/>
      <c r="N79" s="189"/>
      <c r="O79" s="190"/>
      <c r="P79" s="190"/>
      <c r="Q79" s="190"/>
      <c r="R79" s="190"/>
      <c r="S79" s="190"/>
      <c r="T79" s="190"/>
      <c r="U79" s="190"/>
      <c r="V79" s="191">
        <f t="shared" si="43"/>
        <v>0</v>
      </c>
      <c r="W79" s="191">
        <f t="shared" si="50"/>
        <v>0</v>
      </c>
      <c r="X79" s="192"/>
      <c r="Y79" s="192"/>
      <c r="Z79" s="192"/>
      <c r="AA79" s="193">
        <v>0.12</v>
      </c>
      <c r="AB79" s="189"/>
      <c r="AC79" s="189"/>
      <c r="AD79" s="189"/>
      <c r="AE79" s="189"/>
      <c r="AF79" s="189"/>
      <c r="AG79" s="189"/>
      <c r="AH79" s="189"/>
      <c r="AI79" s="194"/>
      <c r="AJ79" s="190"/>
      <c r="AK79" s="189"/>
      <c r="AL79" s="189"/>
      <c r="AM79" s="189"/>
      <c r="AN79" s="189"/>
      <c r="AO79" s="189"/>
      <c r="AP79" s="196"/>
      <c r="AQ79" s="189">
        <f t="shared" si="36"/>
        <v>0</v>
      </c>
      <c r="AR79" s="194"/>
      <c r="AS79" s="197">
        <f t="shared" si="38"/>
        <v>0</v>
      </c>
      <c r="AT79" s="198"/>
      <c r="AU79" s="189"/>
      <c r="AV79" s="189"/>
      <c r="AW79" s="189"/>
      <c r="AX79" s="361"/>
      <c r="AY79" s="361"/>
      <c r="AZ79" s="361"/>
      <c r="BA79" s="361"/>
      <c r="BB79" s="361"/>
      <c r="BC79" s="373"/>
    </row>
    <row r="80" spans="1:55" ht="18" customHeight="1">
      <c r="A80" s="232" t="s">
        <v>324</v>
      </c>
      <c r="B80" s="184">
        <v>44879</v>
      </c>
      <c r="C80" s="185" t="s">
        <v>495</v>
      </c>
      <c r="D80" s="185" t="s">
        <v>109</v>
      </c>
      <c r="E80" s="238"/>
      <c r="F80" s="187"/>
      <c r="G80" s="251" t="s">
        <v>509</v>
      </c>
      <c r="H80" s="189"/>
      <c r="I80" s="189"/>
      <c r="J80" s="189"/>
      <c r="K80" s="190"/>
      <c r="L80" s="189"/>
      <c r="M80" s="189">
        <v>2</v>
      </c>
      <c r="N80" s="189"/>
      <c r="O80" s="190" t="s">
        <v>71</v>
      </c>
      <c r="P80" s="190" t="s">
        <v>72</v>
      </c>
      <c r="Q80" s="190" t="s">
        <v>233</v>
      </c>
      <c r="R80" s="190">
        <v>1</v>
      </c>
      <c r="S80" s="190">
        <v>1</v>
      </c>
      <c r="T80" s="190">
        <v>1</v>
      </c>
      <c r="U80" s="190" t="s">
        <v>21</v>
      </c>
      <c r="V80" s="191">
        <f t="shared" si="43"/>
        <v>0.01</v>
      </c>
      <c r="W80" s="191">
        <f t="shared" si="50"/>
        <v>1580</v>
      </c>
      <c r="X80" s="192" t="s">
        <v>497</v>
      </c>
      <c r="Y80" s="192"/>
      <c r="Z80" s="192" t="s">
        <v>498</v>
      </c>
      <c r="AA80" s="193">
        <v>0.02</v>
      </c>
      <c r="AB80" s="189"/>
      <c r="AC80" s="189" t="s">
        <v>510</v>
      </c>
      <c r="AD80" s="189"/>
      <c r="AE80" s="189" t="s">
        <v>511</v>
      </c>
      <c r="AF80" s="189" t="s">
        <v>512</v>
      </c>
      <c r="AG80" s="189"/>
      <c r="AH80" s="189"/>
      <c r="AI80" s="194">
        <f>-0.03*W80</f>
        <v>-47.4</v>
      </c>
      <c r="AJ80" s="194">
        <f>AI80*R80</f>
        <v>-47.4</v>
      </c>
      <c r="AK80" s="189" t="s">
        <v>513</v>
      </c>
      <c r="AL80" s="189" t="s">
        <v>490</v>
      </c>
      <c r="AM80" s="189" t="s">
        <v>514</v>
      </c>
      <c r="AN80" s="189" t="s">
        <v>72</v>
      </c>
      <c r="AO80" s="189" t="s">
        <v>515</v>
      </c>
      <c r="AP80" s="196">
        <v>0.05</v>
      </c>
      <c r="AQ80" s="196">
        <f t="shared" si="36"/>
        <v>3.0000000000000002E-2</v>
      </c>
      <c r="AR80" s="194">
        <f>AS80*R80</f>
        <v>47.400000000000006</v>
      </c>
      <c r="AS80" s="197">
        <f t="shared" si="38"/>
        <v>47.400000000000006</v>
      </c>
      <c r="AT80" s="198" t="s">
        <v>72</v>
      </c>
      <c r="AU80" s="189" t="s">
        <v>516</v>
      </c>
      <c r="AV80" s="189" t="s">
        <v>517</v>
      </c>
      <c r="AW80" s="189" t="s">
        <v>518</v>
      </c>
      <c r="AX80" s="361" t="s">
        <v>519</v>
      </c>
      <c r="AY80" s="361" t="s">
        <v>520</v>
      </c>
      <c r="AZ80" s="361" t="s">
        <v>521</v>
      </c>
      <c r="BA80" s="361" t="s">
        <v>522</v>
      </c>
      <c r="BB80" s="361" t="s">
        <v>523</v>
      </c>
      <c r="BC80" s="373" t="s">
        <v>524</v>
      </c>
    </row>
    <row r="81" spans="1:55" ht="18" customHeight="1">
      <c r="A81" s="232" t="s">
        <v>324</v>
      </c>
      <c r="B81" s="184">
        <v>44880</v>
      </c>
      <c r="C81" s="201">
        <v>0.79166666666666663</v>
      </c>
      <c r="D81" s="185" t="s">
        <v>123</v>
      </c>
      <c r="E81" s="238" t="s">
        <v>525</v>
      </c>
      <c r="F81" s="187" t="s">
        <v>526</v>
      </c>
      <c r="G81" s="188"/>
      <c r="H81" s="189"/>
      <c r="I81" s="189"/>
      <c r="J81" s="189">
        <v>1</v>
      </c>
      <c r="K81" s="190" t="s">
        <v>92</v>
      </c>
      <c r="L81" s="189"/>
      <c r="M81" s="189"/>
      <c r="N81" s="189"/>
      <c r="O81" s="190"/>
      <c r="P81" s="190"/>
      <c r="Q81" s="190"/>
      <c r="R81" s="190"/>
      <c r="S81" s="190"/>
      <c r="T81" s="190"/>
      <c r="U81" s="190"/>
      <c r="V81" s="191">
        <f t="shared" si="43"/>
        <v>0</v>
      </c>
      <c r="W81" s="191">
        <f t="shared" si="50"/>
        <v>0</v>
      </c>
      <c r="X81" s="192"/>
      <c r="Y81" s="192"/>
      <c r="Z81" s="192"/>
      <c r="AA81" s="193"/>
      <c r="AB81" s="189"/>
      <c r="AC81" s="189"/>
      <c r="AD81" s="189"/>
      <c r="AE81" s="189"/>
      <c r="AF81" s="189"/>
      <c r="AG81" s="189"/>
      <c r="AH81" s="189"/>
      <c r="AI81" s="194"/>
      <c r="AJ81" s="190"/>
      <c r="AK81" s="189"/>
      <c r="AL81" s="189"/>
      <c r="AM81" s="189"/>
      <c r="AN81" s="189"/>
      <c r="AO81" s="189"/>
      <c r="AP81" s="196"/>
      <c r="AQ81" s="189">
        <f t="shared" si="36"/>
        <v>0</v>
      </c>
      <c r="AR81" s="194"/>
      <c r="AS81" s="197">
        <f t="shared" si="38"/>
        <v>0</v>
      </c>
      <c r="AT81" s="198"/>
      <c r="AU81" s="189"/>
      <c r="AV81" s="189"/>
      <c r="AW81" s="189"/>
      <c r="AX81" s="361"/>
      <c r="AY81" s="361"/>
      <c r="AZ81" s="361"/>
      <c r="BA81" s="361"/>
      <c r="BB81" s="361"/>
      <c r="BC81" s="373"/>
    </row>
    <row r="82" spans="1:55" ht="18" customHeight="1">
      <c r="A82" s="232" t="s">
        <v>324</v>
      </c>
      <c r="B82" s="184">
        <v>44881</v>
      </c>
      <c r="C82" s="201">
        <v>0.25</v>
      </c>
      <c r="D82" s="185" t="s">
        <v>128</v>
      </c>
      <c r="E82" s="238" t="s">
        <v>527</v>
      </c>
      <c r="F82" s="187" t="s">
        <v>528</v>
      </c>
      <c r="G82" s="188"/>
      <c r="H82" s="189">
        <v>1</v>
      </c>
      <c r="I82" s="189"/>
      <c r="J82" s="189"/>
      <c r="K82" s="190" t="s">
        <v>82</v>
      </c>
      <c r="L82" s="189"/>
      <c r="M82" s="189"/>
      <c r="N82" s="189"/>
      <c r="O82" s="190"/>
      <c r="P82" s="190"/>
      <c r="Q82" s="190"/>
      <c r="R82" s="190"/>
      <c r="S82" s="190"/>
      <c r="T82" s="190"/>
      <c r="U82" s="190"/>
      <c r="V82" s="191">
        <f t="shared" si="43"/>
        <v>0</v>
      </c>
      <c r="W82" s="191">
        <f t="shared" si="50"/>
        <v>0</v>
      </c>
      <c r="X82" s="192"/>
      <c r="Y82" s="192"/>
      <c r="Z82" s="192"/>
      <c r="AA82" s="193"/>
      <c r="AB82" s="189"/>
      <c r="AC82" s="189"/>
      <c r="AD82" s="189"/>
      <c r="AE82" s="189"/>
      <c r="AF82" s="189"/>
      <c r="AG82" s="189"/>
      <c r="AH82" s="189"/>
      <c r="AI82" s="194"/>
      <c r="AJ82" s="190"/>
      <c r="AK82" s="189"/>
      <c r="AL82" s="189"/>
      <c r="AM82" s="189"/>
      <c r="AN82" s="189"/>
      <c r="AO82" s="189"/>
      <c r="AP82" s="196"/>
      <c r="AQ82" s="189">
        <f t="shared" si="36"/>
        <v>0</v>
      </c>
      <c r="AR82" s="194"/>
      <c r="AS82" s="197">
        <f t="shared" si="38"/>
        <v>0</v>
      </c>
      <c r="AT82" s="198"/>
      <c r="AU82" s="189"/>
      <c r="AV82" s="189"/>
      <c r="AW82" s="189"/>
      <c r="AX82" s="361"/>
      <c r="AY82" s="361"/>
      <c r="AZ82" s="361"/>
      <c r="BA82" s="361"/>
      <c r="BB82" s="361"/>
      <c r="BC82" s="373"/>
    </row>
    <row r="83" spans="1:55" ht="18" customHeight="1">
      <c r="A83" s="232" t="s">
        <v>324</v>
      </c>
      <c r="B83" s="184">
        <v>44881</v>
      </c>
      <c r="C83" s="185" t="s">
        <v>529</v>
      </c>
      <c r="D83" s="185" t="s">
        <v>128</v>
      </c>
      <c r="E83" s="238"/>
      <c r="F83" s="187"/>
      <c r="G83" s="188" t="s">
        <v>530</v>
      </c>
      <c r="H83" s="189"/>
      <c r="I83" s="189"/>
      <c r="J83" s="189"/>
      <c r="K83" s="190"/>
      <c r="L83" s="189">
        <v>1</v>
      </c>
      <c r="M83" s="189"/>
      <c r="N83" s="189"/>
      <c r="O83" s="190" t="s">
        <v>71</v>
      </c>
      <c r="P83" s="190" t="s">
        <v>114</v>
      </c>
      <c r="Q83" s="190" t="s">
        <v>73</v>
      </c>
      <c r="R83" s="190">
        <v>1</v>
      </c>
      <c r="S83" s="190">
        <v>1</v>
      </c>
      <c r="T83" s="190">
        <v>1</v>
      </c>
      <c r="U83" s="190" t="s">
        <v>21</v>
      </c>
      <c r="V83" s="191">
        <f t="shared" si="43"/>
        <v>0.01</v>
      </c>
      <c r="W83" s="191">
        <f t="shared" si="50"/>
        <v>1580</v>
      </c>
      <c r="X83" s="192" t="s">
        <v>531</v>
      </c>
      <c r="Y83" s="192"/>
      <c r="Z83" s="192" t="s">
        <v>532</v>
      </c>
      <c r="AA83" s="193">
        <v>-0.06</v>
      </c>
      <c r="AB83" s="189"/>
      <c r="AC83" s="189">
        <v>-0.09</v>
      </c>
      <c r="AD83" s="189"/>
      <c r="AE83" s="189">
        <v>-0.05</v>
      </c>
      <c r="AF83" s="189"/>
      <c r="AG83" s="189"/>
      <c r="AH83" s="189"/>
      <c r="AI83" s="194">
        <f t="shared" ref="AI83:AI84" si="51">-0.03*W83</f>
        <v>-47.4</v>
      </c>
      <c r="AJ83" s="194">
        <f t="shared" ref="AJ83:AJ84" si="52">AI83*R83</f>
        <v>-47.4</v>
      </c>
      <c r="AK83" s="189"/>
      <c r="AL83" s="189"/>
      <c r="AM83" s="189"/>
      <c r="AN83" s="189" t="s">
        <v>92</v>
      </c>
      <c r="AO83" s="189" t="s">
        <v>533</v>
      </c>
      <c r="AP83" s="196">
        <v>-0.06</v>
      </c>
      <c r="AQ83" s="196">
        <f t="shared" si="36"/>
        <v>0</v>
      </c>
      <c r="AR83" s="194">
        <f>AS83*R83</f>
        <v>0</v>
      </c>
      <c r="AS83" s="197">
        <f t="shared" si="38"/>
        <v>0</v>
      </c>
      <c r="AT83" s="198" t="s">
        <v>92</v>
      </c>
      <c r="AU83" s="189"/>
      <c r="AV83" s="189"/>
      <c r="AW83" s="189"/>
      <c r="AX83" s="361"/>
      <c r="AY83" s="361"/>
      <c r="AZ83" s="361"/>
      <c r="BA83" s="361"/>
      <c r="BB83" s="361"/>
      <c r="BC83" s="373"/>
    </row>
    <row r="84" spans="1:55" ht="18" customHeight="1">
      <c r="A84" s="232" t="s">
        <v>324</v>
      </c>
      <c r="B84" s="184">
        <v>44881</v>
      </c>
      <c r="C84" s="185" t="s">
        <v>534</v>
      </c>
      <c r="D84" s="185" t="s">
        <v>128</v>
      </c>
      <c r="E84" s="238"/>
      <c r="F84" s="187"/>
      <c r="G84" s="188" t="s">
        <v>232</v>
      </c>
      <c r="H84" s="189"/>
      <c r="I84" s="189"/>
      <c r="J84" s="189"/>
      <c r="K84" s="190"/>
      <c r="L84" s="189"/>
      <c r="M84" s="189"/>
      <c r="N84" s="189"/>
      <c r="O84" s="190" t="s">
        <v>71</v>
      </c>
      <c r="P84" s="190"/>
      <c r="Q84" s="190"/>
      <c r="R84" s="190">
        <v>1</v>
      </c>
      <c r="S84" s="190">
        <v>1</v>
      </c>
      <c r="T84" s="190">
        <v>1</v>
      </c>
      <c r="U84" s="190" t="s">
        <v>73</v>
      </c>
      <c r="V84" s="191">
        <f t="shared" si="43"/>
        <v>0.01</v>
      </c>
      <c r="W84" s="191">
        <f t="shared" si="50"/>
        <v>1580</v>
      </c>
      <c r="X84" s="192"/>
      <c r="Y84" s="192"/>
      <c r="Z84" s="192"/>
      <c r="AA84" s="193">
        <v>0.13</v>
      </c>
      <c r="AB84" s="189"/>
      <c r="AC84" s="189"/>
      <c r="AD84" s="189"/>
      <c r="AE84" s="189"/>
      <c r="AF84" s="189"/>
      <c r="AG84" s="189"/>
      <c r="AH84" s="189"/>
      <c r="AI84" s="194">
        <f t="shared" si="51"/>
        <v>-47.4</v>
      </c>
      <c r="AJ84" s="194">
        <f t="shared" si="52"/>
        <v>-47.4</v>
      </c>
      <c r="AK84" s="189"/>
      <c r="AL84" s="189"/>
      <c r="AM84" s="189"/>
      <c r="AN84" s="189" t="s">
        <v>82</v>
      </c>
      <c r="AO84" s="189" t="s">
        <v>535</v>
      </c>
      <c r="AP84" s="196">
        <v>0.13</v>
      </c>
      <c r="AQ84" s="196">
        <f t="shared" si="36"/>
        <v>0</v>
      </c>
      <c r="AR84" s="194">
        <f>AS84*R84</f>
        <v>0</v>
      </c>
      <c r="AS84" s="197">
        <f t="shared" si="38"/>
        <v>0</v>
      </c>
      <c r="AT84" s="198" t="s">
        <v>92</v>
      </c>
      <c r="AU84" s="189" t="s">
        <v>536</v>
      </c>
      <c r="AV84" s="189" t="s">
        <v>537</v>
      </c>
      <c r="AW84" s="189" t="s">
        <v>538</v>
      </c>
      <c r="AX84" s="361"/>
      <c r="AY84" s="361"/>
      <c r="AZ84" s="361"/>
      <c r="BA84" s="361" t="s">
        <v>539</v>
      </c>
      <c r="BB84" s="361"/>
      <c r="BC84" s="373"/>
    </row>
    <row r="85" spans="1:55" ht="18" customHeight="1">
      <c r="A85" s="232" t="s">
        <v>324</v>
      </c>
      <c r="B85" s="184">
        <v>44881</v>
      </c>
      <c r="C85" s="201">
        <v>0.79166666666666663</v>
      </c>
      <c r="D85" s="185" t="s">
        <v>128</v>
      </c>
      <c r="E85" s="238" t="s">
        <v>540</v>
      </c>
      <c r="F85" s="187" t="s">
        <v>541</v>
      </c>
      <c r="G85" s="188"/>
      <c r="H85" s="189">
        <v>1</v>
      </c>
      <c r="I85" s="189"/>
      <c r="J85" s="189"/>
      <c r="K85" s="190" t="s">
        <v>82</v>
      </c>
      <c r="L85" s="189"/>
      <c r="M85" s="189"/>
      <c r="N85" s="189"/>
      <c r="O85" s="190"/>
      <c r="P85" s="190"/>
      <c r="Q85" s="190"/>
      <c r="R85" s="190"/>
      <c r="S85" s="190"/>
      <c r="T85" s="190"/>
      <c r="U85" s="190"/>
      <c r="V85" s="191">
        <f t="shared" si="43"/>
        <v>0</v>
      </c>
      <c r="W85" s="191">
        <f t="shared" si="50"/>
        <v>0</v>
      </c>
      <c r="X85" s="192"/>
      <c r="Y85" s="192"/>
      <c r="Z85" s="192"/>
      <c r="AA85" s="193"/>
      <c r="AB85" s="189"/>
      <c r="AC85" s="189"/>
      <c r="AD85" s="189"/>
      <c r="AE85" s="189"/>
      <c r="AF85" s="189"/>
      <c r="AG85" s="189"/>
      <c r="AH85" s="189"/>
      <c r="AI85" s="194"/>
      <c r="AJ85" s="190"/>
      <c r="AK85" s="189"/>
      <c r="AL85" s="189"/>
      <c r="AM85" s="189"/>
      <c r="AN85" s="189"/>
      <c r="AO85" s="189"/>
      <c r="AP85" s="196"/>
      <c r="AQ85" s="189">
        <f t="shared" ref="AQ85:AQ116" si="53">IF(ISBLANK(AP85),,IF(U85="S",AA85-AP85,AP85-AA85))</f>
        <v>0</v>
      </c>
      <c r="AR85" s="194"/>
      <c r="AS85" s="197">
        <f t="shared" ref="AS85:AS116" si="54">IF(ISBLANK(AP85),,(AQ85*W85))</f>
        <v>0</v>
      </c>
      <c r="AT85" s="198"/>
      <c r="AU85" s="189"/>
      <c r="AV85" s="189"/>
      <c r="AW85" s="189"/>
      <c r="AX85" s="361"/>
      <c r="AY85" s="361"/>
      <c r="AZ85" s="361"/>
      <c r="BA85" s="361"/>
      <c r="BB85" s="361"/>
      <c r="BC85" s="373"/>
    </row>
    <row r="86" spans="1:55" ht="18" customHeight="1">
      <c r="A86" s="232" t="s">
        <v>324</v>
      </c>
      <c r="B86" s="184">
        <v>44882</v>
      </c>
      <c r="C86" s="201">
        <v>0.25</v>
      </c>
      <c r="D86" s="185" t="s">
        <v>69</v>
      </c>
      <c r="E86" s="238" t="s">
        <v>542</v>
      </c>
      <c r="F86" s="187"/>
      <c r="G86" s="188"/>
      <c r="H86" s="189">
        <v>1</v>
      </c>
      <c r="I86" s="189"/>
      <c r="J86" s="189"/>
      <c r="K86" s="190" t="s">
        <v>82</v>
      </c>
      <c r="L86" s="189"/>
      <c r="M86" s="189"/>
      <c r="N86" s="189"/>
      <c r="O86" s="190"/>
      <c r="P86" s="190"/>
      <c r="Q86" s="190"/>
      <c r="R86" s="190"/>
      <c r="S86" s="190"/>
      <c r="T86" s="190"/>
      <c r="U86" s="190"/>
      <c r="V86" s="191">
        <f t="shared" si="43"/>
        <v>0</v>
      </c>
      <c r="W86" s="191">
        <f t="shared" si="50"/>
        <v>0</v>
      </c>
      <c r="X86" s="192"/>
      <c r="Y86" s="192"/>
      <c r="Z86" s="192"/>
      <c r="AA86" s="193"/>
      <c r="AB86" s="189"/>
      <c r="AC86" s="189"/>
      <c r="AD86" s="189"/>
      <c r="AE86" s="189"/>
      <c r="AF86" s="189"/>
      <c r="AG86" s="189"/>
      <c r="AH86" s="189"/>
      <c r="AI86" s="194"/>
      <c r="AJ86" s="190"/>
      <c r="AK86" s="189"/>
      <c r="AL86" s="189"/>
      <c r="AM86" s="189"/>
      <c r="AN86" s="189"/>
      <c r="AO86" s="189"/>
      <c r="AP86" s="196"/>
      <c r="AQ86" s="189">
        <f t="shared" si="53"/>
        <v>0</v>
      </c>
      <c r="AR86" s="194"/>
      <c r="AS86" s="197">
        <f t="shared" si="54"/>
        <v>0</v>
      </c>
      <c r="AT86" s="198"/>
      <c r="AU86" s="189"/>
      <c r="AV86" s="189"/>
      <c r="AW86" s="189"/>
      <c r="AX86" s="361"/>
      <c r="AY86" s="361"/>
      <c r="AZ86" s="361"/>
      <c r="BA86" s="361"/>
      <c r="BB86" s="361"/>
      <c r="BC86" s="373"/>
    </row>
    <row r="87" spans="1:55" ht="18" customHeight="1">
      <c r="A87" s="232" t="s">
        <v>324</v>
      </c>
      <c r="B87" s="184">
        <v>44882</v>
      </c>
      <c r="C87" s="185" t="s">
        <v>543</v>
      </c>
      <c r="D87" s="185" t="s">
        <v>69</v>
      </c>
      <c r="E87" s="238"/>
      <c r="F87" s="187"/>
      <c r="G87" s="188" t="s">
        <v>530</v>
      </c>
      <c r="H87" s="189"/>
      <c r="I87" s="189"/>
      <c r="J87" s="189"/>
      <c r="K87" s="190"/>
      <c r="L87" s="189">
        <v>1</v>
      </c>
      <c r="M87" s="189"/>
      <c r="N87" s="189"/>
      <c r="O87" s="190" t="s">
        <v>71</v>
      </c>
      <c r="P87" s="190" t="s">
        <v>114</v>
      </c>
      <c r="Q87" s="190" t="s">
        <v>73</v>
      </c>
      <c r="R87" s="190">
        <v>1</v>
      </c>
      <c r="S87" s="190">
        <v>1</v>
      </c>
      <c r="T87" s="190">
        <v>1</v>
      </c>
      <c r="U87" s="190" t="s">
        <v>21</v>
      </c>
      <c r="V87" s="191">
        <f t="shared" si="43"/>
        <v>0.01</v>
      </c>
      <c r="W87" s="191">
        <f>IF(ISBLANK(O87),,IF(O87=UPPER("IB"),8.63*200,16*100))</f>
        <v>1600</v>
      </c>
      <c r="X87" s="192" t="s">
        <v>544</v>
      </c>
      <c r="Y87" s="192"/>
      <c r="Z87" s="192" t="s">
        <v>75</v>
      </c>
      <c r="AA87" s="193">
        <v>-7.0000000000000007E-2</v>
      </c>
      <c r="AB87" s="189"/>
      <c r="AC87" s="189">
        <v>-0.11</v>
      </c>
      <c r="AD87" s="189"/>
      <c r="AE87" s="189">
        <v>-7.0000000000000007E-2</v>
      </c>
      <c r="AF87" s="189"/>
      <c r="AG87" s="189"/>
      <c r="AH87" s="189"/>
      <c r="AI87" s="194">
        <f>-0.03*W87</f>
        <v>-48</v>
      </c>
      <c r="AJ87" s="194">
        <f>AI87*R87</f>
        <v>-48</v>
      </c>
      <c r="AK87" s="189"/>
      <c r="AL87" s="189"/>
      <c r="AM87" s="189"/>
      <c r="AN87" s="189" t="s">
        <v>82</v>
      </c>
      <c r="AO87" s="189" t="s">
        <v>545</v>
      </c>
      <c r="AP87" s="196">
        <v>-0.06</v>
      </c>
      <c r="AQ87" s="196">
        <f t="shared" si="53"/>
        <v>1.0000000000000009E-2</v>
      </c>
      <c r="AR87" s="194">
        <f>AS87*R87</f>
        <v>16.000000000000014</v>
      </c>
      <c r="AS87" s="197">
        <f t="shared" si="54"/>
        <v>16.000000000000014</v>
      </c>
      <c r="AT87" s="198" t="s">
        <v>72</v>
      </c>
      <c r="AU87" s="189"/>
      <c r="AV87" s="189"/>
      <c r="AW87" s="189"/>
      <c r="AX87" s="361"/>
      <c r="AY87" s="361"/>
      <c r="AZ87" s="361"/>
      <c r="BA87" s="361"/>
      <c r="BB87" s="361"/>
      <c r="BC87" s="373"/>
    </row>
    <row r="88" spans="1:55" ht="18" customHeight="1">
      <c r="A88" s="232" t="s">
        <v>324</v>
      </c>
      <c r="B88" s="184">
        <v>44882</v>
      </c>
      <c r="C88" s="185" t="s">
        <v>546</v>
      </c>
      <c r="D88" s="185" t="s">
        <v>69</v>
      </c>
      <c r="E88" s="238"/>
      <c r="F88" s="187"/>
      <c r="G88" s="206" t="s">
        <v>257</v>
      </c>
      <c r="H88" s="189"/>
      <c r="I88" s="189"/>
      <c r="J88" s="189"/>
      <c r="K88" s="190"/>
      <c r="L88" s="189">
        <v>1</v>
      </c>
      <c r="M88" s="189"/>
      <c r="N88" s="189"/>
      <c r="O88" s="190" t="s">
        <v>71</v>
      </c>
      <c r="P88" s="190" t="s">
        <v>114</v>
      </c>
      <c r="Q88" s="190" t="s">
        <v>73</v>
      </c>
      <c r="R88" s="190">
        <v>3</v>
      </c>
      <c r="S88" s="190">
        <v>3</v>
      </c>
      <c r="T88" s="190">
        <v>3</v>
      </c>
      <c r="U88" s="190" t="s">
        <v>21</v>
      </c>
      <c r="V88" s="191">
        <f t="shared" si="43"/>
        <v>0.01</v>
      </c>
      <c r="W88" s="191">
        <f>IF(ISBLANK(O88),,IF(O88=UPPER("IB"),8.63*200,15.8*100))</f>
        <v>1580</v>
      </c>
      <c r="X88" s="192" t="s">
        <v>547</v>
      </c>
      <c r="Y88" s="192"/>
      <c r="Z88" s="192"/>
      <c r="AA88" s="193">
        <v>-0.09</v>
      </c>
      <c r="AB88" s="189"/>
      <c r="AC88" s="189"/>
      <c r="AD88" s="189"/>
      <c r="AE88" s="189"/>
      <c r="AF88" s="189"/>
      <c r="AG88" s="189"/>
      <c r="AH88" s="189"/>
      <c r="AI88" s="194"/>
      <c r="AJ88" s="190"/>
      <c r="AK88" s="189" t="s">
        <v>548</v>
      </c>
      <c r="AL88" s="189" t="s">
        <v>549</v>
      </c>
      <c r="AM88" s="189" t="s">
        <v>550</v>
      </c>
      <c r="AN88" s="189" t="s">
        <v>92</v>
      </c>
      <c r="AO88" s="189" t="s">
        <v>551</v>
      </c>
      <c r="AP88" s="196">
        <v>-7.0000000000000007E-2</v>
      </c>
      <c r="AQ88" s="196">
        <f t="shared" si="53"/>
        <v>1.999999999999999E-2</v>
      </c>
      <c r="AR88" s="194">
        <f>AS88*R88</f>
        <v>94.799999999999955</v>
      </c>
      <c r="AS88" s="197">
        <f t="shared" si="54"/>
        <v>31.599999999999984</v>
      </c>
      <c r="AT88" s="198" t="s">
        <v>72</v>
      </c>
      <c r="AU88" s="189"/>
      <c r="AV88" s="189"/>
      <c r="AW88" s="189"/>
      <c r="AX88" s="361"/>
      <c r="AY88" s="361"/>
      <c r="AZ88" s="361"/>
      <c r="BA88" s="361"/>
      <c r="BB88" s="361"/>
      <c r="BC88" s="373"/>
    </row>
    <row r="89" spans="1:55" ht="18" customHeight="1">
      <c r="A89" s="232" t="s">
        <v>324</v>
      </c>
      <c r="B89" s="184">
        <v>44883</v>
      </c>
      <c r="C89" s="185" t="s">
        <v>552</v>
      </c>
      <c r="D89" s="185" t="s">
        <v>88</v>
      </c>
      <c r="E89" s="238"/>
      <c r="F89" s="187"/>
      <c r="G89" s="252" t="s">
        <v>553</v>
      </c>
      <c r="H89" s="189"/>
      <c r="I89" s="189"/>
      <c r="J89" s="189"/>
      <c r="K89" s="190"/>
      <c r="L89" s="189"/>
      <c r="M89" s="189">
        <v>1</v>
      </c>
      <c r="N89" s="189"/>
      <c r="O89" s="190" t="s">
        <v>71</v>
      </c>
      <c r="P89" s="190" t="s">
        <v>72</v>
      </c>
      <c r="Q89" s="190" t="s">
        <v>73</v>
      </c>
      <c r="R89" s="190">
        <v>2</v>
      </c>
      <c r="S89" s="190">
        <v>2</v>
      </c>
      <c r="T89" s="190">
        <v>2</v>
      </c>
      <c r="U89" s="190" t="s">
        <v>73</v>
      </c>
      <c r="V89" s="191">
        <f t="shared" si="43"/>
        <v>0.01</v>
      </c>
      <c r="W89" s="191">
        <f t="shared" ref="W89:W92" si="55">IF(ISBLANK(O89),,IF(O89=UPPER("IB"),8.63*200,16*100))</f>
        <v>1600</v>
      </c>
      <c r="X89" s="192" t="s">
        <v>262</v>
      </c>
      <c r="Y89" s="192"/>
      <c r="Z89" s="192" t="s">
        <v>554</v>
      </c>
      <c r="AA89" s="193">
        <v>0.13</v>
      </c>
      <c r="AB89" s="189"/>
      <c r="AC89" s="189"/>
      <c r="AD89" s="189"/>
      <c r="AE89" s="189"/>
      <c r="AF89" s="189"/>
      <c r="AG89" s="189" t="s">
        <v>555</v>
      </c>
      <c r="AH89" s="189"/>
      <c r="AI89" s="194"/>
      <c r="AJ89" s="190"/>
      <c r="AK89" s="189"/>
      <c r="AL89" s="189"/>
      <c r="AM89" s="189" t="s">
        <v>135</v>
      </c>
      <c r="AN89" s="189" t="s">
        <v>82</v>
      </c>
      <c r="AO89" s="189" t="s">
        <v>556</v>
      </c>
      <c r="AP89" s="196">
        <v>0.12</v>
      </c>
      <c r="AQ89" s="196">
        <f t="shared" si="53"/>
        <v>1.0000000000000009E-2</v>
      </c>
      <c r="AR89" s="194">
        <f>AS89*R89</f>
        <v>32.000000000000028</v>
      </c>
      <c r="AS89" s="197">
        <f t="shared" si="54"/>
        <v>16.000000000000014</v>
      </c>
      <c r="AT89" s="198" t="s">
        <v>72</v>
      </c>
      <c r="AU89" s="189" t="s">
        <v>557</v>
      </c>
      <c r="AV89" s="189"/>
      <c r="AW89" s="189"/>
      <c r="AX89" s="361" t="s">
        <v>558</v>
      </c>
      <c r="AY89" s="361"/>
      <c r="AZ89" s="361"/>
      <c r="BA89" s="361"/>
      <c r="BB89" s="361"/>
      <c r="BC89" s="373"/>
    </row>
    <row r="90" spans="1:55" ht="18" customHeight="1">
      <c r="A90" s="232" t="s">
        <v>324</v>
      </c>
      <c r="B90" s="184">
        <v>44887</v>
      </c>
      <c r="C90" s="185"/>
      <c r="D90" s="185" t="s">
        <v>123</v>
      </c>
      <c r="E90" s="238"/>
      <c r="F90" s="187"/>
      <c r="G90" s="188"/>
      <c r="H90" s="189"/>
      <c r="I90" s="189"/>
      <c r="J90" s="189"/>
      <c r="K90" s="190"/>
      <c r="L90" s="189"/>
      <c r="M90" s="189"/>
      <c r="N90" s="189"/>
      <c r="O90" s="190"/>
      <c r="P90" s="190"/>
      <c r="Q90" s="190"/>
      <c r="R90" s="190"/>
      <c r="S90" s="190"/>
      <c r="T90" s="190"/>
      <c r="U90" s="190"/>
      <c r="V90" s="191">
        <f t="shared" si="43"/>
        <v>0</v>
      </c>
      <c r="W90" s="191">
        <f t="shared" si="55"/>
        <v>0</v>
      </c>
      <c r="X90" s="192"/>
      <c r="Y90" s="192"/>
      <c r="Z90" s="192"/>
      <c r="AA90" s="193"/>
      <c r="AB90" s="189"/>
      <c r="AC90" s="189"/>
      <c r="AD90" s="189"/>
      <c r="AE90" s="189"/>
      <c r="AF90" s="189"/>
      <c r="AG90" s="189"/>
      <c r="AH90" s="189"/>
      <c r="AI90" s="194"/>
      <c r="AJ90" s="190"/>
      <c r="AK90" s="189"/>
      <c r="AL90" s="189"/>
      <c r="AM90" s="189"/>
      <c r="AN90" s="189"/>
      <c r="AO90" s="189"/>
      <c r="AP90" s="196"/>
      <c r="AQ90" s="189">
        <f t="shared" si="53"/>
        <v>0</v>
      </c>
      <c r="AR90" s="194"/>
      <c r="AS90" s="197">
        <f t="shared" si="54"/>
        <v>0</v>
      </c>
      <c r="AT90" s="198"/>
      <c r="AU90" s="189" t="s">
        <v>559</v>
      </c>
      <c r="AV90" s="189" t="s">
        <v>560</v>
      </c>
      <c r="AW90" s="189" t="s">
        <v>561</v>
      </c>
      <c r="AX90" s="361"/>
      <c r="AY90" s="361"/>
      <c r="AZ90" s="361"/>
      <c r="BA90" s="361"/>
      <c r="BB90" s="361"/>
      <c r="BC90" s="373"/>
    </row>
    <row r="91" spans="1:55" ht="18" customHeight="1">
      <c r="A91" s="232" t="s">
        <v>324</v>
      </c>
      <c r="B91" s="253">
        <v>44888</v>
      </c>
      <c r="C91" s="254" t="s">
        <v>477</v>
      </c>
      <c r="D91" s="254" t="s">
        <v>128</v>
      </c>
      <c r="E91" s="255" t="s">
        <v>562</v>
      </c>
      <c r="F91" s="187" t="s">
        <v>563</v>
      </c>
      <c r="G91" s="188"/>
      <c r="H91" s="189"/>
      <c r="I91" s="189">
        <v>1</v>
      </c>
      <c r="J91" s="189"/>
      <c r="K91" s="190" t="s">
        <v>82</v>
      </c>
      <c r="L91" s="189"/>
      <c r="M91" s="189"/>
      <c r="N91" s="189"/>
      <c r="O91" s="190"/>
      <c r="P91" s="190"/>
      <c r="Q91" s="190"/>
      <c r="R91" s="190"/>
      <c r="S91" s="190"/>
      <c r="T91" s="190"/>
      <c r="U91" s="190"/>
      <c r="V91" s="191">
        <f t="shared" si="43"/>
        <v>0</v>
      </c>
      <c r="W91" s="191">
        <f t="shared" si="55"/>
        <v>0</v>
      </c>
      <c r="X91" s="192"/>
      <c r="Y91" s="192"/>
      <c r="Z91" s="192"/>
      <c r="AA91" s="193"/>
      <c r="AB91" s="189"/>
      <c r="AC91" s="189"/>
      <c r="AD91" s="189"/>
      <c r="AE91" s="189"/>
      <c r="AF91" s="189"/>
      <c r="AG91" s="189"/>
      <c r="AH91" s="189"/>
      <c r="AI91" s="194"/>
      <c r="AJ91" s="190"/>
      <c r="AK91" s="189"/>
      <c r="AL91" s="189"/>
      <c r="AM91" s="189"/>
      <c r="AN91" s="189"/>
      <c r="AO91" s="189"/>
      <c r="AP91" s="196"/>
      <c r="AQ91" s="189">
        <f t="shared" si="53"/>
        <v>0</v>
      </c>
      <c r="AR91" s="194"/>
      <c r="AS91" s="197">
        <f t="shared" si="54"/>
        <v>0</v>
      </c>
      <c r="AT91" s="198"/>
      <c r="AU91" s="189"/>
      <c r="AV91" s="189"/>
      <c r="AW91" s="189"/>
      <c r="AX91" s="361"/>
      <c r="AY91" s="361"/>
      <c r="AZ91" s="361"/>
      <c r="BA91" s="361"/>
      <c r="BB91" s="361"/>
      <c r="BC91" s="373"/>
    </row>
    <row r="92" spans="1:55" ht="18" customHeight="1">
      <c r="A92" s="232" t="s">
        <v>324</v>
      </c>
      <c r="B92" s="253">
        <v>44888</v>
      </c>
      <c r="C92" s="254" t="s">
        <v>564</v>
      </c>
      <c r="D92" s="254" t="s">
        <v>128</v>
      </c>
      <c r="E92" s="255"/>
      <c r="F92" s="187"/>
      <c r="G92" s="188" t="s">
        <v>257</v>
      </c>
      <c r="H92" s="189"/>
      <c r="I92" s="189"/>
      <c r="J92" s="189"/>
      <c r="K92" s="190"/>
      <c r="L92" s="189">
        <v>1</v>
      </c>
      <c r="M92" s="189"/>
      <c r="N92" s="189"/>
      <c r="O92" s="190" t="s">
        <v>71</v>
      </c>
      <c r="P92" s="190" t="s">
        <v>114</v>
      </c>
      <c r="Q92" s="190" t="s">
        <v>73</v>
      </c>
      <c r="R92" s="190">
        <v>2</v>
      </c>
      <c r="S92" s="190">
        <v>2</v>
      </c>
      <c r="T92" s="190">
        <v>2</v>
      </c>
      <c r="U92" s="190" t="s">
        <v>21</v>
      </c>
      <c r="V92" s="191">
        <f t="shared" si="43"/>
        <v>0.01</v>
      </c>
      <c r="W92" s="191">
        <f t="shared" si="55"/>
        <v>1600</v>
      </c>
      <c r="X92" s="192" t="s">
        <v>565</v>
      </c>
      <c r="Y92" s="192"/>
      <c r="Z92" s="192" t="s">
        <v>75</v>
      </c>
      <c r="AA92" s="193">
        <v>-0.08</v>
      </c>
      <c r="AB92" s="189"/>
      <c r="AC92" s="189">
        <v>-0.11</v>
      </c>
      <c r="AD92" s="189"/>
      <c r="AE92" s="189">
        <v>-7.0000000000000007E-2</v>
      </c>
      <c r="AF92" s="189"/>
      <c r="AG92" s="189"/>
      <c r="AH92" s="189"/>
      <c r="AI92" s="194">
        <f>-0.02*W92</f>
        <v>-32</v>
      </c>
      <c r="AJ92" s="194">
        <f t="shared" ref="AJ92:AJ98" si="56">AI92*R92</f>
        <v>-64</v>
      </c>
      <c r="AK92" s="189" t="s">
        <v>88</v>
      </c>
      <c r="AL92" s="189"/>
      <c r="AM92" s="189" t="s">
        <v>566</v>
      </c>
      <c r="AN92" s="189" t="s">
        <v>92</v>
      </c>
      <c r="AO92" s="202">
        <v>44890.791666666664</v>
      </c>
      <c r="AP92" s="196">
        <v>-0.08</v>
      </c>
      <c r="AQ92" s="196">
        <f t="shared" si="53"/>
        <v>0</v>
      </c>
      <c r="AR92" s="194">
        <f t="shared" ref="AR92:AR98" si="57">AS92*R92</f>
        <v>0</v>
      </c>
      <c r="AS92" s="197">
        <f t="shared" si="54"/>
        <v>0</v>
      </c>
      <c r="AT92" s="198" t="s">
        <v>92</v>
      </c>
      <c r="AU92" s="189" t="s">
        <v>567</v>
      </c>
      <c r="AV92" s="189"/>
      <c r="AW92" s="189"/>
      <c r="AX92" s="361"/>
      <c r="AY92" s="361"/>
      <c r="AZ92" s="361"/>
      <c r="BA92" s="361"/>
      <c r="BB92" s="361"/>
      <c r="BC92" s="373"/>
    </row>
    <row r="93" spans="1:55" ht="18" customHeight="1">
      <c r="A93" s="232" t="s">
        <v>324</v>
      </c>
      <c r="B93" s="253">
        <v>44888</v>
      </c>
      <c r="C93" s="256" t="s">
        <v>568</v>
      </c>
      <c r="D93" s="254" t="s">
        <v>128</v>
      </c>
      <c r="E93" s="255"/>
      <c r="F93" s="187"/>
      <c r="G93" s="206" t="s">
        <v>342</v>
      </c>
      <c r="H93" s="189"/>
      <c r="I93" s="189"/>
      <c r="J93" s="189"/>
      <c r="K93" s="190"/>
      <c r="L93" s="189">
        <v>1</v>
      </c>
      <c r="M93" s="189"/>
      <c r="N93" s="189"/>
      <c r="O93" s="190" t="s">
        <v>71</v>
      </c>
      <c r="P93" s="190" t="s">
        <v>72</v>
      </c>
      <c r="Q93" s="190" t="s">
        <v>73</v>
      </c>
      <c r="R93" s="190">
        <v>2</v>
      </c>
      <c r="S93" s="190">
        <v>2</v>
      </c>
      <c r="T93" s="190">
        <v>2</v>
      </c>
      <c r="U93" s="190" t="s">
        <v>21</v>
      </c>
      <c r="V93" s="191">
        <f t="shared" si="43"/>
        <v>0.01</v>
      </c>
      <c r="W93" s="191">
        <f>IF(ISBLANK(O93),,IF(O93=UPPER("IB"),8.63*200,16.2*100))</f>
        <v>1620</v>
      </c>
      <c r="X93" s="192" t="s">
        <v>569</v>
      </c>
      <c r="Y93" s="192"/>
      <c r="Z93" s="192" t="s">
        <v>75</v>
      </c>
      <c r="AA93" s="193">
        <v>-7.0000000000000007E-2</v>
      </c>
      <c r="AB93" s="189"/>
      <c r="AC93" s="189">
        <v>-0.1</v>
      </c>
      <c r="AD93" s="189"/>
      <c r="AE93" s="189">
        <v>-0.05</v>
      </c>
      <c r="AF93" s="189" t="s">
        <v>570</v>
      </c>
      <c r="AG93" s="189"/>
      <c r="AH93" s="189"/>
      <c r="AI93" s="194">
        <f t="shared" ref="AI93:AI95" si="58">-0.03*W93</f>
        <v>-48.6</v>
      </c>
      <c r="AJ93" s="194">
        <f t="shared" si="56"/>
        <v>-97.2</v>
      </c>
      <c r="AK93" s="189" t="s">
        <v>88</v>
      </c>
      <c r="AL93" s="189"/>
      <c r="AM93" s="189" t="s">
        <v>571</v>
      </c>
      <c r="AN93" s="189" t="s">
        <v>92</v>
      </c>
      <c r="AO93" s="189" t="s">
        <v>572</v>
      </c>
      <c r="AP93" s="196">
        <v>-0.06</v>
      </c>
      <c r="AQ93" s="196">
        <f t="shared" si="53"/>
        <v>1.0000000000000009E-2</v>
      </c>
      <c r="AR93" s="194">
        <f t="shared" si="57"/>
        <v>32.400000000000027</v>
      </c>
      <c r="AS93" s="197">
        <f t="shared" si="54"/>
        <v>16.200000000000014</v>
      </c>
      <c r="AT93" s="198" t="s">
        <v>72</v>
      </c>
      <c r="AU93" s="189" t="s">
        <v>573</v>
      </c>
      <c r="AV93" s="189"/>
      <c r="AW93" s="189"/>
      <c r="AX93" s="361"/>
      <c r="AY93" s="361"/>
      <c r="AZ93" s="361"/>
      <c r="BA93" s="361"/>
      <c r="BB93" s="361"/>
      <c r="BC93" s="373"/>
    </row>
    <row r="94" spans="1:55" ht="18" customHeight="1">
      <c r="A94" s="232" t="s">
        <v>324</v>
      </c>
      <c r="B94" s="184">
        <v>44888</v>
      </c>
      <c r="C94" s="185" t="s">
        <v>574</v>
      </c>
      <c r="D94" s="185" t="s">
        <v>128</v>
      </c>
      <c r="E94" s="238"/>
      <c r="F94" s="187"/>
      <c r="G94" s="188" t="s">
        <v>248</v>
      </c>
      <c r="H94" s="189"/>
      <c r="I94" s="189"/>
      <c r="J94" s="189"/>
      <c r="K94" s="190"/>
      <c r="L94" s="189">
        <v>1</v>
      </c>
      <c r="M94" s="189"/>
      <c r="N94" s="189"/>
      <c r="O94" s="190" t="s">
        <v>71</v>
      </c>
      <c r="P94" s="190" t="s">
        <v>114</v>
      </c>
      <c r="Q94" s="190" t="s">
        <v>73</v>
      </c>
      <c r="R94" s="190">
        <v>2</v>
      </c>
      <c r="S94" s="190">
        <v>2</v>
      </c>
      <c r="T94" s="190">
        <v>2</v>
      </c>
      <c r="U94" s="190" t="s">
        <v>21</v>
      </c>
      <c r="V94" s="191">
        <f t="shared" si="43"/>
        <v>0.01</v>
      </c>
      <c r="W94" s="191">
        <f>IF(ISBLANK(O94),,IF(O94=UPPER("IB"),8.63*200,16*100))</f>
        <v>1600</v>
      </c>
      <c r="X94" s="192" t="s">
        <v>547</v>
      </c>
      <c r="Y94" s="192"/>
      <c r="Z94" s="192"/>
      <c r="AA94" s="193">
        <v>-0.09</v>
      </c>
      <c r="AB94" s="189"/>
      <c r="AC94" s="189">
        <v>-0.12</v>
      </c>
      <c r="AD94" s="189"/>
      <c r="AE94" s="189">
        <v>-7.0000000000000007E-2</v>
      </c>
      <c r="AF94" s="189" t="s">
        <v>570</v>
      </c>
      <c r="AG94" s="189"/>
      <c r="AH94" s="189"/>
      <c r="AI94" s="194">
        <f t="shared" si="58"/>
        <v>-48</v>
      </c>
      <c r="AJ94" s="194">
        <f t="shared" si="56"/>
        <v>-96</v>
      </c>
      <c r="AK94" s="257">
        <v>44897</v>
      </c>
      <c r="AL94" s="189" t="s">
        <v>575</v>
      </c>
      <c r="AM94" s="189" t="s">
        <v>576</v>
      </c>
      <c r="AN94" s="189" t="s">
        <v>92</v>
      </c>
      <c r="AO94" s="189" t="s">
        <v>577</v>
      </c>
      <c r="AP94" s="196">
        <v>-0.09</v>
      </c>
      <c r="AQ94" s="196">
        <f t="shared" si="53"/>
        <v>0</v>
      </c>
      <c r="AR94" s="194">
        <f t="shared" si="57"/>
        <v>0</v>
      </c>
      <c r="AS94" s="197">
        <f t="shared" si="54"/>
        <v>0</v>
      </c>
      <c r="AT94" s="198" t="s">
        <v>92</v>
      </c>
      <c r="AU94" s="189"/>
      <c r="AV94" s="189"/>
      <c r="AW94" s="189"/>
      <c r="AX94" s="361"/>
      <c r="AY94" s="361"/>
      <c r="AZ94" s="361"/>
      <c r="BA94" s="361"/>
      <c r="BB94" s="361"/>
      <c r="BC94" s="373"/>
    </row>
    <row r="95" spans="1:55" ht="18" customHeight="1">
      <c r="A95" s="232" t="s">
        <v>324</v>
      </c>
      <c r="B95" s="184">
        <v>44888</v>
      </c>
      <c r="C95" s="256" t="s">
        <v>578</v>
      </c>
      <c r="D95" s="185" t="s">
        <v>128</v>
      </c>
      <c r="E95" s="238"/>
      <c r="F95" s="187"/>
      <c r="G95" s="206" t="s">
        <v>530</v>
      </c>
      <c r="H95" s="189"/>
      <c r="I95" s="189"/>
      <c r="J95" s="189"/>
      <c r="K95" s="190"/>
      <c r="L95" s="189">
        <v>1</v>
      </c>
      <c r="M95" s="189"/>
      <c r="N95" s="189"/>
      <c r="O95" s="190" t="s">
        <v>71</v>
      </c>
      <c r="P95" s="190" t="s">
        <v>114</v>
      </c>
      <c r="Q95" s="190" t="s">
        <v>73</v>
      </c>
      <c r="R95" s="190">
        <v>1</v>
      </c>
      <c r="S95" s="190">
        <v>1</v>
      </c>
      <c r="T95" s="190">
        <v>1</v>
      </c>
      <c r="U95" s="190" t="s">
        <v>21</v>
      </c>
      <c r="V95" s="191">
        <f t="shared" si="43"/>
        <v>0.01</v>
      </c>
      <c r="W95" s="191">
        <f>IF(ISBLANK(O95),,IF(O95=UPPER("IB"),8.63*200,16.2*100))</f>
        <v>1620</v>
      </c>
      <c r="X95" s="192" t="s">
        <v>565</v>
      </c>
      <c r="Y95" s="192"/>
      <c r="Z95" s="192" t="s">
        <v>75</v>
      </c>
      <c r="AA95" s="193">
        <v>-7.0000000000000007E-2</v>
      </c>
      <c r="AB95" s="189"/>
      <c r="AC95" s="189">
        <v>-0.1</v>
      </c>
      <c r="AD95" s="189"/>
      <c r="AE95" s="189">
        <v>-0.06</v>
      </c>
      <c r="AF95" s="189"/>
      <c r="AG95" s="189"/>
      <c r="AH95" s="189"/>
      <c r="AI95" s="194">
        <f t="shared" si="58"/>
        <v>-48.6</v>
      </c>
      <c r="AJ95" s="194">
        <f t="shared" si="56"/>
        <v>-48.6</v>
      </c>
      <c r="AK95" s="189" t="s">
        <v>88</v>
      </c>
      <c r="AL95" s="189"/>
      <c r="AM95" s="189" t="s">
        <v>579</v>
      </c>
      <c r="AN95" s="189" t="s">
        <v>82</v>
      </c>
      <c r="AO95" s="189" t="s">
        <v>580</v>
      </c>
      <c r="AP95" s="196">
        <v>-0.06</v>
      </c>
      <c r="AQ95" s="196">
        <f t="shared" si="53"/>
        <v>1.0000000000000009E-2</v>
      </c>
      <c r="AR95" s="194">
        <f t="shared" si="57"/>
        <v>16.200000000000014</v>
      </c>
      <c r="AS95" s="197">
        <f t="shared" si="54"/>
        <v>16.200000000000014</v>
      </c>
      <c r="AT95" s="198" t="s">
        <v>72</v>
      </c>
      <c r="AU95" s="189" t="s">
        <v>581</v>
      </c>
      <c r="AV95" s="189"/>
      <c r="AW95" s="189"/>
      <c r="AX95" s="361"/>
      <c r="AY95" s="361"/>
      <c r="AZ95" s="361"/>
      <c r="BA95" s="361"/>
      <c r="BB95" s="361"/>
      <c r="BC95" s="373"/>
    </row>
    <row r="96" spans="1:55" ht="18" customHeight="1">
      <c r="A96" s="232" t="s">
        <v>324</v>
      </c>
      <c r="B96" s="184">
        <v>44888</v>
      </c>
      <c r="C96" s="256" t="s">
        <v>582</v>
      </c>
      <c r="D96" s="185" t="s">
        <v>128</v>
      </c>
      <c r="E96" s="238"/>
      <c r="F96" s="187"/>
      <c r="G96" s="206" t="s">
        <v>257</v>
      </c>
      <c r="H96" s="189"/>
      <c r="I96" s="189"/>
      <c r="J96" s="189"/>
      <c r="K96" s="190"/>
      <c r="L96" s="189">
        <v>1</v>
      </c>
      <c r="M96" s="189"/>
      <c r="N96" s="189"/>
      <c r="O96" s="190" t="s">
        <v>71</v>
      </c>
      <c r="P96" s="190" t="s">
        <v>114</v>
      </c>
      <c r="Q96" s="190" t="s">
        <v>73</v>
      </c>
      <c r="R96" s="190">
        <v>2</v>
      </c>
      <c r="S96" s="190">
        <v>2</v>
      </c>
      <c r="T96" s="190">
        <v>2</v>
      </c>
      <c r="U96" s="190" t="s">
        <v>21</v>
      </c>
      <c r="V96" s="191">
        <f t="shared" si="43"/>
        <v>0.01</v>
      </c>
      <c r="W96" s="191">
        <f>IF(ISBLANK(O96),,IF(O96=UPPER("IB"),8.63*200,16*100))</f>
        <v>1600</v>
      </c>
      <c r="X96" s="192" t="s">
        <v>547</v>
      </c>
      <c r="Y96" s="192"/>
      <c r="Z96" s="192"/>
      <c r="AA96" s="193">
        <v>-0.09</v>
      </c>
      <c r="AB96" s="189"/>
      <c r="AC96" s="189">
        <v>-0.12</v>
      </c>
      <c r="AD96" s="189"/>
      <c r="AE96" s="189">
        <v>-7.0000000000000007E-2</v>
      </c>
      <c r="AF96" s="189"/>
      <c r="AG96" s="189"/>
      <c r="AH96" s="189"/>
      <c r="AI96" s="194">
        <f>-0.02*W96</f>
        <v>-32</v>
      </c>
      <c r="AJ96" s="194">
        <f t="shared" si="56"/>
        <v>-64</v>
      </c>
      <c r="AK96" s="189" t="s">
        <v>88</v>
      </c>
      <c r="AL96" s="189"/>
      <c r="AM96" s="189" t="s">
        <v>566</v>
      </c>
      <c r="AN96" s="189" t="s">
        <v>92</v>
      </c>
      <c r="AO96" s="202">
        <v>44890.791666666664</v>
      </c>
      <c r="AP96" s="196">
        <v>-0.08</v>
      </c>
      <c r="AQ96" s="196">
        <f t="shared" si="53"/>
        <v>9.999999999999995E-3</v>
      </c>
      <c r="AR96" s="194">
        <f t="shared" si="57"/>
        <v>31.999999999999986</v>
      </c>
      <c r="AS96" s="197">
        <f t="shared" si="54"/>
        <v>15.999999999999993</v>
      </c>
      <c r="AT96" s="198" t="s">
        <v>72</v>
      </c>
      <c r="AU96" s="189" t="s">
        <v>567</v>
      </c>
      <c r="AV96" s="189"/>
      <c r="AW96" s="189"/>
      <c r="AX96" s="361"/>
      <c r="AY96" s="361"/>
      <c r="AZ96" s="361"/>
      <c r="BA96" s="361"/>
      <c r="BB96" s="361"/>
      <c r="BC96" s="373"/>
    </row>
    <row r="97" spans="1:55" ht="18" customHeight="1">
      <c r="A97" s="232" t="s">
        <v>324</v>
      </c>
      <c r="B97" s="184">
        <v>44889</v>
      </c>
      <c r="C97" s="256" t="s">
        <v>583</v>
      </c>
      <c r="D97" s="185" t="s">
        <v>69</v>
      </c>
      <c r="E97" s="238"/>
      <c r="F97" s="187"/>
      <c r="G97" s="188" t="s">
        <v>187</v>
      </c>
      <c r="H97" s="189"/>
      <c r="I97" s="189"/>
      <c r="J97" s="189"/>
      <c r="K97" s="190"/>
      <c r="L97" s="189">
        <v>1</v>
      </c>
      <c r="M97" s="189"/>
      <c r="N97" s="189">
        <v>1</v>
      </c>
      <c r="O97" s="190" t="s">
        <v>71</v>
      </c>
      <c r="P97" s="190" t="s">
        <v>72</v>
      </c>
      <c r="Q97" s="190" t="s">
        <v>73</v>
      </c>
      <c r="R97" s="190">
        <v>1</v>
      </c>
      <c r="S97" s="190">
        <v>1</v>
      </c>
      <c r="T97" s="190">
        <v>1</v>
      </c>
      <c r="U97" s="190" t="s">
        <v>73</v>
      </c>
      <c r="V97" s="191">
        <f t="shared" si="43"/>
        <v>0.01</v>
      </c>
      <c r="W97" s="191">
        <f t="shared" ref="W97:W99" si="59">IF(ISBLANK(O97),,IF(O97=UPPER("IB"),8.63*200,16.2*100))</f>
        <v>1620</v>
      </c>
      <c r="X97" s="192" t="s">
        <v>584</v>
      </c>
      <c r="Y97" s="192"/>
      <c r="Z97" s="192"/>
      <c r="AA97" s="193">
        <v>0.55000000000000004</v>
      </c>
      <c r="AB97" s="192" t="s">
        <v>585</v>
      </c>
      <c r="AC97" s="189">
        <v>0.57999999999999996</v>
      </c>
      <c r="AD97" s="189" t="s">
        <v>586</v>
      </c>
      <c r="AE97" s="189">
        <v>0.52</v>
      </c>
      <c r="AF97" s="189" t="s">
        <v>587</v>
      </c>
      <c r="AG97" s="189"/>
      <c r="AH97" s="189"/>
      <c r="AI97" s="194">
        <f>-0.03*W97</f>
        <v>-48.6</v>
      </c>
      <c r="AJ97" s="194">
        <f t="shared" si="56"/>
        <v>-48.6</v>
      </c>
      <c r="AK97" s="189"/>
      <c r="AL97" s="189"/>
      <c r="AM97" s="189" t="s">
        <v>357</v>
      </c>
      <c r="AN97" s="189" t="s">
        <v>82</v>
      </c>
      <c r="AO97" s="189" t="s">
        <v>588</v>
      </c>
      <c r="AP97" s="196">
        <v>0.51</v>
      </c>
      <c r="AQ97" s="196">
        <f t="shared" si="53"/>
        <v>4.0000000000000036E-2</v>
      </c>
      <c r="AR97" s="194">
        <f t="shared" si="57"/>
        <v>64.800000000000054</v>
      </c>
      <c r="AS97" s="197">
        <f t="shared" si="54"/>
        <v>64.800000000000054</v>
      </c>
      <c r="AT97" s="198" t="s">
        <v>72</v>
      </c>
      <c r="AU97" s="189" t="s">
        <v>589</v>
      </c>
      <c r="AV97" s="189"/>
      <c r="AW97" s="189" t="s">
        <v>590</v>
      </c>
      <c r="AX97" s="361" t="s">
        <v>591</v>
      </c>
      <c r="AY97" s="361" t="s">
        <v>592</v>
      </c>
      <c r="AZ97" s="361" t="s">
        <v>593</v>
      </c>
      <c r="BA97" s="361" t="s">
        <v>594</v>
      </c>
      <c r="BB97" s="361"/>
      <c r="BC97" s="373"/>
    </row>
    <row r="98" spans="1:55" ht="18" customHeight="1">
      <c r="A98" s="232" t="s">
        <v>324</v>
      </c>
      <c r="B98" s="184">
        <v>44890</v>
      </c>
      <c r="C98" s="185" t="s">
        <v>595</v>
      </c>
      <c r="D98" s="185" t="s">
        <v>88</v>
      </c>
      <c r="E98" s="238"/>
      <c r="F98" s="187"/>
      <c r="G98" s="188" t="s">
        <v>530</v>
      </c>
      <c r="H98" s="189"/>
      <c r="I98" s="189"/>
      <c r="J98" s="189"/>
      <c r="K98" s="190"/>
      <c r="L98" s="189">
        <v>1</v>
      </c>
      <c r="M98" s="189"/>
      <c r="N98" s="189"/>
      <c r="O98" s="190" t="s">
        <v>71</v>
      </c>
      <c r="P98" s="190" t="s">
        <v>114</v>
      </c>
      <c r="Q98" s="190" t="s">
        <v>73</v>
      </c>
      <c r="R98" s="190">
        <v>2</v>
      </c>
      <c r="S98" s="190">
        <v>2</v>
      </c>
      <c r="T98" s="190">
        <v>1</v>
      </c>
      <c r="U98" s="190" t="s">
        <v>21</v>
      </c>
      <c r="V98" s="191">
        <f t="shared" si="43"/>
        <v>0.01</v>
      </c>
      <c r="W98" s="191">
        <f t="shared" si="59"/>
        <v>1620</v>
      </c>
      <c r="X98" s="192" t="s">
        <v>338</v>
      </c>
      <c r="Y98" s="192"/>
      <c r="Z98" s="192" t="s">
        <v>75</v>
      </c>
      <c r="AA98" s="193">
        <v>-7.0000000000000007E-2</v>
      </c>
      <c r="AB98" s="189"/>
      <c r="AC98" s="189"/>
      <c r="AD98" s="189"/>
      <c r="AE98" s="189">
        <v>-0.06</v>
      </c>
      <c r="AF98" s="189"/>
      <c r="AG98" s="189" t="s">
        <v>596</v>
      </c>
      <c r="AH98" s="189"/>
      <c r="AI98" s="194">
        <f>-0.02*W98</f>
        <v>-32.4</v>
      </c>
      <c r="AJ98" s="194">
        <f t="shared" si="56"/>
        <v>-64.8</v>
      </c>
      <c r="AK98" s="189" t="s">
        <v>69</v>
      </c>
      <c r="AL98" s="189" t="s">
        <v>597</v>
      </c>
      <c r="AM98" s="189"/>
      <c r="AN98" s="189" t="s">
        <v>92</v>
      </c>
      <c r="AO98" s="250">
        <v>44895</v>
      </c>
      <c r="AP98" s="196">
        <v>-0.08</v>
      </c>
      <c r="AQ98" s="196">
        <f t="shared" si="53"/>
        <v>-9.999999999999995E-3</v>
      </c>
      <c r="AR98" s="194">
        <f t="shared" si="57"/>
        <v>-32.399999999999984</v>
      </c>
      <c r="AS98" s="197">
        <f t="shared" si="54"/>
        <v>-16.199999999999992</v>
      </c>
      <c r="AT98" s="198" t="s">
        <v>206</v>
      </c>
      <c r="AU98" s="189" t="s">
        <v>598</v>
      </c>
      <c r="AV98" s="189"/>
      <c r="AW98" s="189"/>
      <c r="AX98" s="361"/>
      <c r="AY98" s="361"/>
      <c r="AZ98" s="361"/>
      <c r="BA98" s="361"/>
      <c r="BB98" s="361"/>
      <c r="BC98" s="373"/>
    </row>
    <row r="99" spans="1:55" ht="18" customHeight="1">
      <c r="A99" s="232" t="s">
        <v>324</v>
      </c>
      <c r="B99" s="184">
        <v>44893</v>
      </c>
      <c r="C99" s="201">
        <v>0.25</v>
      </c>
      <c r="D99" s="185" t="s">
        <v>109</v>
      </c>
      <c r="E99" s="238" t="s">
        <v>599</v>
      </c>
      <c r="F99" s="187" t="s">
        <v>600</v>
      </c>
      <c r="G99" s="188"/>
      <c r="H99" s="189"/>
      <c r="I99" s="189"/>
      <c r="J99" s="189">
        <v>1</v>
      </c>
      <c r="K99" s="190" t="s">
        <v>92</v>
      </c>
      <c r="L99" s="189"/>
      <c r="M99" s="189"/>
      <c r="N99" s="189"/>
      <c r="O99" s="190"/>
      <c r="P99" s="190"/>
      <c r="Q99" s="190"/>
      <c r="R99" s="190"/>
      <c r="S99" s="190"/>
      <c r="T99" s="190"/>
      <c r="U99" s="190"/>
      <c r="V99" s="191">
        <f t="shared" si="43"/>
        <v>0</v>
      </c>
      <c r="W99" s="191">
        <f t="shared" si="59"/>
        <v>0</v>
      </c>
      <c r="X99" s="192"/>
      <c r="Y99" s="192"/>
      <c r="Z99" s="192"/>
      <c r="AA99" s="193"/>
      <c r="AB99" s="189"/>
      <c r="AC99" s="189"/>
      <c r="AD99" s="189"/>
      <c r="AE99" s="189"/>
      <c r="AF99" s="189"/>
      <c r="AG99" s="189"/>
      <c r="AH99" s="189"/>
      <c r="AI99" s="194"/>
      <c r="AJ99" s="190"/>
      <c r="AK99" s="189"/>
      <c r="AL99" s="189"/>
      <c r="AM99" s="189"/>
      <c r="AN99" s="189"/>
      <c r="AO99" s="189"/>
      <c r="AP99" s="196"/>
      <c r="AQ99" s="189">
        <f t="shared" si="53"/>
        <v>0</v>
      </c>
      <c r="AR99" s="194"/>
      <c r="AS99" s="197">
        <f t="shared" si="54"/>
        <v>0</v>
      </c>
      <c r="AT99" s="198"/>
      <c r="AU99" s="189"/>
      <c r="AV99" s="189"/>
      <c r="AW99" s="189"/>
      <c r="AX99" s="361"/>
      <c r="AY99" s="361"/>
      <c r="AZ99" s="361"/>
      <c r="BA99" s="361"/>
      <c r="BB99" s="361"/>
      <c r="BC99" s="373"/>
    </row>
    <row r="100" spans="1:55" ht="18" customHeight="1">
      <c r="A100" s="232" t="s">
        <v>324</v>
      </c>
      <c r="B100" s="184">
        <v>44893</v>
      </c>
      <c r="C100" s="185" t="s">
        <v>601</v>
      </c>
      <c r="D100" s="185" t="s">
        <v>109</v>
      </c>
      <c r="E100" s="238"/>
      <c r="F100" s="187"/>
      <c r="G100" s="188" t="s">
        <v>257</v>
      </c>
      <c r="H100" s="189"/>
      <c r="I100" s="189"/>
      <c r="J100" s="189"/>
      <c r="K100" s="190"/>
      <c r="L100" s="189">
        <v>1</v>
      </c>
      <c r="M100" s="189"/>
      <c r="N100" s="189"/>
      <c r="O100" s="190" t="s">
        <v>71</v>
      </c>
      <c r="P100" s="190" t="s">
        <v>114</v>
      </c>
      <c r="Q100" s="190" t="s">
        <v>73</v>
      </c>
      <c r="R100" s="190">
        <v>2</v>
      </c>
      <c r="S100" s="190">
        <v>2</v>
      </c>
      <c r="T100" s="190">
        <v>2</v>
      </c>
      <c r="U100" s="190" t="s">
        <v>21</v>
      </c>
      <c r="V100" s="191">
        <f t="shared" si="43"/>
        <v>0.01</v>
      </c>
      <c r="W100" s="191">
        <f t="shared" ref="W100:W105" si="60">IF(ISBLANK(O100),,IF(O100=UPPER("IB"),8.63*200,16*100))</f>
        <v>1600</v>
      </c>
      <c r="X100" s="192" t="s">
        <v>547</v>
      </c>
      <c r="Y100" s="192"/>
      <c r="Z100" s="192"/>
      <c r="AA100" s="193">
        <v>-0.09</v>
      </c>
      <c r="AB100" s="189" t="s">
        <v>602</v>
      </c>
      <c r="AC100" s="189"/>
      <c r="AD100" s="189"/>
      <c r="AE100" s="189"/>
      <c r="AF100" s="189"/>
      <c r="AG100" s="189"/>
      <c r="AH100" s="189"/>
      <c r="AI100" s="194">
        <f t="shared" ref="AI100:AI101" si="61">-0.03*W100</f>
        <v>-48</v>
      </c>
      <c r="AJ100" s="194">
        <f t="shared" ref="AJ100:AJ101" si="62">AI100*R100</f>
        <v>-96</v>
      </c>
      <c r="AK100" s="189" t="s">
        <v>69</v>
      </c>
      <c r="AL100" s="189" t="s">
        <v>597</v>
      </c>
      <c r="AM100" s="189" t="s">
        <v>603</v>
      </c>
      <c r="AN100" s="189" t="s">
        <v>92</v>
      </c>
      <c r="AO100" s="189" t="s">
        <v>604</v>
      </c>
      <c r="AP100" s="196">
        <v>-0.09</v>
      </c>
      <c r="AQ100" s="196">
        <f t="shared" si="53"/>
        <v>0</v>
      </c>
      <c r="AR100" s="194">
        <f>AS100*R100</f>
        <v>0</v>
      </c>
      <c r="AS100" s="197">
        <f t="shared" si="54"/>
        <v>0</v>
      </c>
      <c r="AT100" s="198" t="s">
        <v>92</v>
      </c>
      <c r="AU100" s="189" t="s">
        <v>605</v>
      </c>
      <c r="AV100" s="189"/>
      <c r="AW100" s="189"/>
      <c r="AX100" s="361"/>
      <c r="AY100" s="361"/>
      <c r="AZ100" s="361"/>
      <c r="BA100" s="361"/>
      <c r="BB100" s="361"/>
      <c r="BC100" s="373"/>
    </row>
    <row r="101" spans="1:55" ht="18" customHeight="1">
      <c r="A101" s="232" t="s">
        <v>324</v>
      </c>
      <c r="B101" s="184">
        <v>44893</v>
      </c>
      <c r="C101" s="185" t="s">
        <v>606</v>
      </c>
      <c r="D101" s="185" t="s">
        <v>109</v>
      </c>
      <c r="E101" s="238"/>
      <c r="F101" s="187"/>
      <c r="G101" s="206" t="s">
        <v>530</v>
      </c>
      <c r="H101" s="189"/>
      <c r="I101" s="189"/>
      <c r="J101" s="189"/>
      <c r="K101" s="190"/>
      <c r="L101" s="189">
        <v>1</v>
      </c>
      <c r="M101" s="189"/>
      <c r="N101" s="189"/>
      <c r="O101" s="190" t="s">
        <v>71</v>
      </c>
      <c r="P101" s="190" t="s">
        <v>114</v>
      </c>
      <c r="Q101" s="190" t="s">
        <v>73</v>
      </c>
      <c r="R101" s="190">
        <v>2</v>
      </c>
      <c r="S101" s="190">
        <v>2</v>
      </c>
      <c r="T101" s="190">
        <v>2</v>
      </c>
      <c r="U101" s="190" t="s">
        <v>21</v>
      </c>
      <c r="V101" s="191">
        <f t="shared" si="43"/>
        <v>0.01</v>
      </c>
      <c r="W101" s="191">
        <f t="shared" si="60"/>
        <v>1600</v>
      </c>
      <c r="X101" s="192" t="s">
        <v>115</v>
      </c>
      <c r="Y101" s="192"/>
      <c r="Z101" s="192" t="s">
        <v>75</v>
      </c>
      <c r="AA101" s="193">
        <v>-0.08</v>
      </c>
      <c r="AB101" s="189"/>
      <c r="AC101" s="189"/>
      <c r="AD101" s="189"/>
      <c r="AE101" s="189"/>
      <c r="AF101" s="189"/>
      <c r="AG101" s="189"/>
      <c r="AH101" s="189"/>
      <c r="AI101" s="194">
        <f t="shared" si="61"/>
        <v>-48</v>
      </c>
      <c r="AJ101" s="194">
        <f t="shared" si="62"/>
        <v>-96</v>
      </c>
      <c r="AK101" s="189"/>
      <c r="AL101" s="189"/>
      <c r="AM101" s="189"/>
      <c r="AN101" s="189" t="s">
        <v>92</v>
      </c>
      <c r="AO101" s="189" t="s">
        <v>607</v>
      </c>
      <c r="AP101" s="196">
        <v>-7.0000000000000007E-2</v>
      </c>
      <c r="AQ101" s="196">
        <f t="shared" si="53"/>
        <v>9.999999999999995E-3</v>
      </c>
      <c r="AR101" s="194">
        <f>AS101*R101</f>
        <v>31.999999999999986</v>
      </c>
      <c r="AS101" s="197">
        <f t="shared" si="54"/>
        <v>15.999999999999993</v>
      </c>
      <c r="AT101" s="198" t="s">
        <v>72</v>
      </c>
      <c r="AU101" s="189"/>
      <c r="AV101" s="189"/>
      <c r="AW101" s="189"/>
      <c r="AX101" s="361"/>
      <c r="AY101" s="361"/>
      <c r="AZ101" s="361"/>
      <c r="BA101" s="361"/>
      <c r="BB101" s="361"/>
      <c r="BC101" s="373"/>
    </row>
    <row r="102" spans="1:55" ht="18" customHeight="1">
      <c r="A102" s="232" t="s">
        <v>324</v>
      </c>
      <c r="B102" s="184">
        <v>44893</v>
      </c>
      <c r="C102" s="185" t="s">
        <v>608</v>
      </c>
      <c r="D102" s="185" t="s">
        <v>109</v>
      </c>
      <c r="E102" s="238"/>
      <c r="F102" s="187"/>
      <c r="G102" s="206" t="s">
        <v>609</v>
      </c>
      <c r="H102" s="189"/>
      <c r="I102" s="189"/>
      <c r="J102" s="189"/>
      <c r="K102" s="190"/>
      <c r="L102" s="189"/>
      <c r="M102" s="189">
        <v>1</v>
      </c>
      <c r="N102" s="189"/>
      <c r="O102" s="190" t="s">
        <v>71</v>
      </c>
      <c r="P102" s="190" t="s">
        <v>72</v>
      </c>
      <c r="Q102" s="190" t="s">
        <v>233</v>
      </c>
      <c r="R102" s="190">
        <v>2</v>
      </c>
      <c r="S102" s="190">
        <v>2</v>
      </c>
      <c r="T102" s="190">
        <v>1</v>
      </c>
      <c r="U102" s="190" t="s">
        <v>21</v>
      </c>
      <c r="V102" s="191">
        <f t="shared" si="43"/>
        <v>0.01</v>
      </c>
      <c r="W102" s="191">
        <f t="shared" si="60"/>
        <v>1600</v>
      </c>
      <c r="X102" s="192" t="s">
        <v>610</v>
      </c>
      <c r="Y102" s="203" t="s">
        <v>611</v>
      </c>
      <c r="Z102" s="192" t="s">
        <v>612</v>
      </c>
      <c r="AA102" s="193">
        <v>0</v>
      </c>
      <c r="AB102" s="189"/>
      <c r="AC102" s="189">
        <v>-2</v>
      </c>
      <c r="AD102" s="189"/>
      <c r="AE102" s="189" t="s">
        <v>613</v>
      </c>
      <c r="AF102" s="189"/>
      <c r="AG102" s="189"/>
      <c r="AH102" s="189"/>
      <c r="AI102" s="194"/>
      <c r="AJ102" s="190"/>
      <c r="AK102" s="189" t="s">
        <v>614</v>
      </c>
      <c r="AL102" s="189" t="s">
        <v>615</v>
      </c>
      <c r="AM102" s="189" t="s">
        <v>616</v>
      </c>
      <c r="AN102" s="189" t="s">
        <v>72</v>
      </c>
      <c r="AO102" s="189" t="s">
        <v>617</v>
      </c>
      <c r="AP102" s="196">
        <v>5.5E-2</v>
      </c>
      <c r="AQ102" s="196">
        <f t="shared" si="53"/>
        <v>5.5E-2</v>
      </c>
      <c r="AR102" s="194">
        <f>AS102*R102</f>
        <v>176</v>
      </c>
      <c r="AS102" s="197">
        <f t="shared" si="54"/>
        <v>88</v>
      </c>
      <c r="AT102" s="198" t="s">
        <v>72</v>
      </c>
      <c r="AU102" s="189" t="s">
        <v>618</v>
      </c>
      <c r="AV102" s="192" t="s">
        <v>619</v>
      </c>
      <c r="AW102" s="192" t="s">
        <v>620</v>
      </c>
      <c r="AX102" s="361" t="s">
        <v>621</v>
      </c>
      <c r="AY102" s="361" t="s">
        <v>622</v>
      </c>
      <c r="AZ102" s="361" t="s">
        <v>623</v>
      </c>
      <c r="BA102" s="362" t="s">
        <v>524</v>
      </c>
      <c r="BB102" s="361" t="s">
        <v>624</v>
      </c>
      <c r="BC102" s="373" t="s">
        <v>625</v>
      </c>
    </row>
    <row r="103" spans="1:55" ht="18" customHeight="1">
      <c r="A103" s="232" t="s">
        <v>324</v>
      </c>
      <c r="B103" s="184"/>
      <c r="C103" s="185"/>
      <c r="D103" s="185"/>
      <c r="E103" s="238"/>
      <c r="F103" s="187"/>
      <c r="G103" s="188"/>
      <c r="H103" s="189"/>
      <c r="I103" s="189"/>
      <c r="J103" s="189"/>
      <c r="K103" s="190"/>
      <c r="L103" s="189"/>
      <c r="M103" s="189"/>
      <c r="N103" s="189"/>
      <c r="O103" s="190"/>
      <c r="P103" s="190"/>
      <c r="Q103" s="190"/>
      <c r="R103" s="190"/>
      <c r="S103" s="190"/>
      <c r="T103" s="190"/>
      <c r="U103" s="190"/>
      <c r="V103" s="191">
        <f t="shared" si="43"/>
        <v>0</v>
      </c>
      <c r="W103" s="191">
        <f t="shared" si="60"/>
        <v>0</v>
      </c>
      <c r="X103" s="192"/>
      <c r="Y103" s="192"/>
      <c r="Z103" s="192"/>
      <c r="AA103" s="193"/>
      <c r="AB103" s="189"/>
      <c r="AC103" s="189"/>
      <c r="AD103" s="189"/>
      <c r="AE103" s="189"/>
      <c r="AF103" s="189"/>
      <c r="AG103" s="189"/>
      <c r="AH103" s="189"/>
      <c r="AI103" s="194"/>
      <c r="AJ103" s="190"/>
      <c r="AK103" s="189"/>
      <c r="AL103" s="189"/>
      <c r="AM103" s="189"/>
      <c r="AN103" s="189"/>
      <c r="AO103" s="189"/>
      <c r="AP103" s="196"/>
      <c r="AQ103" s="189">
        <f t="shared" si="53"/>
        <v>0</v>
      </c>
      <c r="AR103" s="194"/>
      <c r="AS103" s="197">
        <f t="shared" si="54"/>
        <v>0</v>
      </c>
      <c r="AT103" s="198"/>
      <c r="AU103" s="189" t="s">
        <v>626</v>
      </c>
      <c r="AV103" s="189" t="s">
        <v>627</v>
      </c>
      <c r="AW103" s="189" t="s">
        <v>628</v>
      </c>
      <c r="AX103" s="361"/>
      <c r="AY103" s="361"/>
      <c r="AZ103" s="361"/>
      <c r="BA103" s="361"/>
      <c r="BB103" s="361"/>
      <c r="BC103" s="373"/>
    </row>
    <row r="104" spans="1:55" ht="18" customHeight="1">
      <c r="A104" s="232" t="s">
        <v>324</v>
      </c>
      <c r="B104" s="184">
        <v>44895</v>
      </c>
      <c r="C104" s="185" t="s">
        <v>629</v>
      </c>
      <c r="D104" s="185" t="s">
        <v>128</v>
      </c>
      <c r="E104" s="238" t="s">
        <v>630</v>
      </c>
      <c r="F104" s="187" t="s">
        <v>631</v>
      </c>
      <c r="G104" s="188"/>
      <c r="H104" s="189"/>
      <c r="I104" s="189"/>
      <c r="J104" s="189">
        <v>1</v>
      </c>
      <c r="K104" s="190" t="s">
        <v>92</v>
      </c>
      <c r="L104" s="189"/>
      <c r="M104" s="189"/>
      <c r="N104" s="189"/>
      <c r="O104" s="190"/>
      <c r="P104" s="190"/>
      <c r="Q104" s="190"/>
      <c r="R104" s="190"/>
      <c r="S104" s="190"/>
      <c r="T104" s="190"/>
      <c r="U104" s="190"/>
      <c r="V104" s="191">
        <f t="shared" si="43"/>
        <v>0</v>
      </c>
      <c r="W104" s="191">
        <f t="shared" si="60"/>
        <v>0</v>
      </c>
      <c r="X104" s="192"/>
      <c r="Y104" s="192"/>
      <c r="Z104" s="192"/>
      <c r="AA104" s="193"/>
      <c r="AB104" s="189"/>
      <c r="AC104" s="189"/>
      <c r="AD104" s="189"/>
      <c r="AE104" s="189"/>
      <c r="AF104" s="189"/>
      <c r="AG104" s="189"/>
      <c r="AH104" s="189"/>
      <c r="AI104" s="194"/>
      <c r="AJ104" s="190"/>
      <c r="AK104" s="189"/>
      <c r="AL104" s="189"/>
      <c r="AM104" s="189"/>
      <c r="AN104" s="189"/>
      <c r="AO104" s="189"/>
      <c r="AP104" s="196"/>
      <c r="AQ104" s="189">
        <f t="shared" si="53"/>
        <v>0</v>
      </c>
      <c r="AR104" s="194"/>
      <c r="AS104" s="197">
        <f t="shared" si="54"/>
        <v>0</v>
      </c>
      <c r="AT104" s="198"/>
      <c r="AU104" s="189"/>
      <c r="AV104" s="189"/>
      <c r="AW104" s="189"/>
      <c r="AX104" s="362" t="s">
        <v>632</v>
      </c>
      <c r="AY104" s="362" t="s">
        <v>633</v>
      </c>
      <c r="AZ104" s="361"/>
      <c r="BA104" s="361"/>
      <c r="BB104" s="361"/>
      <c r="BC104" s="373"/>
    </row>
    <row r="105" spans="1:55" ht="18" customHeight="1">
      <c r="A105" s="232" t="s">
        <v>324</v>
      </c>
      <c r="B105" s="184">
        <v>44895</v>
      </c>
      <c r="C105" s="185" t="s">
        <v>477</v>
      </c>
      <c r="D105" s="185" t="s">
        <v>128</v>
      </c>
      <c r="E105" s="238"/>
      <c r="F105" s="187"/>
      <c r="G105" s="206" t="s">
        <v>634</v>
      </c>
      <c r="H105" s="189"/>
      <c r="I105" s="189"/>
      <c r="J105" s="189"/>
      <c r="K105" s="190"/>
      <c r="L105" s="189">
        <v>1</v>
      </c>
      <c r="M105" s="189"/>
      <c r="N105" s="189"/>
      <c r="O105" s="190" t="s">
        <v>71</v>
      </c>
      <c r="P105" s="190" t="s">
        <v>114</v>
      </c>
      <c r="Q105" s="190" t="s">
        <v>73</v>
      </c>
      <c r="R105" s="190">
        <v>2</v>
      </c>
      <c r="S105" s="190">
        <v>2</v>
      </c>
      <c r="T105" s="190">
        <v>2</v>
      </c>
      <c r="U105" s="190" t="s">
        <v>21</v>
      </c>
      <c r="V105" s="191">
        <f t="shared" si="43"/>
        <v>0.01</v>
      </c>
      <c r="W105" s="191">
        <f t="shared" si="60"/>
        <v>1600</v>
      </c>
      <c r="X105" s="192" t="s">
        <v>635</v>
      </c>
      <c r="Y105" s="192"/>
      <c r="Z105" s="192"/>
      <c r="AA105" s="193">
        <v>-0.09</v>
      </c>
      <c r="AB105" s="189"/>
      <c r="AC105" s="189"/>
      <c r="AD105" s="189"/>
      <c r="AE105" s="189"/>
      <c r="AF105" s="189"/>
      <c r="AG105" s="189"/>
      <c r="AH105" s="189"/>
      <c r="AI105" s="194"/>
      <c r="AJ105" s="190"/>
      <c r="AK105" s="189"/>
      <c r="AL105" s="189"/>
      <c r="AM105" s="189"/>
      <c r="AN105" s="189" t="s">
        <v>82</v>
      </c>
      <c r="AO105" s="189" t="s">
        <v>318</v>
      </c>
      <c r="AP105" s="196">
        <v>-7.0000000000000007E-2</v>
      </c>
      <c r="AQ105" s="196">
        <f t="shared" si="53"/>
        <v>1.999999999999999E-2</v>
      </c>
      <c r="AR105" s="194">
        <f>AS105*R105</f>
        <v>63.999999999999972</v>
      </c>
      <c r="AS105" s="197">
        <f t="shared" si="54"/>
        <v>31.999999999999986</v>
      </c>
      <c r="AT105" s="198" t="s">
        <v>72</v>
      </c>
      <c r="AU105" s="189"/>
      <c r="AV105" s="189"/>
      <c r="AW105" s="189"/>
      <c r="AX105" s="361"/>
      <c r="AY105" s="361"/>
      <c r="AZ105" s="361"/>
      <c r="BA105" s="361"/>
      <c r="BB105" s="361"/>
      <c r="BC105" s="373"/>
    </row>
    <row r="106" spans="1:55" ht="18" customHeight="1">
      <c r="A106" s="232" t="s">
        <v>324</v>
      </c>
      <c r="B106" s="184">
        <v>44895</v>
      </c>
      <c r="C106" s="185" t="s">
        <v>477</v>
      </c>
      <c r="D106" s="185" t="s">
        <v>128</v>
      </c>
      <c r="E106" s="238"/>
      <c r="F106" s="187"/>
      <c r="G106" s="258" t="s">
        <v>248</v>
      </c>
      <c r="H106" s="189"/>
      <c r="I106" s="189"/>
      <c r="J106" s="189"/>
      <c r="K106" s="190"/>
      <c r="L106" s="189">
        <v>1</v>
      </c>
      <c r="M106" s="189"/>
      <c r="N106" s="189"/>
      <c r="O106" s="190" t="s">
        <v>71</v>
      </c>
      <c r="P106" s="190" t="s">
        <v>114</v>
      </c>
      <c r="Q106" s="190" t="s">
        <v>73</v>
      </c>
      <c r="R106" s="190">
        <v>2</v>
      </c>
      <c r="S106" s="190">
        <v>2</v>
      </c>
      <c r="T106" s="190">
        <v>2</v>
      </c>
      <c r="U106" s="190" t="s">
        <v>21</v>
      </c>
      <c r="V106" s="191">
        <f t="shared" si="43"/>
        <v>0.01</v>
      </c>
      <c r="W106" s="191">
        <f>IF(ISBLANK(O106),,IF(O106=UPPER("IB"),8.63*200,16.3*100))</f>
        <v>1630</v>
      </c>
      <c r="X106" s="192" t="s">
        <v>636</v>
      </c>
      <c r="Y106" s="192"/>
      <c r="Z106" s="192" t="s">
        <v>75</v>
      </c>
      <c r="AA106" s="193">
        <v>-0.1</v>
      </c>
      <c r="AB106" s="189"/>
      <c r="AC106" s="189"/>
      <c r="AD106" s="189"/>
      <c r="AE106" s="189"/>
      <c r="AF106" s="189"/>
      <c r="AG106" s="189"/>
      <c r="AH106" s="189"/>
      <c r="AI106" s="194"/>
      <c r="AJ106" s="190"/>
      <c r="AK106" s="189"/>
      <c r="AL106" s="189"/>
      <c r="AM106" s="189" t="s">
        <v>637</v>
      </c>
      <c r="AN106" s="189" t="s">
        <v>92</v>
      </c>
      <c r="AO106" s="189" t="s">
        <v>638</v>
      </c>
      <c r="AP106" s="196">
        <v>-0.09</v>
      </c>
      <c r="AQ106" s="196">
        <f t="shared" si="53"/>
        <v>1.0000000000000009E-2</v>
      </c>
      <c r="AR106" s="194">
        <f>AS106*R106</f>
        <v>32.60000000000003</v>
      </c>
      <c r="AS106" s="197">
        <f t="shared" si="54"/>
        <v>16.300000000000015</v>
      </c>
      <c r="AT106" s="198" t="s">
        <v>72</v>
      </c>
      <c r="AU106" s="189" t="s">
        <v>639</v>
      </c>
      <c r="AV106" s="189"/>
      <c r="AW106" s="189"/>
      <c r="AX106" s="361"/>
      <c r="AY106" s="361"/>
      <c r="AZ106" s="361"/>
      <c r="BA106" s="361"/>
      <c r="BB106" s="361"/>
      <c r="BC106" s="373"/>
    </row>
    <row r="107" spans="1:55" ht="18" customHeight="1">
      <c r="A107" s="232" t="s">
        <v>324</v>
      </c>
      <c r="B107" s="184">
        <v>44895</v>
      </c>
      <c r="C107" s="185" t="s">
        <v>477</v>
      </c>
      <c r="D107" s="185" t="s">
        <v>128</v>
      </c>
      <c r="E107" s="238"/>
      <c r="F107" s="187"/>
      <c r="G107" s="206" t="s">
        <v>257</v>
      </c>
      <c r="H107" s="189"/>
      <c r="I107" s="189"/>
      <c r="J107" s="189"/>
      <c r="K107" s="190"/>
      <c r="L107" s="189">
        <v>1</v>
      </c>
      <c r="M107" s="189"/>
      <c r="N107" s="189"/>
      <c r="O107" s="190" t="s">
        <v>71</v>
      </c>
      <c r="P107" s="190" t="s">
        <v>114</v>
      </c>
      <c r="Q107" s="190" t="s">
        <v>73</v>
      </c>
      <c r="R107" s="190">
        <v>1</v>
      </c>
      <c r="S107" s="190">
        <v>1</v>
      </c>
      <c r="T107" s="190">
        <v>1</v>
      </c>
      <c r="U107" s="190" t="s">
        <v>21</v>
      </c>
      <c r="V107" s="191">
        <f t="shared" si="43"/>
        <v>0.01</v>
      </c>
      <c r="W107" s="191">
        <f t="shared" ref="W107:W110" si="63">IF(ISBLANK(O107),,IF(O107=UPPER("IB"),8.63*200,16*100))</f>
        <v>1600</v>
      </c>
      <c r="X107" s="192" t="s">
        <v>636</v>
      </c>
      <c r="Y107" s="192"/>
      <c r="Z107" s="192" t="s">
        <v>75</v>
      </c>
      <c r="AA107" s="193">
        <v>-0.1</v>
      </c>
      <c r="AB107" s="189"/>
      <c r="AC107" s="189"/>
      <c r="AD107" s="189"/>
      <c r="AE107" s="189"/>
      <c r="AF107" s="189"/>
      <c r="AG107" s="189"/>
      <c r="AH107" s="189"/>
      <c r="AI107" s="194"/>
      <c r="AJ107" s="190"/>
      <c r="AK107" s="189"/>
      <c r="AL107" s="189"/>
      <c r="AM107" s="189" t="s">
        <v>640</v>
      </c>
      <c r="AN107" s="189" t="s">
        <v>82</v>
      </c>
      <c r="AO107" s="189" t="s">
        <v>641</v>
      </c>
      <c r="AP107" s="196">
        <v>-0.09</v>
      </c>
      <c r="AQ107" s="196">
        <f t="shared" si="53"/>
        <v>1.0000000000000009E-2</v>
      </c>
      <c r="AR107" s="194">
        <f>AS107*R107</f>
        <v>16.000000000000014</v>
      </c>
      <c r="AS107" s="197">
        <f t="shared" si="54"/>
        <v>16.000000000000014</v>
      </c>
      <c r="AT107" s="198" t="s">
        <v>72</v>
      </c>
      <c r="AU107" s="189" t="s">
        <v>642</v>
      </c>
      <c r="AV107" s="189"/>
      <c r="AW107" s="189"/>
      <c r="AX107" s="361"/>
      <c r="AY107" s="361"/>
      <c r="AZ107" s="361"/>
      <c r="BA107" s="361"/>
      <c r="BB107" s="361"/>
      <c r="BC107" s="373"/>
    </row>
    <row r="108" spans="1:55" ht="18" customHeight="1">
      <c r="A108" s="232" t="s">
        <v>324</v>
      </c>
      <c r="B108" s="184"/>
      <c r="C108" s="185"/>
      <c r="D108" s="185"/>
      <c r="E108" s="238"/>
      <c r="F108" s="187"/>
      <c r="G108" s="188"/>
      <c r="H108" s="189"/>
      <c r="I108" s="189"/>
      <c r="J108" s="189"/>
      <c r="K108" s="190"/>
      <c r="L108" s="189"/>
      <c r="M108" s="189"/>
      <c r="N108" s="189"/>
      <c r="O108" s="190"/>
      <c r="P108" s="190"/>
      <c r="Q108" s="190"/>
      <c r="R108" s="190"/>
      <c r="S108" s="190"/>
      <c r="T108" s="190"/>
      <c r="U108" s="190"/>
      <c r="V108" s="191">
        <f t="shared" si="43"/>
        <v>0</v>
      </c>
      <c r="W108" s="191">
        <f t="shared" si="63"/>
        <v>0</v>
      </c>
      <c r="X108" s="192"/>
      <c r="Y108" s="192"/>
      <c r="Z108" s="192"/>
      <c r="AA108" s="193"/>
      <c r="AB108" s="189"/>
      <c r="AC108" s="189"/>
      <c r="AD108" s="189"/>
      <c r="AE108" s="189"/>
      <c r="AF108" s="189"/>
      <c r="AG108" s="189"/>
      <c r="AH108" s="189"/>
      <c r="AI108" s="194"/>
      <c r="AJ108" s="190"/>
      <c r="AK108" s="189"/>
      <c r="AL108" s="189"/>
      <c r="AM108" s="189"/>
      <c r="AN108" s="189"/>
      <c r="AO108" s="189"/>
      <c r="AP108" s="196"/>
      <c r="AQ108" s="189">
        <f t="shared" si="53"/>
        <v>0</v>
      </c>
      <c r="AR108" s="194">
        <f>AS108*R108</f>
        <v>0</v>
      </c>
      <c r="AS108" s="197">
        <f t="shared" si="54"/>
        <v>0</v>
      </c>
      <c r="AT108" s="198"/>
      <c r="AU108" s="189"/>
      <c r="AV108" s="189"/>
      <c r="AW108" s="189"/>
      <c r="AX108" s="361"/>
      <c r="AY108" s="361"/>
      <c r="AZ108" s="361"/>
      <c r="BA108" s="361"/>
      <c r="BB108" s="361"/>
      <c r="BC108" s="373"/>
    </row>
    <row r="109" spans="1:55" ht="18" customHeight="1">
      <c r="A109" s="232" t="s">
        <v>324</v>
      </c>
      <c r="B109" s="208"/>
      <c r="C109" s="209"/>
      <c r="D109" s="209"/>
      <c r="E109" s="259"/>
      <c r="F109" s="211"/>
      <c r="G109" s="212"/>
      <c r="H109" s="213"/>
      <c r="I109" s="213"/>
      <c r="J109" s="213"/>
      <c r="K109" s="214"/>
      <c r="L109" s="213"/>
      <c r="M109" s="213"/>
      <c r="N109" s="213"/>
      <c r="O109" s="214"/>
      <c r="P109" s="214"/>
      <c r="Q109" s="214"/>
      <c r="R109" s="214"/>
      <c r="S109" s="214"/>
      <c r="T109" s="214"/>
      <c r="U109" s="214"/>
      <c r="V109" s="215">
        <f t="shared" si="43"/>
        <v>0</v>
      </c>
      <c r="W109" s="215">
        <f t="shared" si="63"/>
        <v>0</v>
      </c>
      <c r="X109" s="216"/>
      <c r="Y109" s="216"/>
      <c r="Z109" s="216"/>
      <c r="AA109" s="217"/>
      <c r="AB109" s="213"/>
      <c r="AC109" s="213"/>
      <c r="AD109" s="213"/>
      <c r="AE109" s="213"/>
      <c r="AF109" s="213"/>
      <c r="AG109" s="213"/>
      <c r="AH109" s="213"/>
      <c r="AI109" s="218"/>
      <c r="AJ109" s="214"/>
      <c r="AK109" s="213"/>
      <c r="AL109" s="213"/>
      <c r="AM109" s="213"/>
      <c r="AN109" s="213"/>
      <c r="AO109" s="213"/>
      <c r="AP109" s="219"/>
      <c r="AQ109" s="213">
        <f t="shared" si="53"/>
        <v>0</v>
      </c>
      <c r="AR109" s="218">
        <f>AS109*R109</f>
        <v>0</v>
      </c>
      <c r="AS109" s="220">
        <f t="shared" si="54"/>
        <v>0</v>
      </c>
      <c r="AT109" s="221"/>
      <c r="AU109" s="222" t="s">
        <v>643</v>
      </c>
      <c r="AV109" s="222" t="s">
        <v>644</v>
      </c>
      <c r="AW109" s="222" t="s">
        <v>645</v>
      </c>
      <c r="AX109" s="366" t="s">
        <v>646</v>
      </c>
      <c r="AY109" s="366" t="s">
        <v>457</v>
      </c>
      <c r="AZ109" s="366" t="s">
        <v>647</v>
      </c>
      <c r="BA109" s="366" t="s">
        <v>648</v>
      </c>
      <c r="BB109" s="366" t="s">
        <v>649</v>
      </c>
      <c r="BC109" s="374"/>
    </row>
    <row r="110" spans="1:55" ht="18" customHeight="1">
      <c r="A110" s="161" t="s">
        <v>650</v>
      </c>
      <c r="B110" s="161"/>
      <c r="C110" s="223"/>
      <c r="D110" s="223"/>
      <c r="E110" s="224"/>
      <c r="F110" s="225"/>
      <c r="G110" s="223"/>
      <c r="H110" s="223"/>
      <c r="I110" s="223"/>
      <c r="J110" s="223"/>
      <c r="K110" s="226"/>
      <c r="L110" s="223"/>
      <c r="M110" s="223"/>
      <c r="N110" s="223"/>
      <c r="O110" s="226"/>
      <c r="P110" s="226"/>
      <c r="Q110" s="226"/>
      <c r="R110" s="226"/>
      <c r="S110" s="226"/>
      <c r="T110" s="226"/>
      <c r="U110" s="226"/>
      <c r="V110" s="227">
        <f t="shared" si="43"/>
        <v>0</v>
      </c>
      <c r="W110" s="227">
        <f t="shared" si="63"/>
        <v>0</v>
      </c>
      <c r="X110" s="227"/>
      <c r="Y110" s="227"/>
      <c r="Z110" s="227"/>
      <c r="AA110" s="228"/>
      <c r="AB110" s="223"/>
      <c r="AC110" s="223"/>
      <c r="AD110" s="223"/>
      <c r="AE110" s="223"/>
      <c r="AF110" s="223"/>
      <c r="AG110" s="223"/>
      <c r="AH110" s="223"/>
      <c r="AI110" s="223"/>
      <c r="AJ110" s="223"/>
      <c r="AK110" s="223"/>
      <c r="AL110" s="223"/>
      <c r="AM110" s="223"/>
      <c r="AN110" s="223"/>
      <c r="AO110" s="223"/>
      <c r="AP110" s="230"/>
      <c r="AQ110" s="230">
        <f t="shared" si="53"/>
        <v>0</v>
      </c>
      <c r="AR110" s="230"/>
      <c r="AS110" s="230">
        <f t="shared" si="54"/>
        <v>0</v>
      </c>
      <c r="AT110" s="231"/>
      <c r="AU110" s="223"/>
      <c r="AV110" s="223"/>
      <c r="AW110" s="223"/>
      <c r="AX110" s="365"/>
      <c r="AY110" s="365"/>
      <c r="AZ110" s="365"/>
      <c r="BA110" s="365"/>
      <c r="BB110" s="365"/>
      <c r="BC110" s="365"/>
    </row>
    <row r="111" spans="1:55" ht="18" customHeight="1">
      <c r="A111" s="232" t="s">
        <v>651</v>
      </c>
      <c r="B111" s="232">
        <v>44897</v>
      </c>
      <c r="C111" s="234" t="s">
        <v>652</v>
      </c>
      <c r="D111" s="234" t="s">
        <v>88</v>
      </c>
      <c r="E111" s="235"/>
      <c r="F111" s="236"/>
      <c r="G111" s="237" t="s">
        <v>530</v>
      </c>
      <c r="H111" s="172"/>
      <c r="I111" s="172"/>
      <c r="J111" s="172"/>
      <c r="K111" s="175"/>
      <c r="L111" s="172">
        <v>1</v>
      </c>
      <c r="M111" s="172"/>
      <c r="N111" s="172"/>
      <c r="O111" s="175" t="s">
        <v>71</v>
      </c>
      <c r="P111" s="175" t="s">
        <v>114</v>
      </c>
      <c r="Q111" s="175" t="s">
        <v>73</v>
      </c>
      <c r="R111" s="175">
        <v>2</v>
      </c>
      <c r="S111" s="175">
        <v>2</v>
      </c>
      <c r="T111" s="175">
        <v>2</v>
      </c>
      <c r="U111" s="175" t="s">
        <v>21</v>
      </c>
      <c r="V111" s="177">
        <f t="shared" si="43"/>
        <v>0.01</v>
      </c>
      <c r="W111" s="177">
        <f t="shared" ref="W111:W112" si="64">IF(ISBLANK(O111),,IF(O111=UPPER("IB"),8.63*200,16.4*100))</f>
        <v>1639.9999999999998</v>
      </c>
      <c r="X111" s="178" t="s">
        <v>653</v>
      </c>
      <c r="Y111" s="178"/>
      <c r="Z111" s="178" t="s">
        <v>75</v>
      </c>
      <c r="AA111" s="179">
        <v>-0.08</v>
      </c>
      <c r="AB111" s="172"/>
      <c r="AC111" s="172">
        <v>-0.11</v>
      </c>
      <c r="AD111" s="172"/>
      <c r="AE111" s="172">
        <v>-6</v>
      </c>
      <c r="AF111" s="172"/>
      <c r="AG111" s="172"/>
      <c r="AH111" s="172"/>
      <c r="AI111" s="180">
        <f>-0.02*W111</f>
        <v>-32.799999999999997</v>
      </c>
      <c r="AJ111" s="180">
        <f>AI111*R111</f>
        <v>-65.599999999999994</v>
      </c>
      <c r="AK111" s="172"/>
      <c r="AL111" s="172"/>
      <c r="AM111" s="172" t="s">
        <v>654</v>
      </c>
      <c r="AN111" s="172" t="s">
        <v>82</v>
      </c>
      <c r="AO111" s="172" t="s">
        <v>655</v>
      </c>
      <c r="AP111" s="181">
        <v>-7.0000000000000007E-2</v>
      </c>
      <c r="AQ111" s="181">
        <f t="shared" si="53"/>
        <v>9.999999999999995E-3</v>
      </c>
      <c r="AR111" s="180">
        <f>AS111*R111</f>
        <v>32.799999999999976</v>
      </c>
      <c r="AS111" s="182">
        <f t="shared" si="54"/>
        <v>16.399999999999988</v>
      </c>
      <c r="AT111" s="183" t="s">
        <v>72</v>
      </c>
      <c r="AU111" s="172"/>
      <c r="AV111" s="172"/>
      <c r="AW111" s="172"/>
      <c r="AX111" s="360"/>
      <c r="AY111" s="360"/>
      <c r="AZ111" s="360"/>
      <c r="BA111" s="360" t="s">
        <v>656</v>
      </c>
      <c r="BB111" s="360" t="s">
        <v>657</v>
      </c>
      <c r="BC111" s="372"/>
    </row>
    <row r="112" spans="1:55" ht="18" customHeight="1">
      <c r="A112" s="232" t="s">
        <v>651</v>
      </c>
      <c r="B112" s="184">
        <v>44901</v>
      </c>
      <c r="C112" s="185" t="s">
        <v>658</v>
      </c>
      <c r="D112" s="185" t="s">
        <v>123</v>
      </c>
      <c r="E112" s="238"/>
      <c r="F112" s="187"/>
      <c r="G112" s="188"/>
      <c r="H112" s="189"/>
      <c r="I112" s="189"/>
      <c r="J112" s="189"/>
      <c r="K112" s="190" t="s">
        <v>82</v>
      </c>
      <c r="L112" s="189"/>
      <c r="M112" s="189"/>
      <c r="N112" s="189"/>
      <c r="O112" s="190"/>
      <c r="P112" s="190"/>
      <c r="Q112" s="190"/>
      <c r="R112" s="190"/>
      <c r="S112" s="190"/>
      <c r="T112" s="190"/>
      <c r="U112" s="190"/>
      <c r="V112" s="191">
        <f t="shared" si="43"/>
        <v>0</v>
      </c>
      <c r="W112" s="191">
        <f t="shared" si="64"/>
        <v>0</v>
      </c>
      <c r="X112" s="192"/>
      <c r="Y112" s="192"/>
      <c r="Z112" s="192"/>
      <c r="AA112" s="193"/>
      <c r="AB112" s="189"/>
      <c r="AC112" s="189"/>
      <c r="AD112" s="189"/>
      <c r="AE112" s="189"/>
      <c r="AF112" s="189"/>
      <c r="AG112" s="189"/>
      <c r="AH112" s="189"/>
      <c r="AI112" s="194"/>
      <c r="AJ112" s="190"/>
      <c r="AK112" s="189"/>
      <c r="AL112" s="189"/>
      <c r="AM112" s="189"/>
      <c r="AN112" s="189"/>
      <c r="AO112" s="189"/>
      <c r="AP112" s="196"/>
      <c r="AQ112" s="189">
        <f t="shared" si="53"/>
        <v>0</v>
      </c>
      <c r="AR112" s="194"/>
      <c r="AS112" s="197">
        <f t="shared" si="54"/>
        <v>0</v>
      </c>
      <c r="AT112" s="198"/>
      <c r="AU112" s="189"/>
      <c r="AV112" s="189"/>
      <c r="AW112" s="189"/>
      <c r="AX112" s="361"/>
      <c r="AY112" s="361"/>
      <c r="AZ112" s="361"/>
      <c r="BA112" s="361"/>
      <c r="BB112" s="361"/>
      <c r="BC112" s="373"/>
    </row>
    <row r="113" spans="1:55" ht="18" customHeight="1">
      <c r="A113" s="232" t="s">
        <v>651</v>
      </c>
      <c r="B113" s="184">
        <v>44901</v>
      </c>
      <c r="C113" s="185" t="s">
        <v>659</v>
      </c>
      <c r="D113" s="185" t="s">
        <v>123</v>
      </c>
      <c r="E113" s="238"/>
      <c r="F113" s="187"/>
      <c r="G113" s="188" t="s">
        <v>660</v>
      </c>
      <c r="H113" s="189"/>
      <c r="I113" s="189"/>
      <c r="J113" s="189"/>
      <c r="K113" s="190"/>
      <c r="L113" s="189">
        <v>1</v>
      </c>
      <c r="M113" s="189"/>
      <c r="N113" s="189"/>
      <c r="O113" s="190" t="s">
        <v>71</v>
      </c>
      <c r="P113" s="190" t="s">
        <v>114</v>
      </c>
      <c r="Q113" s="190" t="s">
        <v>661</v>
      </c>
      <c r="R113" s="190">
        <v>1</v>
      </c>
      <c r="S113" s="190">
        <v>1</v>
      </c>
      <c r="T113" s="190">
        <v>1</v>
      </c>
      <c r="U113" s="190" t="s">
        <v>21</v>
      </c>
      <c r="V113" s="191">
        <f t="shared" si="43"/>
        <v>0.01</v>
      </c>
      <c r="W113" s="191">
        <f t="shared" ref="W113:W115" si="65">IF(ISBLANK(O113),,IF(O113=UPPER("IB"),8.63*200,16.1*100))</f>
        <v>1610.0000000000002</v>
      </c>
      <c r="X113" s="192" t="s">
        <v>662</v>
      </c>
      <c r="Y113" s="192"/>
      <c r="Z113" s="192"/>
      <c r="AA113" s="193">
        <v>96.21</v>
      </c>
      <c r="AB113" s="189"/>
      <c r="AC113" s="189"/>
      <c r="AD113" s="189"/>
      <c r="AE113" s="189"/>
      <c r="AF113" s="189"/>
      <c r="AG113" s="189"/>
      <c r="AH113" s="189"/>
      <c r="AI113" s="194"/>
      <c r="AJ113" s="190"/>
      <c r="AK113" s="189"/>
      <c r="AL113" s="189"/>
      <c r="AM113" s="189" t="s">
        <v>663</v>
      </c>
      <c r="AN113" s="189" t="s">
        <v>371</v>
      </c>
      <c r="AO113" s="189"/>
      <c r="AP113" s="196">
        <v>96.19</v>
      </c>
      <c r="AQ113" s="196">
        <f t="shared" si="53"/>
        <v>-1.9999999999996021E-2</v>
      </c>
      <c r="AR113" s="194">
        <f>AS113*R113</f>
        <v>-32.199999999993601</v>
      </c>
      <c r="AS113" s="197">
        <f t="shared" si="54"/>
        <v>-32.199999999993601</v>
      </c>
      <c r="AT113" s="198" t="s">
        <v>206</v>
      </c>
      <c r="AU113" s="189" t="s">
        <v>664</v>
      </c>
      <c r="AV113" s="189"/>
      <c r="AW113" s="189"/>
      <c r="AX113" s="361"/>
      <c r="AY113" s="361"/>
      <c r="AZ113" s="361"/>
      <c r="BA113" s="361"/>
      <c r="BB113" s="361"/>
      <c r="BC113" s="373"/>
    </row>
    <row r="114" spans="1:55" ht="18" customHeight="1">
      <c r="A114" s="232" t="s">
        <v>651</v>
      </c>
      <c r="B114" s="184">
        <v>44902</v>
      </c>
      <c r="C114" s="185"/>
      <c r="D114" s="185"/>
      <c r="E114" s="186" t="s">
        <v>665</v>
      </c>
      <c r="F114" s="187"/>
      <c r="G114" s="188"/>
      <c r="H114" s="189"/>
      <c r="I114" s="189"/>
      <c r="J114" s="189">
        <v>1</v>
      </c>
      <c r="K114" s="190"/>
      <c r="L114" s="189"/>
      <c r="M114" s="189"/>
      <c r="N114" s="189"/>
      <c r="O114" s="190"/>
      <c r="P114" s="190"/>
      <c r="Q114" s="190"/>
      <c r="R114" s="190"/>
      <c r="S114" s="190"/>
      <c r="T114" s="190"/>
      <c r="U114" s="190"/>
      <c r="V114" s="191">
        <f t="shared" si="43"/>
        <v>0</v>
      </c>
      <c r="W114" s="191">
        <f t="shared" si="65"/>
        <v>0</v>
      </c>
      <c r="X114" s="192"/>
      <c r="Y114" s="192"/>
      <c r="Z114" s="192"/>
      <c r="AA114" s="193"/>
      <c r="AB114" s="189"/>
      <c r="AC114" s="189"/>
      <c r="AD114" s="189"/>
      <c r="AE114" s="189"/>
      <c r="AF114" s="189"/>
      <c r="AG114" s="189"/>
      <c r="AH114" s="189"/>
      <c r="AI114" s="194"/>
      <c r="AJ114" s="190"/>
      <c r="AK114" s="189"/>
      <c r="AL114" s="189"/>
      <c r="AM114" s="189"/>
      <c r="AN114" s="189"/>
      <c r="AO114" s="189"/>
      <c r="AP114" s="196"/>
      <c r="AQ114" s="189">
        <f t="shared" si="53"/>
        <v>0</v>
      </c>
      <c r="AR114" s="194">
        <f>AS114*R114</f>
        <v>0</v>
      </c>
      <c r="AS114" s="197">
        <f t="shared" si="54"/>
        <v>0</v>
      </c>
      <c r="AT114" s="198"/>
      <c r="AU114" s="189" t="s">
        <v>666</v>
      </c>
      <c r="AV114" s="189" t="s">
        <v>667</v>
      </c>
      <c r="AW114" s="189"/>
      <c r="AX114" s="361"/>
      <c r="AY114" s="361"/>
      <c r="AZ114" s="361"/>
      <c r="BA114" s="361" t="s">
        <v>668</v>
      </c>
      <c r="BB114" s="361"/>
      <c r="BC114" s="373"/>
    </row>
    <row r="115" spans="1:55" ht="18" customHeight="1">
      <c r="A115" s="232" t="s">
        <v>651</v>
      </c>
      <c r="B115" s="241">
        <v>44903</v>
      </c>
      <c r="C115" s="185"/>
      <c r="D115" s="185" t="s">
        <v>669</v>
      </c>
      <c r="E115" s="238"/>
      <c r="F115" s="187"/>
      <c r="G115" s="188" t="s">
        <v>248</v>
      </c>
      <c r="H115" s="189"/>
      <c r="I115" s="189"/>
      <c r="J115" s="189"/>
      <c r="K115" s="190"/>
      <c r="L115" s="189">
        <v>1</v>
      </c>
      <c r="M115" s="189"/>
      <c r="N115" s="189"/>
      <c r="O115" s="190" t="s">
        <v>71</v>
      </c>
      <c r="P115" s="190" t="s">
        <v>114</v>
      </c>
      <c r="Q115" s="190" t="s">
        <v>73</v>
      </c>
      <c r="R115" s="190">
        <v>2</v>
      </c>
      <c r="S115" s="190">
        <v>2</v>
      </c>
      <c r="T115" s="190">
        <v>2</v>
      </c>
      <c r="U115" s="190" t="s">
        <v>21</v>
      </c>
      <c r="V115" s="191">
        <f t="shared" si="43"/>
        <v>0.01</v>
      </c>
      <c r="W115" s="191">
        <f t="shared" si="65"/>
        <v>1610.0000000000002</v>
      </c>
      <c r="X115" s="192" t="s">
        <v>670</v>
      </c>
      <c r="Y115" s="192"/>
      <c r="Z115" s="192" t="s">
        <v>671</v>
      </c>
      <c r="AA115" s="193">
        <v>-0.09</v>
      </c>
      <c r="AB115" s="189" t="s">
        <v>672</v>
      </c>
      <c r="AC115" s="189">
        <v>-0.12</v>
      </c>
      <c r="AD115" s="189"/>
      <c r="AE115" s="189">
        <v>-7.0000000000000007E-2</v>
      </c>
      <c r="AF115" s="189"/>
      <c r="AG115" s="189"/>
      <c r="AH115" s="189"/>
      <c r="AI115" s="194"/>
      <c r="AJ115" s="190"/>
      <c r="AK115" s="189" t="s">
        <v>673</v>
      </c>
      <c r="AL115" s="189" t="s">
        <v>674</v>
      </c>
      <c r="AM115" s="189" t="s">
        <v>675</v>
      </c>
      <c r="AN115" s="189" t="s">
        <v>82</v>
      </c>
      <c r="AO115" s="189" t="s">
        <v>676</v>
      </c>
      <c r="AP115" s="196">
        <v>-0.08</v>
      </c>
      <c r="AQ115" s="196">
        <f t="shared" si="53"/>
        <v>9.999999999999995E-3</v>
      </c>
      <c r="AR115" s="194">
        <f>AS115*R115</f>
        <v>32.199999999999989</v>
      </c>
      <c r="AS115" s="197">
        <f t="shared" si="54"/>
        <v>16.099999999999994</v>
      </c>
      <c r="AT115" s="198" t="s">
        <v>72</v>
      </c>
      <c r="AU115" s="189" t="s">
        <v>677</v>
      </c>
      <c r="AV115" s="189" t="s">
        <v>678</v>
      </c>
      <c r="AW115" s="189"/>
      <c r="AX115" s="361"/>
      <c r="AY115" s="361"/>
      <c r="AZ115" s="361"/>
      <c r="BA115" s="361"/>
      <c r="BB115" s="361"/>
      <c r="BC115" s="373"/>
    </row>
    <row r="116" spans="1:55" ht="18" customHeight="1">
      <c r="A116" s="232" t="s">
        <v>651</v>
      </c>
      <c r="B116" s="184">
        <v>44904</v>
      </c>
      <c r="C116" s="185" t="s">
        <v>679</v>
      </c>
      <c r="D116" s="185" t="s">
        <v>88</v>
      </c>
      <c r="E116" s="238"/>
      <c r="F116" s="187"/>
      <c r="G116" s="188" t="s">
        <v>110</v>
      </c>
      <c r="H116" s="189"/>
      <c r="I116" s="189"/>
      <c r="J116" s="189"/>
      <c r="K116" s="190"/>
      <c r="L116" s="189"/>
      <c r="M116" s="189"/>
      <c r="N116" s="189"/>
      <c r="O116" s="190" t="s">
        <v>71</v>
      </c>
      <c r="P116" s="190" t="s">
        <v>72</v>
      </c>
      <c r="Q116" s="190" t="s">
        <v>73</v>
      </c>
      <c r="R116" s="190">
        <v>2</v>
      </c>
      <c r="S116" s="190">
        <v>2</v>
      </c>
      <c r="T116" s="190">
        <v>2</v>
      </c>
      <c r="U116" s="190" t="s">
        <v>73</v>
      </c>
      <c r="V116" s="191">
        <f t="shared" si="43"/>
        <v>0.01</v>
      </c>
      <c r="W116" s="191">
        <f t="shared" ref="W116:W117" si="66">IF(ISBLANK(O116),,IF(O116=UPPER("IB"),8.63*200,16.3*100))</f>
        <v>1630</v>
      </c>
      <c r="X116" s="192" t="s">
        <v>262</v>
      </c>
      <c r="Y116" s="192"/>
      <c r="Z116" s="192" t="s">
        <v>75</v>
      </c>
      <c r="AA116" s="193">
        <v>0.01</v>
      </c>
      <c r="AB116" s="189" t="s">
        <v>680</v>
      </c>
      <c r="AC116" s="189"/>
      <c r="AD116" s="189"/>
      <c r="AE116" s="189"/>
      <c r="AF116" s="189"/>
      <c r="AG116" s="189"/>
      <c r="AH116" s="189"/>
      <c r="AI116" s="194"/>
      <c r="AJ116" s="190"/>
      <c r="AK116" s="189"/>
      <c r="AL116" s="189"/>
      <c r="AM116" s="189" t="s">
        <v>681</v>
      </c>
      <c r="AN116" s="189" t="s">
        <v>82</v>
      </c>
      <c r="AO116" s="240">
        <v>0.41666666666666669</v>
      </c>
      <c r="AP116" s="196">
        <v>0</v>
      </c>
      <c r="AQ116" s="196">
        <f t="shared" si="53"/>
        <v>0.01</v>
      </c>
      <c r="AR116" s="194">
        <f>AS116*R116</f>
        <v>32.6</v>
      </c>
      <c r="AS116" s="197">
        <f t="shared" si="54"/>
        <v>16.3</v>
      </c>
      <c r="AT116" s="198" t="s">
        <v>72</v>
      </c>
      <c r="AU116" s="189" t="s">
        <v>682</v>
      </c>
      <c r="AV116" s="189"/>
      <c r="AW116" s="189"/>
      <c r="AX116" s="361" t="s">
        <v>683</v>
      </c>
      <c r="AY116" s="370" t="s">
        <v>684</v>
      </c>
      <c r="AZ116" s="361"/>
      <c r="BA116" s="361" t="s">
        <v>685</v>
      </c>
      <c r="BB116" s="361"/>
      <c r="BC116" s="373"/>
    </row>
    <row r="117" spans="1:55" ht="18" customHeight="1">
      <c r="A117" s="232" t="s">
        <v>651</v>
      </c>
      <c r="B117" s="184">
        <v>44904</v>
      </c>
      <c r="C117" s="201">
        <v>0.79166666666666663</v>
      </c>
      <c r="D117" s="185" t="s">
        <v>88</v>
      </c>
      <c r="E117" s="186" t="s">
        <v>686</v>
      </c>
      <c r="F117" s="187" t="s">
        <v>687</v>
      </c>
      <c r="G117" s="188"/>
      <c r="H117" s="189"/>
      <c r="I117" s="189"/>
      <c r="J117" s="189"/>
      <c r="K117" s="190"/>
      <c r="L117" s="189"/>
      <c r="M117" s="189"/>
      <c r="N117" s="189"/>
      <c r="O117" s="190"/>
      <c r="P117" s="190"/>
      <c r="Q117" s="190"/>
      <c r="R117" s="190"/>
      <c r="S117" s="190"/>
      <c r="T117" s="190"/>
      <c r="U117" s="190"/>
      <c r="V117" s="191">
        <f t="shared" si="43"/>
        <v>0</v>
      </c>
      <c r="W117" s="191">
        <f t="shared" si="66"/>
        <v>0</v>
      </c>
      <c r="X117" s="192"/>
      <c r="Y117" s="192"/>
      <c r="Z117" s="192"/>
      <c r="AA117" s="193"/>
      <c r="AB117" s="189"/>
      <c r="AC117" s="189"/>
      <c r="AD117" s="189"/>
      <c r="AE117" s="189"/>
      <c r="AF117" s="189"/>
      <c r="AG117" s="189"/>
      <c r="AH117" s="189"/>
      <c r="AI117" s="194"/>
      <c r="AJ117" s="190"/>
      <c r="AK117" s="189"/>
      <c r="AL117" s="189"/>
      <c r="AM117" s="189"/>
      <c r="AN117" s="189"/>
      <c r="AO117" s="189"/>
      <c r="AP117" s="196"/>
      <c r="AQ117" s="189">
        <f t="shared" ref="AQ117:AQ128" si="67">IF(ISBLANK(AP117),,IF(U117="S",AA117-AP117,AP117-AA117))</f>
        <v>0</v>
      </c>
      <c r="AR117" s="194"/>
      <c r="AS117" s="197">
        <f t="shared" ref="AS117:AS128" si="68">IF(ISBLANK(AP117),,(AQ117*W117))</f>
        <v>0</v>
      </c>
      <c r="AT117" s="198"/>
      <c r="AU117" s="189"/>
      <c r="AV117" s="189"/>
      <c r="AW117" s="189"/>
      <c r="AX117" s="361"/>
      <c r="AY117" s="361"/>
      <c r="AZ117" s="361"/>
      <c r="BA117" s="361"/>
      <c r="BB117" s="361"/>
      <c r="BC117" s="373"/>
    </row>
    <row r="118" spans="1:55" ht="18" customHeight="1">
      <c r="A118" s="232" t="s">
        <v>651</v>
      </c>
      <c r="B118" s="184">
        <v>44907</v>
      </c>
      <c r="C118" s="185" t="s">
        <v>688</v>
      </c>
      <c r="D118" s="185" t="s">
        <v>109</v>
      </c>
      <c r="E118" s="238"/>
      <c r="F118" s="187"/>
      <c r="G118" s="260" t="s">
        <v>248</v>
      </c>
      <c r="H118" s="189"/>
      <c r="I118" s="189"/>
      <c r="J118" s="189"/>
      <c r="K118" s="190"/>
      <c r="L118" s="189">
        <v>1</v>
      </c>
      <c r="M118" s="189"/>
      <c r="N118" s="189"/>
      <c r="O118" s="190" t="s">
        <v>71</v>
      </c>
      <c r="P118" s="190" t="s">
        <v>114</v>
      </c>
      <c r="Q118" s="190" t="s">
        <v>73</v>
      </c>
      <c r="R118" s="190">
        <v>1</v>
      </c>
      <c r="S118" s="190">
        <v>1</v>
      </c>
      <c r="T118" s="190">
        <v>1</v>
      </c>
      <c r="U118" s="190" t="s">
        <v>21</v>
      </c>
      <c r="V118" s="191">
        <f t="shared" si="43"/>
        <v>0.01</v>
      </c>
      <c r="W118" s="191">
        <f t="shared" ref="W118:W119" si="69">IF(ISBLANK(O118),,IF(O118=UPPER("IB"),8.63*200,16*100))</f>
        <v>1600</v>
      </c>
      <c r="X118" s="192" t="s">
        <v>689</v>
      </c>
      <c r="Y118" s="192"/>
      <c r="Z118" s="192" t="s">
        <v>690</v>
      </c>
      <c r="AA118" s="193">
        <v>-0.09</v>
      </c>
      <c r="AB118" s="189"/>
      <c r="AC118" s="189">
        <v>-0.12</v>
      </c>
      <c r="AD118" s="189"/>
      <c r="AE118" s="189" t="s">
        <v>691</v>
      </c>
      <c r="AF118" s="189" t="s">
        <v>692</v>
      </c>
      <c r="AG118" s="189"/>
      <c r="AH118" s="189"/>
      <c r="AI118" s="194">
        <f t="shared" ref="AI118:AI119" si="70">-0.03*W118</f>
        <v>-48</v>
      </c>
      <c r="AJ118" s="194">
        <f t="shared" ref="AJ118:AJ119" si="71">AI118*R118</f>
        <v>-48</v>
      </c>
      <c r="AK118" s="189" t="s">
        <v>693</v>
      </c>
      <c r="AL118" s="189"/>
      <c r="AM118" s="189" t="s">
        <v>694</v>
      </c>
      <c r="AN118" s="189" t="s">
        <v>72</v>
      </c>
      <c r="AO118" s="189" t="s">
        <v>695</v>
      </c>
      <c r="AP118" s="196">
        <v>-0.08</v>
      </c>
      <c r="AQ118" s="196">
        <f t="shared" si="67"/>
        <v>9.999999999999995E-3</v>
      </c>
      <c r="AR118" s="194">
        <f>AS118*R118</f>
        <v>15.999999999999993</v>
      </c>
      <c r="AS118" s="197">
        <f t="shared" si="68"/>
        <v>15.999999999999993</v>
      </c>
      <c r="AT118" s="198" t="s">
        <v>72</v>
      </c>
      <c r="AU118" s="189"/>
      <c r="AV118" s="189" t="s">
        <v>696</v>
      </c>
      <c r="AW118" s="261" t="s">
        <v>697</v>
      </c>
      <c r="AX118" s="361"/>
      <c r="AY118" s="361"/>
      <c r="AZ118" s="361"/>
      <c r="BA118" s="361"/>
      <c r="BB118" s="361"/>
      <c r="BC118" s="373"/>
    </row>
    <row r="119" spans="1:55" ht="18" customHeight="1">
      <c r="A119" s="232" t="s">
        <v>651</v>
      </c>
      <c r="B119" s="184">
        <v>44908</v>
      </c>
      <c r="C119" s="185" t="s">
        <v>698</v>
      </c>
      <c r="D119" s="185" t="s">
        <v>123</v>
      </c>
      <c r="E119" s="238" t="s">
        <v>699</v>
      </c>
      <c r="F119" s="187" t="s">
        <v>700</v>
      </c>
      <c r="G119" s="260" t="s">
        <v>248</v>
      </c>
      <c r="H119" s="189"/>
      <c r="I119" s="189"/>
      <c r="J119" s="189">
        <v>1</v>
      </c>
      <c r="K119" s="190" t="s">
        <v>92</v>
      </c>
      <c r="L119" s="189">
        <v>1</v>
      </c>
      <c r="M119" s="189">
        <v>1</v>
      </c>
      <c r="N119" s="189"/>
      <c r="O119" s="190" t="s">
        <v>71</v>
      </c>
      <c r="P119" s="190" t="s">
        <v>114</v>
      </c>
      <c r="Q119" s="190" t="s">
        <v>73</v>
      </c>
      <c r="R119" s="190">
        <v>2</v>
      </c>
      <c r="S119" s="190">
        <v>2</v>
      </c>
      <c r="T119" s="190">
        <v>2</v>
      </c>
      <c r="U119" s="190" t="s">
        <v>21</v>
      </c>
      <c r="V119" s="191">
        <f t="shared" si="43"/>
        <v>0.01</v>
      </c>
      <c r="W119" s="191">
        <f t="shared" si="69"/>
        <v>1600</v>
      </c>
      <c r="X119" s="192" t="s">
        <v>670</v>
      </c>
      <c r="Y119" s="192"/>
      <c r="Z119" s="192" t="s">
        <v>75</v>
      </c>
      <c r="AA119" s="193">
        <v>-0.09</v>
      </c>
      <c r="AB119" s="189"/>
      <c r="AC119" s="189">
        <v>-0.12</v>
      </c>
      <c r="AD119" s="189"/>
      <c r="AE119" s="189">
        <v>-0.08</v>
      </c>
      <c r="AF119" s="189"/>
      <c r="AG119" s="189"/>
      <c r="AH119" s="189"/>
      <c r="AI119" s="194">
        <f t="shared" si="70"/>
        <v>-48</v>
      </c>
      <c r="AJ119" s="194">
        <f t="shared" si="71"/>
        <v>-96</v>
      </c>
      <c r="AK119" s="189" t="s">
        <v>693</v>
      </c>
      <c r="AL119" s="189"/>
      <c r="AM119" s="189" t="s">
        <v>694</v>
      </c>
      <c r="AN119" s="189" t="s">
        <v>72</v>
      </c>
      <c r="AO119" s="189" t="s">
        <v>695</v>
      </c>
      <c r="AP119" s="196">
        <v>-0.08</v>
      </c>
      <c r="AQ119" s="196">
        <f t="shared" si="67"/>
        <v>9.999999999999995E-3</v>
      </c>
      <c r="AR119" s="194">
        <f>AS119*R119</f>
        <v>31.999999999999986</v>
      </c>
      <c r="AS119" s="197">
        <f t="shared" si="68"/>
        <v>15.999999999999993</v>
      </c>
      <c r="AT119" s="198" t="s">
        <v>72</v>
      </c>
      <c r="AU119" s="189"/>
      <c r="AV119" s="189" t="s">
        <v>696</v>
      </c>
      <c r="AW119" s="261" t="s">
        <v>697</v>
      </c>
      <c r="AX119" s="361"/>
      <c r="AY119" s="361"/>
      <c r="AZ119" s="361"/>
      <c r="BA119" s="361"/>
      <c r="BB119" s="361"/>
      <c r="BC119" s="373"/>
    </row>
    <row r="120" spans="1:55" ht="18" customHeight="1">
      <c r="A120" s="232" t="s">
        <v>651</v>
      </c>
      <c r="B120" s="184"/>
      <c r="C120" s="185"/>
      <c r="D120" s="185"/>
      <c r="E120" s="238" t="s">
        <v>701</v>
      </c>
      <c r="F120" s="187" t="s">
        <v>702</v>
      </c>
      <c r="G120" s="188"/>
      <c r="H120" s="189"/>
      <c r="I120" s="189"/>
      <c r="J120" s="189">
        <v>1</v>
      </c>
      <c r="K120" s="190" t="s">
        <v>92</v>
      </c>
      <c r="L120" s="189"/>
      <c r="M120" s="189"/>
      <c r="N120" s="189"/>
      <c r="O120" s="190"/>
      <c r="P120" s="190"/>
      <c r="Q120" s="190"/>
      <c r="R120" s="190"/>
      <c r="S120" s="190"/>
      <c r="T120" s="190"/>
      <c r="U120" s="190"/>
      <c r="V120" s="191">
        <f t="shared" si="43"/>
        <v>0</v>
      </c>
      <c r="W120" s="191">
        <f>IF(ISBLANK(O120),,IF(O120=UPPER("IB"),8.63*200,16.3*100))</f>
        <v>0</v>
      </c>
      <c r="X120" s="192"/>
      <c r="Y120" s="192"/>
      <c r="Z120" s="192"/>
      <c r="AA120" s="193"/>
      <c r="AB120" s="189"/>
      <c r="AC120" s="189"/>
      <c r="AD120" s="189"/>
      <c r="AE120" s="189"/>
      <c r="AF120" s="189"/>
      <c r="AG120" s="189"/>
      <c r="AH120" s="189"/>
      <c r="AI120" s="194"/>
      <c r="AJ120" s="190"/>
      <c r="AK120" s="189"/>
      <c r="AL120" s="189"/>
      <c r="AM120" s="189"/>
      <c r="AN120" s="189"/>
      <c r="AO120" s="189"/>
      <c r="AP120" s="196"/>
      <c r="AQ120" s="189">
        <f t="shared" si="67"/>
        <v>0</v>
      </c>
      <c r="AR120" s="194"/>
      <c r="AS120" s="197">
        <f t="shared" si="68"/>
        <v>0</v>
      </c>
      <c r="AT120" s="198"/>
      <c r="AU120" s="189" t="s">
        <v>703</v>
      </c>
      <c r="AV120" s="189"/>
      <c r="AW120" s="189"/>
      <c r="AX120" s="361"/>
      <c r="AY120" s="361"/>
      <c r="AZ120" s="361"/>
      <c r="BA120" s="361" t="s">
        <v>704</v>
      </c>
      <c r="BB120" s="361"/>
      <c r="BC120" s="373"/>
    </row>
    <row r="121" spans="1:55" ht="18" customHeight="1">
      <c r="A121" s="232" t="s">
        <v>651</v>
      </c>
      <c r="B121" s="184">
        <v>44909</v>
      </c>
      <c r="C121" s="185" t="s">
        <v>705</v>
      </c>
      <c r="D121" s="185" t="s">
        <v>128</v>
      </c>
      <c r="E121" s="238"/>
      <c r="F121" s="187"/>
      <c r="G121" s="260" t="s">
        <v>248</v>
      </c>
      <c r="H121" s="189"/>
      <c r="I121" s="189"/>
      <c r="J121" s="189"/>
      <c r="K121" s="190"/>
      <c r="L121" s="189">
        <v>1</v>
      </c>
      <c r="M121" s="189"/>
      <c r="N121" s="189"/>
      <c r="O121" s="190" t="s">
        <v>71</v>
      </c>
      <c r="P121" s="190" t="s">
        <v>114</v>
      </c>
      <c r="Q121" s="190" t="s">
        <v>73</v>
      </c>
      <c r="R121" s="190">
        <v>3</v>
      </c>
      <c r="S121" s="190">
        <v>3</v>
      </c>
      <c r="T121" s="190">
        <v>3</v>
      </c>
      <c r="U121" s="190" t="s">
        <v>21</v>
      </c>
      <c r="V121" s="191">
        <f t="shared" si="43"/>
        <v>0.01</v>
      </c>
      <c r="W121" s="191">
        <f>IF(ISBLANK(O121),,IF(O121=UPPER("IB"),8.63*200,16*100))</f>
        <v>1600</v>
      </c>
      <c r="X121" s="192" t="s">
        <v>670</v>
      </c>
      <c r="Y121" s="192"/>
      <c r="Z121" s="192" t="s">
        <v>671</v>
      </c>
      <c r="AA121" s="193">
        <v>-0.09</v>
      </c>
      <c r="AB121" s="189"/>
      <c r="AC121" s="189">
        <v>-0.12</v>
      </c>
      <c r="AD121" s="189"/>
      <c r="AE121" s="189" t="s">
        <v>706</v>
      </c>
      <c r="AF121" s="189" t="s">
        <v>707</v>
      </c>
      <c r="AG121" s="189"/>
      <c r="AH121" s="189"/>
      <c r="AI121" s="194">
        <f t="shared" ref="AI121:AI122" si="72">-0.03*W121</f>
        <v>-48</v>
      </c>
      <c r="AJ121" s="194">
        <f t="shared" ref="AJ121:AJ125" si="73">AI121*R121</f>
        <v>-144</v>
      </c>
      <c r="AK121" s="189" t="s">
        <v>405</v>
      </c>
      <c r="AL121" s="189" t="s">
        <v>693</v>
      </c>
      <c r="AM121" s="189" t="s">
        <v>694</v>
      </c>
      <c r="AN121" s="189" t="s">
        <v>72</v>
      </c>
      <c r="AO121" s="189" t="s">
        <v>695</v>
      </c>
      <c r="AP121" s="196">
        <v>-0.08</v>
      </c>
      <c r="AQ121" s="196">
        <f t="shared" si="67"/>
        <v>9.999999999999995E-3</v>
      </c>
      <c r="AR121" s="194">
        <f>AS121*R121</f>
        <v>47.999999999999979</v>
      </c>
      <c r="AS121" s="197">
        <f t="shared" si="68"/>
        <v>15.999999999999993</v>
      </c>
      <c r="AT121" s="198" t="s">
        <v>72</v>
      </c>
      <c r="AU121" s="189" t="s">
        <v>708</v>
      </c>
      <c r="AV121" s="189" t="s">
        <v>696</v>
      </c>
      <c r="AW121" s="261" t="s">
        <v>697</v>
      </c>
      <c r="AX121" s="361" t="s">
        <v>709</v>
      </c>
      <c r="AY121" s="361"/>
      <c r="AZ121" s="361"/>
      <c r="BA121" s="361"/>
      <c r="BB121" s="361"/>
      <c r="BC121" s="373"/>
    </row>
    <row r="122" spans="1:55" ht="18" customHeight="1">
      <c r="A122" s="232" t="s">
        <v>651</v>
      </c>
      <c r="B122" s="184">
        <v>44909</v>
      </c>
      <c r="C122" s="185" t="s">
        <v>710</v>
      </c>
      <c r="D122" s="185" t="s">
        <v>128</v>
      </c>
      <c r="E122" s="238"/>
      <c r="F122" s="187"/>
      <c r="G122" s="188" t="s">
        <v>257</v>
      </c>
      <c r="H122" s="189"/>
      <c r="I122" s="189"/>
      <c r="J122" s="189"/>
      <c r="K122" s="190"/>
      <c r="L122" s="189">
        <v>1</v>
      </c>
      <c r="M122" s="189"/>
      <c r="N122" s="189"/>
      <c r="O122" s="190" t="s">
        <v>71</v>
      </c>
      <c r="P122" s="190" t="s">
        <v>114</v>
      </c>
      <c r="Q122" s="190" t="s">
        <v>73</v>
      </c>
      <c r="R122" s="190">
        <v>2</v>
      </c>
      <c r="S122" s="190">
        <v>2</v>
      </c>
      <c r="T122" s="190">
        <v>2</v>
      </c>
      <c r="U122" s="190" t="s">
        <v>21</v>
      </c>
      <c r="V122" s="191">
        <f t="shared" si="43"/>
        <v>0.01</v>
      </c>
      <c r="W122" s="191">
        <f t="shared" ref="W122:W123" si="74">IF(ISBLANK(O122),,IF(O122=UPPER("IB"),8.63*200,16.3*100))</f>
        <v>1630</v>
      </c>
      <c r="X122" s="192" t="s">
        <v>258</v>
      </c>
      <c r="Y122" s="192"/>
      <c r="Z122" s="192" t="s">
        <v>711</v>
      </c>
      <c r="AA122" s="193">
        <v>-0.08</v>
      </c>
      <c r="AB122" s="189"/>
      <c r="AC122" s="189">
        <v>-0.11</v>
      </c>
      <c r="AD122" s="189"/>
      <c r="AE122" s="189" t="s">
        <v>712</v>
      </c>
      <c r="AF122" s="189" t="s">
        <v>692</v>
      </c>
      <c r="AG122" s="189"/>
      <c r="AH122" s="189"/>
      <c r="AI122" s="194">
        <f t="shared" si="72"/>
        <v>-48.9</v>
      </c>
      <c r="AJ122" s="194">
        <f t="shared" si="73"/>
        <v>-97.8</v>
      </c>
      <c r="AK122" s="189" t="s">
        <v>405</v>
      </c>
      <c r="AL122" s="189"/>
      <c r="AM122" s="189" t="s">
        <v>550</v>
      </c>
      <c r="AN122" s="189" t="s">
        <v>92</v>
      </c>
      <c r="AO122" s="189" t="s">
        <v>713</v>
      </c>
      <c r="AP122" s="196">
        <v>-0.08</v>
      </c>
      <c r="AQ122" s="196">
        <f t="shared" si="67"/>
        <v>0</v>
      </c>
      <c r="AR122" s="194">
        <f>AS122*R122</f>
        <v>0</v>
      </c>
      <c r="AS122" s="197">
        <f t="shared" si="68"/>
        <v>0</v>
      </c>
      <c r="AT122" s="198" t="s">
        <v>92</v>
      </c>
      <c r="AU122" s="189"/>
      <c r="AV122" s="189" t="s">
        <v>696</v>
      </c>
      <c r="AW122" s="189"/>
      <c r="AX122" s="361"/>
      <c r="AY122" s="361"/>
      <c r="AZ122" s="361"/>
      <c r="BA122" s="361"/>
      <c r="BB122" s="361"/>
      <c r="BC122" s="373"/>
    </row>
    <row r="123" spans="1:55" ht="18" customHeight="1">
      <c r="A123" s="232" t="s">
        <v>651</v>
      </c>
      <c r="B123" s="184">
        <v>44909</v>
      </c>
      <c r="C123" s="185" t="s">
        <v>714</v>
      </c>
      <c r="D123" s="185" t="s">
        <v>128</v>
      </c>
      <c r="E123" s="238"/>
      <c r="F123" s="187"/>
      <c r="G123" s="206" t="s">
        <v>248</v>
      </c>
      <c r="H123" s="189"/>
      <c r="I123" s="189"/>
      <c r="J123" s="189"/>
      <c r="K123" s="190"/>
      <c r="L123" s="189">
        <v>1</v>
      </c>
      <c r="M123" s="189">
        <v>1</v>
      </c>
      <c r="N123" s="189"/>
      <c r="O123" s="190" t="s">
        <v>71</v>
      </c>
      <c r="P123" s="190" t="s">
        <v>114</v>
      </c>
      <c r="Q123" s="190" t="s">
        <v>73</v>
      </c>
      <c r="R123" s="190">
        <v>4</v>
      </c>
      <c r="S123" s="190">
        <v>4</v>
      </c>
      <c r="T123" s="190">
        <v>3</v>
      </c>
      <c r="U123" s="190" t="s">
        <v>21</v>
      </c>
      <c r="V123" s="191">
        <f t="shared" si="43"/>
        <v>0.01</v>
      </c>
      <c r="W123" s="191">
        <f t="shared" si="74"/>
        <v>1630</v>
      </c>
      <c r="X123" s="192" t="s">
        <v>670</v>
      </c>
      <c r="Y123" s="192"/>
      <c r="Z123" s="192" t="s">
        <v>715</v>
      </c>
      <c r="AA123" s="193">
        <v>-0.1</v>
      </c>
      <c r="AB123" s="189" t="s">
        <v>716</v>
      </c>
      <c r="AC123" s="189">
        <v>-0.12</v>
      </c>
      <c r="AD123" s="189"/>
      <c r="AE123" s="189" t="s">
        <v>717</v>
      </c>
      <c r="AF123" s="189"/>
      <c r="AG123" s="189"/>
      <c r="AH123" s="189"/>
      <c r="AI123" s="194">
        <f t="shared" ref="AI123:AI125" si="75">-0.02*W123</f>
        <v>-32.6</v>
      </c>
      <c r="AJ123" s="194">
        <f t="shared" si="73"/>
        <v>-130.4</v>
      </c>
      <c r="AK123" s="189" t="s">
        <v>425</v>
      </c>
      <c r="AL123" s="189" t="s">
        <v>693</v>
      </c>
      <c r="AM123" s="189" t="s">
        <v>426</v>
      </c>
      <c r="AN123" s="189" t="s">
        <v>72</v>
      </c>
      <c r="AO123" s="189" t="s">
        <v>718</v>
      </c>
      <c r="AP123" s="196">
        <v>-0.08</v>
      </c>
      <c r="AQ123" s="196">
        <f t="shared" si="67"/>
        <v>2.0000000000000004E-2</v>
      </c>
      <c r="AR123" s="194">
        <f>AS123*R123</f>
        <v>130.40000000000003</v>
      </c>
      <c r="AS123" s="197">
        <f t="shared" si="68"/>
        <v>32.600000000000009</v>
      </c>
      <c r="AT123" s="198" t="s">
        <v>72</v>
      </c>
      <c r="AU123" s="189" t="s">
        <v>719</v>
      </c>
      <c r="AV123" s="189" t="s">
        <v>720</v>
      </c>
      <c r="AW123" s="189" t="s">
        <v>721</v>
      </c>
      <c r="AX123" s="361"/>
      <c r="AY123" s="361"/>
      <c r="AZ123" s="361"/>
      <c r="BA123" s="361"/>
      <c r="BB123" s="361"/>
      <c r="BC123" s="373"/>
    </row>
    <row r="124" spans="1:55" ht="18" customHeight="1">
      <c r="A124" s="232" t="s">
        <v>651</v>
      </c>
      <c r="B124" s="184">
        <v>44910</v>
      </c>
      <c r="C124" s="185" t="s">
        <v>722</v>
      </c>
      <c r="D124" s="185" t="s">
        <v>69</v>
      </c>
      <c r="E124" s="238" t="s">
        <v>723</v>
      </c>
      <c r="F124" s="187" t="s">
        <v>724</v>
      </c>
      <c r="G124" s="262" t="s">
        <v>248</v>
      </c>
      <c r="H124" s="189"/>
      <c r="I124" s="189">
        <v>1</v>
      </c>
      <c r="J124" s="189"/>
      <c r="K124" s="190"/>
      <c r="L124" s="189">
        <v>1</v>
      </c>
      <c r="M124" s="189">
        <v>1</v>
      </c>
      <c r="N124" s="189"/>
      <c r="O124" s="190" t="s">
        <v>71</v>
      </c>
      <c r="P124" s="190" t="s">
        <v>114</v>
      </c>
      <c r="Q124" s="190" t="s">
        <v>73</v>
      </c>
      <c r="R124" s="190">
        <v>5</v>
      </c>
      <c r="S124" s="190">
        <v>5</v>
      </c>
      <c r="T124" s="190">
        <v>5</v>
      </c>
      <c r="U124" s="190" t="s">
        <v>21</v>
      </c>
      <c r="V124" s="191">
        <f t="shared" si="43"/>
        <v>0.01</v>
      </c>
      <c r="W124" s="191">
        <f>IF(ISBLANK(O124),,IF(O124=UPPER("IB"),8.63*200,16*100))</f>
        <v>1600</v>
      </c>
      <c r="X124" s="192" t="s">
        <v>725</v>
      </c>
      <c r="Y124" s="192"/>
      <c r="Z124" s="192" t="s">
        <v>726</v>
      </c>
      <c r="AA124" s="193">
        <v>-0.11</v>
      </c>
      <c r="AB124" s="189" t="s">
        <v>716</v>
      </c>
      <c r="AC124" s="189">
        <v>-0.13</v>
      </c>
      <c r="AD124" s="189"/>
      <c r="AE124" s="189" t="s">
        <v>727</v>
      </c>
      <c r="AF124" s="189"/>
      <c r="AG124" s="189"/>
      <c r="AH124" s="189"/>
      <c r="AI124" s="194">
        <f t="shared" si="75"/>
        <v>-32</v>
      </c>
      <c r="AJ124" s="194">
        <f t="shared" si="73"/>
        <v>-160</v>
      </c>
      <c r="AK124" s="189" t="s">
        <v>425</v>
      </c>
      <c r="AL124" s="189" t="s">
        <v>693</v>
      </c>
      <c r="AM124" s="189" t="s">
        <v>728</v>
      </c>
      <c r="AN124" s="189" t="s">
        <v>92</v>
      </c>
      <c r="AO124" s="239">
        <v>44916.125</v>
      </c>
      <c r="AP124" s="196">
        <v>-0.08</v>
      </c>
      <c r="AQ124" s="196">
        <f t="shared" si="67"/>
        <v>0.03</v>
      </c>
      <c r="AR124" s="194">
        <f>AS124*R124</f>
        <v>240</v>
      </c>
      <c r="AS124" s="197">
        <f t="shared" si="68"/>
        <v>48</v>
      </c>
      <c r="AT124" s="198" t="s">
        <v>72</v>
      </c>
      <c r="AU124" s="189" t="s">
        <v>719</v>
      </c>
      <c r="AV124" s="189" t="s">
        <v>720</v>
      </c>
      <c r="AW124" s="189" t="s">
        <v>721</v>
      </c>
      <c r="AX124" s="361"/>
      <c r="AY124" s="361"/>
      <c r="AZ124" s="361"/>
      <c r="BA124" s="361"/>
      <c r="BB124" s="361"/>
      <c r="BC124" s="373"/>
    </row>
    <row r="125" spans="1:55" ht="18" customHeight="1">
      <c r="A125" s="232" t="s">
        <v>651</v>
      </c>
      <c r="B125" s="184">
        <v>44910</v>
      </c>
      <c r="C125" s="201">
        <v>0.25</v>
      </c>
      <c r="D125" s="185" t="s">
        <v>69</v>
      </c>
      <c r="E125" s="238" t="s">
        <v>729</v>
      </c>
      <c r="F125" s="187"/>
      <c r="G125" s="206" t="s">
        <v>730</v>
      </c>
      <c r="H125" s="189">
        <v>1</v>
      </c>
      <c r="I125" s="189"/>
      <c r="J125" s="189"/>
      <c r="K125" s="190"/>
      <c r="L125" s="189"/>
      <c r="M125" s="189"/>
      <c r="N125" s="189"/>
      <c r="O125" s="190" t="s">
        <v>71</v>
      </c>
      <c r="P125" s="190" t="s">
        <v>114</v>
      </c>
      <c r="Q125" s="190" t="s">
        <v>73</v>
      </c>
      <c r="R125" s="190">
        <v>2</v>
      </c>
      <c r="S125" s="190">
        <v>2</v>
      </c>
      <c r="T125" s="190">
        <v>2</v>
      </c>
      <c r="U125" s="190" t="s">
        <v>21</v>
      </c>
      <c r="V125" s="191">
        <f t="shared" si="43"/>
        <v>0.01</v>
      </c>
      <c r="W125" s="191">
        <f t="shared" ref="W125:W139" si="76">IF(ISBLANK(O125),,IF(O125=UPPER("IB"),8.63*200,16.3*100))</f>
        <v>1630</v>
      </c>
      <c r="X125" s="192" t="s">
        <v>262</v>
      </c>
      <c r="Y125" s="192"/>
      <c r="Z125" s="192" t="s">
        <v>690</v>
      </c>
      <c r="AA125" s="193">
        <v>-0.09</v>
      </c>
      <c r="AB125" s="189"/>
      <c r="AC125" s="189"/>
      <c r="AD125" s="189"/>
      <c r="AE125" s="189">
        <v>-7.0000000000000007E-2</v>
      </c>
      <c r="AF125" s="189"/>
      <c r="AG125" s="189"/>
      <c r="AH125" s="189"/>
      <c r="AI125" s="194">
        <f t="shared" si="75"/>
        <v>-32.6</v>
      </c>
      <c r="AJ125" s="194">
        <f t="shared" si="73"/>
        <v>-65.2</v>
      </c>
      <c r="AK125" s="189" t="s">
        <v>425</v>
      </c>
      <c r="AL125" s="189"/>
      <c r="AM125" s="189" t="s">
        <v>731</v>
      </c>
      <c r="AN125" s="189" t="s">
        <v>92</v>
      </c>
      <c r="AO125" s="189"/>
      <c r="AP125" s="196">
        <v>-0.08</v>
      </c>
      <c r="AQ125" s="196">
        <f t="shared" si="67"/>
        <v>9.999999999999995E-3</v>
      </c>
      <c r="AR125" s="194">
        <f>AS125*R125</f>
        <v>32.599999999999987</v>
      </c>
      <c r="AS125" s="197">
        <f t="shared" si="68"/>
        <v>16.299999999999994</v>
      </c>
      <c r="AT125" s="198" t="s">
        <v>72</v>
      </c>
      <c r="AU125" s="189"/>
      <c r="AV125" s="189"/>
      <c r="AW125" s="189"/>
      <c r="AX125" s="361"/>
      <c r="AY125" s="361"/>
      <c r="AZ125" s="361"/>
      <c r="BA125" s="361"/>
      <c r="BB125" s="361"/>
      <c r="BC125" s="373"/>
    </row>
    <row r="126" spans="1:55" ht="18" customHeight="1">
      <c r="A126" s="232" t="s">
        <v>651</v>
      </c>
      <c r="B126" s="184"/>
      <c r="C126" s="185"/>
      <c r="D126" s="185"/>
      <c r="E126" s="238" t="s">
        <v>732</v>
      </c>
      <c r="F126" s="187"/>
      <c r="G126" s="188"/>
      <c r="H126" s="189"/>
      <c r="I126" s="189">
        <v>1</v>
      </c>
      <c r="J126" s="189"/>
      <c r="K126" s="190"/>
      <c r="L126" s="189"/>
      <c r="M126" s="189"/>
      <c r="N126" s="189"/>
      <c r="O126" s="190"/>
      <c r="P126" s="190"/>
      <c r="Q126" s="190"/>
      <c r="R126" s="190"/>
      <c r="S126" s="190"/>
      <c r="T126" s="190"/>
      <c r="U126" s="190"/>
      <c r="V126" s="191">
        <f t="shared" si="43"/>
        <v>0</v>
      </c>
      <c r="W126" s="191">
        <f t="shared" si="76"/>
        <v>0</v>
      </c>
      <c r="X126" s="192"/>
      <c r="Y126" s="192"/>
      <c r="Z126" s="192"/>
      <c r="AA126" s="193"/>
      <c r="AB126" s="189"/>
      <c r="AC126" s="189"/>
      <c r="AD126" s="189"/>
      <c r="AE126" s="189"/>
      <c r="AF126" s="189"/>
      <c r="AG126" s="189"/>
      <c r="AH126" s="189"/>
      <c r="AI126" s="194"/>
      <c r="AJ126" s="190"/>
      <c r="AK126" s="189"/>
      <c r="AL126" s="189"/>
      <c r="AM126" s="189"/>
      <c r="AN126" s="189"/>
      <c r="AO126" s="189"/>
      <c r="AP126" s="196"/>
      <c r="AQ126" s="189">
        <f t="shared" si="67"/>
        <v>0</v>
      </c>
      <c r="AR126" s="194"/>
      <c r="AS126" s="197">
        <f t="shared" si="68"/>
        <v>0</v>
      </c>
      <c r="AT126" s="198"/>
      <c r="AU126" s="189"/>
      <c r="AV126" s="189"/>
      <c r="AW126" s="189"/>
      <c r="AX126" s="361"/>
      <c r="AY126" s="361"/>
      <c r="AZ126" s="361"/>
      <c r="BA126" s="361"/>
      <c r="BB126" s="361"/>
      <c r="BC126" s="373"/>
    </row>
    <row r="127" spans="1:55" ht="18" customHeight="1">
      <c r="A127" s="232" t="s">
        <v>651</v>
      </c>
      <c r="B127" s="184">
        <v>44910</v>
      </c>
      <c r="C127" s="185" t="s">
        <v>733</v>
      </c>
      <c r="D127" s="185" t="s">
        <v>69</v>
      </c>
      <c r="E127" s="238"/>
      <c r="F127" s="187"/>
      <c r="G127" s="188" t="s">
        <v>734</v>
      </c>
      <c r="H127" s="189"/>
      <c r="I127" s="189"/>
      <c r="J127" s="189"/>
      <c r="K127" s="190"/>
      <c r="L127" s="189">
        <v>1</v>
      </c>
      <c r="M127" s="189">
        <v>1</v>
      </c>
      <c r="N127" s="189"/>
      <c r="O127" s="190" t="s">
        <v>71</v>
      </c>
      <c r="P127" s="190" t="s">
        <v>72</v>
      </c>
      <c r="Q127" s="190" t="s">
        <v>73</v>
      </c>
      <c r="R127" s="190">
        <v>1</v>
      </c>
      <c r="S127" s="190">
        <v>1</v>
      </c>
      <c r="T127" s="190">
        <v>1</v>
      </c>
      <c r="U127" s="190" t="s">
        <v>73</v>
      </c>
      <c r="V127" s="191">
        <f t="shared" si="43"/>
        <v>0.01</v>
      </c>
      <c r="W127" s="191">
        <f t="shared" si="76"/>
        <v>1630</v>
      </c>
      <c r="X127" s="192" t="s">
        <v>115</v>
      </c>
      <c r="Y127" s="192"/>
      <c r="Z127" s="192" t="s">
        <v>735</v>
      </c>
      <c r="AA127" s="193">
        <v>0.11</v>
      </c>
      <c r="AB127" s="189"/>
      <c r="AC127" s="189"/>
      <c r="AD127" s="189"/>
      <c r="AE127" s="189" t="s">
        <v>736</v>
      </c>
      <c r="AF127" s="189"/>
      <c r="AG127" s="189"/>
      <c r="AH127" s="189"/>
      <c r="AI127" s="194">
        <f>-0.02*W127</f>
        <v>-32.6</v>
      </c>
      <c r="AJ127" s="194">
        <f t="shared" ref="AJ127:AJ128" si="77">AI127*R127</f>
        <v>-32.6</v>
      </c>
      <c r="AK127" s="189" t="s">
        <v>88</v>
      </c>
      <c r="AL127" s="189"/>
      <c r="AM127" s="189"/>
      <c r="AN127" s="189" t="s">
        <v>82</v>
      </c>
      <c r="AO127" s="189" t="s">
        <v>737</v>
      </c>
      <c r="AP127" s="196">
        <v>0.11</v>
      </c>
      <c r="AQ127" s="196">
        <f t="shared" si="67"/>
        <v>0</v>
      </c>
      <c r="AR127" s="194">
        <f>AS127*R127</f>
        <v>0</v>
      </c>
      <c r="AS127" s="197">
        <f t="shared" si="68"/>
        <v>0</v>
      </c>
      <c r="AT127" s="198" t="s">
        <v>92</v>
      </c>
      <c r="AU127" s="189" t="s">
        <v>738</v>
      </c>
      <c r="AV127" s="189" t="s">
        <v>739</v>
      </c>
      <c r="AW127" s="189" t="s">
        <v>740</v>
      </c>
      <c r="AX127" s="361"/>
      <c r="AY127" s="361"/>
      <c r="AZ127" s="361"/>
      <c r="BA127" s="361"/>
      <c r="BB127" s="361"/>
      <c r="BC127" s="373"/>
    </row>
    <row r="128" spans="1:55" ht="18" customHeight="1">
      <c r="A128" s="232" t="s">
        <v>651</v>
      </c>
      <c r="B128" s="184">
        <v>44915</v>
      </c>
      <c r="C128" s="185" t="s">
        <v>741</v>
      </c>
      <c r="D128" s="185" t="s">
        <v>123</v>
      </c>
      <c r="E128" s="263" t="s">
        <v>697</v>
      </c>
      <c r="F128" s="187" t="s">
        <v>742</v>
      </c>
      <c r="G128" s="188" t="s">
        <v>342</v>
      </c>
      <c r="H128" s="189"/>
      <c r="I128" s="189"/>
      <c r="J128" s="189"/>
      <c r="K128" s="190"/>
      <c r="L128" s="189">
        <v>1</v>
      </c>
      <c r="M128" s="189"/>
      <c r="N128" s="189"/>
      <c r="O128" s="190" t="s">
        <v>71</v>
      </c>
      <c r="P128" s="190" t="s">
        <v>72</v>
      </c>
      <c r="Q128" s="190" t="s">
        <v>73</v>
      </c>
      <c r="R128" s="190">
        <v>3</v>
      </c>
      <c r="S128" s="190">
        <v>3</v>
      </c>
      <c r="T128" s="190">
        <v>3</v>
      </c>
      <c r="U128" s="190" t="s">
        <v>73</v>
      </c>
      <c r="V128" s="191">
        <f t="shared" si="43"/>
        <v>0.01</v>
      </c>
      <c r="W128" s="191">
        <f t="shared" si="76"/>
        <v>1630</v>
      </c>
      <c r="X128" s="192" t="s">
        <v>743</v>
      </c>
      <c r="Y128" s="192"/>
      <c r="Z128" s="192" t="s">
        <v>744</v>
      </c>
      <c r="AA128" s="193">
        <v>-0.03</v>
      </c>
      <c r="AB128" s="189"/>
      <c r="AC128" s="189">
        <v>1</v>
      </c>
      <c r="AD128" s="189"/>
      <c r="AE128" s="189" t="s">
        <v>745</v>
      </c>
      <c r="AF128" s="189" t="s">
        <v>746</v>
      </c>
      <c r="AG128" s="189"/>
      <c r="AH128" s="189"/>
      <c r="AI128" s="194">
        <f>-0.04*W128</f>
        <v>-65.2</v>
      </c>
      <c r="AJ128" s="194">
        <f t="shared" si="77"/>
        <v>-195.60000000000002</v>
      </c>
      <c r="AK128" s="189" t="s">
        <v>566</v>
      </c>
      <c r="AL128" s="189"/>
      <c r="AM128" s="189" t="s">
        <v>747</v>
      </c>
      <c r="AN128" s="189" t="s">
        <v>92</v>
      </c>
      <c r="AO128" s="189" t="s">
        <v>748</v>
      </c>
      <c r="AP128" s="196">
        <v>-0.03</v>
      </c>
      <c r="AQ128" s="196">
        <f t="shared" si="67"/>
        <v>0</v>
      </c>
      <c r="AR128" s="194">
        <f>AS128*R128</f>
        <v>0</v>
      </c>
      <c r="AS128" s="197">
        <f t="shared" si="68"/>
        <v>0</v>
      </c>
      <c r="AT128" s="198" t="s">
        <v>92</v>
      </c>
      <c r="AU128" s="189" t="s">
        <v>749</v>
      </c>
      <c r="AV128" s="189"/>
      <c r="AW128" s="189"/>
      <c r="AX128" s="361"/>
      <c r="AY128" s="361"/>
      <c r="AZ128" s="361"/>
      <c r="BA128" s="361"/>
      <c r="BB128" s="361"/>
      <c r="BC128" s="373"/>
    </row>
    <row r="129" spans="1:55" ht="18" customHeight="1">
      <c r="A129" s="232" t="s">
        <v>651</v>
      </c>
      <c r="B129" s="184"/>
      <c r="C129" s="185"/>
      <c r="D129" s="185"/>
      <c r="E129" s="238"/>
      <c r="F129" s="187"/>
      <c r="G129" s="188"/>
      <c r="H129" s="189"/>
      <c r="I129" s="189"/>
      <c r="J129" s="189"/>
      <c r="K129" s="190"/>
      <c r="L129" s="189"/>
      <c r="M129" s="189"/>
      <c r="N129" s="189"/>
      <c r="O129" s="190"/>
      <c r="P129" s="190"/>
      <c r="Q129" s="190"/>
      <c r="R129" s="190"/>
      <c r="S129" s="190"/>
      <c r="T129" s="190"/>
      <c r="U129" s="190"/>
      <c r="V129" s="191">
        <f t="shared" si="43"/>
        <v>0</v>
      </c>
      <c r="W129" s="191">
        <f t="shared" si="76"/>
        <v>0</v>
      </c>
      <c r="X129" s="192"/>
      <c r="Y129" s="192"/>
      <c r="Z129" s="192"/>
      <c r="AA129" s="193"/>
      <c r="AB129" s="189"/>
      <c r="AC129" s="189"/>
      <c r="AD129" s="189"/>
      <c r="AE129" s="189"/>
      <c r="AF129" s="189"/>
      <c r="AG129" s="189"/>
      <c r="AH129" s="189"/>
      <c r="AI129" s="194"/>
      <c r="AJ129" s="190"/>
      <c r="AK129" s="189"/>
      <c r="AL129" s="189"/>
      <c r="AM129" s="189"/>
      <c r="AN129" s="189"/>
      <c r="AO129" s="189"/>
      <c r="AP129" s="196"/>
      <c r="AQ129" s="189"/>
      <c r="AR129" s="194"/>
      <c r="AS129" s="197"/>
      <c r="AT129" s="198"/>
      <c r="AU129" s="189" t="s">
        <v>750</v>
      </c>
      <c r="AV129" s="189" t="s">
        <v>751</v>
      </c>
      <c r="AW129" s="189"/>
      <c r="AX129" s="361"/>
      <c r="AY129" s="361"/>
      <c r="AZ129" s="361"/>
      <c r="BA129" s="361"/>
      <c r="BB129" s="361"/>
      <c r="BC129" s="373"/>
    </row>
    <row r="130" spans="1:55" ht="18" customHeight="1">
      <c r="A130" s="232" t="s">
        <v>651</v>
      </c>
      <c r="B130" s="208"/>
      <c r="C130" s="209"/>
      <c r="D130" s="209"/>
      <c r="E130" s="259"/>
      <c r="F130" s="211"/>
      <c r="G130" s="212"/>
      <c r="H130" s="213"/>
      <c r="I130" s="213"/>
      <c r="J130" s="213"/>
      <c r="K130" s="214"/>
      <c r="L130" s="213"/>
      <c r="M130" s="213"/>
      <c r="N130" s="213"/>
      <c r="O130" s="214"/>
      <c r="P130" s="214"/>
      <c r="Q130" s="214"/>
      <c r="R130" s="214"/>
      <c r="S130" s="214"/>
      <c r="T130" s="214"/>
      <c r="U130" s="214"/>
      <c r="V130" s="215">
        <f t="shared" si="43"/>
        <v>0</v>
      </c>
      <c r="W130" s="215">
        <f t="shared" si="76"/>
        <v>0</v>
      </c>
      <c r="X130" s="216"/>
      <c r="Y130" s="216"/>
      <c r="Z130" s="216"/>
      <c r="AA130" s="217"/>
      <c r="AB130" s="213"/>
      <c r="AC130" s="213"/>
      <c r="AD130" s="213"/>
      <c r="AE130" s="213"/>
      <c r="AF130" s="213"/>
      <c r="AG130" s="213"/>
      <c r="AH130" s="213"/>
      <c r="AI130" s="218"/>
      <c r="AJ130" s="214"/>
      <c r="AK130" s="213"/>
      <c r="AL130" s="213"/>
      <c r="AM130" s="213"/>
      <c r="AN130" s="213"/>
      <c r="AO130" s="213"/>
      <c r="AP130" s="219"/>
      <c r="AQ130" s="213"/>
      <c r="AR130" s="218"/>
      <c r="AS130" s="220"/>
      <c r="AT130" s="221"/>
      <c r="AU130" s="222" t="s">
        <v>752</v>
      </c>
      <c r="AV130" s="222" t="s">
        <v>753</v>
      </c>
      <c r="AW130" s="222" t="s">
        <v>754</v>
      </c>
      <c r="AX130" s="366" t="s">
        <v>755</v>
      </c>
      <c r="AY130" s="366" t="s">
        <v>756</v>
      </c>
      <c r="AZ130" s="366" t="s">
        <v>757</v>
      </c>
      <c r="BA130" s="364"/>
      <c r="BB130" s="364"/>
      <c r="BC130" s="374"/>
    </row>
    <row r="131" spans="1:55" ht="18" customHeight="1">
      <c r="A131" s="161" t="s">
        <v>758</v>
      </c>
      <c r="B131" s="161"/>
      <c r="C131" s="264" t="s">
        <v>759</v>
      </c>
      <c r="D131" s="223"/>
      <c r="E131" s="224"/>
      <c r="F131" s="225"/>
      <c r="G131" s="223"/>
      <c r="H131" s="223"/>
      <c r="I131" s="223"/>
      <c r="J131" s="223"/>
      <c r="K131" s="226"/>
      <c r="L131" s="223"/>
      <c r="M131" s="223"/>
      <c r="N131" s="223"/>
      <c r="O131" s="226"/>
      <c r="P131" s="226"/>
      <c r="Q131" s="226"/>
      <c r="R131" s="226"/>
      <c r="S131" s="226"/>
      <c r="T131" s="226"/>
      <c r="U131" s="226"/>
      <c r="V131" s="227">
        <f t="shared" si="43"/>
        <v>0</v>
      </c>
      <c r="W131" s="227">
        <f t="shared" si="76"/>
        <v>0</v>
      </c>
      <c r="X131" s="227"/>
      <c r="Y131" s="227"/>
      <c r="Z131" s="227"/>
      <c r="AA131" s="228"/>
      <c r="AB131" s="223"/>
      <c r="AC131" s="223"/>
      <c r="AD131" s="223"/>
      <c r="AE131" s="223"/>
      <c r="AF131" s="223"/>
      <c r="AG131" s="223"/>
      <c r="AH131" s="223"/>
      <c r="AI131" s="223"/>
      <c r="AJ131" s="223"/>
      <c r="AK131" s="223"/>
      <c r="AL131" s="223"/>
      <c r="AM131" s="223"/>
      <c r="AN131" s="223"/>
      <c r="AO131" s="223"/>
      <c r="AP131" s="230"/>
      <c r="AQ131" s="230"/>
      <c r="AR131" s="230"/>
      <c r="AS131" s="230"/>
      <c r="AT131" s="231"/>
      <c r="AU131" s="223"/>
      <c r="AV131" s="223"/>
      <c r="AW131" s="223"/>
      <c r="AX131" s="365"/>
      <c r="AY131" s="365"/>
      <c r="AZ131" s="365"/>
      <c r="BA131" s="365"/>
      <c r="BB131" s="365"/>
      <c r="BC131" s="365"/>
    </row>
    <row r="132" spans="1:55" ht="18" customHeight="1">
      <c r="A132" s="265" t="s">
        <v>760</v>
      </c>
      <c r="B132" s="265" t="s">
        <v>760</v>
      </c>
      <c r="C132" s="266"/>
      <c r="D132" s="266"/>
      <c r="E132" s="267"/>
      <c r="F132" s="268"/>
      <c r="G132" s="266"/>
      <c r="H132" s="266"/>
      <c r="I132" s="266"/>
      <c r="J132" s="266"/>
      <c r="K132" s="269"/>
      <c r="L132" s="266"/>
      <c r="M132" s="266"/>
      <c r="N132" s="266"/>
      <c r="O132" s="269"/>
      <c r="P132" s="269"/>
      <c r="Q132" s="269"/>
      <c r="R132" s="269"/>
      <c r="S132" s="269"/>
      <c r="T132" s="269"/>
      <c r="U132" s="269"/>
      <c r="V132" s="270">
        <f t="shared" si="43"/>
        <v>0</v>
      </c>
      <c r="W132" s="270">
        <f t="shared" si="76"/>
        <v>0</v>
      </c>
      <c r="X132" s="271"/>
      <c r="Y132" s="271"/>
      <c r="Z132" s="271"/>
      <c r="AA132" s="272"/>
      <c r="AB132" s="266"/>
      <c r="AC132" s="266"/>
      <c r="AD132" s="266"/>
      <c r="AE132" s="266"/>
      <c r="AF132" s="266"/>
      <c r="AG132" s="266"/>
      <c r="AH132" s="266"/>
      <c r="AI132" s="273"/>
      <c r="AJ132" s="269"/>
      <c r="AK132" s="266"/>
      <c r="AL132" s="266"/>
      <c r="AM132" s="266"/>
      <c r="AN132" s="266"/>
      <c r="AO132" s="266"/>
      <c r="AP132" s="274"/>
      <c r="AQ132" s="266"/>
      <c r="AR132" s="273"/>
      <c r="AS132" s="275"/>
      <c r="AT132" s="276"/>
      <c r="AU132" s="266"/>
      <c r="AV132" s="266"/>
      <c r="AW132" s="266"/>
      <c r="AX132" s="367"/>
      <c r="AY132" s="367"/>
      <c r="AZ132" s="367"/>
      <c r="BA132" s="367"/>
      <c r="BB132" s="367"/>
      <c r="BC132" s="375"/>
    </row>
    <row r="133" spans="1:55" ht="18" customHeight="1">
      <c r="A133" s="161" t="s">
        <v>761</v>
      </c>
      <c r="B133" s="161"/>
      <c r="C133" s="223"/>
      <c r="D133" s="223"/>
      <c r="E133" s="224"/>
      <c r="F133" s="225"/>
      <c r="G133" s="223"/>
      <c r="H133" s="223"/>
      <c r="I133" s="223"/>
      <c r="J133" s="223"/>
      <c r="K133" s="226"/>
      <c r="L133" s="223"/>
      <c r="M133" s="223"/>
      <c r="N133" s="223"/>
      <c r="O133" s="226"/>
      <c r="P133" s="226"/>
      <c r="Q133" s="226"/>
      <c r="R133" s="226"/>
      <c r="S133" s="226"/>
      <c r="T133" s="226"/>
      <c r="U133" s="226"/>
      <c r="V133" s="227">
        <f t="shared" si="43"/>
        <v>0</v>
      </c>
      <c r="W133" s="227">
        <f t="shared" si="76"/>
        <v>0</v>
      </c>
      <c r="X133" s="227"/>
      <c r="Y133" s="227"/>
      <c r="Z133" s="227"/>
      <c r="AA133" s="228"/>
      <c r="AB133" s="223"/>
      <c r="AC133" s="223"/>
      <c r="AD133" s="223"/>
      <c r="AE133" s="223"/>
      <c r="AF133" s="223"/>
      <c r="AG133" s="223"/>
      <c r="AH133" s="223"/>
      <c r="AI133" s="223"/>
      <c r="AJ133" s="223"/>
      <c r="AK133" s="223"/>
      <c r="AL133" s="223"/>
      <c r="AM133" s="223"/>
      <c r="AN133" s="223"/>
      <c r="AO133" s="223"/>
      <c r="AP133" s="230"/>
      <c r="AQ133" s="230"/>
      <c r="AR133" s="230"/>
      <c r="AS133" s="230"/>
      <c r="AT133" s="231"/>
      <c r="AU133" s="223"/>
      <c r="AV133" s="223"/>
      <c r="AW133" s="223"/>
      <c r="AX133" s="365"/>
      <c r="AY133" s="365"/>
      <c r="AZ133" s="365"/>
      <c r="BA133" s="365"/>
      <c r="BB133" s="365"/>
      <c r="BC133" s="365"/>
    </row>
    <row r="134" spans="1:55" ht="18" customHeight="1">
      <c r="A134" s="232" t="s">
        <v>762</v>
      </c>
      <c r="B134" s="232">
        <v>44929</v>
      </c>
      <c r="C134" s="234"/>
      <c r="D134" s="234" t="s">
        <v>123</v>
      </c>
      <c r="E134" s="235"/>
      <c r="F134" s="236"/>
      <c r="G134" s="237"/>
      <c r="H134" s="172"/>
      <c r="I134" s="172"/>
      <c r="J134" s="172"/>
      <c r="K134" s="175"/>
      <c r="L134" s="172"/>
      <c r="M134" s="172"/>
      <c r="N134" s="172"/>
      <c r="O134" s="175"/>
      <c r="P134" s="175"/>
      <c r="Q134" s="175"/>
      <c r="R134" s="175"/>
      <c r="S134" s="175"/>
      <c r="T134" s="175"/>
      <c r="U134" s="175"/>
      <c r="V134" s="177">
        <f t="shared" si="43"/>
        <v>0</v>
      </c>
      <c r="W134" s="177">
        <f t="shared" si="76"/>
        <v>0</v>
      </c>
      <c r="X134" s="178"/>
      <c r="Y134" s="178"/>
      <c r="Z134" s="178"/>
      <c r="AA134" s="179"/>
      <c r="AB134" s="172"/>
      <c r="AC134" s="172"/>
      <c r="AD134" s="172"/>
      <c r="AE134" s="172"/>
      <c r="AF134" s="172"/>
      <c r="AG134" s="172"/>
      <c r="AH134" s="172"/>
      <c r="AI134" s="180"/>
      <c r="AJ134" s="175"/>
      <c r="AK134" s="172"/>
      <c r="AL134" s="172"/>
      <c r="AM134" s="172"/>
      <c r="AN134" s="172"/>
      <c r="AO134" s="172"/>
      <c r="AP134" s="181"/>
      <c r="AQ134" s="172"/>
      <c r="AR134" s="180"/>
      <c r="AS134" s="182"/>
      <c r="AT134" s="183"/>
      <c r="AU134" s="172" t="s">
        <v>763</v>
      </c>
      <c r="AV134" s="172" t="s">
        <v>764</v>
      </c>
      <c r="AW134" s="172" t="s">
        <v>765</v>
      </c>
      <c r="AX134" s="360" t="s">
        <v>766</v>
      </c>
      <c r="AY134" s="360" t="s">
        <v>767</v>
      </c>
      <c r="AZ134" s="360"/>
      <c r="BA134" s="360"/>
      <c r="BB134" s="360"/>
      <c r="BC134" s="372"/>
    </row>
    <row r="135" spans="1:55" ht="18" customHeight="1">
      <c r="A135" s="184" t="s">
        <v>762</v>
      </c>
      <c r="B135" s="184"/>
      <c r="C135" s="185"/>
      <c r="D135" s="185"/>
      <c r="E135" s="238"/>
      <c r="F135" s="187"/>
      <c r="G135" s="188"/>
      <c r="H135" s="189"/>
      <c r="I135" s="189"/>
      <c r="J135" s="189"/>
      <c r="K135" s="190"/>
      <c r="L135" s="189"/>
      <c r="M135" s="189"/>
      <c r="N135" s="189"/>
      <c r="O135" s="190"/>
      <c r="P135" s="190"/>
      <c r="Q135" s="190"/>
      <c r="R135" s="190"/>
      <c r="S135" s="190"/>
      <c r="T135" s="190"/>
      <c r="U135" s="190"/>
      <c r="V135" s="191">
        <f t="shared" si="43"/>
        <v>0</v>
      </c>
      <c r="W135" s="191">
        <f t="shared" si="76"/>
        <v>0</v>
      </c>
      <c r="X135" s="192"/>
      <c r="Y135" s="192"/>
      <c r="Z135" s="192"/>
      <c r="AA135" s="193"/>
      <c r="AB135" s="189"/>
      <c r="AC135" s="189"/>
      <c r="AD135" s="189"/>
      <c r="AE135" s="189"/>
      <c r="AF135" s="189"/>
      <c r="AG135" s="189"/>
      <c r="AH135" s="189"/>
      <c r="AI135" s="194"/>
      <c r="AJ135" s="190"/>
      <c r="AK135" s="189"/>
      <c r="AL135" s="189"/>
      <c r="AM135" s="189"/>
      <c r="AN135" s="189"/>
      <c r="AO135" s="189"/>
      <c r="AP135" s="196"/>
      <c r="AQ135" s="189"/>
      <c r="AR135" s="194"/>
      <c r="AS135" s="197"/>
      <c r="AT135" s="198"/>
      <c r="AU135" s="189" t="s">
        <v>768</v>
      </c>
      <c r="AV135" s="189" t="s">
        <v>769</v>
      </c>
      <c r="AW135" s="189" t="s">
        <v>770</v>
      </c>
      <c r="AX135" s="361"/>
      <c r="AY135" s="361"/>
      <c r="AZ135" s="361"/>
      <c r="BA135" s="361"/>
      <c r="BB135" s="361"/>
      <c r="BC135" s="373"/>
    </row>
    <row r="136" spans="1:55" ht="18" customHeight="1">
      <c r="A136" s="184" t="s">
        <v>762</v>
      </c>
      <c r="B136" s="184">
        <v>44929</v>
      </c>
      <c r="C136" s="185" t="s">
        <v>771</v>
      </c>
      <c r="D136" s="185" t="s">
        <v>123</v>
      </c>
      <c r="E136" s="238"/>
      <c r="F136" s="187"/>
      <c r="G136" s="188" t="s">
        <v>412</v>
      </c>
      <c r="H136" s="189"/>
      <c r="I136" s="189"/>
      <c r="J136" s="189"/>
      <c r="K136" s="190"/>
      <c r="L136" s="189">
        <v>1</v>
      </c>
      <c r="M136" s="189"/>
      <c r="N136" s="189">
        <v>1</v>
      </c>
      <c r="O136" s="190" t="s">
        <v>71</v>
      </c>
      <c r="P136" s="190" t="s">
        <v>72</v>
      </c>
      <c r="Q136" s="190" t="s">
        <v>73</v>
      </c>
      <c r="R136" s="190">
        <v>1</v>
      </c>
      <c r="S136" s="190">
        <v>1</v>
      </c>
      <c r="T136" s="190">
        <v>1</v>
      </c>
      <c r="U136" s="190" t="s">
        <v>73</v>
      </c>
      <c r="V136" s="191">
        <f t="shared" si="43"/>
        <v>0.01</v>
      </c>
      <c r="W136" s="191">
        <f t="shared" si="76"/>
        <v>1630</v>
      </c>
      <c r="X136" s="192" t="s">
        <v>772</v>
      </c>
      <c r="Y136" s="192"/>
      <c r="Z136" s="192"/>
      <c r="AA136" s="193">
        <v>0.45</v>
      </c>
      <c r="AB136" s="189"/>
      <c r="AC136" s="189">
        <v>0.48</v>
      </c>
      <c r="AD136" s="189"/>
      <c r="AE136" s="189" t="s">
        <v>773</v>
      </c>
      <c r="AF136" s="189"/>
      <c r="AG136" s="189"/>
      <c r="AH136" s="189"/>
      <c r="AI136" s="194">
        <f t="shared" ref="AI136:AI138" si="78">-0.03*W136</f>
        <v>-48.9</v>
      </c>
      <c r="AJ136" s="194">
        <f t="shared" ref="AJ136:AJ141" si="79">AI136*R136</f>
        <v>-48.9</v>
      </c>
      <c r="AK136" s="189"/>
      <c r="AL136" s="189"/>
      <c r="AM136" s="189" t="s">
        <v>774</v>
      </c>
      <c r="AN136" s="189" t="s">
        <v>371</v>
      </c>
      <c r="AO136" s="189" t="s">
        <v>775</v>
      </c>
      <c r="AP136" s="196">
        <v>0.44</v>
      </c>
      <c r="AQ136" s="196">
        <f t="shared" ref="AQ136:AQ167" si="80">IF(ISBLANK(AP136),,IF(U136="S",AA136-AP136,AP136-AA136))</f>
        <v>1.0000000000000009E-2</v>
      </c>
      <c r="AR136" s="194">
        <f t="shared" ref="AR136:AR146" si="81">AS136*R136</f>
        <v>16.300000000000015</v>
      </c>
      <c r="AS136" s="197">
        <f t="shared" ref="AS136:AS167" si="82">IF(ISBLANK(AP136),,(AQ136*W136))</f>
        <v>16.300000000000015</v>
      </c>
      <c r="AT136" s="198" t="s">
        <v>72</v>
      </c>
      <c r="AU136" s="189" t="s">
        <v>776</v>
      </c>
      <c r="AV136" s="189" t="s">
        <v>777</v>
      </c>
      <c r="AW136" s="189"/>
      <c r="AX136" s="361"/>
      <c r="AY136" s="361"/>
      <c r="AZ136" s="361"/>
      <c r="BA136" s="361"/>
      <c r="BB136" s="361"/>
      <c r="BC136" s="373"/>
    </row>
    <row r="137" spans="1:55" ht="18" customHeight="1">
      <c r="A137" s="184" t="s">
        <v>762</v>
      </c>
      <c r="B137" s="184">
        <v>44930</v>
      </c>
      <c r="C137" s="185" t="s">
        <v>778</v>
      </c>
      <c r="D137" s="185" t="s">
        <v>128</v>
      </c>
      <c r="E137" s="238"/>
      <c r="F137" s="187"/>
      <c r="G137" s="252" t="s">
        <v>257</v>
      </c>
      <c r="H137" s="189"/>
      <c r="I137" s="189"/>
      <c r="J137" s="189"/>
      <c r="K137" s="190"/>
      <c r="L137" s="189">
        <v>1</v>
      </c>
      <c r="M137" s="189"/>
      <c r="N137" s="189"/>
      <c r="O137" s="190" t="s">
        <v>71</v>
      </c>
      <c r="P137" s="190" t="s">
        <v>114</v>
      </c>
      <c r="Q137" s="190" t="s">
        <v>73</v>
      </c>
      <c r="R137" s="190">
        <v>1</v>
      </c>
      <c r="S137" s="190">
        <v>1</v>
      </c>
      <c r="T137" s="190">
        <v>1</v>
      </c>
      <c r="U137" s="190" t="s">
        <v>21</v>
      </c>
      <c r="V137" s="191">
        <f t="shared" si="43"/>
        <v>0.01</v>
      </c>
      <c r="W137" s="191">
        <f t="shared" si="76"/>
        <v>1630</v>
      </c>
      <c r="X137" s="192" t="s">
        <v>779</v>
      </c>
      <c r="Y137" s="192"/>
      <c r="Z137" s="192" t="s">
        <v>75</v>
      </c>
      <c r="AA137" s="193">
        <v>-0.1</v>
      </c>
      <c r="AB137" s="189"/>
      <c r="AC137" s="189"/>
      <c r="AD137" s="189"/>
      <c r="AE137" s="189"/>
      <c r="AF137" s="189"/>
      <c r="AG137" s="189"/>
      <c r="AH137" s="189"/>
      <c r="AI137" s="194">
        <f t="shared" si="78"/>
        <v>-48.9</v>
      </c>
      <c r="AJ137" s="194">
        <f t="shared" si="79"/>
        <v>-48.9</v>
      </c>
      <c r="AK137" s="189" t="s">
        <v>780</v>
      </c>
      <c r="AL137" s="189"/>
      <c r="AM137" s="189" t="s">
        <v>781</v>
      </c>
      <c r="AN137" s="189" t="s">
        <v>92</v>
      </c>
      <c r="AO137" s="189" t="s">
        <v>782</v>
      </c>
      <c r="AP137" s="196">
        <v>-0.09</v>
      </c>
      <c r="AQ137" s="196">
        <f t="shared" si="80"/>
        <v>1.0000000000000009E-2</v>
      </c>
      <c r="AR137" s="194">
        <f t="shared" si="81"/>
        <v>16.300000000000015</v>
      </c>
      <c r="AS137" s="197">
        <f t="shared" si="82"/>
        <v>16.300000000000015</v>
      </c>
      <c r="AT137" s="198" t="s">
        <v>72</v>
      </c>
      <c r="AU137" s="189"/>
      <c r="AV137" s="189"/>
      <c r="AW137" s="189"/>
      <c r="AX137" s="361"/>
      <c r="AY137" s="361"/>
      <c r="AZ137" s="361"/>
      <c r="BA137" s="361"/>
      <c r="BB137" s="361"/>
      <c r="BC137" s="373"/>
    </row>
    <row r="138" spans="1:55" ht="18" customHeight="1">
      <c r="A138" s="184" t="s">
        <v>762</v>
      </c>
      <c r="B138" s="184">
        <v>44930</v>
      </c>
      <c r="C138" s="185" t="s">
        <v>783</v>
      </c>
      <c r="D138" s="185" t="s">
        <v>128</v>
      </c>
      <c r="E138" s="238"/>
      <c r="F138" s="187"/>
      <c r="G138" s="252" t="s">
        <v>412</v>
      </c>
      <c r="H138" s="189"/>
      <c r="I138" s="189"/>
      <c r="J138" s="189"/>
      <c r="K138" s="190"/>
      <c r="L138" s="189">
        <v>1</v>
      </c>
      <c r="M138" s="189">
        <v>1</v>
      </c>
      <c r="N138" s="189">
        <v>1</v>
      </c>
      <c r="O138" s="190" t="s">
        <v>71</v>
      </c>
      <c r="P138" s="190" t="s">
        <v>72</v>
      </c>
      <c r="Q138" s="190" t="s">
        <v>73</v>
      </c>
      <c r="R138" s="190">
        <v>1</v>
      </c>
      <c r="S138" s="190">
        <v>1</v>
      </c>
      <c r="T138" s="190">
        <v>1</v>
      </c>
      <c r="U138" s="190" t="s">
        <v>73</v>
      </c>
      <c r="V138" s="191">
        <f t="shared" si="43"/>
        <v>0.01</v>
      </c>
      <c r="W138" s="191">
        <f t="shared" si="76"/>
        <v>1630</v>
      </c>
      <c r="X138" s="192" t="s">
        <v>784</v>
      </c>
      <c r="Y138" s="192" t="s">
        <v>785</v>
      </c>
      <c r="Z138" s="192" t="s">
        <v>786</v>
      </c>
      <c r="AA138" s="193">
        <v>0.41</v>
      </c>
      <c r="AB138" s="189" t="s">
        <v>787</v>
      </c>
      <c r="AC138" s="189">
        <v>0.44</v>
      </c>
      <c r="AD138" s="189"/>
      <c r="AE138" s="189" t="s">
        <v>788</v>
      </c>
      <c r="AF138" s="189" t="s">
        <v>789</v>
      </c>
      <c r="AG138" s="189" t="s">
        <v>790</v>
      </c>
      <c r="AH138" s="189">
        <v>1</v>
      </c>
      <c r="AI138" s="194">
        <f t="shared" si="78"/>
        <v>-48.9</v>
      </c>
      <c r="AJ138" s="194">
        <f t="shared" si="79"/>
        <v>-48.9</v>
      </c>
      <c r="AK138" s="189" t="s">
        <v>791</v>
      </c>
      <c r="AL138" s="189"/>
      <c r="AM138" s="189" t="s">
        <v>792</v>
      </c>
      <c r="AN138" s="189" t="s">
        <v>92</v>
      </c>
      <c r="AO138" s="189" t="s">
        <v>793</v>
      </c>
      <c r="AP138" s="196">
        <v>0.36</v>
      </c>
      <c r="AQ138" s="196">
        <f t="shared" si="80"/>
        <v>4.9999999999999989E-2</v>
      </c>
      <c r="AR138" s="194">
        <f t="shared" si="81"/>
        <v>81.499999999999986</v>
      </c>
      <c r="AS138" s="197">
        <f t="shared" si="82"/>
        <v>81.499999999999986</v>
      </c>
      <c r="AT138" s="198" t="s">
        <v>72</v>
      </c>
      <c r="AU138" s="189" t="s">
        <v>794</v>
      </c>
      <c r="AV138" s="189"/>
      <c r="AW138" s="189"/>
      <c r="AX138" s="361"/>
      <c r="AY138" s="361"/>
      <c r="AZ138" s="361"/>
      <c r="BA138" s="361"/>
      <c r="BB138" s="361"/>
      <c r="BC138" s="373"/>
    </row>
    <row r="139" spans="1:55" ht="18" customHeight="1">
      <c r="A139" s="184" t="s">
        <v>762</v>
      </c>
      <c r="B139" s="184">
        <v>44930</v>
      </c>
      <c r="C139" s="185" t="s">
        <v>795</v>
      </c>
      <c r="D139" s="185" t="s">
        <v>128</v>
      </c>
      <c r="E139" s="238"/>
      <c r="F139" s="187"/>
      <c r="G139" s="206" t="s">
        <v>734</v>
      </c>
      <c r="H139" s="189"/>
      <c r="I139" s="189"/>
      <c r="J139" s="189"/>
      <c r="K139" s="190"/>
      <c r="L139" s="189">
        <v>1</v>
      </c>
      <c r="M139" s="189">
        <v>1</v>
      </c>
      <c r="N139" s="189"/>
      <c r="O139" s="190" t="s">
        <v>71</v>
      </c>
      <c r="P139" s="190" t="s">
        <v>72</v>
      </c>
      <c r="Q139" s="190" t="s">
        <v>73</v>
      </c>
      <c r="R139" s="190">
        <v>1</v>
      </c>
      <c r="S139" s="190">
        <v>1</v>
      </c>
      <c r="T139" s="190">
        <v>1</v>
      </c>
      <c r="U139" s="190" t="s">
        <v>73</v>
      </c>
      <c r="V139" s="191">
        <f t="shared" si="43"/>
        <v>0.01</v>
      </c>
      <c r="W139" s="191">
        <f t="shared" si="76"/>
        <v>1630</v>
      </c>
      <c r="X139" s="192" t="s">
        <v>796</v>
      </c>
      <c r="Y139" s="192" t="s">
        <v>797</v>
      </c>
      <c r="Z139" s="192" t="s">
        <v>786</v>
      </c>
      <c r="AA139" s="193">
        <v>0.16</v>
      </c>
      <c r="AB139" s="189" t="s">
        <v>798</v>
      </c>
      <c r="AC139" s="189">
        <v>0.21</v>
      </c>
      <c r="AD139" s="189"/>
      <c r="AE139" s="189" t="s">
        <v>799</v>
      </c>
      <c r="AF139" s="189" t="s">
        <v>789</v>
      </c>
      <c r="AG139" s="189" t="s">
        <v>800</v>
      </c>
      <c r="AH139" s="189">
        <v>1</v>
      </c>
      <c r="AI139" s="194">
        <f>-0.06*W139</f>
        <v>-97.8</v>
      </c>
      <c r="AJ139" s="194">
        <f t="shared" si="79"/>
        <v>-97.8</v>
      </c>
      <c r="AK139" s="189" t="s">
        <v>801</v>
      </c>
      <c r="AL139" s="189"/>
      <c r="AM139" s="189"/>
      <c r="AN139" s="189"/>
      <c r="AO139" s="199">
        <v>44935</v>
      </c>
      <c r="AP139" s="196">
        <v>0.15</v>
      </c>
      <c r="AQ139" s="196">
        <f t="shared" si="80"/>
        <v>1.0000000000000009E-2</v>
      </c>
      <c r="AR139" s="194">
        <f t="shared" si="81"/>
        <v>16.300000000000015</v>
      </c>
      <c r="AS139" s="197">
        <f t="shared" si="82"/>
        <v>16.300000000000015</v>
      </c>
      <c r="AT139" s="198" t="s">
        <v>72</v>
      </c>
      <c r="AU139" s="189"/>
      <c r="AV139" s="189"/>
      <c r="AW139" s="189"/>
      <c r="AX139" s="361"/>
      <c r="AY139" s="361"/>
      <c r="AZ139" s="361"/>
      <c r="BA139" s="361"/>
      <c r="BB139" s="361"/>
      <c r="BC139" s="373"/>
    </row>
    <row r="140" spans="1:55" ht="18" customHeight="1">
      <c r="A140" s="184" t="s">
        <v>762</v>
      </c>
      <c r="B140" s="184">
        <v>44931</v>
      </c>
      <c r="C140" s="185" t="s">
        <v>583</v>
      </c>
      <c r="D140" s="185" t="s">
        <v>69</v>
      </c>
      <c r="E140" s="238"/>
      <c r="F140" s="187"/>
      <c r="G140" s="262" t="s">
        <v>734</v>
      </c>
      <c r="H140" s="189"/>
      <c r="I140" s="189"/>
      <c r="J140" s="189"/>
      <c r="K140" s="190"/>
      <c r="L140" s="189">
        <v>1</v>
      </c>
      <c r="M140" s="189">
        <v>1</v>
      </c>
      <c r="N140" s="189">
        <v>1</v>
      </c>
      <c r="O140" s="190" t="s">
        <v>71</v>
      </c>
      <c r="P140" s="190" t="s">
        <v>72</v>
      </c>
      <c r="Q140" s="190" t="s">
        <v>73</v>
      </c>
      <c r="R140" s="190">
        <v>1</v>
      </c>
      <c r="S140" s="190">
        <v>1</v>
      </c>
      <c r="T140" s="190">
        <v>1</v>
      </c>
      <c r="U140" s="190" t="s">
        <v>73</v>
      </c>
      <c r="V140" s="191">
        <f t="shared" si="43"/>
        <v>0.01</v>
      </c>
      <c r="W140" s="191">
        <f>IF(ISBLANK(O140),,IF(O140=UPPER("IB"),8.63*200,16.6*100))</f>
        <v>1660.0000000000002</v>
      </c>
      <c r="X140" s="192" t="s">
        <v>796</v>
      </c>
      <c r="Y140" s="192" t="s">
        <v>802</v>
      </c>
      <c r="Z140" s="192" t="s">
        <v>786</v>
      </c>
      <c r="AA140" s="193">
        <v>0.18</v>
      </c>
      <c r="AB140" s="189"/>
      <c r="AC140" s="189">
        <v>0.23</v>
      </c>
      <c r="AD140" s="189"/>
      <c r="AE140" s="189" t="s">
        <v>799</v>
      </c>
      <c r="AF140" s="189" t="s">
        <v>789</v>
      </c>
      <c r="AG140" s="189" t="s">
        <v>803</v>
      </c>
      <c r="AH140" s="189">
        <v>1</v>
      </c>
      <c r="AI140" s="194">
        <f>-0.05*W140</f>
        <v>-83.000000000000014</v>
      </c>
      <c r="AJ140" s="194">
        <f t="shared" si="79"/>
        <v>-83.000000000000014</v>
      </c>
      <c r="AK140" s="189" t="s">
        <v>791</v>
      </c>
      <c r="AL140" s="189"/>
      <c r="AM140" s="189" t="s">
        <v>804</v>
      </c>
      <c r="AN140" s="189" t="s">
        <v>92</v>
      </c>
      <c r="AO140" s="189" t="s">
        <v>805</v>
      </c>
      <c r="AP140" s="196">
        <v>0.14000000000000001</v>
      </c>
      <c r="AQ140" s="196">
        <f t="shared" si="80"/>
        <v>3.999999999999998E-2</v>
      </c>
      <c r="AR140" s="194">
        <f t="shared" si="81"/>
        <v>66.399999999999977</v>
      </c>
      <c r="AS140" s="197">
        <f t="shared" si="82"/>
        <v>66.399999999999977</v>
      </c>
      <c r="AT140" s="198" t="s">
        <v>72</v>
      </c>
      <c r="AU140" s="189" t="s">
        <v>806</v>
      </c>
      <c r="AV140" s="189"/>
      <c r="AW140" s="189"/>
      <c r="AX140" s="361"/>
      <c r="AY140" s="361"/>
      <c r="AZ140" s="361"/>
      <c r="BA140" s="361"/>
      <c r="BB140" s="361"/>
      <c r="BC140" s="373"/>
    </row>
    <row r="141" spans="1:55" ht="18" customHeight="1">
      <c r="A141" s="184" t="s">
        <v>762</v>
      </c>
      <c r="B141" s="184">
        <v>44931</v>
      </c>
      <c r="C141" s="185" t="s">
        <v>807</v>
      </c>
      <c r="D141" s="185" t="s">
        <v>69</v>
      </c>
      <c r="E141" s="238"/>
      <c r="F141" s="187"/>
      <c r="G141" s="188" t="s">
        <v>808</v>
      </c>
      <c r="H141" s="189"/>
      <c r="I141" s="189"/>
      <c r="J141" s="189"/>
      <c r="K141" s="190"/>
      <c r="L141" s="189"/>
      <c r="M141" s="189">
        <v>1</v>
      </c>
      <c r="N141" s="189">
        <v>1</v>
      </c>
      <c r="O141" s="190" t="s">
        <v>71</v>
      </c>
      <c r="P141" s="190" t="s">
        <v>114</v>
      </c>
      <c r="Q141" s="190" t="s">
        <v>661</v>
      </c>
      <c r="R141" s="190">
        <v>1</v>
      </c>
      <c r="S141" s="190">
        <v>1</v>
      </c>
      <c r="T141" s="190">
        <v>1</v>
      </c>
      <c r="U141" s="190" t="s">
        <v>21</v>
      </c>
      <c r="V141" s="191">
        <f t="shared" si="43"/>
        <v>0.01</v>
      </c>
      <c r="W141" s="191">
        <f>IF(ISBLANK(O141),,IF(O141=UPPER("IB"),8.63*200,16.3*100))</f>
        <v>1630</v>
      </c>
      <c r="X141" s="192" t="s">
        <v>809</v>
      </c>
      <c r="Y141" s="192" t="s">
        <v>810</v>
      </c>
      <c r="Z141" s="192"/>
      <c r="AA141" s="193">
        <v>95.85</v>
      </c>
      <c r="AB141" s="189"/>
      <c r="AC141" s="189">
        <v>95.81</v>
      </c>
      <c r="AD141" s="189"/>
      <c r="AE141" s="189" t="s">
        <v>811</v>
      </c>
      <c r="AF141" s="189" t="s">
        <v>812</v>
      </c>
      <c r="AG141" s="189" t="s">
        <v>813</v>
      </c>
      <c r="AH141" s="189"/>
      <c r="AI141" s="194">
        <f>-0.04*W141</f>
        <v>-65.2</v>
      </c>
      <c r="AJ141" s="194">
        <f t="shared" si="79"/>
        <v>-65.2</v>
      </c>
      <c r="AK141" s="189" t="s">
        <v>814</v>
      </c>
      <c r="AL141" s="189"/>
      <c r="AM141" s="189" t="s">
        <v>815</v>
      </c>
      <c r="AN141" s="189" t="s">
        <v>82</v>
      </c>
      <c r="AO141" s="240">
        <v>0.79166666666666663</v>
      </c>
      <c r="AP141" s="196">
        <v>95.82</v>
      </c>
      <c r="AQ141" s="196">
        <f t="shared" si="80"/>
        <v>-3.0000000000001137E-2</v>
      </c>
      <c r="AR141" s="194">
        <f t="shared" si="81"/>
        <v>-48.900000000001853</v>
      </c>
      <c r="AS141" s="197">
        <f t="shared" si="82"/>
        <v>-48.900000000001853</v>
      </c>
      <c r="AT141" s="198" t="s">
        <v>206</v>
      </c>
      <c r="AU141" s="189" t="s">
        <v>816</v>
      </c>
      <c r="AV141" s="189" t="s">
        <v>817</v>
      </c>
      <c r="AW141" s="189" t="s">
        <v>818</v>
      </c>
      <c r="AX141" s="361"/>
      <c r="AY141" s="361"/>
      <c r="AZ141" s="361"/>
      <c r="BA141" s="361" t="s">
        <v>819</v>
      </c>
      <c r="BB141" s="361" t="s">
        <v>820</v>
      </c>
      <c r="BC141" s="373" t="s">
        <v>821</v>
      </c>
    </row>
    <row r="142" spans="1:55" ht="18" customHeight="1">
      <c r="A142" s="184" t="s">
        <v>762</v>
      </c>
      <c r="B142" s="184">
        <v>44931</v>
      </c>
      <c r="C142" s="185" t="s">
        <v>822</v>
      </c>
      <c r="D142" s="185" t="s">
        <v>69</v>
      </c>
      <c r="E142" s="238"/>
      <c r="F142" s="187"/>
      <c r="G142" s="188" t="s">
        <v>248</v>
      </c>
      <c r="H142" s="189"/>
      <c r="I142" s="189"/>
      <c r="J142" s="189"/>
      <c r="K142" s="190"/>
      <c r="L142" s="189">
        <v>1</v>
      </c>
      <c r="M142" s="189"/>
      <c r="N142" s="189"/>
      <c r="O142" s="190" t="s">
        <v>71</v>
      </c>
      <c r="P142" s="190" t="s">
        <v>114</v>
      </c>
      <c r="Q142" s="190" t="s">
        <v>73</v>
      </c>
      <c r="R142" s="190">
        <v>2</v>
      </c>
      <c r="S142" s="190">
        <v>2</v>
      </c>
      <c r="T142" s="190">
        <v>2</v>
      </c>
      <c r="U142" s="190" t="s">
        <v>21</v>
      </c>
      <c r="V142" s="191">
        <f t="shared" si="43"/>
        <v>0.01</v>
      </c>
      <c r="W142" s="191">
        <f>IF(ISBLANK(O142),,IF(O142=UPPER("IB"),8.63*200,16.2*100))</f>
        <v>1620</v>
      </c>
      <c r="X142" s="192" t="s">
        <v>115</v>
      </c>
      <c r="Y142" s="192"/>
      <c r="Z142" s="192" t="s">
        <v>75</v>
      </c>
      <c r="AA142" s="193">
        <v>-0.11</v>
      </c>
      <c r="AB142" s="189"/>
      <c r="AC142" s="189"/>
      <c r="AD142" s="189"/>
      <c r="AE142" s="189"/>
      <c r="AF142" s="189"/>
      <c r="AG142" s="189"/>
      <c r="AH142" s="189"/>
      <c r="AI142" s="194"/>
      <c r="AJ142" s="190"/>
      <c r="AK142" s="189"/>
      <c r="AL142" s="189"/>
      <c r="AM142" s="189" t="s">
        <v>823</v>
      </c>
      <c r="AN142" s="189" t="s">
        <v>82</v>
      </c>
      <c r="AO142" s="189" t="s">
        <v>824</v>
      </c>
      <c r="AP142" s="196">
        <v>-0.1</v>
      </c>
      <c r="AQ142" s="196">
        <f t="shared" si="80"/>
        <v>9.999999999999995E-3</v>
      </c>
      <c r="AR142" s="194">
        <f t="shared" si="81"/>
        <v>32.399999999999984</v>
      </c>
      <c r="AS142" s="197">
        <f t="shared" si="82"/>
        <v>16.199999999999992</v>
      </c>
      <c r="AT142" s="198" t="s">
        <v>72</v>
      </c>
      <c r="AU142" s="189"/>
      <c r="AV142" s="189"/>
      <c r="AW142" s="189"/>
      <c r="AX142" s="361"/>
      <c r="AY142" s="361"/>
      <c r="AZ142" s="361"/>
      <c r="BA142" s="361"/>
      <c r="BB142" s="361"/>
      <c r="BC142" s="373"/>
    </row>
    <row r="143" spans="1:55" ht="18" customHeight="1">
      <c r="A143" s="184" t="s">
        <v>762</v>
      </c>
      <c r="B143" s="184">
        <v>44932</v>
      </c>
      <c r="C143" s="185" t="s">
        <v>825</v>
      </c>
      <c r="D143" s="185" t="s">
        <v>88</v>
      </c>
      <c r="E143" s="238"/>
      <c r="F143" s="187"/>
      <c r="G143" s="252" t="s">
        <v>257</v>
      </c>
      <c r="H143" s="189"/>
      <c r="I143" s="189"/>
      <c r="J143" s="189"/>
      <c r="K143" s="190"/>
      <c r="L143" s="189">
        <v>1</v>
      </c>
      <c r="M143" s="189"/>
      <c r="N143" s="189"/>
      <c r="O143" s="190" t="s">
        <v>71</v>
      </c>
      <c r="P143" s="190" t="s">
        <v>114</v>
      </c>
      <c r="Q143" s="190" t="s">
        <v>73</v>
      </c>
      <c r="R143" s="190">
        <v>1</v>
      </c>
      <c r="S143" s="190">
        <v>1</v>
      </c>
      <c r="T143" s="190">
        <v>1</v>
      </c>
      <c r="U143" s="190" t="s">
        <v>73</v>
      </c>
      <c r="V143" s="191">
        <f t="shared" si="43"/>
        <v>0.01</v>
      </c>
      <c r="W143" s="191">
        <f>IF(ISBLANK(O143),,IF(O143=UPPER("IB"),8.63*200,16.6*100))</f>
        <v>1660.0000000000002</v>
      </c>
      <c r="X143" s="192" t="s">
        <v>826</v>
      </c>
      <c r="Y143" s="192"/>
      <c r="Z143" s="192"/>
      <c r="AA143" s="193">
        <v>-0.08</v>
      </c>
      <c r="AB143" s="189"/>
      <c r="AC143" s="189"/>
      <c r="AD143" s="189"/>
      <c r="AE143" s="189">
        <v>-10</v>
      </c>
      <c r="AF143" s="189"/>
      <c r="AG143" s="189"/>
      <c r="AH143" s="189"/>
      <c r="AI143" s="194"/>
      <c r="AJ143" s="190"/>
      <c r="AK143" s="189"/>
      <c r="AL143" s="189"/>
      <c r="AM143" s="189"/>
      <c r="AN143" s="189"/>
      <c r="AO143" s="189" t="s">
        <v>827</v>
      </c>
      <c r="AP143" s="196">
        <v>-0.1</v>
      </c>
      <c r="AQ143" s="196">
        <f t="shared" si="80"/>
        <v>2.0000000000000004E-2</v>
      </c>
      <c r="AR143" s="194">
        <f t="shared" si="81"/>
        <v>33.20000000000001</v>
      </c>
      <c r="AS143" s="197">
        <f t="shared" si="82"/>
        <v>33.20000000000001</v>
      </c>
      <c r="AT143" s="198" t="s">
        <v>72</v>
      </c>
      <c r="AU143" s="189"/>
      <c r="AV143" s="189"/>
      <c r="AW143" s="189"/>
      <c r="AX143" s="361"/>
      <c r="AY143" s="361"/>
      <c r="AZ143" s="361"/>
      <c r="BA143" s="361"/>
      <c r="BB143" s="361"/>
      <c r="BC143" s="373"/>
    </row>
    <row r="144" spans="1:55" ht="18" customHeight="1">
      <c r="A144" s="184" t="s">
        <v>762</v>
      </c>
      <c r="B144" s="184">
        <v>44932</v>
      </c>
      <c r="C144" s="185" t="s">
        <v>828</v>
      </c>
      <c r="D144" s="185" t="s">
        <v>88</v>
      </c>
      <c r="E144" s="238"/>
      <c r="F144" s="187"/>
      <c r="G144" s="277" t="s">
        <v>734</v>
      </c>
      <c r="H144" s="189"/>
      <c r="I144" s="189"/>
      <c r="J144" s="189"/>
      <c r="K144" s="190"/>
      <c r="L144" s="189">
        <v>1</v>
      </c>
      <c r="M144" s="189">
        <v>1</v>
      </c>
      <c r="N144" s="189">
        <v>1</v>
      </c>
      <c r="O144" s="190" t="s">
        <v>71</v>
      </c>
      <c r="P144" s="190" t="s">
        <v>72</v>
      </c>
      <c r="Q144" s="190" t="s">
        <v>73</v>
      </c>
      <c r="R144" s="190">
        <v>1</v>
      </c>
      <c r="S144" s="190">
        <v>1</v>
      </c>
      <c r="T144" s="190">
        <v>1</v>
      </c>
      <c r="U144" s="190" t="s">
        <v>73</v>
      </c>
      <c r="V144" s="191">
        <f t="shared" si="43"/>
        <v>0.01</v>
      </c>
      <c r="W144" s="191">
        <f>IF(ISBLANK(O144),,IF(O144=UPPER("IB"),8.63*200,16.72*100))</f>
        <v>1672</v>
      </c>
      <c r="X144" s="192" t="s">
        <v>796</v>
      </c>
      <c r="Y144" s="192" t="s">
        <v>829</v>
      </c>
      <c r="Z144" s="192" t="s">
        <v>830</v>
      </c>
      <c r="AA144" s="193">
        <v>0.19</v>
      </c>
      <c r="AB144" s="189"/>
      <c r="AC144" s="189">
        <v>0.23</v>
      </c>
      <c r="AD144" s="189"/>
      <c r="AE144" s="189" t="s">
        <v>799</v>
      </c>
      <c r="AF144" s="189" t="s">
        <v>789</v>
      </c>
      <c r="AG144" s="189" t="s">
        <v>803</v>
      </c>
      <c r="AH144" s="189">
        <v>1</v>
      </c>
      <c r="AI144" s="194">
        <f>-0.04*W144</f>
        <v>-66.88</v>
      </c>
      <c r="AJ144" s="194">
        <f t="shared" ref="AJ144:AJ146" si="83">AI144*R144</f>
        <v>-66.88</v>
      </c>
      <c r="AK144" s="189"/>
      <c r="AL144" s="189"/>
      <c r="AM144" s="189" t="s">
        <v>405</v>
      </c>
      <c r="AN144" s="189" t="s">
        <v>72</v>
      </c>
      <c r="AO144" s="189" t="s">
        <v>831</v>
      </c>
      <c r="AP144" s="196">
        <v>0.09</v>
      </c>
      <c r="AQ144" s="196">
        <f t="shared" si="80"/>
        <v>0.1</v>
      </c>
      <c r="AR144" s="194">
        <f t="shared" si="81"/>
        <v>167.20000000000002</v>
      </c>
      <c r="AS144" s="197">
        <f t="shared" si="82"/>
        <v>167.20000000000002</v>
      </c>
      <c r="AT144" s="198" t="s">
        <v>72</v>
      </c>
      <c r="AU144" s="189" t="s">
        <v>832</v>
      </c>
      <c r="AV144" s="189"/>
      <c r="AW144" s="189"/>
      <c r="AX144" s="361"/>
      <c r="AY144" s="361"/>
      <c r="AZ144" s="361"/>
      <c r="BA144" s="361"/>
      <c r="BB144" s="361"/>
      <c r="BC144" s="373"/>
    </row>
    <row r="145" spans="1:55" ht="18" customHeight="1">
      <c r="A145" s="184" t="s">
        <v>762</v>
      </c>
      <c r="B145" s="184">
        <v>44932</v>
      </c>
      <c r="C145" s="185" t="s">
        <v>833</v>
      </c>
      <c r="D145" s="185" t="s">
        <v>88</v>
      </c>
      <c r="E145" s="238"/>
      <c r="F145" s="187"/>
      <c r="G145" s="252" t="s">
        <v>530</v>
      </c>
      <c r="H145" s="189"/>
      <c r="I145" s="189"/>
      <c r="J145" s="189"/>
      <c r="K145" s="190"/>
      <c r="L145" s="189">
        <v>1</v>
      </c>
      <c r="M145" s="189"/>
      <c r="N145" s="189"/>
      <c r="O145" s="190" t="s">
        <v>71</v>
      </c>
      <c r="P145" s="190" t="s">
        <v>114</v>
      </c>
      <c r="Q145" s="190" t="s">
        <v>73</v>
      </c>
      <c r="R145" s="190">
        <v>2</v>
      </c>
      <c r="S145" s="190">
        <v>2</v>
      </c>
      <c r="T145" s="190">
        <v>2</v>
      </c>
      <c r="U145" s="190" t="s">
        <v>73</v>
      </c>
      <c r="V145" s="191">
        <f t="shared" si="43"/>
        <v>0.01</v>
      </c>
      <c r="W145" s="191">
        <f t="shared" ref="W145:W146" si="84">IF(ISBLANK(O145),,IF(O145=UPPER("IB"),8.63*200,16.6*100))</f>
        <v>1660.0000000000002</v>
      </c>
      <c r="X145" s="192" t="s">
        <v>834</v>
      </c>
      <c r="Y145" s="192"/>
      <c r="Z145" s="192" t="s">
        <v>835</v>
      </c>
      <c r="AA145" s="193">
        <v>-0.06</v>
      </c>
      <c r="AB145" s="189"/>
      <c r="AC145" s="189"/>
      <c r="AD145" s="189"/>
      <c r="AE145" s="189"/>
      <c r="AF145" s="189"/>
      <c r="AG145" s="189"/>
      <c r="AH145" s="189"/>
      <c r="AI145" s="194">
        <f>-0.02*W145</f>
        <v>-33.200000000000003</v>
      </c>
      <c r="AJ145" s="194">
        <f t="shared" si="83"/>
        <v>-66.400000000000006</v>
      </c>
      <c r="AK145" s="189"/>
      <c r="AL145" s="189"/>
      <c r="AM145" s="189" t="s">
        <v>836</v>
      </c>
      <c r="AN145" s="189" t="s">
        <v>92</v>
      </c>
      <c r="AO145" s="189" t="s">
        <v>837</v>
      </c>
      <c r="AP145" s="196">
        <v>-7.4999999999999997E-2</v>
      </c>
      <c r="AQ145" s="196">
        <f t="shared" si="80"/>
        <v>1.4999999999999999E-2</v>
      </c>
      <c r="AR145" s="194">
        <f t="shared" si="81"/>
        <v>49.800000000000004</v>
      </c>
      <c r="AS145" s="197">
        <f t="shared" si="82"/>
        <v>24.900000000000002</v>
      </c>
      <c r="AT145" s="198" t="s">
        <v>72</v>
      </c>
      <c r="AU145" s="189"/>
      <c r="AV145" s="189"/>
      <c r="AW145" s="189"/>
      <c r="AX145" s="361"/>
      <c r="AY145" s="361"/>
      <c r="AZ145" s="361"/>
      <c r="BA145" s="361"/>
      <c r="BB145" s="361"/>
      <c r="BC145" s="373"/>
    </row>
    <row r="146" spans="1:55" ht="18" customHeight="1">
      <c r="A146" s="184" t="s">
        <v>762</v>
      </c>
      <c r="B146" s="184">
        <v>44932</v>
      </c>
      <c r="C146" s="185" t="s">
        <v>838</v>
      </c>
      <c r="D146" s="185" t="s">
        <v>88</v>
      </c>
      <c r="E146" s="186"/>
      <c r="F146" s="187"/>
      <c r="G146" s="278" t="s">
        <v>412</v>
      </c>
      <c r="H146" s="189"/>
      <c r="I146" s="189"/>
      <c r="J146" s="189"/>
      <c r="K146" s="190"/>
      <c r="L146" s="189">
        <v>1</v>
      </c>
      <c r="M146" s="189"/>
      <c r="N146" s="189">
        <v>1</v>
      </c>
      <c r="O146" s="190" t="s">
        <v>71</v>
      </c>
      <c r="P146" s="190" t="s">
        <v>72</v>
      </c>
      <c r="Q146" s="190"/>
      <c r="R146" s="190">
        <v>1</v>
      </c>
      <c r="S146" s="190">
        <v>1</v>
      </c>
      <c r="T146" s="190">
        <v>1</v>
      </c>
      <c r="U146" s="190" t="s">
        <v>73</v>
      </c>
      <c r="V146" s="191">
        <f t="shared" si="43"/>
        <v>0.01</v>
      </c>
      <c r="W146" s="191">
        <f t="shared" si="84"/>
        <v>1660.0000000000002</v>
      </c>
      <c r="X146" s="192" t="s">
        <v>784</v>
      </c>
      <c r="Y146" s="192"/>
      <c r="Z146" s="192"/>
      <c r="AA146" s="193">
        <v>0.42</v>
      </c>
      <c r="AB146" s="189"/>
      <c r="AC146" s="189">
        <v>0.46</v>
      </c>
      <c r="AD146" s="189" t="s">
        <v>839</v>
      </c>
      <c r="AE146" s="189"/>
      <c r="AF146" s="189" t="s">
        <v>840</v>
      </c>
      <c r="AG146" s="189"/>
      <c r="AH146" s="189"/>
      <c r="AI146" s="194">
        <f>-0.04*W146</f>
        <v>-66.400000000000006</v>
      </c>
      <c r="AJ146" s="194">
        <f t="shared" si="83"/>
        <v>-66.400000000000006</v>
      </c>
      <c r="AK146" s="189" t="s">
        <v>791</v>
      </c>
      <c r="AL146" s="189"/>
      <c r="AM146" s="189" t="s">
        <v>841</v>
      </c>
      <c r="AN146" s="189" t="s">
        <v>92</v>
      </c>
      <c r="AO146" s="189" t="s">
        <v>842</v>
      </c>
      <c r="AP146" s="196">
        <v>0.32</v>
      </c>
      <c r="AQ146" s="196">
        <f t="shared" si="80"/>
        <v>9.9999999999999978E-2</v>
      </c>
      <c r="AR146" s="194">
        <f t="shared" si="81"/>
        <v>166</v>
      </c>
      <c r="AS146" s="197">
        <f t="shared" si="82"/>
        <v>166</v>
      </c>
      <c r="AT146" s="198" t="s">
        <v>72</v>
      </c>
      <c r="AU146" s="189" t="s">
        <v>806</v>
      </c>
      <c r="AV146" s="189" t="s">
        <v>843</v>
      </c>
      <c r="AW146" s="189" t="s">
        <v>844</v>
      </c>
      <c r="AX146" s="361"/>
      <c r="AY146" s="361"/>
      <c r="AZ146" s="361"/>
      <c r="BA146" s="361"/>
      <c r="BB146" s="361"/>
      <c r="BC146" s="373"/>
    </row>
    <row r="147" spans="1:55" ht="18" customHeight="1">
      <c r="A147" s="184" t="s">
        <v>762</v>
      </c>
      <c r="B147" s="184">
        <v>44932</v>
      </c>
      <c r="C147" s="201">
        <v>0.79166666666666663</v>
      </c>
      <c r="D147" s="185" t="s">
        <v>88</v>
      </c>
      <c r="E147" s="238" t="s">
        <v>845</v>
      </c>
      <c r="F147" s="187" t="s">
        <v>846</v>
      </c>
      <c r="G147" s="188"/>
      <c r="H147" s="189"/>
      <c r="I147" s="189"/>
      <c r="J147" s="189"/>
      <c r="K147" s="190"/>
      <c r="L147" s="189"/>
      <c r="M147" s="189"/>
      <c r="N147" s="189"/>
      <c r="O147" s="190"/>
      <c r="P147" s="190"/>
      <c r="Q147" s="190"/>
      <c r="R147" s="190"/>
      <c r="S147" s="190"/>
      <c r="T147" s="190"/>
      <c r="U147" s="190"/>
      <c r="V147" s="191"/>
      <c r="W147" s="191"/>
      <c r="X147" s="192"/>
      <c r="Y147" s="192"/>
      <c r="Z147" s="192"/>
      <c r="AA147" s="193"/>
      <c r="AB147" s="189"/>
      <c r="AC147" s="189"/>
      <c r="AD147" s="189"/>
      <c r="AE147" s="189"/>
      <c r="AF147" s="189"/>
      <c r="AG147" s="189"/>
      <c r="AH147" s="189"/>
      <c r="AI147" s="194"/>
      <c r="AJ147" s="190"/>
      <c r="AK147" s="189"/>
      <c r="AL147" s="189"/>
      <c r="AM147" s="189"/>
      <c r="AN147" s="189"/>
      <c r="AO147" s="189"/>
      <c r="AP147" s="196"/>
      <c r="AQ147" s="189">
        <f t="shared" si="80"/>
        <v>0</v>
      </c>
      <c r="AR147" s="194"/>
      <c r="AS147" s="197">
        <f t="shared" si="82"/>
        <v>0</v>
      </c>
      <c r="AT147" s="198"/>
      <c r="AU147" s="189"/>
      <c r="AV147" s="189"/>
      <c r="AW147" s="189"/>
      <c r="AX147" s="361"/>
      <c r="AY147" s="361"/>
      <c r="AZ147" s="361"/>
      <c r="BA147" s="361"/>
      <c r="BB147" s="361"/>
      <c r="BC147" s="373"/>
    </row>
    <row r="148" spans="1:55" ht="18" customHeight="1">
      <c r="A148" s="184" t="s">
        <v>762</v>
      </c>
      <c r="B148" s="184"/>
      <c r="C148" s="201"/>
      <c r="D148" s="185"/>
      <c r="E148" s="238" t="s">
        <v>847</v>
      </c>
      <c r="F148" s="187" t="s">
        <v>848</v>
      </c>
      <c r="G148" s="188"/>
      <c r="H148" s="189"/>
      <c r="I148" s="189"/>
      <c r="J148" s="189">
        <v>1</v>
      </c>
      <c r="K148" s="190" t="s">
        <v>82</v>
      </c>
      <c r="L148" s="189"/>
      <c r="M148" s="189"/>
      <c r="N148" s="189"/>
      <c r="O148" s="190"/>
      <c r="P148" s="190"/>
      <c r="Q148" s="190"/>
      <c r="R148" s="190"/>
      <c r="S148" s="190"/>
      <c r="T148" s="190"/>
      <c r="U148" s="190"/>
      <c r="V148" s="191"/>
      <c r="W148" s="191"/>
      <c r="X148" s="192"/>
      <c r="Y148" s="192"/>
      <c r="Z148" s="192"/>
      <c r="AA148" s="193"/>
      <c r="AB148" s="189"/>
      <c r="AC148" s="189"/>
      <c r="AD148" s="189"/>
      <c r="AE148" s="189"/>
      <c r="AF148" s="189"/>
      <c r="AG148" s="189"/>
      <c r="AH148" s="189"/>
      <c r="AI148" s="194"/>
      <c r="AJ148" s="190"/>
      <c r="AK148" s="189"/>
      <c r="AL148" s="189"/>
      <c r="AM148" s="189"/>
      <c r="AN148" s="189"/>
      <c r="AO148" s="189"/>
      <c r="AP148" s="196"/>
      <c r="AQ148" s="189">
        <f t="shared" si="80"/>
        <v>0</v>
      </c>
      <c r="AR148" s="194"/>
      <c r="AS148" s="197">
        <f t="shared" si="82"/>
        <v>0</v>
      </c>
      <c r="AT148" s="198"/>
      <c r="AU148" s="189"/>
      <c r="AV148" s="189"/>
      <c r="AW148" s="189"/>
      <c r="AX148" s="361"/>
      <c r="AY148" s="361"/>
      <c r="AZ148" s="361"/>
      <c r="BA148" s="361"/>
      <c r="BB148" s="361"/>
      <c r="BC148" s="373"/>
    </row>
    <row r="149" spans="1:55" ht="18" customHeight="1">
      <c r="A149" s="184" t="s">
        <v>762</v>
      </c>
      <c r="B149" s="184">
        <v>44932</v>
      </c>
      <c r="C149" s="185" t="s">
        <v>849</v>
      </c>
      <c r="D149" s="185" t="s">
        <v>88</v>
      </c>
      <c r="E149" s="238"/>
      <c r="F149" s="187"/>
      <c r="G149" s="277" t="s">
        <v>734</v>
      </c>
      <c r="H149" s="189"/>
      <c r="I149" s="189"/>
      <c r="J149" s="189"/>
      <c r="K149" s="190"/>
      <c r="L149" s="189">
        <v>1</v>
      </c>
      <c r="M149" s="189">
        <v>1</v>
      </c>
      <c r="N149" s="189">
        <v>1</v>
      </c>
      <c r="O149" s="190" t="s">
        <v>71</v>
      </c>
      <c r="P149" s="190" t="s">
        <v>72</v>
      </c>
      <c r="Q149" s="190" t="s">
        <v>73</v>
      </c>
      <c r="R149" s="190">
        <v>1</v>
      </c>
      <c r="S149" s="190">
        <v>1</v>
      </c>
      <c r="T149" s="190">
        <v>1</v>
      </c>
      <c r="U149" s="190" t="s">
        <v>73</v>
      </c>
      <c r="V149" s="191">
        <f t="shared" ref="V149:V163" si="85">IF(ISBLANK(O149),,(IF(O149=UPPER("IB"),0.005,0.01)))</f>
        <v>0.01</v>
      </c>
      <c r="W149" s="191">
        <f>IF(ISBLANK(O149),,IF(O149=UPPER("IB"),8.63*200,16.7*100))</f>
        <v>1670</v>
      </c>
      <c r="X149" s="192" t="s">
        <v>796</v>
      </c>
      <c r="Y149" s="192" t="s">
        <v>829</v>
      </c>
      <c r="Z149" s="192" t="s">
        <v>830</v>
      </c>
      <c r="AA149" s="193">
        <v>0.2</v>
      </c>
      <c r="AB149" s="189"/>
      <c r="AC149" s="189">
        <v>0.26</v>
      </c>
      <c r="AD149" s="189"/>
      <c r="AE149" s="189" t="s">
        <v>799</v>
      </c>
      <c r="AF149" s="189" t="s">
        <v>789</v>
      </c>
      <c r="AG149" s="189" t="s">
        <v>803</v>
      </c>
      <c r="AH149" s="189">
        <v>1</v>
      </c>
      <c r="AI149" s="194">
        <f>-0.04*W149</f>
        <v>-66.8</v>
      </c>
      <c r="AJ149" s="194">
        <f t="shared" ref="AJ149:AJ157" si="86">AI149*R149</f>
        <v>-66.8</v>
      </c>
      <c r="AK149" s="189" t="s">
        <v>850</v>
      </c>
      <c r="AL149" s="189"/>
      <c r="AM149" s="189" t="s">
        <v>405</v>
      </c>
      <c r="AN149" s="189" t="s">
        <v>72</v>
      </c>
      <c r="AO149" s="189" t="s">
        <v>851</v>
      </c>
      <c r="AP149" s="196">
        <v>0.09</v>
      </c>
      <c r="AQ149" s="196">
        <f t="shared" si="80"/>
        <v>0.11000000000000001</v>
      </c>
      <c r="AR149" s="194">
        <f t="shared" ref="AR149:AR157" si="87">AS149*R149</f>
        <v>183.70000000000002</v>
      </c>
      <c r="AS149" s="197">
        <f t="shared" si="82"/>
        <v>183.70000000000002</v>
      </c>
      <c r="AT149" s="198" t="s">
        <v>72</v>
      </c>
      <c r="AU149" s="189" t="s">
        <v>806</v>
      </c>
      <c r="AV149" s="189" t="s">
        <v>852</v>
      </c>
      <c r="AW149" s="189"/>
      <c r="AX149" s="361"/>
      <c r="AY149" s="361"/>
      <c r="AZ149" s="361"/>
      <c r="BA149" s="361" t="s">
        <v>853</v>
      </c>
      <c r="BB149" s="361"/>
      <c r="BC149" s="373" t="s">
        <v>506</v>
      </c>
    </row>
    <row r="150" spans="1:55" ht="18" customHeight="1">
      <c r="A150" s="184" t="s">
        <v>762</v>
      </c>
      <c r="B150" s="184">
        <v>44932</v>
      </c>
      <c r="C150" s="185" t="s">
        <v>854</v>
      </c>
      <c r="D150" s="185" t="s">
        <v>88</v>
      </c>
      <c r="E150" s="238"/>
      <c r="F150" s="187"/>
      <c r="G150" s="279" t="s">
        <v>248</v>
      </c>
      <c r="H150" s="189"/>
      <c r="I150" s="189"/>
      <c r="J150" s="189"/>
      <c r="K150" s="190"/>
      <c r="L150" s="189">
        <v>1</v>
      </c>
      <c r="M150" s="189"/>
      <c r="N150" s="189"/>
      <c r="O150" s="190" t="s">
        <v>71</v>
      </c>
      <c r="P150" s="190" t="s">
        <v>114</v>
      </c>
      <c r="Q150" s="190" t="s">
        <v>73</v>
      </c>
      <c r="R150" s="190">
        <v>2</v>
      </c>
      <c r="S150" s="190">
        <v>2</v>
      </c>
      <c r="T150" s="190">
        <v>2</v>
      </c>
      <c r="U150" s="190" t="s">
        <v>21</v>
      </c>
      <c r="V150" s="191">
        <f t="shared" si="85"/>
        <v>0.01</v>
      </c>
      <c r="W150" s="191">
        <f t="shared" ref="W150:W152" si="88">IF(ISBLANK(O150),,IF(O150=UPPER("IB"),8.63*200,16.3*100))</f>
        <v>1630</v>
      </c>
      <c r="X150" s="192" t="s">
        <v>338</v>
      </c>
      <c r="Y150" s="192"/>
      <c r="Z150" s="192" t="s">
        <v>75</v>
      </c>
      <c r="AA150" s="193">
        <v>-0.11</v>
      </c>
      <c r="AB150" s="189"/>
      <c r="AC150" s="189"/>
      <c r="AD150" s="189"/>
      <c r="AE150" s="189"/>
      <c r="AF150" s="189"/>
      <c r="AG150" s="189" t="s">
        <v>855</v>
      </c>
      <c r="AH150" s="189"/>
      <c r="AI150" s="194">
        <f t="shared" ref="AI150:AI153" si="89">-0.03*W150</f>
        <v>-48.9</v>
      </c>
      <c r="AJ150" s="194">
        <f t="shared" si="86"/>
        <v>-97.8</v>
      </c>
      <c r="AK150" s="189"/>
      <c r="AL150" s="189"/>
      <c r="AM150" s="189" t="s">
        <v>856</v>
      </c>
      <c r="AN150" s="189" t="s">
        <v>72</v>
      </c>
      <c r="AO150" s="189" t="s">
        <v>857</v>
      </c>
      <c r="AP150" s="196">
        <v>-0.13500000000000001</v>
      </c>
      <c r="AQ150" s="196">
        <f t="shared" si="80"/>
        <v>-2.5000000000000008E-2</v>
      </c>
      <c r="AR150" s="194">
        <f t="shared" si="87"/>
        <v>-81.500000000000028</v>
      </c>
      <c r="AS150" s="197">
        <f t="shared" si="82"/>
        <v>-40.750000000000014</v>
      </c>
      <c r="AT150" s="198" t="s">
        <v>206</v>
      </c>
      <c r="AU150" s="189" t="s">
        <v>858</v>
      </c>
      <c r="AV150" s="189"/>
      <c r="AW150" s="189"/>
      <c r="AX150" s="361"/>
      <c r="AY150" s="361"/>
      <c r="AZ150" s="361"/>
      <c r="BA150" s="361"/>
      <c r="BB150" s="361"/>
      <c r="BC150" s="373"/>
    </row>
    <row r="151" spans="1:55" ht="18" customHeight="1">
      <c r="A151" s="184" t="s">
        <v>762</v>
      </c>
      <c r="B151" s="184">
        <v>44932</v>
      </c>
      <c r="C151" s="185" t="s">
        <v>859</v>
      </c>
      <c r="D151" s="185" t="s">
        <v>88</v>
      </c>
      <c r="E151" s="238"/>
      <c r="F151" s="187"/>
      <c r="G151" s="188" t="s">
        <v>342</v>
      </c>
      <c r="H151" s="189"/>
      <c r="I151" s="189"/>
      <c r="J151" s="189"/>
      <c r="K151" s="190"/>
      <c r="L151" s="189">
        <v>1</v>
      </c>
      <c r="M151" s="189"/>
      <c r="N151" s="189"/>
      <c r="O151" s="190" t="s">
        <v>71</v>
      </c>
      <c r="P151" s="190" t="s">
        <v>114</v>
      </c>
      <c r="Q151" s="190" t="s">
        <v>73</v>
      </c>
      <c r="R151" s="190">
        <v>1</v>
      </c>
      <c r="S151" s="190">
        <v>1</v>
      </c>
      <c r="T151" s="190">
        <v>1</v>
      </c>
      <c r="U151" s="190" t="s">
        <v>21</v>
      </c>
      <c r="V151" s="191">
        <f t="shared" si="85"/>
        <v>0.01</v>
      </c>
      <c r="W151" s="191">
        <f t="shared" si="88"/>
        <v>1630</v>
      </c>
      <c r="X151" s="192" t="s">
        <v>860</v>
      </c>
      <c r="Y151" s="192"/>
      <c r="Z151" s="192"/>
      <c r="AA151" s="193">
        <v>-0.08</v>
      </c>
      <c r="AB151" s="189"/>
      <c r="AC151" s="189"/>
      <c r="AD151" s="189"/>
      <c r="AE151" s="189">
        <v>-0.06</v>
      </c>
      <c r="AF151" s="189"/>
      <c r="AG151" s="189"/>
      <c r="AH151" s="189"/>
      <c r="AI151" s="194">
        <f t="shared" si="89"/>
        <v>-48.9</v>
      </c>
      <c r="AJ151" s="194">
        <f t="shared" si="86"/>
        <v>-48.9</v>
      </c>
      <c r="AK151" s="189"/>
      <c r="AL151" s="189"/>
      <c r="AM151" s="189"/>
      <c r="AN151" s="189" t="s">
        <v>92</v>
      </c>
      <c r="AO151" s="189" t="s">
        <v>861</v>
      </c>
      <c r="AP151" s="196">
        <v>-0.08</v>
      </c>
      <c r="AQ151" s="196">
        <f t="shared" si="80"/>
        <v>0</v>
      </c>
      <c r="AR151" s="194">
        <f t="shared" si="87"/>
        <v>0</v>
      </c>
      <c r="AS151" s="197">
        <f t="shared" si="82"/>
        <v>0</v>
      </c>
      <c r="AT151" s="198" t="s">
        <v>92</v>
      </c>
      <c r="AU151" s="189"/>
      <c r="AV151" s="189"/>
      <c r="AW151" s="189"/>
      <c r="AX151" s="361"/>
      <c r="AY151" s="361"/>
      <c r="AZ151" s="361"/>
      <c r="BA151" s="361"/>
      <c r="BB151" s="361"/>
      <c r="BC151" s="373"/>
    </row>
    <row r="152" spans="1:55" ht="18" customHeight="1">
      <c r="A152" s="184" t="s">
        <v>762</v>
      </c>
      <c r="B152" s="184">
        <v>44932</v>
      </c>
      <c r="C152" s="185" t="s">
        <v>862</v>
      </c>
      <c r="D152" s="185" t="s">
        <v>88</v>
      </c>
      <c r="E152" s="238"/>
      <c r="F152" s="187"/>
      <c r="G152" s="280" t="s">
        <v>863</v>
      </c>
      <c r="H152" s="189"/>
      <c r="I152" s="189"/>
      <c r="J152" s="189"/>
      <c r="K152" s="190"/>
      <c r="L152" s="189">
        <v>1</v>
      </c>
      <c r="M152" s="189"/>
      <c r="N152" s="189"/>
      <c r="O152" s="190" t="s">
        <v>71</v>
      </c>
      <c r="P152" s="190" t="s">
        <v>114</v>
      </c>
      <c r="Q152" s="190" t="s">
        <v>73</v>
      </c>
      <c r="R152" s="190">
        <v>1</v>
      </c>
      <c r="S152" s="190">
        <v>1</v>
      </c>
      <c r="T152" s="190">
        <v>1</v>
      </c>
      <c r="U152" s="190" t="s">
        <v>73</v>
      </c>
      <c r="V152" s="191">
        <f t="shared" si="85"/>
        <v>0.01</v>
      </c>
      <c r="W152" s="191">
        <f t="shared" si="88"/>
        <v>1630</v>
      </c>
      <c r="X152" s="192" t="s">
        <v>864</v>
      </c>
      <c r="Y152" s="192"/>
      <c r="Z152" s="192" t="s">
        <v>75</v>
      </c>
      <c r="AA152" s="193">
        <v>-0.03</v>
      </c>
      <c r="AB152" s="189"/>
      <c r="AC152" s="189"/>
      <c r="AD152" s="189"/>
      <c r="AE152" s="189">
        <v>-0.04</v>
      </c>
      <c r="AF152" s="189" t="s">
        <v>865</v>
      </c>
      <c r="AG152" s="189"/>
      <c r="AH152" s="189"/>
      <c r="AI152" s="194">
        <f t="shared" si="89"/>
        <v>-48.9</v>
      </c>
      <c r="AJ152" s="194">
        <f t="shared" si="86"/>
        <v>-48.9</v>
      </c>
      <c r="AK152" s="189"/>
      <c r="AL152" s="189"/>
      <c r="AM152" s="189" t="s">
        <v>489</v>
      </c>
      <c r="AN152" s="189" t="s">
        <v>72</v>
      </c>
      <c r="AO152" s="189" t="s">
        <v>866</v>
      </c>
      <c r="AP152" s="196">
        <v>-0.04</v>
      </c>
      <c r="AQ152" s="196">
        <f t="shared" si="80"/>
        <v>1.0000000000000002E-2</v>
      </c>
      <c r="AR152" s="194">
        <f t="shared" si="87"/>
        <v>16.300000000000004</v>
      </c>
      <c r="AS152" s="197">
        <f t="shared" si="82"/>
        <v>16.300000000000004</v>
      </c>
      <c r="AT152" s="198" t="s">
        <v>72</v>
      </c>
      <c r="AU152" s="189"/>
      <c r="AV152" s="189"/>
      <c r="AW152" s="189"/>
      <c r="AX152" s="361"/>
      <c r="AY152" s="361"/>
      <c r="AZ152" s="361"/>
      <c r="BA152" s="361"/>
      <c r="BB152" s="361"/>
      <c r="BC152" s="373"/>
    </row>
    <row r="153" spans="1:55" ht="18" customHeight="1">
      <c r="A153" s="184" t="s">
        <v>762</v>
      </c>
      <c r="B153" s="184">
        <v>44932</v>
      </c>
      <c r="C153" s="185" t="s">
        <v>867</v>
      </c>
      <c r="D153" s="185" t="s">
        <v>88</v>
      </c>
      <c r="E153" s="238"/>
      <c r="F153" s="187"/>
      <c r="G153" s="280" t="s">
        <v>863</v>
      </c>
      <c r="H153" s="189"/>
      <c r="I153" s="189"/>
      <c r="J153" s="189"/>
      <c r="K153" s="190"/>
      <c r="L153" s="189">
        <v>1</v>
      </c>
      <c r="M153" s="189"/>
      <c r="N153" s="189">
        <v>1</v>
      </c>
      <c r="O153" s="190" t="s">
        <v>71</v>
      </c>
      <c r="P153" s="190" t="s">
        <v>114</v>
      </c>
      <c r="Q153" s="190" t="s">
        <v>73</v>
      </c>
      <c r="R153" s="190">
        <v>2</v>
      </c>
      <c r="S153" s="190">
        <v>2</v>
      </c>
      <c r="T153" s="190">
        <v>2</v>
      </c>
      <c r="U153" s="190" t="s">
        <v>73</v>
      </c>
      <c r="V153" s="191">
        <f t="shared" si="85"/>
        <v>0.01</v>
      </c>
      <c r="W153" s="191">
        <f>IF(ISBLANK(O153),,IF(O153=UPPER("IB"),8.63*200,16.7*100))</f>
        <v>1670</v>
      </c>
      <c r="X153" s="192" t="s">
        <v>868</v>
      </c>
      <c r="Y153" s="192"/>
      <c r="Z153" s="192"/>
      <c r="AA153" s="193">
        <v>-0.02</v>
      </c>
      <c r="AB153" s="189"/>
      <c r="AC153" s="189"/>
      <c r="AD153" s="189"/>
      <c r="AE153" s="189">
        <v>-4.4999999999999998E-2</v>
      </c>
      <c r="AF153" s="189" t="s">
        <v>865</v>
      </c>
      <c r="AG153" s="189"/>
      <c r="AH153" s="189"/>
      <c r="AI153" s="194">
        <f t="shared" si="89"/>
        <v>-50.1</v>
      </c>
      <c r="AJ153" s="194">
        <f t="shared" si="86"/>
        <v>-100.2</v>
      </c>
      <c r="AK153" s="189"/>
      <c r="AL153" s="189"/>
      <c r="AM153" s="189" t="s">
        <v>869</v>
      </c>
      <c r="AN153" s="189" t="s">
        <v>72</v>
      </c>
      <c r="AO153" s="189" t="s">
        <v>870</v>
      </c>
      <c r="AP153" s="196">
        <v>-4.4999999999999998E-2</v>
      </c>
      <c r="AQ153" s="196">
        <f t="shared" si="80"/>
        <v>2.4999999999999998E-2</v>
      </c>
      <c r="AR153" s="194">
        <f t="shared" si="87"/>
        <v>83.5</v>
      </c>
      <c r="AS153" s="197">
        <f t="shared" si="82"/>
        <v>41.75</v>
      </c>
      <c r="AT153" s="198" t="s">
        <v>72</v>
      </c>
      <c r="AU153" s="189" t="s">
        <v>871</v>
      </c>
      <c r="AV153" s="189" t="s">
        <v>872</v>
      </c>
      <c r="AW153" s="189"/>
      <c r="AX153" s="361"/>
      <c r="AY153" s="361"/>
      <c r="AZ153" s="361"/>
      <c r="BA153" s="361"/>
      <c r="BB153" s="361"/>
      <c r="BC153" s="373"/>
    </row>
    <row r="154" spans="1:55" ht="18" customHeight="1">
      <c r="A154" s="184" t="s">
        <v>762</v>
      </c>
      <c r="B154" s="184">
        <v>44935</v>
      </c>
      <c r="C154" s="185" t="s">
        <v>705</v>
      </c>
      <c r="D154" s="185" t="s">
        <v>109</v>
      </c>
      <c r="E154" s="238"/>
      <c r="F154" s="187"/>
      <c r="G154" s="281" t="s">
        <v>248</v>
      </c>
      <c r="H154" s="189"/>
      <c r="I154" s="189"/>
      <c r="J154" s="189"/>
      <c r="K154" s="190"/>
      <c r="L154" s="189">
        <v>1</v>
      </c>
      <c r="M154" s="189"/>
      <c r="N154" s="189">
        <v>1</v>
      </c>
      <c r="O154" s="190" t="s">
        <v>71</v>
      </c>
      <c r="P154" s="190" t="s">
        <v>114</v>
      </c>
      <c r="Q154" s="190" t="s">
        <v>73</v>
      </c>
      <c r="R154" s="190">
        <v>3</v>
      </c>
      <c r="S154" s="190">
        <v>3</v>
      </c>
      <c r="T154" s="190">
        <v>3</v>
      </c>
      <c r="U154" s="190" t="s">
        <v>21</v>
      </c>
      <c r="V154" s="191">
        <f t="shared" si="85"/>
        <v>0.01</v>
      </c>
      <c r="W154" s="191">
        <f>IF(ISBLANK(O154),,IF(O154=UPPER("IB"),8.63*200,16.3*100))</f>
        <v>1630</v>
      </c>
      <c r="X154" s="192" t="s">
        <v>868</v>
      </c>
      <c r="Y154" s="192"/>
      <c r="Z154" s="192" t="s">
        <v>75</v>
      </c>
      <c r="AA154" s="193">
        <v>-0.12</v>
      </c>
      <c r="AB154" s="189"/>
      <c r="AC154" s="189">
        <v>-0.15</v>
      </c>
      <c r="AD154" s="189"/>
      <c r="AE154" s="189"/>
      <c r="AF154" s="189"/>
      <c r="AG154" s="189"/>
      <c r="AH154" s="189"/>
      <c r="AI154" s="194">
        <f t="shared" ref="AI154:AI155" si="90">-0.02*W154</f>
        <v>-32.6</v>
      </c>
      <c r="AJ154" s="194">
        <f t="shared" si="86"/>
        <v>-97.800000000000011</v>
      </c>
      <c r="AK154" s="189" t="s">
        <v>128</v>
      </c>
      <c r="AL154" s="189" t="s">
        <v>873</v>
      </c>
      <c r="AM154" s="189" t="s">
        <v>874</v>
      </c>
      <c r="AN154" s="189" t="s">
        <v>72</v>
      </c>
      <c r="AO154" s="189" t="s">
        <v>875</v>
      </c>
      <c r="AP154" s="196">
        <v>-0.13</v>
      </c>
      <c r="AQ154" s="196">
        <f t="shared" si="80"/>
        <v>-1.0000000000000009E-2</v>
      </c>
      <c r="AR154" s="194">
        <f t="shared" si="87"/>
        <v>-48.900000000000048</v>
      </c>
      <c r="AS154" s="197">
        <f t="shared" si="82"/>
        <v>-16.300000000000015</v>
      </c>
      <c r="AT154" s="198" t="s">
        <v>206</v>
      </c>
      <c r="AU154" s="189" t="s">
        <v>876</v>
      </c>
      <c r="AV154" s="189" t="s">
        <v>877</v>
      </c>
      <c r="AW154" s="189"/>
      <c r="AX154" s="361"/>
      <c r="AY154" s="361"/>
      <c r="AZ154" s="361"/>
      <c r="BA154" s="361"/>
      <c r="BB154" s="361"/>
      <c r="BC154" s="373"/>
    </row>
    <row r="155" spans="1:55" ht="18" customHeight="1">
      <c r="A155" s="184" t="s">
        <v>762</v>
      </c>
      <c r="B155" s="184">
        <v>44935</v>
      </c>
      <c r="C155" s="185" t="s">
        <v>878</v>
      </c>
      <c r="D155" s="185" t="s">
        <v>109</v>
      </c>
      <c r="E155" s="238"/>
      <c r="F155" s="187"/>
      <c r="G155" s="262" t="s">
        <v>342</v>
      </c>
      <c r="H155" s="189"/>
      <c r="I155" s="189"/>
      <c r="J155" s="189"/>
      <c r="K155" s="190"/>
      <c r="L155" s="189">
        <v>1</v>
      </c>
      <c r="M155" s="189"/>
      <c r="N155" s="189"/>
      <c r="O155" s="190" t="s">
        <v>71</v>
      </c>
      <c r="P155" s="190" t="s">
        <v>114</v>
      </c>
      <c r="Q155" s="190" t="s">
        <v>73</v>
      </c>
      <c r="R155" s="190">
        <v>2</v>
      </c>
      <c r="S155" s="190">
        <v>2</v>
      </c>
      <c r="T155" s="190">
        <v>2</v>
      </c>
      <c r="U155" s="190" t="s">
        <v>21</v>
      </c>
      <c r="V155" s="191">
        <f t="shared" si="85"/>
        <v>0.01</v>
      </c>
      <c r="W155" s="191">
        <f t="shared" ref="W155:W156" si="91">IF(ISBLANK(O155),,IF(O155=UPPER("IB"),8.63*200,16.6*100))</f>
        <v>1660.0000000000002</v>
      </c>
      <c r="X155" s="192" t="s">
        <v>860</v>
      </c>
      <c r="Y155" s="192"/>
      <c r="Z155" s="192"/>
      <c r="AA155" s="193">
        <v>-0.09</v>
      </c>
      <c r="AB155" s="189"/>
      <c r="AC155" s="189"/>
      <c r="AD155" s="189"/>
      <c r="AE155" s="189">
        <v>-0.06</v>
      </c>
      <c r="AF155" s="189"/>
      <c r="AG155" s="189"/>
      <c r="AH155" s="189"/>
      <c r="AI155" s="194">
        <f t="shared" si="90"/>
        <v>-33.200000000000003</v>
      </c>
      <c r="AJ155" s="194">
        <f t="shared" si="86"/>
        <v>-66.400000000000006</v>
      </c>
      <c r="AK155" s="189"/>
      <c r="AL155" s="189"/>
      <c r="AM155" s="189" t="s">
        <v>879</v>
      </c>
      <c r="AN155" s="189" t="s">
        <v>72</v>
      </c>
      <c r="AO155" s="189" t="s">
        <v>880</v>
      </c>
      <c r="AP155" s="196">
        <f>(-0.07-0.1)/2</f>
        <v>-8.5000000000000006E-2</v>
      </c>
      <c r="AQ155" s="196">
        <f t="shared" si="80"/>
        <v>4.9999999999999906E-3</v>
      </c>
      <c r="AR155" s="194">
        <f t="shared" si="87"/>
        <v>16.599999999999969</v>
      </c>
      <c r="AS155" s="197">
        <f t="shared" si="82"/>
        <v>8.2999999999999847</v>
      </c>
      <c r="AT155" s="198" t="s">
        <v>72</v>
      </c>
      <c r="AU155" s="189" t="s">
        <v>881</v>
      </c>
      <c r="AV155" s="189" t="s">
        <v>172</v>
      </c>
      <c r="AW155" s="189"/>
      <c r="AX155" s="361"/>
      <c r="AY155" s="361"/>
      <c r="AZ155" s="361"/>
      <c r="BA155" s="361" t="s">
        <v>172</v>
      </c>
      <c r="BB155" s="361"/>
      <c r="BC155" s="373"/>
    </row>
    <row r="156" spans="1:55" ht="18" customHeight="1">
      <c r="A156" s="184" t="s">
        <v>762</v>
      </c>
      <c r="B156" s="184">
        <v>44935</v>
      </c>
      <c r="C156" s="185" t="s">
        <v>882</v>
      </c>
      <c r="D156" s="185" t="s">
        <v>109</v>
      </c>
      <c r="E156" s="186"/>
      <c r="F156" s="187"/>
      <c r="G156" s="252" t="s">
        <v>412</v>
      </c>
      <c r="H156" s="189"/>
      <c r="I156" s="189"/>
      <c r="J156" s="189"/>
      <c r="K156" s="190"/>
      <c r="L156" s="189">
        <v>1</v>
      </c>
      <c r="M156" s="189"/>
      <c r="N156" s="189">
        <v>1</v>
      </c>
      <c r="O156" s="190" t="s">
        <v>71</v>
      </c>
      <c r="P156" s="190" t="s">
        <v>72</v>
      </c>
      <c r="Q156" s="190"/>
      <c r="R156" s="190">
        <v>1</v>
      </c>
      <c r="S156" s="190">
        <v>1</v>
      </c>
      <c r="T156" s="190">
        <v>1</v>
      </c>
      <c r="U156" s="190" t="s">
        <v>73</v>
      </c>
      <c r="V156" s="191">
        <f t="shared" si="85"/>
        <v>0.01</v>
      </c>
      <c r="W156" s="191">
        <f t="shared" si="91"/>
        <v>1660.0000000000002</v>
      </c>
      <c r="X156" s="192" t="s">
        <v>784</v>
      </c>
      <c r="Y156" s="192"/>
      <c r="Z156" s="192"/>
      <c r="AA156" s="193">
        <v>0.39</v>
      </c>
      <c r="AB156" s="189"/>
      <c r="AC156" s="189">
        <v>0.46</v>
      </c>
      <c r="AD156" s="189" t="s">
        <v>839</v>
      </c>
      <c r="AE156" s="189">
        <v>36</v>
      </c>
      <c r="AF156" s="189"/>
      <c r="AG156" s="189"/>
      <c r="AH156" s="189"/>
      <c r="AI156" s="194">
        <f>-0.04*W156</f>
        <v>-66.400000000000006</v>
      </c>
      <c r="AJ156" s="194">
        <f t="shared" si="86"/>
        <v>-66.400000000000006</v>
      </c>
      <c r="AK156" s="189" t="s">
        <v>883</v>
      </c>
      <c r="AL156" s="189"/>
      <c r="AM156" s="189" t="s">
        <v>566</v>
      </c>
      <c r="AN156" s="189" t="s">
        <v>92</v>
      </c>
      <c r="AO156" s="189" t="s">
        <v>805</v>
      </c>
      <c r="AP156" s="196">
        <v>0.37</v>
      </c>
      <c r="AQ156" s="196">
        <f t="shared" si="80"/>
        <v>2.0000000000000018E-2</v>
      </c>
      <c r="AR156" s="194">
        <f t="shared" si="87"/>
        <v>33.200000000000031</v>
      </c>
      <c r="AS156" s="197">
        <f t="shared" si="82"/>
        <v>33.200000000000031</v>
      </c>
      <c r="AT156" s="198" t="s">
        <v>72</v>
      </c>
      <c r="AU156" s="189" t="s">
        <v>884</v>
      </c>
      <c r="AV156" s="189" t="s">
        <v>885</v>
      </c>
      <c r="AW156" s="189"/>
      <c r="AX156" s="361" t="s">
        <v>886</v>
      </c>
      <c r="AY156" s="361"/>
      <c r="AZ156" s="361"/>
      <c r="BA156" s="361" t="s">
        <v>884</v>
      </c>
      <c r="BB156" s="361"/>
      <c r="BC156" s="373"/>
    </row>
    <row r="157" spans="1:55" ht="18" customHeight="1">
      <c r="A157" s="184" t="s">
        <v>762</v>
      </c>
      <c r="B157" s="282" t="s">
        <v>887</v>
      </c>
      <c r="C157" s="185" t="s">
        <v>888</v>
      </c>
      <c r="D157" s="185" t="s">
        <v>109</v>
      </c>
      <c r="E157" s="238"/>
      <c r="F157" s="187"/>
      <c r="G157" s="188" t="s">
        <v>248</v>
      </c>
      <c r="H157" s="189"/>
      <c r="I157" s="189"/>
      <c r="J157" s="189"/>
      <c r="K157" s="190"/>
      <c r="L157" s="189">
        <v>1</v>
      </c>
      <c r="M157" s="189"/>
      <c r="N157" s="189">
        <v>1</v>
      </c>
      <c r="O157" s="190" t="s">
        <v>71</v>
      </c>
      <c r="P157" s="190" t="s">
        <v>114</v>
      </c>
      <c r="Q157" s="190" t="s">
        <v>73</v>
      </c>
      <c r="R157" s="190">
        <v>3</v>
      </c>
      <c r="S157" s="190">
        <v>3</v>
      </c>
      <c r="T157" s="190">
        <v>1</v>
      </c>
      <c r="U157" s="190" t="s">
        <v>21</v>
      </c>
      <c r="V157" s="191">
        <f t="shared" si="85"/>
        <v>0.01</v>
      </c>
      <c r="W157" s="191">
        <f t="shared" ref="W157:W159" si="92">IF(ISBLANK(O157),,IF(O157=UPPER("IB"),8.63*200,16.3*100))</f>
        <v>1630</v>
      </c>
      <c r="X157" s="192" t="s">
        <v>868</v>
      </c>
      <c r="Y157" s="192"/>
      <c r="Z157" s="192"/>
      <c r="AA157" s="193">
        <v>-0.13</v>
      </c>
      <c r="AB157" s="189"/>
      <c r="AC157" s="189">
        <v>-0.15</v>
      </c>
      <c r="AD157" s="189"/>
      <c r="AE157" s="189"/>
      <c r="AF157" s="189"/>
      <c r="AG157" s="189"/>
      <c r="AH157" s="189"/>
      <c r="AI157" s="194">
        <f>-0.03*W157</f>
        <v>-48.9</v>
      </c>
      <c r="AJ157" s="194">
        <f t="shared" si="86"/>
        <v>-146.69999999999999</v>
      </c>
      <c r="AK157" s="189"/>
      <c r="AL157" s="189"/>
      <c r="AM157" s="189" t="s">
        <v>874</v>
      </c>
      <c r="AN157" s="189" t="s">
        <v>72</v>
      </c>
      <c r="AO157" s="202">
        <v>44946.791666666664</v>
      </c>
      <c r="AP157" s="196">
        <v>-0.13</v>
      </c>
      <c r="AQ157" s="196">
        <f t="shared" si="80"/>
        <v>0</v>
      </c>
      <c r="AR157" s="194">
        <f t="shared" si="87"/>
        <v>0</v>
      </c>
      <c r="AS157" s="197">
        <f t="shared" si="82"/>
        <v>0</v>
      </c>
      <c r="AT157" s="198" t="s">
        <v>92</v>
      </c>
      <c r="AU157" s="189" t="s">
        <v>889</v>
      </c>
      <c r="AV157" s="189"/>
      <c r="AW157" s="189"/>
      <c r="AX157" s="361"/>
      <c r="AY157" s="361"/>
      <c r="AZ157" s="361"/>
      <c r="BA157" s="361"/>
      <c r="BB157" s="361"/>
      <c r="BC157" s="373"/>
    </row>
    <row r="158" spans="1:55" ht="18" customHeight="1">
      <c r="A158" s="184" t="s">
        <v>762</v>
      </c>
      <c r="B158" s="184">
        <v>44937</v>
      </c>
      <c r="C158" s="201">
        <v>0.25</v>
      </c>
      <c r="D158" s="185" t="s">
        <v>128</v>
      </c>
      <c r="E158" s="238" t="s">
        <v>890</v>
      </c>
      <c r="F158" s="187" t="s">
        <v>891</v>
      </c>
      <c r="G158" s="188"/>
      <c r="H158" s="189">
        <v>1</v>
      </c>
      <c r="I158" s="189"/>
      <c r="J158" s="189"/>
      <c r="K158" s="190" t="s">
        <v>82</v>
      </c>
      <c r="L158" s="189"/>
      <c r="M158" s="189"/>
      <c r="N158" s="189"/>
      <c r="O158" s="190"/>
      <c r="P158" s="190"/>
      <c r="Q158" s="190"/>
      <c r="R158" s="190"/>
      <c r="S158" s="190"/>
      <c r="T158" s="190"/>
      <c r="U158" s="190"/>
      <c r="V158" s="191">
        <f t="shared" si="85"/>
        <v>0</v>
      </c>
      <c r="W158" s="191">
        <f t="shared" si="92"/>
        <v>0</v>
      </c>
      <c r="X158" s="192"/>
      <c r="Y158" s="192"/>
      <c r="Z158" s="192"/>
      <c r="AA158" s="193"/>
      <c r="AB158" s="189"/>
      <c r="AC158" s="189"/>
      <c r="AD158" s="189"/>
      <c r="AE158" s="189"/>
      <c r="AF158" s="189"/>
      <c r="AG158" s="189"/>
      <c r="AH158" s="189"/>
      <c r="AI158" s="194"/>
      <c r="AJ158" s="190"/>
      <c r="AK158" s="189"/>
      <c r="AL158" s="189"/>
      <c r="AM158" s="189"/>
      <c r="AN158" s="189"/>
      <c r="AO158" s="189"/>
      <c r="AP158" s="196"/>
      <c r="AQ158" s="189">
        <f t="shared" si="80"/>
        <v>0</v>
      </c>
      <c r="AR158" s="194"/>
      <c r="AS158" s="197">
        <f t="shared" si="82"/>
        <v>0</v>
      </c>
      <c r="AT158" s="198"/>
      <c r="AU158" s="189"/>
      <c r="AV158" s="189"/>
      <c r="AW158" s="189"/>
      <c r="AX158" s="361"/>
      <c r="AY158" s="361"/>
      <c r="AZ158" s="361"/>
      <c r="BA158" s="361"/>
      <c r="BB158" s="361"/>
      <c r="BC158" s="373"/>
    </row>
    <row r="159" spans="1:55" ht="18" customHeight="1">
      <c r="A159" s="184" t="s">
        <v>762</v>
      </c>
      <c r="B159" s="184"/>
      <c r="C159" s="185"/>
      <c r="D159" s="185"/>
      <c r="E159" s="238" t="s">
        <v>892</v>
      </c>
      <c r="F159" s="187"/>
      <c r="G159" s="188"/>
      <c r="H159" s="189">
        <v>1</v>
      </c>
      <c r="I159" s="189"/>
      <c r="J159" s="189"/>
      <c r="K159" s="190" t="s">
        <v>82</v>
      </c>
      <c r="L159" s="189"/>
      <c r="M159" s="189"/>
      <c r="N159" s="189"/>
      <c r="O159" s="190"/>
      <c r="P159" s="190"/>
      <c r="Q159" s="190"/>
      <c r="R159" s="190"/>
      <c r="S159" s="190"/>
      <c r="T159" s="190"/>
      <c r="U159" s="190"/>
      <c r="V159" s="191">
        <f t="shared" si="85"/>
        <v>0</v>
      </c>
      <c r="W159" s="191">
        <f t="shared" si="92"/>
        <v>0</v>
      </c>
      <c r="X159" s="192"/>
      <c r="Y159" s="192"/>
      <c r="Z159" s="192"/>
      <c r="AA159" s="193"/>
      <c r="AB159" s="189"/>
      <c r="AC159" s="189"/>
      <c r="AD159" s="189"/>
      <c r="AE159" s="189"/>
      <c r="AF159" s="189"/>
      <c r="AG159" s="189"/>
      <c r="AH159" s="189"/>
      <c r="AI159" s="194"/>
      <c r="AJ159" s="190"/>
      <c r="AK159" s="189"/>
      <c r="AL159" s="189"/>
      <c r="AM159" s="189"/>
      <c r="AN159" s="189"/>
      <c r="AO159" s="189"/>
      <c r="AP159" s="196"/>
      <c r="AQ159" s="189">
        <f t="shared" si="80"/>
        <v>0</v>
      </c>
      <c r="AR159" s="194"/>
      <c r="AS159" s="197">
        <f t="shared" si="82"/>
        <v>0</v>
      </c>
      <c r="AT159" s="198"/>
      <c r="AU159" s="189"/>
      <c r="AV159" s="189"/>
      <c r="AW159" s="189"/>
      <c r="AX159" s="361"/>
      <c r="AY159" s="361"/>
      <c r="AZ159" s="361"/>
      <c r="BA159" s="361"/>
      <c r="BB159" s="361"/>
      <c r="BC159" s="373"/>
    </row>
    <row r="160" spans="1:55" ht="18" customHeight="1">
      <c r="A160" s="184" t="s">
        <v>762</v>
      </c>
      <c r="B160" s="184">
        <v>44937</v>
      </c>
      <c r="C160" s="185" t="s">
        <v>893</v>
      </c>
      <c r="D160" s="185" t="s">
        <v>128</v>
      </c>
      <c r="E160" s="238"/>
      <c r="F160" s="187"/>
      <c r="G160" s="252" t="s">
        <v>530</v>
      </c>
      <c r="H160" s="189"/>
      <c r="I160" s="189"/>
      <c r="J160" s="189"/>
      <c r="K160" s="190"/>
      <c r="L160" s="189">
        <v>1</v>
      </c>
      <c r="M160" s="189"/>
      <c r="N160" s="189"/>
      <c r="O160" s="190" t="s">
        <v>71</v>
      </c>
      <c r="P160" s="190" t="s">
        <v>114</v>
      </c>
      <c r="Q160" s="190" t="s">
        <v>73</v>
      </c>
      <c r="R160" s="190">
        <v>1</v>
      </c>
      <c r="S160" s="190">
        <v>1</v>
      </c>
      <c r="T160" s="190">
        <v>1</v>
      </c>
      <c r="U160" s="190" t="s">
        <v>73</v>
      </c>
      <c r="V160" s="191">
        <f t="shared" si="85"/>
        <v>0.01</v>
      </c>
      <c r="W160" s="191">
        <f t="shared" ref="W160:W162" si="93">IF(ISBLANK(O160),,IF(O160=UPPER("IB"),8.63*200,16.6*100))</f>
        <v>1660.0000000000002</v>
      </c>
      <c r="X160" s="192" t="s">
        <v>834</v>
      </c>
      <c r="Y160" s="192"/>
      <c r="Z160" s="192"/>
      <c r="AA160" s="193">
        <v>-0.06</v>
      </c>
      <c r="AB160" s="189"/>
      <c r="AC160" s="189"/>
      <c r="AD160" s="189"/>
      <c r="AE160" s="189"/>
      <c r="AF160" s="189"/>
      <c r="AG160" s="189"/>
      <c r="AH160" s="189"/>
      <c r="AI160" s="194">
        <f>-0.03*W160</f>
        <v>-49.800000000000004</v>
      </c>
      <c r="AJ160" s="194">
        <f t="shared" ref="AJ160:AJ163" si="94">AI160*R160</f>
        <v>-49.800000000000004</v>
      </c>
      <c r="AK160" s="189"/>
      <c r="AL160" s="189"/>
      <c r="AM160" s="189" t="s">
        <v>781</v>
      </c>
      <c r="AN160" s="189" t="s">
        <v>92</v>
      </c>
      <c r="AO160" s="189" t="s">
        <v>894</v>
      </c>
      <c r="AP160" s="196">
        <v>-0.08</v>
      </c>
      <c r="AQ160" s="196">
        <f t="shared" si="80"/>
        <v>2.0000000000000004E-2</v>
      </c>
      <c r="AR160" s="194">
        <f>AS160*R160</f>
        <v>33.20000000000001</v>
      </c>
      <c r="AS160" s="197">
        <f t="shared" si="82"/>
        <v>33.20000000000001</v>
      </c>
      <c r="AT160" s="198" t="s">
        <v>72</v>
      </c>
      <c r="AU160" s="189"/>
      <c r="AV160" s="189"/>
      <c r="AW160" s="189"/>
      <c r="AX160" s="361"/>
      <c r="AY160" s="361"/>
      <c r="AZ160" s="361"/>
      <c r="BA160" s="361"/>
      <c r="BB160" s="361"/>
      <c r="BC160" s="373"/>
    </row>
    <row r="161" spans="1:55" ht="18" customHeight="1">
      <c r="A161" s="184" t="s">
        <v>762</v>
      </c>
      <c r="B161" s="184">
        <v>44937</v>
      </c>
      <c r="C161" s="185" t="s">
        <v>895</v>
      </c>
      <c r="D161" s="185" t="s">
        <v>128</v>
      </c>
      <c r="E161" s="238"/>
      <c r="F161" s="187"/>
      <c r="G161" s="188" t="s">
        <v>257</v>
      </c>
      <c r="H161" s="189"/>
      <c r="I161" s="189"/>
      <c r="J161" s="189"/>
      <c r="K161" s="190"/>
      <c r="L161" s="189">
        <v>1</v>
      </c>
      <c r="M161" s="189"/>
      <c r="N161" s="189"/>
      <c r="O161" s="190" t="s">
        <v>71</v>
      </c>
      <c r="P161" s="190" t="s">
        <v>114</v>
      </c>
      <c r="Q161" s="190" t="s">
        <v>73</v>
      </c>
      <c r="R161" s="190">
        <v>1</v>
      </c>
      <c r="S161" s="190">
        <v>1</v>
      </c>
      <c r="T161" s="190">
        <v>1</v>
      </c>
      <c r="U161" s="190" t="s">
        <v>21</v>
      </c>
      <c r="V161" s="191">
        <f t="shared" si="85"/>
        <v>0.01</v>
      </c>
      <c r="W161" s="191">
        <f t="shared" si="93"/>
        <v>1660.0000000000002</v>
      </c>
      <c r="X161" s="192" t="s">
        <v>896</v>
      </c>
      <c r="Y161" s="192"/>
      <c r="Z161" s="192"/>
      <c r="AA161" s="193">
        <v>-0.1</v>
      </c>
      <c r="AB161" s="189"/>
      <c r="AC161" s="189"/>
      <c r="AD161" s="189"/>
      <c r="AE161" s="189"/>
      <c r="AF161" s="189"/>
      <c r="AG161" s="189"/>
      <c r="AH161" s="189"/>
      <c r="AI161" s="194">
        <f>-0.02*W161</f>
        <v>-33.200000000000003</v>
      </c>
      <c r="AJ161" s="194">
        <f t="shared" si="94"/>
        <v>-33.200000000000003</v>
      </c>
      <c r="AK161" s="189"/>
      <c r="AL161" s="189"/>
      <c r="AM161" s="189" t="s">
        <v>897</v>
      </c>
      <c r="AN161" s="189" t="s">
        <v>72</v>
      </c>
      <c r="AO161" s="189" t="s">
        <v>898</v>
      </c>
      <c r="AP161" s="196">
        <v>-0.1</v>
      </c>
      <c r="AQ161" s="196">
        <f t="shared" si="80"/>
        <v>0</v>
      </c>
      <c r="AR161" s="194">
        <f>AS161*R161</f>
        <v>0</v>
      </c>
      <c r="AS161" s="197">
        <f t="shared" si="82"/>
        <v>0</v>
      </c>
      <c r="AT161" s="198" t="s">
        <v>92</v>
      </c>
      <c r="AU161" s="189" t="s">
        <v>899</v>
      </c>
      <c r="AV161" s="189"/>
      <c r="AW161" s="189"/>
      <c r="AX161" s="361"/>
      <c r="AY161" s="361"/>
      <c r="AZ161" s="361"/>
      <c r="BA161" s="361"/>
      <c r="BB161" s="361"/>
      <c r="BC161" s="373"/>
    </row>
    <row r="162" spans="1:55" ht="18" customHeight="1">
      <c r="A162" s="184" t="s">
        <v>762</v>
      </c>
      <c r="B162" s="282" t="s">
        <v>900</v>
      </c>
      <c r="C162" s="185" t="s">
        <v>901</v>
      </c>
      <c r="D162" s="185" t="s">
        <v>69</v>
      </c>
      <c r="E162" s="238"/>
      <c r="F162" s="187"/>
      <c r="G162" s="252" t="s">
        <v>257</v>
      </c>
      <c r="H162" s="189"/>
      <c r="I162" s="189"/>
      <c r="J162" s="189"/>
      <c r="K162" s="190"/>
      <c r="L162" s="189">
        <v>1</v>
      </c>
      <c r="M162" s="189"/>
      <c r="N162" s="189"/>
      <c r="O162" s="190" t="s">
        <v>71</v>
      </c>
      <c r="P162" s="190" t="s">
        <v>114</v>
      </c>
      <c r="Q162" s="190" t="s">
        <v>73</v>
      </c>
      <c r="R162" s="190">
        <v>2</v>
      </c>
      <c r="S162" s="190">
        <v>2</v>
      </c>
      <c r="T162" s="190">
        <v>1</v>
      </c>
      <c r="U162" s="190" t="s">
        <v>21</v>
      </c>
      <c r="V162" s="191">
        <f t="shared" si="85"/>
        <v>0.01</v>
      </c>
      <c r="W162" s="191">
        <f t="shared" si="93"/>
        <v>1660.0000000000002</v>
      </c>
      <c r="X162" s="192" t="s">
        <v>896</v>
      </c>
      <c r="Y162" s="192"/>
      <c r="Z162" s="192"/>
      <c r="AA162" s="193">
        <v>-0.11</v>
      </c>
      <c r="AB162" s="189"/>
      <c r="AC162" s="189"/>
      <c r="AD162" s="189"/>
      <c r="AE162" s="189"/>
      <c r="AF162" s="189"/>
      <c r="AG162" s="189"/>
      <c r="AH162" s="189"/>
      <c r="AI162" s="194">
        <f>-0.04*W162</f>
        <v>-66.400000000000006</v>
      </c>
      <c r="AJ162" s="194">
        <f t="shared" si="94"/>
        <v>-132.80000000000001</v>
      </c>
      <c r="AK162" s="189"/>
      <c r="AL162" s="189"/>
      <c r="AM162" s="189" t="s">
        <v>902</v>
      </c>
      <c r="AN162" s="189" t="s">
        <v>72</v>
      </c>
      <c r="AO162" s="189" t="s">
        <v>898</v>
      </c>
      <c r="AP162" s="196">
        <v>-0.1</v>
      </c>
      <c r="AQ162" s="196">
        <f t="shared" si="80"/>
        <v>9.999999999999995E-3</v>
      </c>
      <c r="AR162" s="194">
        <f>AS162*R162</f>
        <v>33.199999999999989</v>
      </c>
      <c r="AS162" s="197">
        <f t="shared" si="82"/>
        <v>16.599999999999994</v>
      </c>
      <c r="AT162" s="198" t="s">
        <v>72</v>
      </c>
      <c r="AU162" s="189" t="s">
        <v>899</v>
      </c>
      <c r="AV162" s="189"/>
      <c r="AW162" s="189"/>
      <c r="AX162" s="361"/>
      <c r="AY162" s="361"/>
      <c r="AZ162" s="361"/>
      <c r="BA162" s="361"/>
      <c r="BB162" s="361"/>
      <c r="BC162" s="373"/>
    </row>
    <row r="163" spans="1:55" ht="18" customHeight="1">
      <c r="A163" s="184" t="s">
        <v>762</v>
      </c>
      <c r="B163" s="184">
        <v>44938</v>
      </c>
      <c r="C163" s="185" t="s">
        <v>903</v>
      </c>
      <c r="D163" s="185" t="s">
        <v>69</v>
      </c>
      <c r="E163" s="238"/>
      <c r="F163" s="187"/>
      <c r="G163" s="283" t="s">
        <v>110</v>
      </c>
      <c r="H163" s="189"/>
      <c r="I163" s="189"/>
      <c r="J163" s="189"/>
      <c r="K163" s="190"/>
      <c r="L163" s="189">
        <v>1</v>
      </c>
      <c r="M163" s="189"/>
      <c r="N163" s="189">
        <v>1</v>
      </c>
      <c r="O163" s="190" t="s">
        <v>71</v>
      </c>
      <c r="P163" s="190" t="s">
        <v>72</v>
      </c>
      <c r="Q163" s="190" t="s">
        <v>73</v>
      </c>
      <c r="R163" s="190">
        <v>2</v>
      </c>
      <c r="S163" s="190">
        <v>2</v>
      </c>
      <c r="T163" s="190">
        <v>2</v>
      </c>
      <c r="U163" s="190" t="s">
        <v>21</v>
      </c>
      <c r="V163" s="191">
        <f t="shared" si="85"/>
        <v>0.01</v>
      </c>
      <c r="W163" s="191">
        <f>IF(ISBLANK(O163),,IF(O163=UPPER("IB"),8.63*200,16.7*100))</f>
        <v>1670</v>
      </c>
      <c r="X163" s="192" t="s">
        <v>904</v>
      </c>
      <c r="Y163" s="192"/>
      <c r="Z163" s="192"/>
      <c r="AA163" s="193">
        <v>-0.04</v>
      </c>
      <c r="AB163" s="189"/>
      <c r="AC163" s="189"/>
      <c r="AD163" s="189"/>
      <c r="AE163" s="189"/>
      <c r="AF163" s="189"/>
      <c r="AG163" s="189"/>
      <c r="AH163" s="189"/>
      <c r="AI163" s="194">
        <f>-0.03*W163</f>
        <v>-50.1</v>
      </c>
      <c r="AJ163" s="194">
        <f t="shared" si="94"/>
        <v>-100.2</v>
      </c>
      <c r="AK163" s="189"/>
      <c r="AL163" s="189"/>
      <c r="AM163" s="189" t="s">
        <v>905</v>
      </c>
      <c r="AN163" s="189" t="s">
        <v>92</v>
      </c>
      <c r="AO163" s="202">
        <v>44942.25</v>
      </c>
      <c r="AP163" s="196">
        <v>-0.01</v>
      </c>
      <c r="AQ163" s="196">
        <f t="shared" si="80"/>
        <v>0.03</v>
      </c>
      <c r="AR163" s="194">
        <f>AS163*R163</f>
        <v>100.2</v>
      </c>
      <c r="AS163" s="197">
        <f t="shared" si="82"/>
        <v>50.1</v>
      </c>
      <c r="AT163" s="198" t="s">
        <v>72</v>
      </c>
      <c r="AU163" s="189"/>
      <c r="AV163" s="189"/>
      <c r="AW163" s="189"/>
      <c r="AX163" s="361"/>
      <c r="AY163" s="361"/>
      <c r="AZ163" s="361"/>
      <c r="BA163" s="361"/>
      <c r="BB163" s="361"/>
      <c r="BC163" s="373"/>
    </row>
    <row r="164" spans="1:55" ht="18" customHeight="1">
      <c r="A164" s="184" t="s">
        <v>762</v>
      </c>
      <c r="B164" s="184">
        <v>44938</v>
      </c>
      <c r="C164" s="201">
        <v>0.79166666666666663</v>
      </c>
      <c r="D164" s="185" t="s">
        <v>69</v>
      </c>
      <c r="E164" s="238" t="s">
        <v>906</v>
      </c>
      <c r="F164" s="187" t="s">
        <v>907</v>
      </c>
      <c r="G164" s="188"/>
      <c r="H164" s="189"/>
      <c r="I164" s="189">
        <v>1</v>
      </c>
      <c r="J164" s="189"/>
      <c r="K164" s="190"/>
      <c r="L164" s="189"/>
      <c r="M164" s="189"/>
      <c r="N164" s="189"/>
      <c r="O164" s="190"/>
      <c r="P164" s="190"/>
      <c r="Q164" s="190"/>
      <c r="R164" s="190"/>
      <c r="S164" s="190"/>
      <c r="T164" s="190"/>
      <c r="U164" s="190"/>
      <c r="V164" s="191"/>
      <c r="W164" s="191"/>
      <c r="X164" s="192"/>
      <c r="Y164" s="192"/>
      <c r="Z164" s="192"/>
      <c r="AA164" s="193"/>
      <c r="AB164" s="189"/>
      <c r="AC164" s="189"/>
      <c r="AD164" s="189"/>
      <c r="AE164" s="189"/>
      <c r="AF164" s="189"/>
      <c r="AG164" s="189"/>
      <c r="AH164" s="189"/>
      <c r="AI164" s="194"/>
      <c r="AJ164" s="190"/>
      <c r="AK164" s="189"/>
      <c r="AL164" s="189"/>
      <c r="AM164" s="189"/>
      <c r="AN164" s="189"/>
      <c r="AO164" s="189"/>
      <c r="AP164" s="196"/>
      <c r="AQ164" s="189">
        <f t="shared" si="80"/>
        <v>0</v>
      </c>
      <c r="AR164" s="194"/>
      <c r="AS164" s="197">
        <f t="shared" si="82"/>
        <v>0</v>
      </c>
      <c r="AT164" s="198"/>
      <c r="AU164" s="189"/>
      <c r="AV164" s="189"/>
      <c r="AW164" s="189"/>
      <c r="AX164" s="361"/>
      <c r="AY164" s="361"/>
      <c r="AZ164" s="361"/>
      <c r="BA164" s="361"/>
      <c r="BB164" s="361"/>
      <c r="BC164" s="373"/>
    </row>
    <row r="165" spans="1:55" ht="18" customHeight="1">
      <c r="A165" s="184" t="s">
        <v>762</v>
      </c>
      <c r="B165" s="184"/>
      <c r="C165" s="185"/>
      <c r="D165" s="185"/>
      <c r="E165" s="238" t="s">
        <v>908</v>
      </c>
      <c r="F165" s="187" t="s">
        <v>909</v>
      </c>
      <c r="G165" s="188"/>
      <c r="H165" s="189"/>
      <c r="I165" s="189"/>
      <c r="J165" s="189">
        <v>1</v>
      </c>
      <c r="K165" s="190" t="s">
        <v>92</v>
      </c>
      <c r="L165" s="189"/>
      <c r="M165" s="189"/>
      <c r="N165" s="189"/>
      <c r="O165" s="190"/>
      <c r="P165" s="190"/>
      <c r="Q165" s="190"/>
      <c r="R165" s="190"/>
      <c r="S165" s="190"/>
      <c r="T165" s="190"/>
      <c r="U165" s="190"/>
      <c r="V165" s="191"/>
      <c r="W165" s="191"/>
      <c r="X165" s="192"/>
      <c r="Y165" s="192"/>
      <c r="Z165" s="192"/>
      <c r="AA165" s="193"/>
      <c r="AB165" s="189"/>
      <c r="AC165" s="189"/>
      <c r="AD165" s="189"/>
      <c r="AE165" s="189"/>
      <c r="AF165" s="189"/>
      <c r="AG165" s="189"/>
      <c r="AH165" s="189"/>
      <c r="AI165" s="194"/>
      <c r="AJ165" s="190"/>
      <c r="AK165" s="189"/>
      <c r="AL165" s="189"/>
      <c r="AM165" s="189"/>
      <c r="AN165" s="189"/>
      <c r="AO165" s="189"/>
      <c r="AP165" s="196"/>
      <c r="AQ165" s="189">
        <f t="shared" si="80"/>
        <v>0</v>
      </c>
      <c r="AR165" s="194"/>
      <c r="AS165" s="197">
        <f t="shared" si="82"/>
        <v>0</v>
      </c>
      <c r="AT165" s="198"/>
      <c r="AU165" s="189"/>
      <c r="AV165" s="189"/>
      <c r="AW165" s="189"/>
      <c r="AX165" s="361"/>
      <c r="AY165" s="361"/>
      <c r="AZ165" s="361"/>
      <c r="BA165" s="361"/>
      <c r="BB165" s="361"/>
      <c r="BC165" s="373"/>
    </row>
    <row r="166" spans="1:55" ht="18" customHeight="1">
      <c r="A166" s="184" t="s">
        <v>762</v>
      </c>
      <c r="B166" s="184"/>
      <c r="C166" s="185"/>
      <c r="D166" s="185"/>
      <c r="E166" s="238" t="s">
        <v>910</v>
      </c>
      <c r="F166" s="187"/>
      <c r="G166" s="188"/>
      <c r="H166" s="189"/>
      <c r="I166" s="189">
        <v>1</v>
      </c>
      <c r="J166" s="189"/>
      <c r="K166" s="190" t="s">
        <v>92</v>
      </c>
      <c r="L166" s="189"/>
      <c r="M166" s="189"/>
      <c r="N166" s="189"/>
      <c r="O166" s="190"/>
      <c r="P166" s="190"/>
      <c r="Q166" s="190"/>
      <c r="R166" s="190"/>
      <c r="S166" s="190"/>
      <c r="T166" s="190"/>
      <c r="U166" s="190"/>
      <c r="V166" s="191"/>
      <c r="W166" s="191"/>
      <c r="X166" s="192"/>
      <c r="Y166" s="192"/>
      <c r="Z166" s="192"/>
      <c r="AA166" s="193"/>
      <c r="AB166" s="189"/>
      <c r="AC166" s="189"/>
      <c r="AD166" s="189"/>
      <c r="AE166" s="189"/>
      <c r="AF166" s="189"/>
      <c r="AG166" s="189"/>
      <c r="AH166" s="189"/>
      <c r="AI166" s="194"/>
      <c r="AJ166" s="190"/>
      <c r="AK166" s="189"/>
      <c r="AL166" s="189"/>
      <c r="AM166" s="189"/>
      <c r="AN166" s="189"/>
      <c r="AO166" s="189"/>
      <c r="AP166" s="196"/>
      <c r="AQ166" s="189">
        <f t="shared" si="80"/>
        <v>0</v>
      </c>
      <c r="AR166" s="194"/>
      <c r="AS166" s="197">
        <f t="shared" si="82"/>
        <v>0</v>
      </c>
      <c r="AT166" s="198"/>
      <c r="AU166" s="189"/>
      <c r="AV166" s="189"/>
      <c r="AW166" s="189"/>
      <c r="AX166" s="361"/>
      <c r="AY166" s="361"/>
      <c r="AZ166" s="361"/>
      <c r="BA166" s="361"/>
      <c r="BB166" s="361"/>
      <c r="BC166" s="373"/>
    </row>
    <row r="167" spans="1:55" ht="18" customHeight="1">
      <c r="A167" s="184" t="s">
        <v>762</v>
      </c>
      <c r="B167" s="184"/>
      <c r="C167" s="185"/>
      <c r="D167" s="185"/>
      <c r="E167" s="238" t="s">
        <v>911</v>
      </c>
      <c r="F167" s="187"/>
      <c r="G167" s="188"/>
      <c r="H167" s="189"/>
      <c r="I167" s="189"/>
      <c r="J167" s="189"/>
      <c r="K167" s="190"/>
      <c r="L167" s="189"/>
      <c r="M167" s="189"/>
      <c r="N167" s="189"/>
      <c r="O167" s="190"/>
      <c r="P167" s="190"/>
      <c r="Q167" s="190"/>
      <c r="R167" s="190"/>
      <c r="S167" s="190"/>
      <c r="T167" s="190"/>
      <c r="U167" s="190"/>
      <c r="V167" s="191"/>
      <c r="W167" s="191"/>
      <c r="X167" s="192"/>
      <c r="Y167" s="192"/>
      <c r="Z167" s="192"/>
      <c r="AA167" s="193"/>
      <c r="AB167" s="189"/>
      <c r="AC167" s="189"/>
      <c r="AD167" s="189"/>
      <c r="AE167" s="189"/>
      <c r="AF167" s="189"/>
      <c r="AG167" s="189"/>
      <c r="AH167" s="189"/>
      <c r="AI167" s="194"/>
      <c r="AJ167" s="190"/>
      <c r="AK167" s="189"/>
      <c r="AL167" s="189"/>
      <c r="AM167" s="189"/>
      <c r="AN167" s="189"/>
      <c r="AO167" s="189"/>
      <c r="AP167" s="196"/>
      <c r="AQ167" s="189">
        <f t="shared" si="80"/>
        <v>0</v>
      </c>
      <c r="AR167" s="194"/>
      <c r="AS167" s="197">
        <f t="shared" si="82"/>
        <v>0</v>
      </c>
      <c r="AT167" s="198"/>
      <c r="AU167" s="189"/>
      <c r="AV167" s="189"/>
      <c r="AW167" s="189"/>
      <c r="AX167" s="361"/>
      <c r="AY167" s="361"/>
      <c r="AZ167" s="361"/>
      <c r="BA167" s="361"/>
      <c r="BB167" s="361"/>
      <c r="BC167" s="373"/>
    </row>
    <row r="168" spans="1:55" ht="18" customHeight="1">
      <c r="A168" s="184" t="s">
        <v>762</v>
      </c>
      <c r="B168" s="184">
        <v>44939</v>
      </c>
      <c r="C168" s="185" t="s">
        <v>912</v>
      </c>
      <c r="D168" s="185" t="s">
        <v>88</v>
      </c>
      <c r="E168" s="238"/>
      <c r="F168" s="187"/>
      <c r="G168" s="262" t="s">
        <v>530</v>
      </c>
      <c r="H168" s="189"/>
      <c r="I168" s="189"/>
      <c r="J168" s="189"/>
      <c r="K168" s="190"/>
      <c r="L168" s="189">
        <v>1</v>
      </c>
      <c r="M168" s="189"/>
      <c r="N168" s="189"/>
      <c r="O168" s="190" t="s">
        <v>71</v>
      </c>
      <c r="P168" s="190" t="s">
        <v>114</v>
      </c>
      <c r="Q168" s="190" t="s">
        <v>73</v>
      </c>
      <c r="R168" s="190">
        <v>1</v>
      </c>
      <c r="S168" s="190">
        <v>1</v>
      </c>
      <c r="T168" s="190">
        <v>1</v>
      </c>
      <c r="U168" s="190" t="s">
        <v>21</v>
      </c>
      <c r="V168" s="191">
        <f t="shared" ref="V168:V220" si="95">IF(ISBLANK(O168),,(IF(O168=UPPER("IB"),0.005,0.01)))</f>
        <v>0.01</v>
      </c>
      <c r="W168" s="191">
        <f t="shared" ref="W168:W184" si="96">IF(ISBLANK(O168),,IF(O168=UPPER("IB"),8.63*200,16.7*100))</f>
        <v>1670</v>
      </c>
      <c r="X168" s="192" t="s">
        <v>913</v>
      </c>
      <c r="Y168" s="192"/>
      <c r="Z168" s="192"/>
      <c r="AA168" s="193">
        <v>-0.09</v>
      </c>
      <c r="AB168" s="189"/>
      <c r="AC168" s="189">
        <v>-0.12</v>
      </c>
      <c r="AD168" s="189"/>
      <c r="AE168" s="189">
        <v>-7.0000000000000007E-2</v>
      </c>
      <c r="AF168" s="189"/>
      <c r="AG168" s="189"/>
      <c r="AH168" s="189"/>
      <c r="AI168" s="194">
        <f t="shared" ref="AI168:AI169" si="97">-0.03*W168</f>
        <v>-50.1</v>
      </c>
      <c r="AJ168" s="194">
        <f t="shared" ref="AJ168:AJ170" si="98">AI168*R168</f>
        <v>-50.1</v>
      </c>
      <c r="AK168" s="189"/>
      <c r="AL168" s="189"/>
      <c r="AM168" s="189" t="s">
        <v>914</v>
      </c>
      <c r="AN168" s="189" t="s">
        <v>82</v>
      </c>
      <c r="AO168" s="189" t="s">
        <v>915</v>
      </c>
      <c r="AP168" s="196">
        <v>-0.06</v>
      </c>
      <c r="AQ168" s="196">
        <f t="shared" ref="AQ168:AQ199" si="99">IF(ISBLANK(AP168),,IF(U168="S",AA168-AP168,AP168-AA168))</f>
        <v>0.03</v>
      </c>
      <c r="AR168" s="194">
        <f>AS168*R168</f>
        <v>50.1</v>
      </c>
      <c r="AS168" s="197">
        <f t="shared" ref="AS168:AS199" si="100">IF(ISBLANK(AP168),,(AQ168*W168))</f>
        <v>50.1</v>
      </c>
      <c r="AT168" s="198" t="s">
        <v>72</v>
      </c>
      <c r="AU168" s="189" t="s">
        <v>916</v>
      </c>
      <c r="AV168" s="189" t="s">
        <v>917</v>
      </c>
      <c r="AW168" s="189"/>
      <c r="AX168" s="361"/>
      <c r="AY168" s="361"/>
      <c r="AZ168" s="361"/>
      <c r="BA168" s="361"/>
      <c r="BB168" s="361"/>
      <c r="BC168" s="373"/>
    </row>
    <row r="169" spans="1:55" ht="18" customHeight="1">
      <c r="A169" s="184" t="s">
        <v>762</v>
      </c>
      <c r="B169" s="184">
        <v>44939</v>
      </c>
      <c r="C169" s="185" t="s">
        <v>918</v>
      </c>
      <c r="D169" s="185" t="s">
        <v>88</v>
      </c>
      <c r="E169" s="238"/>
      <c r="F169" s="187"/>
      <c r="G169" s="262" t="s">
        <v>530</v>
      </c>
      <c r="H169" s="189"/>
      <c r="I169" s="189"/>
      <c r="J169" s="189"/>
      <c r="K169" s="190"/>
      <c r="L169" s="189">
        <v>1</v>
      </c>
      <c r="M169" s="189"/>
      <c r="N169" s="189"/>
      <c r="O169" s="190" t="s">
        <v>71</v>
      </c>
      <c r="P169" s="190" t="s">
        <v>114</v>
      </c>
      <c r="Q169" s="190" t="s">
        <v>73</v>
      </c>
      <c r="R169" s="190">
        <v>1</v>
      </c>
      <c r="S169" s="190">
        <v>1</v>
      </c>
      <c r="T169" s="190">
        <v>1</v>
      </c>
      <c r="U169" s="284" t="s">
        <v>73</v>
      </c>
      <c r="V169" s="191">
        <f t="shared" si="95"/>
        <v>0.01</v>
      </c>
      <c r="W169" s="191">
        <f t="shared" si="96"/>
        <v>1670</v>
      </c>
      <c r="X169" s="192" t="s">
        <v>565</v>
      </c>
      <c r="Y169" s="192"/>
      <c r="Z169" s="192" t="s">
        <v>75</v>
      </c>
      <c r="AA169" s="193">
        <v>-0.06</v>
      </c>
      <c r="AB169" s="189"/>
      <c r="AC169" s="189">
        <v>-0.12</v>
      </c>
      <c r="AD169" s="189"/>
      <c r="AE169" s="189">
        <v>-7.0000000000000007E-2</v>
      </c>
      <c r="AF169" s="189"/>
      <c r="AG169" s="189"/>
      <c r="AH169" s="189"/>
      <c r="AI169" s="194">
        <f t="shared" si="97"/>
        <v>-50.1</v>
      </c>
      <c r="AJ169" s="194">
        <f t="shared" si="98"/>
        <v>-50.1</v>
      </c>
      <c r="AK169" s="189"/>
      <c r="AL169" s="189"/>
      <c r="AM169" s="189" t="s">
        <v>919</v>
      </c>
      <c r="AN169" s="189" t="s">
        <v>82</v>
      </c>
      <c r="AO169" s="189" t="s">
        <v>920</v>
      </c>
      <c r="AP169" s="196">
        <v>-7.0000000000000007E-2</v>
      </c>
      <c r="AQ169" s="196">
        <f t="shared" si="99"/>
        <v>1.0000000000000009E-2</v>
      </c>
      <c r="AR169" s="194">
        <f>AS169*R169</f>
        <v>16.700000000000014</v>
      </c>
      <c r="AS169" s="197">
        <f t="shared" si="100"/>
        <v>16.700000000000014</v>
      </c>
      <c r="AT169" s="198" t="s">
        <v>72</v>
      </c>
      <c r="AU169" s="189" t="s">
        <v>917</v>
      </c>
      <c r="AV169" s="189"/>
      <c r="AW169" s="189"/>
      <c r="AX169" s="361"/>
      <c r="AY169" s="361"/>
      <c r="AZ169" s="361"/>
      <c r="BA169" s="361"/>
      <c r="BB169" s="361"/>
      <c r="BC169" s="373"/>
    </row>
    <row r="170" spans="1:55" ht="18" customHeight="1">
      <c r="A170" s="184" t="s">
        <v>762</v>
      </c>
      <c r="B170" s="184">
        <v>44942</v>
      </c>
      <c r="C170" s="185" t="s">
        <v>921</v>
      </c>
      <c r="D170" s="185" t="s">
        <v>109</v>
      </c>
      <c r="E170" s="238"/>
      <c r="F170" s="187"/>
      <c r="G170" s="188" t="s">
        <v>922</v>
      </c>
      <c r="H170" s="189"/>
      <c r="I170" s="189"/>
      <c r="J170" s="189"/>
      <c r="K170" s="190"/>
      <c r="L170" s="189">
        <v>1</v>
      </c>
      <c r="M170" s="189"/>
      <c r="N170" s="189"/>
      <c r="O170" s="190" t="s">
        <v>71</v>
      </c>
      <c r="P170" s="190" t="s">
        <v>114</v>
      </c>
      <c r="Q170" s="190" t="s">
        <v>661</v>
      </c>
      <c r="R170" s="190">
        <v>1</v>
      </c>
      <c r="S170" s="190">
        <v>1</v>
      </c>
      <c r="T170" s="190">
        <v>1</v>
      </c>
      <c r="U170" s="190" t="s">
        <v>73</v>
      </c>
      <c r="V170" s="191">
        <f t="shared" si="95"/>
        <v>0.01</v>
      </c>
      <c r="W170" s="191">
        <f t="shared" si="96"/>
        <v>1670</v>
      </c>
      <c r="X170" s="192" t="s">
        <v>923</v>
      </c>
      <c r="Y170" s="192"/>
      <c r="Z170" s="192"/>
      <c r="AA170" s="193">
        <v>96.42</v>
      </c>
      <c r="AB170" s="189"/>
      <c r="AC170" s="189">
        <v>96.46</v>
      </c>
      <c r="AD170" s="189"/>
      <c r="AE170" s="189" t="s">
        <v>924</v>
      </c>
      <c r="AF170" s="189"/>
      <c r="AG170" s="189"/>
      <c r="AH170" s="189"/>
      <c r="AI170" s="194">
        <f>-0.04*W170</f>
        <v>-66.8</v>
      </c>
      <c r="AJ170" s="194">
        <f t="shared" si="98"/>
        <v>-66.8</v>
      </c>
      <c r="AK170" s="189" t="s">
        <v>925</v>
      </c>
      <c r="AL170" s="189"/>
      <c r="AM170" s="189" t="s">
        <v>926</v>
      </c>
      <c r="AN170" s="189" t="s">
        <v>82</v>
      </c>
      <c r="AO170" s="189" t="s">
        <v>927</v>
      </c>
      <c r="AP170" s="196">
        <v>96.47</v>
      </c>
      <c r="AQ170" s="196">
        <f t="shared" si="99"/>
        <v>-4.9999999999997158E-2</v>
      </c>
      <c r="AR170" s="194">
        <f>AS170*R170</f>
        <v>-83.499999999995254</v>
      </c>
      <c r="AS170" s="197">
        <f t="shared" si="100"/>
        <v>-83.499999999995254</v>
      </c>
      <c r="AT170" s="198" t="s">
        <v>206</v>
      </c>
      <c r="AU170" s="189" t="s">
        <v>928</v>
      </c>
      <c r="AV170" s="189" t="s">
        <v>929</v>
      </c>
      <c r="AW170" s="189" t="s">
        <v>930</v>
      </c>
      <c r="AX170" s="361" t="s">
        <v>931</v>
      </c>
      <c r="AY170" s="361"/>
      <c r="AZ170" s="361"/>
      <c r="BA170" s="361"/>
      <c r="BB170" s="361"/>
      <c r="BC170" s="373"/>
    </row>
    <row r="171" spans="1:55" ht="18" customHeight="1">
      <c r="A171" s="184" t="s">
        <v>762</v>
      </c>
      <c r="B171" s="184">
        <v>44943</v>
      </c>
      <c r="C171" s="201">
        <v>0.20833333333333334</v>
      </c>
      <c r="D171" s="185" t="s">
        <v>123</v>
      </c>
      <c r="E171" s="238" t="s">
        <v>932</v>
      </c>
      <c r="F171" s="187" t="s">
        <v>933</v>
      </c>
      <c r="G171" s="188"/>
      <c r="H171" s="189"/>
      <c r="I171" s="189"/>
      <c r="J171" s="189"/>
      <c r="K171" s="190"/>
      <c r="L171" s="189"/>
      <c r="M171" s="189"/>
      <c r="N171" s="189"/>
      <c r="O171" s="190"/>
      <c r="P171" s="190"/>
      <c r="Q171" s="190"/>
      <c r="R171" s="190"/>
      <c r="S171" s="190"/>
      <c r="T171" s="190"/>
      <c r="U171" s="190"/>
      <c r="V171" s="191">
        <f t="shared" si="95"/>
        <v>0</v>
      </c>
      <c r="W171" s="191">
        <f t="shared" si="96"/>
        <v>0</v>
      </c>
      <c r="X171" s="192"/>
      <c r="Y171" s="192"/>
      <c r="Z171" s="192"/>
      <c r="AA171" s="193"/>
      <c r="AB171" s="189"/>
      <c r="AC171" s="189"/>
      <c r="AD171" s="189"/>
      <c r="AE171" s="189"/>
      <c r="AF171" s="189"/>
      <c r="AG171" s="189"/>
      <c r="AH171" s="189"/>
      <c r="AI171" s="194"/>
      <c r="AJ171" s="190"/>
      <c r="AK171" s="189"/>
      <c r="AL171" s="189"/>
      <c r="AM171" s="189"/>
      <c r="AN171" s="189"/>
      <c r="AO171" s="189"/>
      <c r="AP171" s="196"/>
      <c r="AQ171" s="189">
        <f t="shared" si="99"/>
        <v>0</v>
      </c>
      <c r="AR171" s="194"/>
      <c r="AS171" s="197">
        <f t="shared" si="100"/>
        <v>0</v>
      </c>
      <c r="AT171" s="198"/>
      <c r="AU171" s="192"/>
      <c r="AV171" s="189" t="s">
        <v>934</v>
      </c>
      <c r="AW171" s="189"/>
      <c r="AX171" s="361"/>
      <c r="AY171" s="361"/>
      <c r="AZ171" s="361"/>
      <c r="BA171" s="361"/>
      <c r="BB171" s="361"/>
      <c r="BC171" s="373"/>
    </row>
    <row r="172" spans="1:55" ht="18" customHeight="1">
      <c r="A172" s="184" t="s">
        <v>762</v>
      </c>
      <c r="B172" s="184">
        <v>44943</v>
      </c>
      <c r="C172" s="185" t="s">
        <v>935</v>
      </c>
      <c r="D172" s="185" t="s">
        <v>123</v>
      </c>
      <c r="E172" s="238"/>
      <c r="F172" s="187"/>
      <c r="G172" s="262" t="s">
        <v>110</v>
      </c>
      <c r="H172" s="189"/>
      <c r="I172" s="189"/>
      <c r="J172" s="189"/>
      <c r="K172" s="190"/>
      <c r="L172" s="189">
        <v>1</v>
      </c>
      <c r="M172" s="189"/>
      <c r="N172" s="189">
        <v>1</v>
      </c>
      <c r="O172" s="190" t="s">
        <v>71</v>
      </c>
      <c r="P172" s="190" t="s">
        <v>72</v>
      </c>
      <c r="Q172" s="190" t="s">
        <v>73</v>
      </c>
      <c r="R172" s="190">
        <v>2</v>
      </c>
      <c r="S172" s="190">
        <v>2</v>
      </c>
      <c r="T172" s="190">
        <v>2</v>
      </c>
      <c r="U172" s="190" t="s">
        <v>21</v>
      </c>
      <c r="V172" s="191">
        <f t="shared" si="95"/>
        <v>0.01</v>
      </c>
      <c r="W172" s="191">
        <f t="shared" si="96"/>
        <v>1670</v>
      </c>
      <c r="X172" s="192" t="s">
        <v>936</v>
      </c>
      <c r="Y172" s="192"/>
      <c r="Z172" s="192"/>
      <c r="AA172" s="193">
        <v>-0.04</v>
      </c>
      <c r="AB172" s="189"/>
      <c r="AC172" s="189"/>
      <c r="AD172" s="189"/>
      <c r="AE172" s="189">
        <v>-0.02</v>
      </c>
      <c r="AF172" s="189"/>
      <c r="AG172" s="189"/>
      <c r="AH172" s="189"/>
      <c r="AI172" s="194">
        <f>-0.02*W172</f>
        <v>-33.4</v>
      </c>
      <c r="AJ172" s="194">
        <f t="shared" ref="AJ172:AJ174" si="101">AI172*R172</f>
        <v>-66.8</v>
      </c>
      <c r="AK172" s="189"/>
      <c r="AL172" s="189"/>
      <c r="AM172" s="189" t="s">
        <v>937</v>
      </c>
      <c r="AN172" s="189" t="s">
        <v>82</v>
      </c>
      <c r="AO172" s="189" t="s">
        <v>938</v>
      </c>
      <c r="AP172" s="196">
        <v>-0.02</v>
      </c>
      <c r="AQ172" s="196">
        <f t="shared" si="99"/>
        <v>0.02</v>
      </c>
      <c r="AR172" s="194">
        <f>AS172*R172</f>
        <v>66.8</v>
      </c>
      <c r="AS172" s="197">
        <f t="shared" si="100"/>
        <v>33.4</v>
      </c>
      <c r="AT172" s="198" t="s">
        <v>72</v>
      </c>
      <c r="AU172" s="189" t="s">
        <v>581</v>
      </c>
      <c r="AV172" s="189"/>
      <c r="AW172" s="189"/>
      <c r="AX172" s="361"/>
      <c r="AY172" s="361"/>
      <c r="AZ172" s="361"/>
      <c r="BA172" s="361"/>
      <c r="BB172" s="361"/>
      <c r="BC172" s="373"/>
    </row>
    <row r="173" spans="1:55" ht="18" customHeight="1">
      <c r="A173" s="184" t="s">
        <v>762</v>
      </c>
      <c r="B173" s="184">
        <v>44943</v>
      </c>
      <c r="C173" s="185" t="s">
        <v>939</v>
      </c>
      <c r="D173" s="185" t="s">
        <v>123</v>
      </c>
      <c r="E173" s="238"/>
      <c r="F173" s="187"/>
      <c r="G173" s="262" t="s">
        <v>342</v>
      </c>
      <c r="H173" s="189"/>
      <c r="I173" s="189"/>
      <c r="J173" s="189"/>
      <c r="K173" s="190"/>
      <c r="L173" s="189">
        <v>1</v>
      </c>
      <c r="M173" s="189"/>
      <c r="N173" s="189">
        <v>1</v>
      </c>
      <c r="O173" s="190" t="s">
        <v>71</v>
      </c>
      <c r="P173" s="190" t="s">
        <v>72</v>
      </c>
      <c r="Q173" s="190" t="s">
        <v>73</v>
      </c>
      <c r="R173" s="190">
        <v>2</v>
      </c>
      <c r="S173" s="190">
        <v>2</v>
      </c>
      <c r="T173" s="190">
        <v>1</v>
      </c>
      <c r="U173" s="190" t="s">
        <v>21</v>
      </c>
      <c r="V173" s="191">
        <f t="shared" si="95"/>
        <v>0.01</v>
      </c>
      <c r="W173" s="191">
        <f t="shared" si="96"/>
        <v>1670</v>
      </c>
      <c r="X173" s="192" t="s">
        <v>940</v>
      </c>
      <c r="Y173" s="192"/>
      <c r="Z173" s="192" t="s">
        <v>75</v>
      </c>
      <c r="AA173" s="193">
        <v>-0.11</v>
      </c>
      <c r="AB173" s="189"/>
      <c r="AC173" s="189"/>
      <c r="AD173" s="189"/>
      <c r="AE173" s="189">
        <v>-2</v>
      </c>
      <c r="AF173" s="189"/>
      <c r="AG173" s="189"/>
      <c r="AH173" s="189"/>
      <c r="AI173" s="194">
        <f>-0.03*W173</f>
        <v>-50.1</v>
      </c>
      <c r="AJ173" s="194">
        <f t="shared" si="101"/>
        <v>-100.2</v>
      </c>
      <c r="AK173" s="189"/>
      <c r="AL173" s="189"/>
      <c r="AM173" s="189" t="s">
        <v>941</v>
      </c>
      <c r="AN173" s="189" t="s">
        <v>82</v>
      </c>
      <c r="AO173" s="189" t="s">
        <v>942</v>
      </c>
      <c r="AP173" s="196">
        <v>-0.1</v>
      </c>
      <c r="AQ173" s="196">
        <f t="shared" si="99"/>
        <v>9.999999999999995E-3</v>
      </c>
      <c r="AR173" s="194">
        <f>AS173*R173</f>
        <v>33.399999999999984</v>
      </c>
      <c r="AS173" s="197">
        <f t="shared" si="100"/>
        <v>16.699999999999992</v>
      </c>
      <c r="AT173" s="198" t="s">
        <v>72</v>
      </c>
      <c r="AU173" s="189"/>
      <c r="AV173" s="189"/>
      <c r="AW173" s="189"/>
      <c r="AX173" s="361"/>
      <c r="AY173" s="361"/>
      <c r="AZ173" s="361"/>
      <c r="BA173" s="361"/>
      <c r="BB173" s="361"/>
      <c r="BC173" s="373"/>
    </row>
    <row r="174" spans="1:55" ht="18" customHeight="1">
      <c r="A174" s="184" t="s">
        <v>762</v>
      </c>
      <c r="B174" s="184">
        <v>44943</v>
      </c>
      <c r="C174" s="185" t="s">
        <v>943</v>
      </c>
      <c r="D174" s="185" t="s">
        <v>123</v>
      </c>
      <c r="E174" s="238"/>
      <c r="F174" s="187"/>
      <c r="G174" s="188" t="s">
        <v>922</v>
      </c>
      <c r="H174" s="189"/>
      <c r="I174" s="189"/>
      <c r="J174" s="189"/>
      <c r="K174" s="190"/>
      <c r="L174" s="189">
        <v>1</v>
      </c>
      <c r="M174" s="189"/>
      <c r="N174" s="189"/>
      <c r="O174" s="190" t="s">
        <v>71</v>
      </c>
      <c r="P174" s="190" t="s">
        <v>114</v>
      </c>
      <c r="Q174" s="190" t="s">
        <v>661</v>
      </c>
      <c r="R174" s="190">
        <v>1</v>
      </c>
      <c r="S174" s="190">
        <v>1</v>
      </c>
      <c r="T174" s="190">
        <v>1</v>
      </c>
      <c r="U174" s="190" t="s">
        <v>73</v>
      </c>
      <c r="V174" s="191">
        <f t="shared" si="95"/>
        <v>0.01</v>
      </c>
      <c r="W174" s="191">
        <f t="shared" si="96"/>
        <v>1670</v>
      </c>
      <c r="X174" s="192" t="s">
        <v>923</v>
      </c>
      <c r="Y174" s="192"/>
      <c r="Z174" s="192"/>
      <c r="AA174" s="193">
        <v>96.42</v>
      </c>
      <c r="AB174" s="189"/>
      <c r="AC174" s="189">
        <v>96.46</v>
      </c>
      <c r="AD174" s="189"/>
      <c r="AE174" s="189" t="s">
        <v>924</v>
      </c>
      <c r="AF174" s="189"/>
      <c r="AG174" s="189"/>
      <c r="AH174" s="189"/>
      <c r="AI174" s="194">
        <f>-0.04*W174</f>
        <v>-66.8</v>
      </c>
      <c r="AJ174" s="194">
        <f t="shared" si="101"/>
        <v>-66.8</v>
      </c>
      <c r="AK174" s="189" t="s">
        <v>925</v>
      </c>
      <c r="AL174" s="189"/>
      <c r="AM174" s="189" t="s">
        <v>944</v>
      </c>
      <c r="AN174" s="189" t="s">
        <v>82</v>
      </c>
      <c r="AO174" s="189" t="s">
        <v>945</v>
      </c>
      <c r="AP174" s="196">
        <v>96.42</v>
      </c>
      <c r="AQ174" s="196">
        <f t="shared" si="99"/>
        <v>0</v>
      </c>
      <c r="AR174" s="194">
        <f>AS174*R174</f>
        <v>0</v>
      </c>
      <c r="AS174" s="197">
        <f t="shared" si="100"/>
        <v>0</v>
      </c>
      <c r="AT174" s="198" t="s">
        <v>92</v>
      </c>
      <c r="AU174" s="189" t="s">
        <v>928</v>
      </c>
      <c r="AV174" s="189" t="s">
        <v>946</v>
      </c>
      <c r="AW174" s="189" t="s">
        <v>947</v>
      </c>
      <c r="AX174" s="361" t="s">
        <v>948</v>
      </c>
      <c r="AY174" s="361" t="s">
        <v>949</v>
      </c>
      <c r="AZ174" s="361"/>
      <c r="BA174" s="361"/>
      <c r="BB174" s="361"/>
      <c r="BC174" s="373"/>
    </row>
    <row r="175" spans="1:55" ht="18" customHeight="1">
      <c r="A175" s="184" t="s">
        <v>762</v>
      </c>
      <c r="B175" s="184">
        <v>44944</v>
      </c>
      <c r="C175" s="201">
        <v>0.33333333333333331</v>
      </c>
      <c r="D175" s="185" t="s">
        <v>128</v>
      </c>
      <c r="E175" s="238" t="s">
        <v>950</v>
      </c>
      <c r="F175" s="187" t="s">
        <v>951</v>
      </c>
      <c r="G175" s="188"/>
      <c r="H175" s="189"/>
      <c r="I175" s="189"/>
      <c r="J175" s="189"/>
      <c r="K175" s="190"/>
      <c r="L175" s="189"/>
      <c r="M175" s="189"/>
      <c r="N175" s="189"/>
      <c r="O175" s="190"/>
      <c r="P175" s="190"/>
      <c r="Q175" s="190"/>
      <c r="R175" s="190"/>
      <c r="S175" s="190"/>
      <c r="T175" s="190"/>
      <c r="U175" s="190"/>
      <c r="V175" s="191">
        <f t="shared" si="95"/>
        <v>0</v>
      </c>
      <c r="W175" s="191">
        <f t="shared" si="96"/>
        <v>0</v>
      </c>
      <c r="X175" s="192"/>
      <c r="Y175" s="192"/>
      <c r="Z175" s="192"/>
      <c r="AA175" s="193"/>
      <c r="AB175" s="189"/>
      <c r="AC175" s="189"/>
      <c r="AD175" s="189"/>
      <c r="AE175" s="189"/>
      <c r="AF175" s="189"/>
      <c r="AG175" s="189"/>
      <c r="AH175" s="189"/>
      <c r="AI175" s="194"/>
      <c r="AJ175" s="190"/>
      <c r="AK175" s="189"/>
      <c r="AL175" s="189"/>
      <c r="AM175" s="189"/>
      <c r="AN175" s="189"/>
      <c r="AO175" s="189"/>
      <c r="AP175" s="196"/>
      <c r="AQ175" s="189">
        <f t="shared" si="99"/>
        <v>0</v>
      </c>
      <c r="AR175" s="194"/>
      <c r="AS175" s="197">
        <f t="shared" si="100"/>
        <v>0</v>
      </c>
      <c r="AT175" s="198"/>
      <c r="AU175" s="189"/>
      <c r="AV175" s="189"/>
      <c r="AW175" s="189"/>
      <c r="AX175" s="361"/>
      <c r="AY175" s="361"/>
      <c r="AZ175" s="361"/>
      <c r="BA175" s="361"/>
      <c r="BB175" s="361"/>
      <c r="BC175" s="373"/>
    </row>
    <row r="176" spans="1:55" ht="18" customHeight="1">
      <c r="A176" s="184" t="s">
        <v>762</v>
      </c>
      <c r="B176" s="184">
        <v>44944</v>
      </c>
      <c r="C176" s="185" t="s">
        <v>952</v>
      </c>
      <c r="D176" s="185" t="s">
        <v>128</v>
      </c>
      <c r="E176" s="238"/>
      <c r="F176" s="187"/>
      <c r="G176" s="188" t="s">
        <v>922</v>
      </c>
      <c r="H176" s="189"/>
      <c r="I176" s="189"/>
      <c r="J176" s="189"/>
      <c r="K176" s="190"/>
      <c r="L176" s="189">
        <v>1</v>
      </c>
      <c r="M176" s="189"/>
      <c r="N176" s="189"/>
      <c r="O176" s="190" t="s">
        <v>71</v>
      </c>
      <c r="P176" s="190" t="s">
        <v>114</v>
      </c>
      <c r="Q176" s="190" t="s">
        <v>661</v>
      </c>
      <c r="R176" s="190">
        <v>1</v>
      </c>
      <c r="S176" s="190">
        <v>1</v>
      </c>
      <c r="T176" s="190">
        <v>1</v>
      </c>
      <c r="U176" s="190" t="s">
        <v>73</v>
      </c>
      <c r="V176" s="191">
        <f t="shared" si="95"/>
        <v>0.01</v>
      </c>
      <c r="W176" s="191">
        <f t="shared" si="96"/>
        <v>1670</v>
      </c>
      <c r="X176" s="192" t="s">
        <v>953</v>
      </c>
      <c r="Y176" s="192"/>
      <c r="Z176" s="192"/>
      <c r="AA176" s="193">
        <v>96.43</v>
      </c>
      <c r="AB176" s="189"/>
      <c r="AC176" s="189"/>
      <c r="AD176" s="189"/>
      <c r="AE176" s="189"/>
      <c r="AF176" s="189"/>
      <c r="AG176" s="189"/>
      <c r="AH176" s="189"/>
      <c r="AI176" s="194"/>
      <c r="AJ176" s="190"/>
      <c r="AK176" s="189"/>
      <c r="AL176" s="189"/>
      <c r="AM176" s="189" t="s">
        <v>954</v>
      </c>
      <c r="AN176" s="189" t="s">
        <v>371</v>
      </c>
      <c r="AO176" s="189" t="s">
        <v>659</v>
      </c>
      <c r="AP176" s="196">
        <v>96.48</v>
      </c>
      <c r="AQ176" s="196">
        <f t="shared" si="99"/>
        <v>-4.9999999999997158E-2</v>
      </c>
      <c r="AR176" s="194">
        <f>AS176*R176</f>
        <v>-83.499999999995254</v>
      </c>
      <c r="AS176" s="197">
        <f t="shared" si="100"/>
        <v>-83.499999999995254</v>
      </c>
      <c r="AT176" s="198" t="s">
        <v>206</v>
      </c>
      <c r="AU176" s="189" t="s">
        <v>955</v>
      </c>
      <c r="AV176" s="189"/>
      <c r="AW176" s="189"/>
      <c r="AX176" s="361" t="s">
        <v>956</v>
      </c>
      <c r="AY176" s="361"/>
      <c r="AZ176" s="361"/>
      <c r="BA176" s="361"/>
      <c r="BB176" s="361"/>
      <c r="BC176" s="373"/>
    </row>
    <row r="177" spans="1:55" ht="18" customHeight="1">
      <c r="A177" s="184" t="s">
        <v>762</v>
      </c>
      <c r="B177" s="184">
        <v>44944</v>
      </c>
      <c r="C177" s="201">
        <v>0.375</v>
      </c>
      <c r="D177" s="185" t="s">
        <v>128</v>
      </c>
      <c r="E177" s="238"/>
      <c r="F177" s="187"/>
      <c r="G177" s="188" t="s">
        <v>730</v>
      </c>
      <c r="H177" s="189"/>
      <c r="I177" s="189"/>
      <c r="J177" s="189"/>
      <c r="K177" s="190"/>
      <c r="L177" s="189">
        <v>1</v>
      </c>
      <c r="M177" s="189"/>
      <c r="N177" s="189">
        <v>1</v>
      </c>
      <c r="O177" s="190" t="s">
        <v>71</v>
      </c>
      <c r="P177" s="190" t="s">
        <v>114</v>
      </c>
      <c r="Q177" s="190" t="s">
        <v>73</v>
      </c>
      <c r="R177" s="190">
        <v>3</v>
      </c>
      <c r="S177" s="190">
        <v>3</v>
      </c>
      <c r="T177" s="190">
        <v>3</v>
      </c>
      <c r="U177" s="190" t="s">
        <v>21</v>
      </c>
      <c r="V177" s="191">
        <f t="shared" si="95"/>
        <v>0.01</v>
      </c>
      <c r="W177" s="191">
        <f t="shared" si="96"/>
        <v>1670</v>
      </c>
      <c r="X177" s="192" t="s">
        <v>957</v>
      </c>
      <c r="Y177" s="192"/>
      <c r="Z177" s="192"/>
      <c r="AA177" s="193">
        <v>-0.11</v>
      </c>
      <c r="AB177" s="189"/>
      <c r="AC177" s="189">
        <v>-0.13</v>
      </c>
      <c r="AD177" s="189"/>
      <c r="AE177" s="189">
        <v>-0.09</v>
      </c>
      <c r="AF177" s="189"/>
      <c r="AG177" s="189"/>
      <c r="AH177" s="189"/>
      <c r="AI177" s="194">
        <f t="shared" ref="AI177:AI178" si="102">-0.02*W177</f>
        <v>-33.4</v>
      </c>
      <c r="AJ177" s="194">
        <f t="shared" ref="AJ177:AJ178" si="103">AI177*R177</f>
        <v>-100.19999999999999</v>
      </c>
      <c r="AK177" s="189"/>
      <c r="AL177" s="189"/>
      <c r="AM177" s="189" t="s">
        <v>958</v>
      </c>
      <c r="AN177" s="189" t="s">
        <v>82</v>
      </c>
      <c r="AO177" s="189" t="s">
        <v>659</v>
      </c>
      <c r="AP177" s="196">
        <v>-0.11</v>
      </c>
      <c r="AQ177" s="196">
        <f t="shared" si="99"/>
        <v>0</v>
      </c>
      <c r="AR177" s="194">
        <f>AS177*R177</f>
        <v>0</v>
      </c>
      <c r="AS177" s="197">
        <f t="shared" si="100"/>
        <v>0</v>
      </c>
      <c r="AT177" s="198" t="s">
        <v>92</v>
      </c>
      <c r="AU177" s="189"/>
      <c r="AV177" s="189"/>
      <c r="AW177" s="189"/>
      <c r="AX177" s="361"/>
      <c r="AY177" s="361"/>
      <c r="AZ177" s="361"/>
      <c r="BA177" s="361"/>
      <c r="BB177" s="361"/>
      <c r="BC177" s="373"/>
    </row>
    <row r="178" spans="1:55" ht="18" customHeight="1">
      <c r="A178" s="184" t="s">
        <v>762</v>
      </c>
      <c r="B178" s="184">
        <v>44944</v>
      </c>
      <c r="C178" s="185" t="s">
        <v>959</v>
      </c>
      <c r="D178" s="185" t="s">
        <v>128</v>
      </c>
      <c r="E178" s="238"/>
      <c r="F178" s="187"/>
      <c r="G178" s="188" t="s">
        <v>960</v>
      </c>
      <c r="H178" s="189"/>
      <c r="I178" s="189"/>
      <c r="J178" s="189"/>
      <c r="K178" s="190"/>
      <c r="L178" s="189">
        <v>1</v>
      </c>
      <c r="M178" s="189"/>
      <c r="N178" s="189"/>
      <c r="O178" s="190" t="s">
        <v>71</v>
      </c>
      <c r="P178" s="190" t="s">
        <v>72</v>
      </c>
      <c r="Q178" s="190" t="s">
        <v>661</v>
      </c>
      <c r="R178" s="190">
        <v>1</v>
      </c>
      <c r="S178" s="190">
        <v>1</v>
      </c>
      <c r="T178" s="190">
        <v>1</v>
      </c>
      <c r="U178" s="190" t="s">
        <v>73</v>
      </c>
      <c r="V178" s="191">
        <f t="shared" si="95"/>
        <v>0.01</v>
      </c>
      <c r="W178" s="191">
        <f t="shared" si="96"/>
        <v>1670</v>
      </c>
      <c r="X178" s="192" t="s">
        <v>961</v>
      </c>
      <c r="Y178" s="192"/>
      <c r="Z178" s="192"/>
      <c r="AA178" s="193">
        <v>96.1</v>
      </c>
      <c r="AB178" s="189"/>
      <c r="AC178" s="189">
        <v>96.12</v>
      </c>
      <c r="AD178" s="189"/>
      <c r="AE178" s="189"/>
      <c r="AF178" s="189"/>
      <c r="AG178" s="189"/>
      <c r="AH178" s="189"/>
      <c r="AI178" s="194">
        <f t="shared" si="102"/>
        <v>-33.4</v>
      </c>
      <c r="AJ178" s="194">
        <f t="shared" si="103"/>
        <v>-33.4</v>
      </c>
      <c r="AK178" s="189"/>
      <c r="AL178" s="189"/>
      <c r="AM178" s="189" t="s">
        <v>944</v>
      </c>
      <c r="AN178" s="189" t="s">
        <v>82</v>
      </c>
      <c r="AO178" s="189" t="s">
        <v>962</v>
      </c>
      <c r="AP178" s="196">
        <v>96.11</v>
      </c>
      <c r="AQ178" s="196">
        <f t="shared" si="99"/>
        <v>-1.0000000000005116E-2</v>
      </c>
      <c r="AR178" s="194">
        <f>AS178*R178</f>
        <v>-16.700000000008544</v>
      </c>
      <c r="AS178" s="197">
        <f t="shared" si="100"/>
        <v>-16.700000000008544</v>
      </c>
      <c r="AT178" s="198" t="s">
        <v>206</v>
      </c>
      <c r="AU178" s="189" t="s">
        <v>963</v>
      </c>
      <c r="AV178" s="189"/>
      <c r="AW178" s="189"/>
      <c r="AX178" s="361"/>
      <c r="AY178" s="361"/>
      <c r="AZ178" s="361"/>
      <c r="BA178" s="361"/>
      <c r="BB178" s="361"/>
      <c r="BC178" s="373"/>
    </row>
    <row r="179" spans="1:55" ht="18" customHeight="1">
      <c r="A179" s="184" t="s">
        <v>762</v>
      </c>
      <c r="B179" s="184"/>
      <c r="C179" s="185"/>
      <c r="D179" s="185"/>
      <c r="E179" s="238"/>
      <c r="F179" s="187"/>
      <c r="G179" s="188"/>
      <c r="H179" s="189"/>
      <c r="I179" s="189"/>
      <c r="J179" s="189"/>
      <c r="K179" s="190"/>
      <c r="L179" s="189"/>
      <c r="M179" s="189"/>
      <c r="N179" s="189"/>
      <c r="O179" s="190"/>
      <c r="P179" s="190"/>
      <c r="Q179" s="190"/>
      <c r="R179" s="190"/>
      <c r="S179" s="190"/>
      <c r="T179" s="190"/>
      <c r="U179" s="190"/>
      <c r="V179" s="191">
        <f t="shared" si="95"/>
        <v>0</v>
      </c>
      <c r="W179" s="191">
        <f t="shared" si="96"/>
        <v>0</v>
      </c>
      <c r="X179" s="192"/>
      <c r="Y179" s="192"/>
      <c r="Z179" s="192"/>
      <c r="AA179" s="193"/>
      <c r="AB179" s="189"/>
      <c r="AC179" s="189"/>
      <c r="AD179" s="189"/>
      <c r="AE179" s="189"/>
      <c r="AF179" s="189"/>
      <c r="AG179" s="189"/>
      <c r="AH179" s="189"/>
      <c r="AI179" s="194"/>
      <c r="AJ179" s="190"/>
      <c r="AK179" s="189"/>
      <c r="AL179" s="189"/>
      <c r="AM179" s="189"/>
      <c r="AN179" s="189"/>
      <c r="AO179" s="189"/>
      <c r="AP179" s="196"/>
      <c r="AQ179" s="189">
        <f t="shared" si="99"/>
        <v>0</v>
      </c>
      <c r="AR179" s="194"/>
      <c r="AS179" s="197">
        <f t="shared" si="100"/>
        <v>0</v>
      </c>
      <c r="AT179" s="198"/>
      <c r="AU179" s="192" t="s">
        <v>964</v>
      </c>
      <c r="AV179" s="189" t="s">
        <v>965</v>
      </c>
      <c r="AW179" s="189" t="s">
        <v>966</v>
      </c>
      <c r="AX179" s="361" t="s">
        <v>967</v>
      </c>
      <c r="AY179" s="361"/>
      <c r="AZ179" s="361"/>
      <c r="BA179" s="361"/>
      <c r="BB179" s="361"/>
      <c r="BC179" s="373"/>
    </row>
    <row r="180" spans="1:55" ht="18" customHeight="1">
      <c r="A180" s="184" t="s">
        <v>762</v>
      </c>
      <c r="B180" s="184">
        <v>44944</v>
      </c>
      <c r="C180" s="201">
        <v>0.79166666666666663</v>
      </c>
      <c r="D180" s="185" t="s">
        <v>128</v>
      </c>
      <c r="E180" s="238" t="s">
        <v>968</v>
      </c>
      <c r="F180" s="187" t="s">
        <v>969</v>
      </c>
      <c r="G180" s="205"/>
      <c r="H180" s="189"/>
      <c r="I180" s="189"/>
      <c r="J180" s="189">
        <v>1</v>
      </c>
      <c r="K180" s="190" t="s">
        <v>92</v>
      </c>
      <c r="L180" s="189"/>
      <c r="M180" s="189"/>
      <c r="N180" s="189"/>
      <c r="O180" s="190"/>
      <c r="P180" s="190"/>
      <c r="Q180" s="190"/>
      <c r="R180" s="190"/>
      <c r="S180" s="190"/>
      <c r="T180" s="190"/>
      <c r="U180" s="190"/>
      <c r="V180" s="191">
        <f t="shared" si="95"/>
        <v>0</v>
      </c>
      <c r="W180" s="191">
        <f t="shared" si="96"/>
        <v>0</v>
      </c>
      <c r="X180" s="192"/>
      <c r="Y180" s="192"/>
      <c r="Z180" s="192"/>
      <c r="AA180" s="193"/>
      <c r="AB180" s="189"/>
      <c r="AC180" s="189"/>
      <c r="AD180" s="189"/>
      <c r="AE180" s="189"/>
      <c r="AF180" s="189"/>
      <c r="AG180" s="189"/>
      <c r="AH180" s="189"/>
      <c r="AI180" s="194"/>
      <c r="AJ180" s="190"/>
      <c r="AK180" s="189"/>
      <c r="AL180" s="189"/>
      <c r="AM180" s="189"/>
      <c r="AN180" s="189"/>
      <c r="AO180" s="189"/>
      <c r="AP180" s="196"/>
      <c r="AQ180" s="189">
        <f t="shared" si="99"/>
        <v>0</v>
      </c>
      <c r="AR180" s="194"/>
      <c r="AS180" s="197">
        <f t="shared" si="100"/>
        <v>0</v>
      </c>
      <c r="AT180" s="198"/>
      <c r="AU180" s="189"/>
      <c r="AV180" s="189"/>
      <c r="AW180" s="189"/>
      <c r="AX180" s="361"/>
      <c r="AY180" s="361"/>
      <c r="AZ180" s="361"/>
      <c r="BA180" s="361"/>
      <c r="BB180" s="361"/>
      <c r="BC180" s="373"/>
    </row>
    <row r="181" spans="1:55" ht="18" customHeight="1">
      <c r="A181" s="184" t="s">
        <v>762</v>
      </c>
      <c r="B181" s="184"/>
      <c r="C181" s="185"/>
      <c r="D181" s="185"/>
      <c r="E181" s="238" t="s">
        <v>970</v>
      </c>
      <c r="F181" s="187" t="s">
        <v>971</v>
      </c>
      <c r="G181" s="205"/>
      <c r="H181" s="189"/>
      <c r="I181" s="189"/>
      <c r="J181" s="189">
        <v>1</v>
      </c>
      <c r="K181" s="190" t="s">
        <v>92</v>
      </c>
      <c r="L181" s="189"/>
      <c r="M181" s="189"/>
      <c r="N181" s="189"/>
      <c r="O181" s="190"/>
      <c r="P181" s="190"/>
      <c r="Q181" s="190"/>
      <c r="R181" s="190"/>
      <c r="S181" s="190"/>
      <c r="T181" s="190"/>
      <c r="U181" s="190"/>
      <c r="V181" s="191">
        <f t="shared" si="95"/>
        <v>0</v>
      </c>
      <c r="W181" s="191">
        <f t="shared" si="96"/>
        <v>0</v>
      </c>
      <c r="X181" s="192"/>
      <c r="Y181" s="192"/>
      <c r="Z181" s="192"/>
      <c r="AA181" s="193"/>
      <c r="AB181" s="189"/>
      <c r="AC181" s="189"/>
      <c r="AD181" s="189"/>
      <c r="AE181" s="189"/>
      <c r="AF181" s="189"/>
      <c r="AG181" s="189"/>
      <c r="AH181" s="189"/>
      <c r="AI181" s="194"/>
      <c r="AJ181" s="190"/>
      <c r="AK181" s="189"/>
      <c r="AL181" s="189"/>
      <c r="AM181" s="189"/>
      <c r="AN181" s="189"/>
      <c r="AO181" s="189"/>
      <c r="AP181" s="196"/>
      <c r="AQ181" s="189">
        <f t="shared" si="99"/>
        <v>0</v>
      </c>
      <c r="AR181" s="194"/>
      <c r="AS181" s="197">
        <f t="shared" si="100"/>
        <v>0</v>
      </c>
      <c r="AT181" s="198"/>
      <c r="AU181" s="189"/>
      <c r="AV181" s="189"/>
      <c r="AW181" s="189"/>
      <c r="AX181" s="361"/>
      <c r="AY181" s="361"/>
      <c r="AZ181" s="361"/>
      <c r="BA181" s="361"/>
      <c r="BB181" s="361"/>
      <c r="BC181" s="373"/>
    </row>
    <row r="182" spans="1:55" ht="18" customHeight="1">
      <c r="A182" s="184" t="s">
        <v>762</v>
      </c>
      <c r="B182" s="184"/>
      <c r="C182" s="185"/>
      <c r="D182" s="185"/>
      <c r="E182" s="238" t="s">
        <v>972</v>
      </c>
      <c r="F182" s="187" t="s">
        <v>973</v>
      </c>
      <c r="G182" s="205"/>
      <c r="H182" s="189"/>
      <c r="I182" s="189"/>
      <c r="J182" s="189">
        <v>1</v>
      </c>
      <c r="K182" s="190" t="s">
        <v>92</v>
      </c>
      <c r="L182" s="189"/>
      <c r="M182" s="189"/>
      <c r="N182" s="189"/>
      <c r="O182" s="190"/>
      <c r="P182" s="190"/>
      <c r="Q182" s="190"/>
      <c r="R182" s="190"/>
      <c r="S182" s="190"/>
      <c r="T182" s="190"/>
      <c r="U182" s="190"/>
      <c r="V182" s="191">
        <f t="shared" si="95"/>
        <v>0</v>
      </c>
      <c r="W182" s="191">
        <f t="shared" si="96"/>
        <v>0</v>
      </c>
      <c r="X182" s="192"/>
      <c r="Y182" s="192"/>
      <c r="Z182" s="192"/>
      <c r="AA182" s="193"/>
      <c r="AB182" s="189"/>
      <c r="AC182" s="189"/>
      <c r="AD182" s="189"/>
      <c r="AE182" s="189"/>
      <c r="AF182" s="189"/>
      <c r="AG182" s="189"/>
      <c r="AH182" s="189"/>
      <c r="AI182" s="194"/>
      <c r="AJ182" s="190"/>
      <c r="AK182" s="189"/>
      <c r="AL182" s="189"/>
      <c r="AM182" s="189"/>
      <c r="AN182" s="189"/>
      <c r="AO182" s="189"/>
      <c r="AP182" s="196"/>
      <c r="AQ182" s="189">
        <f t="shared" si="99"/>
        <v>0</v>
      </c>
      <c r="AR182" s="194"/>
      <c r="AS182" s="197">
        <f t="shared" si="100"/>
        <v>0</v>
      </c>
      <c r="AT182" s="198"/>
      <c r="AU182" s="189"/>
      <c r="AV182" s="189"/>
      <c r="AW182" s="189"/>
      <c r="AX182" s="361"/>
      <c r="AY182" s="361"/>
      <c r="AZ182" s="361"/>
      <c r="BA182" s="361"/>
      <c r="BB182" s="361"/>
      <c r="BC182" s="373"/>
    </row>
    <row r="183" spans="1:55" ht="18" customHeight="1">
      <c r="A183" s="184" t="s">
        <v>762</v>
      </c>
      <c r="B183" s="184">
        <v>44944</v>
      </c>
      <c r="C183" s="201">
        <v>0.79166666666666663</v>
      </c>
      <c r="D183" s="185" t="s">
        <v>128</v>
      </c>
      <c r="E183" s="238"/>
      <c r="F183" s="187"/>
      <c r="G183" s="252" t="s">
        <v>248</v>
      </c>
      <c r="H183" s="189"/>
      <c r="I183" s="189"/>
      <c r="J183" s="189"/>
      <c r="K183" s="190"/>
      <c r="L183" s="189">
        <v>1</v>
      </c>
      <c r="M183" s="189"/>
      <c r="N183" s="189">
        <v>1</v>
      </c>
      <c r="O183" s="190" t="s">
        <v>71</v>
      </c>
      <c r="P183" s="190" t="s">
        <v>114</v>
      </c>
      <c r="Q183" s="190" t="s">
        <v>73</v>
      </c>
      <c r="R183" s="190">
        <v>5</v>
      </c>
      <c r="S183" s="190">
        <v>5</v>
      </c>
      <c r="T183" s="190">
        <v>3</v>
      </c>
      <c r="U183" s="190" t="s">
        <v>21</v>
      </c>
      <c r="V183" s="191">
        <f t="shared" si="95"/>
        <v>0.01</v>
      </c>
      <c r="W183" s="191">
        <f t="shared" si="96"/>
        <v>1670</v>
      </c>
      <c r="X183" s="192" t="s">
        <v>974</v>
      </c>
      <c r="Y183" s="192"/>
      <c r="Z183" s="192" t="s">
        <v>975</v>
      </c>
      <c r="AA183" s="193">
        <v>-0.14000000000000001</v>
      </c>
      <c r="AB183" s="189"/>
      <c r="AC183" s="189">
        <v>-0.15</v>
      </c>
      <c r="AD183" s="189"/>
      <c r="AE183" s="189"/>
      <c r="AF183" s="189"/>
      <c r="AG183" s="189"/>
      <c r="AH183" s="189"/>
      <c r="AI183" s="194">
        <f t="shared" ref="AI183:AI187" si="104">-0.02*W183</f>
        <v>-33.4</v>
      </c>
      <c r="AJ183" s="194">
        <f t="shared" ref="AJ183:AJ188" si="105">AI183*R183</f>
        <v>-167</v>
      </c>
      <c r="AK183" s="189"/>
      <c r="AL183" s="189"/>
      <c r="AM183" s="189" t="s">
        <v>976</v>
      </c>
      <c r="AN183" s="189" t="s">
        <v>92</v>
      </c>
      <c r="AO183" s="189" t="s">
        <v>977</v>
      </c>
      <c r="AP183" s="196">
        <v>-0.13200000000000001</v>
      </c>
      <c r="AQ183" s="196">
        <f t="shared" si="99"/>
        <v>8.0000000000000071E-3</v>
      </c>
      <c r="AR183" s="194">
        <f t="shared" ref="AR183:AR188" si="106">AS183*R183</f>
        <v>66.800000000000054</v>
      </c>
      <c r="AS183" s="197">
        <f t="shared" si="100"/>
        <v>13.360000000000012</v>
      </c>
      <c r="AT183" s="198" t="s">
        <v>72</v>
      </c>
      <c r="AU183" s="189" t="s">
        <v>978</v>
      </c>
      <c r="AV183" s="189"/>
      <c r="AW183" s="189"/>
      <c r="AX183" s="361"/>
      <c r="AY183" s="361"/>
      <c r="AZ183" s="361"/>
      <c r="BA183" s="361"/>
      <c r="BB183" s="361"/>
      <c r="BC183" s="373"/>
    </row>
    <row r="184" spans="1:55" ht="18" customHeight="1">
      <c r="A184" s="184" t="s">
        <v>762</v>
      </c>
      <c r="B184" s="184">
        <v>44944</v>
      </c>
      <c r="C184" s="185" t="s">
        <v>979</v>
      </c>
      <c r="D184" s="185" t="s">
        <v>128</v>
      </c>
      <c r="E184" s="238"/>
      <c r="F184" s="187"/>
      <c r="G184" s="252" t="s">
        <v>530</v>
      </c>
      <c r="H184" s="189"/>
      <c r="I184" s="189"/>
      <c r="J184" s="189"/>
      <c r="K184" s="190"/>
      <c r="L184" s="189">
        <v>1</v>
      </c>
      <c r="M184" s="189"/>
      <c r="N184" s="189"/>
      <c r="O184" s="190" t="s">
        <v>71</v>
      </c>
      <c r="P184" s="190" t="s">
        <v>114</v>
      </c>
      <c r="Q184" s="190" t="s">
        <v>73</v>
      </c>
      <c r="R184" s="190">
        <v>4</v>
      </c>
      <c r="S184" s="190">
        <v>4</v>
      </c>
      <c r="T184" s="190">
        <v>4</v>
      </c>
      <c r="U184" s="190" t="s">
        <v>21</v>
      </c>
      <c r="V184" s="191">
        <f t="shared" si="95"/>
        <v>0.01</v>
      </c>
      <c r="W184" s="191">
        <f t="shared" si="96"/>
        <v>1670</v>
      </c>
      <c r="X184" s="192" t="s">
        <v>980</v>
      </c>
      <c r="Y184" s="192"/>
      <c r="Z184" s="192" t="s">
        <v>981</v>
      </c>
      <c r="AA184" s="193">
        <v>-0.08</v>
      </c>
      <c r="AB184" s="189"/>
      <c r="AC184" s="189">
        <v>-0.1</v>
      </c>
      <c r="AD184" s="189"/>
      <c r="AE184" s="189"/>
      <c r="AF184" s="189"/>
      <c r="AG184" s="189"/>
      <c r="AH184" s="189"/>
      <c r="AI184" s="194">
        <f t="shared" si="104"/>
        <v>-33.4</v>
      </c>
      <c r="AJ184" s="194">
        <f t="shared" si="105"/>
        <v>-133.6</v>
      </c>
      <c r="AK184" s="189"/>
      <c r="AL184" s="189"/>
      <c r="AM184" s="189" t="s">
        <v>982</v>
      </c>
      <c r="AN184" s="189" t="s">
        <v>82</v>
      </c>
      <c r="AO184" s="189" t="s">
        <v>983</v>
      </c>
      <c r="AP184" s="196">
        <v>-7.2499999999999995E-2</v>
      </c>
      <c r="AQ184" s="196">
        <f t="shared" si="99"/>
        <v>7.5000000000000067E-3</v>
      </c>
      <c r="AR184" s="194">
        <f t="shared" si="106"/>
        <v>50.100000000000044</v>
      </c>
      <c r="AS184" s="197">
        <f t="shared" si="100"/>
        <v>12.525000000000011</v>
      </c>
      <c r="AT184" s="198" t="s">
        <v>72</v>
      </c>
      <c r="AU184" s="189" t="s">
        <v>984</v>
      </c>
      <c r="AV184" s="189"/>
      <c r="AW184" s="189"/>
      <c r="AX184" s="361"/>
      <c r="AY184" s="361"/>
      <c r="AZ184" s="361"/>
      <c r="BA184" s="361"/>
      <c r="BB184" s="361"/>
      <c r="BC184" s="373"/>
    </row>
    <row r="185" spans="1:55" ht="18" customHeight="1">
      <c r="A185" s="184" t="s">
        <v>762</v>
      </c>
      <c r="B185" s="184">
        <v>44944</v>
      </c>
      <c r="C185" s="185" t="s">
        <v>985</v>
      </c>
      <c r="D185" s="185" t="s">
        <v>128</v>
      </c>
      <c r="E185" s="238"/>
      <c r="F185" s="187"/>
      <c r="G185" s="188" t="s">
        <v>922</v>
      </c>
      <c r="H185" s="189"/>
      <c r="I185" s="189"/>
      <c r="J185" s="189"/>
      <c r="K185" s="190"/>
      <c r="L185" s="189">
        <v>1</v>
      </c>
      <c r="M185" s="189"/>
      <c r="N185" s="189"/>
      <c r="O185" s="190" t="s">
        <v>71</v>
      </c>
      <c r="P185" s="190" t="s">
        <v>114</v>
      </c>
      <c r="Q185" s="190" t="s">
        <v>661</v>
      </c>
      <c r="R185" s="190">
        <v>1</v>
      </c>
      <c r="S185" s="190">
        <v>1</v>
      </c>
      <c r="T185" s="190">
        <v>1</v>
      </c>
      <c r="U185" s="190" t="s">
        <v>73</v>
      </c>
      <c r="V185" s="191">
        <f t="shared" si="95"/>
        <v>0.01</v>
      </c>
      <c r="W185" s="191">
        <f t="shared" ref="W185:W186" si="107">IF(ISBLANK(O185),,IF(O185=UPPER("IB"),8.63*200,16.8*100))</f>
        <v>1680</v>
      </c>
      <c r="X185" s="192" t="s">
        <v>986</v>
      </c>
      <c r="Y185" s="192"/>
      <c r="Z185" s="192"/>
      <c r="AA185" s="193">
        <v>96.53</v>
      </c>
      <c r="AB185" s="189"/>
      <c r="AC185" s="189"/>
      <c r="AD185" s="189"/>
      <c r="AE185" s="189"/>
      <c r="AF185" s="189"/>
      <c r="AG185" s="189"/>
      <c r="AH185" s="189"/>
      <c r="AI185" s="194">
        <f t="shared" si="104"/>
        <v>-33.6</v>
      </c>
      <c r="AJ185" s="194">
        <f t="shared" si="105"/>
        <v>-33.6</v>
      </c>
      <c r="AK185" s="189"/>
      <c r="AL185" s="189"/>
      <c r="AM185" s="189" t="s">
        <v>370</v>
      </c>
      <c r="AN185" s="189" t="s">
        <v>371</v>
      </c>
      <c r="AO185" s="189" t="s">
        <v>987</v>
      </c>
      <c r="AP185" s="196">
        <v>96.57</v>
      </c>
      <c r="AQ185" s="196">
        <f t="shared" si="99"/>
        <v>-3.9999999999992042E-2</v>
      </c>
      <c r="AR185" s="194">
        <f t="shared" si="106"/>
        <v>-67.19999999998663</v>
      </c>
      <c r="AS185" s="197">
        <f t="shared" si="100"/>
        <v>-67.19999999998663</v>
      </c>
      <c r="AT185" s="198" t="s">
        <v>206</v>
      </c>
      <c r="AU185" s="189" t="s">
        <v>988</v>
      </c>
      <c r="AV185" s="189" t="s">
        <v>989</v>
      </c>
      <c r="AW185" s="189"/>
      <c r="AX185" s="361"/>
      <c r="AY185" s="361"/>
      <c r="AZ185" s="361"/>
      <c r="BA185" s="361"/>
      <c r="BB185" s="361"/>
      <c r="BC185" s="373"/>
    </row>
    <row r="186" spans="1:55" ht="18" customHeight="1">
      <c r="A186" s="184" t="s">
        <v>762</v>
      </c>
      <c r="B186" s="184">
        <v>44944</v>
      </c>
      <c r="C186" s="185" t="s">
        <v>985</v>
      </c>
      <c r="D186" s="185" t="s">
        <v>128</v>
      </c>
      <c r="E186" s="238"/>
      <c r="F186" s="187"/>
      <c r="G186" s="188" t="s">
        <v>808</v>
      </c>
      <c r="H186" s="189"/>
      <c r="I186" s="189"/>
      <c r="J186" s="189"/>
      <c r="K186" s="190"/>
      <c r="L186" s="189">
        <v>1</v>
      </c>
      <c r="M186" s="189"/>
      <c r="N186" s="189"/>
      <c r="O186" s="190" t="s">
        <v>71</v>
      </c>
      <c r="P186" s="190" t="s">
        <v>114</v>
      </c>
      <c r="Q186" s="190" t="s">
        <v>661</v>
      </c>
      <c r="R186" s="190">
        <v>1</v>
      </c>
      <c r="S186" s="190">
        <v>1</v>
      </c>
      <c r="T186" s="190">
        <v>1</v>
      </c>
      <c r="U186" s="190" t="s">
        <v>73</v>
      </c>
      <c r="V186" s="191">
        <f t="shared" si="95"/>
        <v>0.01</v>
      </c>
      <c r="W186" s="191">
        <f t="shared" si="107"/>
        <v>1680</v>
      </c>
      <c r="X186" s="192" t="s">
        <v>986</v>
      </c>
      <c r="Y186" s="192"/>
      <c r="Z186" s="192"/>
      <c r="AA186" s="193">
        <v>96.28</v>
      </c>
      <c r="AB186" s="189"/>
      <c r="AC186" s="189"/>
      <c r="AD186" s="189"/>
      <c r="AE186" s="189"/>
      <c r="AF186" s="189"/>
      <c r="AG186" s="189"/>
      <c r="AH186" s="189"/>
      <c r="AI186" s="194">
        <f t="shared" si="104"/>
        <v>-33.6</v>
      </c>
      <c r="AJ186" s="194">
        <f t="shared" si="105"/>
        <v>-33.6</v>
      </c>
      <c r="AK186" s="189"/>
      <c r="AL186" s="189"/>
      <c r="AM186" s="189" t="s">
        <v>990</v>
      </c>
      <c r="AN186" s="189" t="s">
        <v>371</v>
      </c>
      <c r="AO186" s="189" t="s">
        <v>991</v>
      </c>
      <c r="AP186" s="196">
        <v>96.29</v>
      </c>
      <c r="AQ186" s="196">
        <f t="shared" si="99"/>
        <v>-1.0000000000005116E-2</v>
      </c>
      <c r="AR186" s="194">
        <f t="shared" si="106"/>
        <v>-16.800000000008595</v>
      </c>
      <c r="AS186" s="197">
        <f t="shared" si="100"/>
        <v>-16.800000000008595</v>
      </c>
      <c r="AT186" s="198" t="s">
        <v>206</v>
      </c>
      <c r="AU186" s="189"/>
      <c r="AV186" s="189"/>
      <c r="AW186" s="189"/>
      <c r="AX186" s="361"/>
      <c r="AY186" s="361"/>
      <c r="AZ186" s="361"/>
      <c r="BA186" s="361"/>
      <c r="BB186" s="361"/>
      <c r="BC186" s="373"/>
    </row>
    <row r="187" spans="1:55" ht="18" customHeight="1">
      <c r="A187" s="184" t="s">
        <v>762</v>
      </c>
      <c r="B187" s="184">
        <v>44944</v>
      </c>
      <c r="C187" s="185" t="s">
        <v>992</v>
      </c>
      <c r="D187" s="185" t="s">
        <v>128</v>
      </c>
      <c r="E187" s="238"/>
      <c r="F187" s="187"/>
      <c r="G187" s="252" t="s">
        <v>342</v>
      </c>
      <c r="H187" s="189"/>
      <c r="I187" s="189"/>
      <c r="J187" s="189"/>
      <c r="K187" s="190"/>
      <c r="L187" s="189">
        <v>1</v>
      </c>
      <c r="M187" s="189"/>
      <c r="N187" s="189">
        <v>1</v>
      </c>
      <c r="O187" s="190" t="s">
        <v>71</v>
      </c>
      <c r="P187" s="190" t="s">
        <v>72</v>
      </c>
      <c r="Q187" s="190" t="s">
        <v>73</v>
      </c>
      <c r="R187" s="190">
        <v>5</v>
      </c>
      <c r="S187" s="190">
        <v>5</v>
      </c>
      <c r="T187" s="190">
        <v>5</v>
      </c>
      <c r="U187" s="190" t="s">
        <v>21</v>
      </c>
      <c r="V187" s="191">
        <f t="shared" si="95"/>
        <v>0.01</v>
      </c>
      <c r="W187" s="191">
        <f t="shared" ref="W187:W210" si="108">IF(ISBLANK(O187),,IF(O187=UPPER("IB"),8.63*200,16.7*100))</f>
        <v>1670</v>
      </c>
      <c r="X187" s="192" t="s">
        <v>993</v>
      </c>
      <c r="Y187" s="192"/>
      <c r="Z187" s="192"/>
      <c r="AA187" s="193">
        <v>-0.12</v>
      </c>
      <c r="AB187" s="189"/>
      <c r="AC187" s="189">
        <v>-0.14000000000000001</v>
      </c>
      <c r="AD187" s="189"/>
      <c r="AE187" s="189"/>
      <c r="AF187" s="189"/>
      <c r="AG187" s="189"/>
      <c r="AH187" s="189"/>
      <c r="AI187" s="194">
        <f t="shared" si="104"/>
        <v>-33.4</v>
      </c>
      <c r="AJ187" s="194">
        <f t="shared" si="105"/>
        <v>-167</v>
      </c>
      <c r="AK187" s="189"/>
      <c r="AL187" s="189"/>
      <c r="AM187" s="189" t="s">
        <v>994</v>
      </c>
      <c r="AN187" s="189" t="s">
        <v>82</v>
      </c>
      <c r="AO187" s="189" t="s">
        <v>995</v>
      </c>
      <c r="AP187" s="196">
        <v>-0.11</v>
      </c>
      <c r="AQ187" s="196">
        <f t="shared" si="99"/>
        <v>9.999999999999995E-3</v>
      </c>
      <c r="AR187" s="194">
        <f t="shared" si="106"/>
        <v>83.499999999999957</v>
      </c>
      <c r="AS187" s="197">
        <f t="shared" si="100"/>
        <v>16.699999999999992</v>
      </c>
      <c r="AT187" s="198" t="s">
        <v>72</v>
      </c>
      <c r="AU187" s="192" t="s">
        <v>996</v>
      </c>
      <c r="AV187" s="189" t="s">
        <v>997</v>
      </c>
      <c r="AW187" s="189" t="s">
        <v>998</v>
      </c>
      <c r="AX187" s="361"/>
      <c r="AY187" s="361"/>
      <c r="AZ187" s="361"/>
      <c r="BA187" s="361"/>
      <c r="BB187" s="361"/>
      <c r="BC187" s="373"/>
    </row>
    <row r="188" spans="1:55" ht="18" customHeight="1">
      <c r="A188" s="184" t="s">
        <v>762</v>
      </c>
      <c r="B188" s="184">
        <v>44944</v>
      </c>
      <c r="C188" s="185" t="s">
        <v>999</v>
      </c>
      <c r="D188" s="185" t="s">
        <v>128</v>
      </c>
      <c r="E188" s="238"/>
      <c r="F188" s="187"/>
      <c r="G188" s="188" t="s">
        <v>808</v>
      </c>
      <c r="H188" s="189"/>
      <c r="I188" s="189"/>
      <c r="J188" s="189"/>
      <c r="K188" s="190"/>
      <c r="L188" s="189">
        <v>1</v>
      </c>
      <c r="M188" s="189"/>
      <c r="N188" s="189"/>
      <c r="O188" s="190" t="s">
        <v>71</v>
      </c>
      <c r="P188" s="190" t="s">
        <v>114</v>
      </c>
      <c r="Q188" s="190" t="s">
        <v>661</v>
      </c>
      <c r="R188" s="190">
        <v>2</v>
      </c>
      <c r="S188" s="190">
        <v>2</v>
      </c>
      <c r="T188" s="190">
        <v>1</v>
      </c>
      <c r="U188" s="190" t="s">
        <v>73</v>
      </c>
      <c r="V188" s="191">
        <f t="shared" si="95"/>
        <v>0.01</v>
      </c>
      <c r="W188" s="191">
        <f t="shared" si="108"/>
        <v>1670</v>
      </c>
      <c r="X188" s="192" t="s">
        <v>1000</v>
      </c>
      <c r="Y188" s="192"/>
      <c r="Z188" s="192"/>
      <c r="AA188" s="193">
        <v>96.28</v>
      </c>
      <c r="AB188" s="189"/>
      <c r="AC188" s="189">
        <v>96.31</v>
      </c>
      <c r="AD188" s="189" t="s">
        <v>1001</v>
      </c>
      <c r="AE188" s="189">
        <v>96.26</v>
      </c>
      <c r="AF188" s="189" t="s">
        <v>1002</v>
      </c>
      <c r="AG188" s="189"/>
      <c r="AH188" s="189"/>
      <c r="AI188" s="194">
        <f>-0.03*W188</f>
        <v>-50.1</v>
      </c>
      <c r="AJ188" s="194">
        <f t="shared" si="105"/>
        <v>-100.2</v>
      </c>
      <c r="AK188" s="189"/>
      <c r="AL188" s="189"/>
      <c r="AM188" s="189" t="s">
        <v>1003</v>
      </c>
      <c r="AN188" s="189" t="s">
        <v>82</v>
      </c>
      <c r="AO188" s="189" t="s">
        <v>1004</v>
      </c>
      <c r="AP188" s="196">
        <v>96.31</v>
      </c>
      <c r="AQ188" s="196">
        <f t="shared" si="99"/>
        <v>-3.0000000000001137E-2</v>
      </c>
      <c r="AR188" s="194">
        <f t="shared" si="106"/>
        <v>-100.2000000000038</v>
      </c>
      <c r="AS188" s="197">
        <f t="shared" si="100"/>
        <v>-50.100000000001899</v>
      </c>
      <c r="AT188" s="198" t="s">
        <v>206</v>
      </c>
      <c r="AU188" s="189" t="s">
        <v>1005</v>
      </c>
      <c r="AV188" s="189"/>
      <c r="AW188" s="189"/>
      <c r="AX188" s="361"/>
      <c r="AY188" s="361"/>
      <c r="AZ188" s="361"/>
      <c r="BA188" s="361" t="s">
        <v>1006</v>
      </c>
      <c r="BB188" s="361"/>
      <c r="BC188" s="373"/>
    </row>
    <row r="189" spans="1:55" ht="18" customHeight="1">
      <c r="A189" s="184" t="s">
        <v>762</v>
      </c>
      <c r="B189" s="184">
        <v>44945</v>
      </c>
      <c r="C189" s="201">
        <v>0.25</v>
      </c>
      <c r="D189" s="185" t="s">
        <v>69</v>
      </c>
      <c r="E189" s="238" t="s">
        <v>1007</v>
      </c>
      <c r="F189" s="187" t="s">
        <v>1008</v>
      </c>
      <c r="G189" s="188"/>
      <c r="H189" s="189"/>
      <c r="I189" s="189"/>
      <c r="J189" s="189">
        <v>1</v>
      </c>
      <c r="K189" s="190" t="s">
        <v>92</v>
      </c>
      <c r="L189" s="189"/>
      <c r="M189" s="189"/>
      <c r="N189" s="189"/>
      <c r="O189" s="190"/>
      <c r="P189" s="190"/>
      <c r="Q189" s="190"/>
      <c r="R189" s="190"/>
      <c r="S189" s="190"/>
      <c r="T189" s="190"/>
      <c r="U189" s="190"/>
      <c r="V189" s="191">
        <f t="shared" si="95"/>
        <v>0</v>
      </c>
      <c r="W189" s="191">
        <f t="shared" si="108"/>
        <v>0</v>
      </c>
      <c r="X189" s="192"/>
      <c r="Y189" s="192"/>
      <c r="Z189" s="192"/>
      <c r="AA189" s="193"/>
      <c r="AB189" s="189"/>
      <c r="AC189" s="189"/>
      <c r="AD189" s="189"/>
      <c r="AE189" s="189"/>
      <c r="AF189" s="189"/>
      <c r="AG189" s="189"/>
      <c r="AH189" s="189"/>
      <c r="AI189" s="194"/>
      <c r="AJ189" s="190"/>
      <c r="AK189" s="189"/>
      <c r="AL189" s="189"/>
      <c r="AM189" s="189"/>
      <c r="AN189" s="189"/>
      <c r="AO189" s="189"/>
      <c r="AP189" s="196"/>
      <c r="AQ189" s="189">
        <f t="shared" si="99"/>
        <v>0</v>
      </c>
      <c r="AR189" s="194"/>
      <c r="AS189" s="197">
        <f t="shared" si="100"/>
        <v>0</v>
      </c>
      <c r="AT189" s="198"/>
      <c r="AU189" s="189"/>
      <c r="AV189" s="189"/>
      <c r="AW189" s="189"/>
      <c r="AX189" s="361"/>
      <c r="AY189" s="361"/>
      <c r="AZ189" s="361"/>
      <c r="BA189" s="361"/>
      <c r="BB189" s="361"/>
      <c r="BC189" s="373"/>
    </row>
    <row r="190" spans="1:55" ht="18" customHeight="1">
      <c r="A190" s="184" t="s">
        <v>762</v>
      </c>
      <c r="B190" s="184"/>
      <c r="C190" s="185"/>
      <c r="D190" s="185"/>
      <c r="E190" s="238" t="s">
        <v>1009</v>
      </c>
      <c r="F190" s="187" t="s">
        <v>1010</v>
      </c>
      <c r="G190" s="188"/>
      <c r="H190" s="189">
        <v>1</v>
      </c>
      <c r="I190" s="189"/>
      <c r="J190" s="189"/>
      <c r="K190" s="190" t="s">
        <v>92</v>
      </c>
      <c r="L190" s="189"/>
      <c r="M190" s="189"/>
      <c r="N190" s="189"/>
      <c r="O190" s="190"/>
      <c r="P190" s="190"/>
      <c r="Q190" s="190"/>
      <c r="R190" s="190"/>
      <c r="S190" s="190"/>
      <c r="T190" s="190"/>
      <c r="U190" s="190"/>
      <c r="V190" s="191">
        <f t="shared" si="95"/>
        <v>0</v>
      </c>
      <c r="W190" s="191">
        <f t="shared" si="108"/>
        <v>0</v>
      </c>
      <c r="X190" s="192"/>
      <c r="Y190" s="192"/>
      <c r="Z190" s="192"/>
      <c r="AA190" s="193"/>
      <c r="AB190" s="189"/>
      <c r="AC190" s="189"/>
      <c r="AD190" s="189"/>
      <c r="AE190" s="189"/>
      <c r="AF190" s="189"/>
      <c r="AG190" s="189"/>
      <c r="AH190" s="189"/>
      <c r="AI190" s="194"/>
      <c r="AJ190" s="190"/>
      <c r="AK190" s="189"/>
      <c r="AL190" s="189"/>
      <c r="AM190" s="189"/>
      <c r="AN190" s="189"/>
      <c r="AO190" s="189"/>
      <c r="AP190" s="196"/>
      <c r="AQ190" s="189">
        <f t="shared" si="99"/>
        <v>0</v>
      </c>
      <c r="AR190" s="194"/>
      <c r="AS190" s="197">
        <f t="shared" si="100"/>
        <v>0</v>
      </c>
      <c r="AT190" s="198"/>
      <c r="AU190" s="189"/>
      <c r="AV190" s="189"/>
      <c r="AW190" s="189"/>
      <c r="AX190" s="361"/>
      <c r="AY190" s="361"/>
      <c r="AZ190" s="361"/>
      <c r="BA190" s="361"/>
      <c r="BB190" s="361"/>
      <c r="BC190" s="373"/>
    </row>
    <row r="191" spans="1:55" ht="18" customHeight="1">
      <c r="A191" s="184" t="s">
        <v>762</v>
      </c>
      <c r="B191" s="282"/>
      <c r="C191" s="185"/>
      <c r="D191" s="185"/>
      <c r="E191" s="238" t="s">
        <v>1011</v>
      </c>
      <c r="F191" s="187" t="s">
        <v>1012</v>
      </c>
      <c r="G191" s="188"/>
      <c r="H191" s="189"/>
      <c r="I191" s="189"/>
      <c r="J191" s="189"/>
      <c r="K191" s="190"/>
      <c r="L191" s="189"/>
      <c r="M191" s="189"/>
      <c r="N191" s="189"/>
      <c r="O191" s="190"/>
      <c r="P191" s="190"/>
      <c r="Q191" s="190"/>
      <c r="R191" s="190"/>
      <c r="S191" s="190"/>
      <c r="T191" s="190"/>
      <c r="U191" s="190"/>
      <c r="V191" s="191">
        <f t="shared" si="95"/>
        <v>0</v>
      </c>
      <c r="W191" s="191">
        <f t="shared" si="108"/>
        <v>0</v>
      </c>
      <c r="X191" s="192"/>
      <c r="Y191" s="192"/>
      <c r="Z191" s="192"/>
      <c r="AA191" s="193"/>
      <c r="AB191" s="189"/>
      <c r="AC191" s="189"/>
      <c r="AD191" s="189"/>
      <c r="AE191" s="189"/>
      <c r="AF191" s="189"/>
      <c r="AG191" s="189"/>
      <c r="AH191" s="189"/>
      <c r="AI191" s="194"/>
      <c r="AJ191" s="190"/>
      <c r="AK191" s="189"/>
      <c r="AL191" s="189"/>
      <c r="AM191" s="189"/>
      <c r="AN191" s="189"/>
      <c r="AO191" s="189"/>
      <c r="AP191" s="196"/>
      <c r="AQ191" s="189">
        <f t="shared" si="99"/>
        <v>0</v>
      </c>
      <c r="AR191" s="194"/>
      <c r="AS191" s="197">
        <f t="shared" si="100"/>
        <v>0</v>
      </c>
      <c r="AT191" s="198"/>
      <c r="AU191" s="189"/>
      <c r="AV191" s="189"/>
      <c r="AW191" s="189"/>
      <c r="AX191" s="361"/>
      <c r="AY191" s="361"/>
      <c r="AZ191" s="361"/>
      <c r="BA191" s="361"/>
      <c r="BB191" s="361"/>
      <c r="BC191" s="373"/>
    </row>
    <row r="192" spans="1:55" ht="18" customHeight="1">
      <c r="A192" s="184" t="s">
        <v>762</v>
      </c>
      <c r="B192" s="184">
        <v>44945</v>
      </c>
      <c r="C192" s="185" t="s">
        <v>659</v>
      </c>
      <c r="D192" s="185" t="s">
        <v>69</v>
      </c>
      <c r="E192" s="238"/>
      <c r="F192" s="187"/>
      <c r="G192" s="188" t="s">
        <v>960</v>
      </c>
      <c r="H192" s="189"/>
      <c r="I192" s="189"/>
      <c r="J192" s="189"/>
      <c r="K192" s="190"/>
      <c r="L192" s="189">
        <v>2</v>
      </c>
      <c r="M192" s="189"/>
      <c r="N192" s="189"/>
      <c r="O192" s="190" t="s">
        <v>71</v>
      </c>
      <c r="P192" s="190" t="s">
        <v>72</v>
      </c>
      <c r="Q192" s="190" t="s">
        <v>661</v>
      </c>
      <c r="R192" s="190">
        <v>1</v>
      </c>
      <c r="S192" s="190">
        <v>1</v>
      </c>
      <c r="T192" s="190">
        <v>1</v>
      </c>
      <c r="U192" s="190" t="s">
        <v>21</v>
      </c>
      <c r="V192" s="191">
        <f t="shared" si="95"/>
        <v>0.01</v>
      </c>
      <c r="W192" s="191">
        <f t="shared" si="108"/>
        <v>1670</v>
      </c>
      <c r="X192" s="192" t="s">
        <v>1013</v>
      </c>
      <c r="Y192" s="192"/>
      <c r="Z192" s="192"/>
      <c r="AA192" s="193">
        <v>96.21</v>
      </c>
      <c r="AB192" s="189"/>
      <c r="AC192" s="189"/>
      <c r="AD192" s="189"/>
      <c r="AE192" s="189"/>
      <c r="AF192" s="189"/>
      <c r="AG192" s="189"/>
      <c r="AH192" s="189"/>
      <c r="AI192" s="194"/>
      <c r="AJ192" s="190"/>
      <c r="AK192" s="189"/>
      <c r="AL192" s="189"/>
      <c r="AM192" s="189" t="s">
        <v>1014</v>
      </c>
      <c r="AN192" s="189" t="s">
        <v>371</v>
      </c>
      <c r="AO192" s="189" t="s">
        <v>1015</v>
      </c>
      <c r="AP192" s="196">
        <v>96.3</v>
      </c>
      <c r="AQ192" s="196">
        <f t="shared" si="99"/>
        <v>9.0000000000003411E-2</v>
      </c>
      <c r="AR192" s="194">
        <f t="shared" ref="AR192:AR198" si="109">AS192*R192</f>
        <v>150.3000000000057</v>
      </c>
      <c r="AS192" s="197">
        <f t="shared" si="100"/>
        <v>150.3000000000057</v>
      </c>
      <c r="AT192" s="198" t="s">
        <v>72</v>
      </c>
      <c r="AU192" s="189" t="s">
        <v>1016</v>
      </c>
      <c r="AV192" s="189" t="s">
        <v>1017</v>
      </c>
      <c r="AW192" s="189" t="s">
        <v>759</v>
      </c>
      <c r="AX192" s="361" t="s">
        <v>1018</v>
      </c>
      <c r="AY192" s="361"/>
      <c r="AZ192" s="361"/>
      <c r="BA192" s="361"/>
      <c r="BB192" s="361"/>
      <c r="BC192" s="373"/>
    </row>
    <row r="193" spans="1:55" ht="18" customHeight="1">
      <c r="A193" s="184" t="s">
        <v>762</v>
      </c>
      <c r="B193" s="184">
        <v>44945</v>
      </c>
      <c r="C193" s="185" t="s">
        <v>659</v>
      </c>
      <c r="D193" s="185" t="s">
        <v>69</v>
      </c>
      <c r="E193" s="238"/>
      <c r="F193" s="187"/>
      <c r="G193" s="258" t="s">
        <v>412</v>
      </c>
      <c r="H193" s="189"/>
      <c r="I193" s="189"/>
      <c r="J193" s="189"/>
      <c r="K193" s="190"/>
      <c r="L193" s="189">
        <v>1</v>
      </c>
      <c r="M193" s="189"/>
      <c r="N193" s="189"/>
      <c r="O193" s="190" t="s">
        <v>71</v>
      </c>
      <c r="P193" s="190" t="s">
        <v>72</v>
      </c>
      <c r="Q193" s="190" t="s">
        <v>73</v>
      </c>
      <c r="R193" s="190">
        <v>1</v>
      </c>
      <c r="S193" s="190">
        <v>1</v>
      </c>
      <c r="T193" s="190">
        <v>1</v>
      </c>
      <c r="U193" s="190" t="s">
        <v>21</v>
      </c>
      <c r="V193" s="191">
        <f t="shared" si="95"/>
        <v>0.01</v>
      </c>
      <c r="W193" s="191">
        <f t="shared" si="108"/>
        <v>1670</v>
      </c>
      <c r="X193" s="192"/>
      <c r="Y193" s="192"/>
      <c r="Z193" s="192"/>
      <c r="AA193" s="193">
        <v>0.22</v>
      </c>
      <c r="AB193" s="189"/>
      <c r="AC193" s="189"/>
      <c r="AD193" s="189"/>
      <c r="AE193" s="189"/>
      <c r="AF193" s="189"/>
      <c r="AG193" s="189"/>
      <c r="AH193" s="189"/>
      <c r="AI193" s="194">
        <f t="shared" ref="AI193:AI197" si="110">-0.03*W193</f>
        <v>-50.1</v>
      </c>
      <c r="AJ193" s="194">
        <f t="shared" ref="AJ193:AJ198" si="111">AI193*R193</f>
        <v>-50.1</v>
      </c>
      <c r="AK193" s="189"/>
      <c r="AL193" s="189"/>
      <c r="AM193" s="189" t="s">
        <v>1019</v>
      </c>
      <c r="AN193" s="189" t="s">
        <v>82</v>
      </c>
      <c r="AO193" s="189" t="s">
        <v>807</v>
      </c>
      <c r="AP193" s="196">
        <v>0.23</v>
      </c>
      <c r="AQ193" s="196">
        <f t="shared" si="99"/>
        <v>1.0000000000000009E-2</v>
      </c>
      <c r="AR193" s="194">
        <f t="shared" si="109"/>
        <v>16.700000000000014</v>
      </c>
      <c r="AS193" s="197">
        <f t="shared" si="100"/>
        <v>16.700000000000014</v>
      </c>
      <c r="AT193" s="198" t="s">
        <v>72</v>
      </c>
      <c r="AU193" s="189" t="s">
        <v>1020</v>
      </c>
      <c r="AV193" s="189"/>
      <c r="AW193" s="189"/>
      <c r="AX193" s="361"/>
      <c r="AY193" s="361"/>
      <c r="AZ193" s="361"/>
      <c r="BA193" s="361"/>
      <c r="BB193" s="361"/>
      <c r="BC193" s="373"/>
    </row>
    <row r="194" spans="1:55" ht="18" customHeight="1">
      <c r="A194" s="184" t="s">
        <v>762</v>
      </c>
      <c r="B194" s="184">
        <v>44945</v>
      </c>
      <c r="C194" s="185" t="s">
        <v>659</v>
      </c>
      <c r="D194" s="185" t="s">
        <v>69</v>
      </c>
      <c r="E194" s="238"/>
      <c r="F194" s="187"/>
      <c r="G194" s="258" t="s">
        <v>412</v>
      </c>
      <c r="H194" s="189"/>
      <c r="I194" s="189"/>
      <c r="J194" s="189"/>
      <c r="K194" s="190"/>
      <c r="L194" s="189">
        <v>1</v>
      </c>
      <c r="M194" s="189"/>
      <c r="N194" s="189"/>
      <c r="O194" s="190" t="s">
        <v>71</v>
      </c>
      <c r="P194" s="190" t="s">
        <v>72</v>
      </c>
      <c r="Q194" s="190" t="s">
        <v>73</v>
      </c>
      <c r="R194" s="190">
        <v>2</v>
      </c>
      <c r="S194" s="190">
        <v>2</v>
      </c>
      <c r="T194" s="190">
        <v>2</v>
      </c>
      <c r="U194" s="190" t="s">
        <v>21</v>
      </c>
      <c r="V194" s="191">
        <f t="shared" si="95"/>
        <v>0.01</v>
      </c>
      <c r="W194" s="191">
        <f t="shared" si="108"/>
        <v>1670</v>
      </c>
      <c r="X194" s="192"/>
      <c r="Y194" s="192"/>
      <c r="Z194" s="192"/>
      <c r="AA194" s="193">
        <v>0.21</v>
      </c>
      <c r="AB194" s="189"/>
      <c r="AC194" s="189"/>
      <c r="AD194" s="189"/>
      <c r="AE194" s="189"/>
      <c r="AF194" s="189"/>
      <c r="AG194" s="189"/>
      <c r="AH194" s="189"/>
      <c r="AI194" s="194">
        <f t="shared" si="110"/>
        <v>-50.1</v>
      </c>
      <c r="AJ194" s="194">
        <f t="shared" si="111"/>
        <v>-100.2</v>
      </c>
      <c r="AK194" s="189"/>
      <c r="AL194" s="189"/>
      <c r="AM194" s="189" t="s">
        <v>919</v>
      </c>
      <c r="AN194" s="189" t="s">
        <v>82</v>
      </c>
      <c r="AO194" s="189" t="s">
        <v>1021</v>
      </c>
      <c r="AP194" s="196">
        <v>0.23499999999999999</v>
      </c>
      <c r="AQ194" s="196">
        <f t="shared" si="99"/>
        <v>2.4999999999999994E-2</v>
      </c>
      <c r="AR194" s="194">
        <f t="shared" si="109"/>
        <v>83.499999999999986</v>
      </c>
      <c r="AS194" s="197">
        <f t="shared" si="100"/>
        <v>41.749999999999993</v>
      </c>
      <c r="AT194" s="198" t="s">
        <v>72</v>
      </c>
      <c r="AU194" s="189" t="s">
        <v>1022</v>
      </c>
      <c r="AV194" s="189" t="s">
        <v>1023</v>
      </c>
      <c r="AW194" s="189"/>
      <c r="AX194" s="361"/>
      <c r="AY194" s="361"/>
      <c r="AZ194" s="361"/>
      <c r="BA194" s="361" t="s">
        <v>172</v>
      </c>
      <c r="BB194" s="361"/>
      <c r="BC194" s="373"/>
    </row>
    <row r="195" spans="1:55" ht="18" customHeight="1">
      <c r="A195" s="184" t="s">
        <v>762</v>
      </c>
      <c r="B195" s="184">
        <v>44945</v>
      </c>
      <c r="C195" s="185" t="s">
        <v>659</v>
      </c>
      <c r="D195" s="185" t="s">
        <v>69</v>
      </c>
      <c r="E195" s="238"/>
      <c r="F195" s="187"/>
      <c r="G195" s="262" t="s">
        <v>863</v>
      </c>
      <c r="H195" s="189"/>
      <c r="I195" s="189"/>
      <c r="J195" s="189"/>
      <c r="K195" s="190"/>
      <c r="L195" s="189">
        <v>1</v>
      </c>
      <c r="M195" s="189"/>
      <c r="N195" s="189"/>
      <c r="O195" s="190" t="s">
        <v>71</v>
      </c>
      <c r="P195" s="190" t="s">
        <v>114</v>
      </c>
      <c r="Q195" s="190" t="s">
        <v>73</v>
      </c>
      <c r="R195" s="190">
        <v>2</v>
      </c>
      <c r="S195" s="190">
        <v>2</v>
      </c>
      <c r="T195" s="190">
        <v>2</v>
      </c>
      <c r="U195" s="190" t="s">
        <v>73</v>
      </c>
      <c r="V195" s="191">
        <f t="shared" si="95"/>
        <v>0.01</v>
      </c>
      <c r="W195" s="191">
        <f t="shared" si="108"/>
        <v>1670</v>
      </c>
      <c r="X195" s="192"/>
      <c r="Y195" s="192"/>
      <c r="Z195" s="192"/>
      <c r="AA195" s="193">
        <v>-0.01</v>
      </c>
      <c r="AB195" s="189"/>
      <c r="AC195" s="189"/>
      <c r="AD195" s="189"/>
      <c r="AE195" s="189"/>
      <c r="AF195" s="189"/>
      <c r="AG195" s="189"/>
      <c r="AH195" s="189"/>
      <c r="AI195" s="194">
        <f t="shared" si="110"/>
        <v>-50.1</v>
      </c>
      <c r="AJ195" s="194">
        <f t="shared" si="111"/>
        <v>-100.2</v>
      </c>
      <c r="AK195" s="189"/>
      <c r="AL195" s="189"/>
      <c r="AM195" s="189" t="s">
        <v>1024</v>
      </c>
      <c r="AN195" s="189" t="s">
        <v>72</v>
      </c>
      <c r="AO195" s="189" t="s">
        <v>1025</v>
      </c>
      <c r="AP195" s="196">
        <v>-0.04</v>
      </c>
      <c r="AQ195" s="196">
        <f t="shared" si="99"/>
        <v>0.03</v>
      </c>
      <c r="AR195" s="194">
        <f t="shared" si="109"/>
        <v>100.2</v>
      </c>
      <c r="AS195" s="197">
        <f t="shared" si="100"/>
        <v>50.1</v>
      </c>
      <c r="AT195" s="198" t="s">
        <v>72</v>
      </c>
      <c r="AU195" s="189" t="s">
        <v>1026</v>
      </c>
      <c r="AV195" s="189"/>
      <c r="AW195" s="189"/>
      <c r="AX195" s="361"/>
      <c r="AY195" s="361"/>
      <c r="AZ195" s="361"/>
      <c r="BA195" s="361"/>
      <c r="BB195" s="361"/>
      <c r="BC195" s="373"/>
    </row>
    <row r="196" spans="1:55" ht="18" customHeight="1">
      <c r="A196" s="184" t="s">
        <v>762</v>
      </c>
      <c r="B196" s="184">
        <v>44945</v>
      </c>
      <c r="C196" s="185" t="s">
        <v>1027</v>
      </c>
      <c r="D196" s="185" t="s">
        <v>69</v>
      </c>
      <c r="E196" s="238"/>
      <c r="F196" s="187"/>
      <c r="G196" s="285" t="s">
        <v>734</v>
      </c>
      <c r="H196" s="189"/>
      <c r="I196" s="189"/>
      <c r="J196" s="189"/>
      <c r="K196" s="190"/>
      <c r="L196" s="189">
        <v>1</v>
      </c>
      <c r="M196" s="189"/>
      <c r="N196" s="189"/>
      <c r="O196" s="190" t="s">
        <v>71</v>
      </c>
      <c r="P196" s="190" t="s">
        <v>72</v>
      </c>
      <c r="Q196" s="190" t="s">
        <v>73</v>
      </c>
      <c r="R196" s="190">
        <v>1</v>
      </c>
      <c r="S196" s="190">
        <v>1</v>
      </c>
      <c r="T196" s="190">
        <v>1</v>
      </c>
      <c r="U196" s="190" t="s">
        <v>21</v>
      </c>
      <c r="V196" s="191">
        <f t="shared" si="95"/>
        <v>0.01</v>
      </c>
      <c r="W196" s="191">
        <f t="shared" si="108"/>
        <v>1670</v>
      </c>
      <c r="X196" s="192"/>
      <c r="Y196" s="192"/>
      <c r="Z196" s="192"/>
      <c r="AA196" s="193">
        <v>0.08</v>
      </c>
      <c r="AB196" s="189"/>
      <c r="AC196" s="189"/>
      <c r="AD196" s="189"/>
      <c r="AE196" s="189"/>
      <c r="AF196" s="189"/>
      <c r="AG196" s="189"/>
      <c r="AH196" s="189"/>
      <c r="AI196" s="194">
        <f t="shared" si="110"/>
        <v>-50.1</v>
      </c>
      <c r="AJ196" s="194">
        <f t="shared" si="111"/>
        <v>-50.1</v>
      </c>
      <c r="AK196" s="189"/>
      <c r="AL196" s="189"/>
      <c r="AM196" s="189" t="s">
        <v>566</v>
      </c>
      <c r="AN196" s="189" t="s">
        <v>92</v>
      </c>
      <c r="AO196" s="189" t="s">
        <v>1028</v>
      </c>
      <c r="AP196" s="196">
        <v>7.0000000000000007E-2</v>
      </c>
      <c r="AQ196" s="196">
        <f t="shared" si="99"/>
        <v>-9.999999999999995E-3</v>
      </c>
      <c r="AR196" s="194">
        <f t="shared" si="109"/>
        <v>-16.699999999999992</v>
      </c>
      <c r="AS196" s="197">
        <f t="shared" si="100"/>
        <v>-16.699999999999992</v>
      </c>
      <c r="AT196" s="198" t="s">
        <v>206</v>
      </c>
      <c r="AU196" s="189"/>
      <c r="AV196" s="189"/>
      <c r="AW196" s="189"/>
      <c r="AX196" s="361"/>
      <c r="AY196" s="361"/>
      <c r="AZ196" s="361"/>
      <c r="BA196" s="361"/>
      <c r="BB196" s="361"/>
      <c r="BC196" s="373"/>
    </row>
    <row r="197" spans="1:55" ht="18" customHeight="1">
      <c r="A197" s="184" t="s">
        <v>762</v>
      </c>
      <c r="B197" s="184">
        <v>44945</v>
      </c>
      <c r="C197" s="185" t="s">
        <v>1029</v>
      </c>
      <c r="D197" s="185" t="s">
        <v>69</v>
      </c>
      <c r="E197" s="238"/>
      <c r="F197" s="187"/>
      <c r="G197" s="258" t="s">
        <v>110</v>
      </c>
      <c r="H197" s="189"/>
      <c r="I197" s="189"/>
      <c r="J197" s="189"/>
      <c r="K197" s="190"/>
      <c r="L197" s="189">
        <v>1</v>
      </c>
      <c r="M197" s="189"/>
      <c r="N197" s="189"/>
      <c r="O197" s="190" t="s">
        <v>71</v>
      </c>
      <c r="P197" s="190" t="s">
        <v>72</v>
      </c>
      <c r="Q197" s="190" t="s">
        <v>73</v>
      </c>
      <c r="R197" s="190">
        <v>3</v>
      </c>
      <c r="S197" s="190">
        <v>3</v>
      </c>
      <c r="T197" s="190">
        <v>3</v>
      </c>
      <c r="U197" s="190" t="s">
        <v>21</v>
      </c>
      <c r="V197" s="191">
        <f t="shared" si="95"/>
        <v>0.01</v>
      </c>
      <c r="W197" s="191">
        <f t="shared" si="108"/>
        <v>1670</v>
      </c>
      <c r="X197" s="192"/>
      <c r="Y197" s="192"/>
      <c r="Z197" s="192"/>
      <c r="AA197" s="193">
        <v>-0.04</v>
      </c>
      <c r="AB197" s="189"/>
      <c r="AC197" s="189"/>
      <c r="AD197" s="189"/>
      <c r="AE197" s="189"/>
      <c r="AF197" s="189"/>
      <c r="AG197" s="189"/>
      <c r="AH197" s="189"/>
      <c r="AI197" s="194">
        <f t="shared" si="110"/>
        <v>-50.1</v>
      </c>
      <c r="AJ197" s="194">
        <f t="shared" si="111"/>
        <v>-150.30000000000001</v>
      </c>
      <c r="AK197" s="189"/>
      <c r="AL197" s="189"/>
      <c r="AM197" s="189" t="s">
        <v>1030</v>
      </c>
      <c r="AN197" s="189" t="s">
        <v>82</v>
      </c>
      <c r="AO197" s="189" t="s">
        <v>1031</v>
      </c>
      <c r="AP197" s="196">
        <v>-0.03</v>
      </c>
      <c r="AQ197" s="196">
        <f t="shared" si="99"/>
        <v>1.0000000000000002E-2</v>
      </c>
      <c r="AR197" s="194">
        <f t="shared" si="109"/>
        <v>50.100000000000009</v>
      </c>
      <c r="AS197" s="197">
        <f t="shared" si="100"/>
        <v>16.700000000000003</v>
      </c>
      <c r="AT197" s="198" t="s">
        <v>72</v>
      </c>
      <c r="AU197" s="189"/>
      <c r="AV197" s="189"/>
      <c r="AW197" s="189"/>
      <c r="AX197" s="361"/>
      <c r="AY197" s="361"/>
      <c r="AZ197" s="361"/>
      <c r="BA197" s="361"/>
      <c r="BB197" s="361"/>
      <c r="BC197" s="373"/>
    </row>
    <row r="198" spans="1:55" ht="18" customHeight="1">
      <c r="A198" s="184" t="s">
        <v>762</v>
      </c>
      <c r="B198" s="184">
        <v>44945</v>
      </c>
      <c r="C198" s="185" t="s">
        <v>1032</v>
      </c>
      <c r="D198" s="185" t="s">
        <v>69</v>
      </c>
      <c r="E198" s="238"/>
      <c r="F198" s="187"/>
      <c r="G198" s="258" t="s">
        <v>1033</v>
      </c>
      <c r="H198" s="189"/>
      <c r="I198" s="189"/>
      <c r="J198" s="189"/>
      <c r="K198" s="190"/>
      <c r="L198" s="189"/>
      <c r="M198" s="189">
        <v>1</v>
      </c>
      <c r="N198" s="189"/>
      <c r="O198" s="190" t="s">
        <v>1034</v>
      </c>
      <c r="P198" s="190" t="s">
        <v>72</v>
      </c>
      <c r="Q198" s="190" t="s">
        <v>661</v>
      </c>
      <c r="R198" s="190">
        <v>2</v>
      </c>
      <c r="S198" s="190">
        <v>2</v>
      </c>
      <c r="T198" s="190">
        <v>1</v>
      </c>
      <c r="U198" s="190" t="s">
        <v>73</v>
      </c>
      <c r="V198" s="191">
        <f t="shared" si="95"/>
        <v>5.0000000000000001E-3</v>
      </c>
      <c r="W198" s="191">
        <f t="shared" si="108"/>
        <v>1726.0000000000002</v>
      </c>
      <c r="X198" s="192" t="s">
        <v>1035</v>
      </c>
      <c r="Y198" s="192"/>
      <c r="Z198" s="192"/>
      <c r="AA198" s="193">
        <v>96.81</v>
      </c>
      <c r="AB198" s="189"/>
      <c r="AC198" s="189"/>
      <c r="AD198" s="189"/>
      <c r="AE198" s="189"/>
      <c r="AF198" s="189"/>
      <c r="AG198" s="189"/>
      <c r="AH198" s="189"/>
      <c r="AI198" s="194">
        <f>-0.02*W198</f>
        <v>-34.520000000000003</v>
      </c>
      <c r="AJ198" s="194">
        <f t="shared" si="111"/>
        <v>-69.040000000000006</v>
      </c>
      <c r="AK198" s="189"/>
      <c r="AL198" s="189"/>
      <c r="AM198" s="189" t="s">
        <v>815</v>
      </c>
      <c r="AN198" s="189" t="s">
        <v>82</v>
      </c>
      <c r="AO198" s="189" t="s">
        <v>1036</v>
      </c>
      <c r="AP198" s="196">
        <v>96.784999999999997</v>
      </c>
      <c r="AQ198" s="196">
        <f t="shared" si="99"/>
        <v>2.5000000000005684E-2</v>
      </c>
      <c r="AR198" s="194">
        <f t="shared" si="109"/>
        <v>86.300000000019637</v>
      </c>
      <c r="AS198" s="197">
        <f t="shared" si="100"/>
        <v>43.150000000009818</v>
      </c>
      <c r="AT198" s="198" t="s">
        <v>72</v>
      </c>
      <c r="AU198" s="189" t="s">
        <v>1037</v>
      </c>
      <c r="AV198" s="189" t="s">
        <v>1038</v>
      </c>
      <c r="AW198" s="189" t="s">
        <v>429</v>
      </c>
      <c r="AX198" s="361"/>
      <c r="AY198" s="361"/>
      <c r="AZ198" s="361"/>
      <c r="BA198" s="361"/>
      <c r="BB198" s="361"/>
      <c r="BC198" s="373"/>
    </row>
    <row r="199" spans="1:55" ht="18" customHeight="1">
      <c r="A199" s="184" t="s">
        <v>762</v>
      </c>
      <c r="B199" s="184">
        <v>44945</v>
      </c>
      <c r="C199" s="201">
        <v>0.79166666666666663</v>
      </c>
      <c r="D199" s="185" t="s">
        <v>69</v>
      </c>
      <c r="E199" s="238" t="s">
        <v>1039</v>
      </c>
      <c r="F199" s="187" t="s">
        <v>1040</v>
      </c>
      <c r="G199" s="188"/>
      <c r="H199" s="189"/>
      <c r="I199" s="189"/>
      <c r="J199" s="189">
        <v>1</v>
      </c>
      <c r="K199" s="190" t="s">
        <v>82</v>
      </c>
      <c r="L199" s="189"/>
      <c r="M199" s="189"/>
      <c r="N199" s="189"/>
      <c r="O199" s="190"/>
      <c r="P199" s="190"/>
      <c r="Q199" s="190"/>
      <c r="R199" s="190"/>
      <c r="S199" s="190"/>
      <c r="T199" s="190"/>
      <c r="U199" s="190"/>
      <c r="V199" s="191">
        <f t="shared" si="95"/>
        <v>0</v>
      </c>
      <c r="W199" s="191">
        <f t="shared" si="108"/>
        <v>0</v>
      </c>
      <c r="X199" s="192"/>
      <c r="Y199" s="192"/>
      <c r="Z199" s="192"/>
      <c r="AA199" s="193"/>
      <c r="AB199" s="189"/>
      <c r="AC199" s="189"/>
      <c r="AD199" s="189"/>
      <c r="AE199" s="189"/>
      <c r="AF199" s="189"/>
      <c r="AG199" s="189"/>
      <c r="AH199" s="189"/>
      <c r="AI199" s="194"/>
      <c r="AJ199" s="190"/>
      <c r="AK199" s="189"/>
      <c r="AL199" s="189"/>
      <c r="AM199" s="189"/>
      <c r="AN199" s="189"/>
      <c r="AO199" s="189"/>
      <c r="AP199" s="196"/>
      <c r="AQ199" s="189">
        <f t="shared" si="99"/>
        <v>0</v>
      </c>
      <c r="AR199" s="194"/>
      <c r="AS199" s="197">
        <f t="shared" si="100"/>
        <v>0</v>
      </c>
      <c r="AT199" s="198"/>
      <c r="AU199" s="189"/>
      <c r="AV199" s="189"/>
      <c r="AW199" s="189"/>
      <c r="AX199" s="361"/>
      <c r="AY199" s="361"/>
      <c r="AZ199" s="361"/>
      <c r="BA199" s="361"/>
      <c r="BB199" s="361"/>
      <c r="BC199" s="373"/>
    </row>
    <row r="200" spans="1:55" ht="18" customHeight="1">
      <c r="A200" s="184" t="s">
        <v>762</v>
      </c>
      <c r="B200" s="184">
        <v>44946</v>
      </c>
      <c r="C200" s="185" t="s">
        <v>1041</v>
      </c>
      <c r="D200" s="185" t="s">
        <v>88</v>
      </c>
      <c r="E200" s="238"/>
      <c r="F200" s="187"/>
      <c r="G200" s="188" t="s">
        <v>342</v>
      </c>
      <c r="H200" s="189"/>
      <c r="I200" s="189"/>
      <c r="J200" s="189"/>
      <c r="K200" s="190"/>
      <c r="L200" s="189">
        <v>1</v>
      </c>
      <c r="M200" s="189">
        <v>1</v>
      </c>
      <c r="N200" s="189"/>
      <c r="O200" s="190" t="s">
        <v>71</v>
      </c>
      <c r="P200" s="190" t="s">
        <v>72</v>
      </c>
      <c r="Q200" s="190" t="s">
        <v>73</v>
      </c>
      <c r="R200" s="190">
        <v>3</v>
      </c>
      <c r="S200" s="190">
        <v>3</v>
      </c>
      <c r="T200" s="190">
        <v>3</v>
      </c>
      <c r="U200" s="190" t="s">
        <v>73</v>
      </c>
      <c r="V200" s="191">
        <f t="shared" si="95"/>
        <v>0.01</v>
      </c>
      <c r="W200" s="191">
        <f t="shared" si="108"/>
        <v>1670</v>
      </c>
      <c r="X200" s="192" t="s">
        <v>1042</v>
      </c>
      <c r="Y200" s="192"/>
      <c r="Z200" s="192" t="s">
        <v>1043</v>
      </c>
      <c r="AA200" s="193">
        <v>-0.09</v>
      </c>
      <c r="AB200" s="189"/>
      <c r="AC200" s="189">
        <v>-0.06</v>
      </c>
      <c r="AD200" s="189"/>
      <c r="AE200" s="189" t="s">
        <v>1044</v>
      </c>
      <c r="AF200" s="189" t="s">
        <v>1045</v>
      </c>
      <c r="AG200" s="189"/>
      <c r="AH200" s="189"/>
      <c r="AI200" s="194">
        <f>-0.02*W200</f>
        <v>-33.4</v>
      </c>
      <c r="AJ200" s="194">
        <f t="shared" ref="AJ200:AJ206" si="112">AI200*R200</f>
        <v>-100.19999999999999</v>
      </c>
      <c r="AK200" s="189"/>
      <c r="AL200" s="189"/>
      <c r="AM200" s="189" t="s">
        <v>841</v>
      </c>
      <c r="AN200" s="189" t="s">
        <v>92</v>
      </c>
      <c r="AO200" s="189" t="s">
        <v>1046</v>
      </c>
      <c r="AP200" s="196">
        <v>-0.09</v>
      </c>
      <c r="AQ200" s="196">
        <f t="shared" ref="AQ200:AQ220" si="113">IF(ISBLANK(AP200),,IF(U200="S",AA200-AP200,AP200-AA200))</f>
        <v>0</v>
      </c>
      <c r="AR200" s="194">
        <f t="shared" ref="AR200:AR206" si="114">AS200*R200</f>
        <v>0</v>
      </c>
      <c r="AS200" s="197">
        <f t="shared" ref="AS200:AS220" si="115">IF(ISBLANK(AP200),,(AQ200*W200))</f>
        <v>0</v>
      </c>
      <c r="AT200" s="198" t="s">
        <v>92</v>
      </c>
      <c r="AU200" s="189" t="s">
        <v>1047</v>
      </c>
      <c r="AV200" s="189"/>
      <c r="AW200" s="189"/>
      <c r="AX200" s="361"/>
      <c r="AY200" s="361"/>
      <c r="AZ200" s="361"/>
      <c r="BA200" s="361"/>
      <c r="BB200" s="361"/>
      <c r="BC200" s="373"/>
    </row>
    <row r="201" spans="1:55" ht="18" customHeight="1">
      <c r="A201" s="184" t="s">
        <v>762</v>
      </c>
      <c r="B201" s="184">
        <v>44946</v>
      </c>
      <c r="C201" s="201">
        <v>0.16666666666666666</v>
      </c>
      <c r="D201" s="185" t="s">
        <v>88</v>
      </c>
      <c r="E201" s="238"/>
      <c r="F201" s="187"/>
      <c r="G201" s="262" t="s">
        <v>734</v>
      </c>
      <c r="H201" s="189"/>
      <c r="I201" s="189"/>
      <c r="J201" s="189"/>
      <c r="K201" s="190"/>
      <c r="L201" s="189">
        <v>1</v>
      </c>
      <c r="M201" s="189"/>
      <c r="N201" s="189"/>
      <c r="O201" s="190" t="s">
        <v>71</v>
      </c>
      <c r="P201" s="190" t="s">
        <v>72</v>
      </c>
      <c r="Q201" s="190" t="s">
        <v>73</v>
      </c>
      <c r="R201" s="190">
        <v>2</v>
      </c>
      <c r="S201" s="190">
        <v>2</v>
      </c>
      <c r="T201" s="190">
        <v>2</v>
      </c>
      <c r="U201" s="190" t="s">
        <v>21</v>
      </c>
      <c r="V201" s="191">
        <f t="shared" si="95"/>
        <v>0.01</v>
      </c>
      <c r="W201" s="191">
        <f t="shared" si="108"/>
        <v>1670</v>
      </c>
      <c r="X201" s="192" t="s">
        <v>1048</v>
      </c>
      <c r="Y201" s="192"/>
      <c r="Z201" s="192" t="s">
        <v>1049</v>
      </c>
      <c r="AA201" s="193">
        <v>0.06</v>
      </c>
      <c r="AB201" s="189"/>
      <c r="AC201" s="189">
        <v>0</v>
      </c>
      <c r="AD201" s="189"/>
      <c r="AE201" s="189">
        <v>9</v>
      </c>
      <c r="AF201" s="189"/>
      <c r="AG201" s="189"/>
      <c r="AH201" s="189"/>
      <c r="AI201" s="194">
        <f>-0.06*W201</f>
        <v>-100.2</v>
      </c>
      <c r="AJ201" s="194">
        <f t="shared" si="112"/>
        <v>-200.4</v>
      </c>
      <c r="AK201" s="189"/>
      <c r="AL201" s="189"/>
      <c r="AM201" s="189" t="s">
        <v>781</v>
      </c>
      <c r="AN201" s="189" t="s">
        <v>92</v>
      </c>
      <c r="AO201" s="189" t="s">
        <v>1028</v>
      </c>
      <c r="AP201" s="196">
        <v>7.0000000000000007E-2</v>
      </c>
      <c r="AQ201" s="196">
        <f t="shared" si="113"/>
        <v>1.0000000000000009E-2</v>
      </c>
      <c r="AR201" s="194">
        <f t="shared" si="114"/>
        <v>33.400000000000027</v>
      </c>
      <c r="AS201" s="197">
        <f t="shared" si="115"/>
        <v>16.700000000000014</v>
      </c>
      <c r="AT201" s="198" t="s">
        <v>72</v>
      </c>
      <c r="AU201" s="189"/>
      <c r="AV201" s="189"/>
      <c r="AW201" s="189"/>
      <c r="AX201" s="361"/>
      <c r="AY201" s="361"/>
      <c r="AZ201" s="361"/>
      <c r="BA201" s="361"/>
      <c r="BB201" s="361"/>
      <c r="BC201" s="373"/>
    </row>
    <row r="202" spans="1:55" ht="18" customHeight="1">
      <c r="A202" s="184" t="s">
        <v>762</v>
      </c>
      <c r="B202" s="184">
        <v>44946</v>
      </c>
      <c r="C202" s="185" t="s">
        <v>1050</v>
      </c>
      <c r="D202" s="185" t="s">
        <v>88</v>
      </c>
      <c r="E202" s="238"/>
      <c r="F202" s="187"/>
      <c r="G202" s="188" t="s">
        <v>110</v>
      </c>
      <c r="H202" s="189"/>
      <c r="I202" s="189"/>
      <c r="J202" s="189"/>
      <c r="K202" s="190"/>
      <c r="L202" s="189">
        <v>1</v>
      </c>
      <c r="M202" s="189"/>
      <c r="N202" s="189"/>
      <c r="O202" s="190" t="s">
        <v>71</v>
      </c>
      <c r="P202" s="190" t="s">
        <v>72</v>
      </c>
      <c r="Q202" s="190" t="s">
        <v>73</v>
      </c>
      <c r="R202" s="190">
        <v>3</v>
      </c>
      <c r="S202" s="190">
        <v>3</v>
      </c>
      <c r="T202" s="190">
        <v>3</v>
      </c>
      <c r="U202" s="190" t="s">
        <v>73</v>
      </c>
      <c r="V202" s="191">
        <f t="shared" si="95"/>
        <v>0.01</v>
      </c>
      <c r="W202" s="191">
        <f t="shared" si="108"/>
        <v>1670</v>
      </c>
      <c r="X202" s="192" t="s">
        <v>1051</v>
      </c>
      <c r="Y202" s="192"/>
      <c r="Z202" s="192"/>
      <c r="AA202" s="193">
        <v>-0.02</v>
      </c>
      <c r="AB202" s="189"/>
      <c r="AC202" s="189">
        <v>0.01</v>
      </c>
      <c r="AD202" s="189"/>
      <c r="AE202" s="189">
        <v>0.03</v>
      </c>
      <c r="AF202" s="189"/>
      <c r="AG202" s="189"/>
      <c r="AH202" s="189"/>
      <c r="AI202" s="194">
        <f t="shared" ref="AI202:AI206" si="116">-0.03*W202</f>
        <v>-50.1</v>
      </c>
      <c r="AJ202" s="194">
        <f t="shared" si="112"/>
        <v>-150.30000000000001</v>
      </c>
      <c r="AK202" s="189"/>
      <c r="AL202" s="189"/>
      <c r="AM202" s="189" t="s">
        <v>919</v>
      </c>
      <c r="AN202" s="189" t="s">
        <v>82</v>
      </c>
      <c r="AO202" s="189" t="s">
        <v>1052</v>
      </c>
      <c r="AP202" s="196">
        <v>-0.03</v>
      </c>
      <c r="AQ202" s="196">
        <f t="shared" si="113"/>
        <v>9.9999999999999985E-3</v>
      </c>
      <c r="AR202" s="194">
        <f t="shared" si="114"/>
        <v>50.099999999999987</v>
      </c>
      <c r="AS202" s="197">
        <f t="shared" si="115"/>
        <v>16.699999999999996</v>
      </c>
      <c r="AT202" s="198" t="s">
        <v>72</v>
      </c>
      <c r="AU202" s="189"/>
      <c r="AV202" s="189"/>
      <c r="AW202" s="189"/>
      <c r="AX202" s="361"/>
      <c r="AY202" s="361"/>
      <c r="AZ202" s="361"/>
      <c r="BA202" s="361"/>
      <c r="BB202" s="361"/>
      <c r="BC202" s="373"/>
    </row>
    <row r="203" spans="1:55" ht="18" customHeight="1">
      <c r="A203" s="184" t="s">
        <v>762</v>
      </c>
      <c r="B203" s="184">
        <v>44946</v>
      </c>
      <c r="C203" s="185" t="s">
        <v>1053</v>
      </c>
      <c r="D203" s="185" t="s">
        <v>88</v>
      </c>
      <c r="E203" s="238"/>
      <c r="F203" s="187"/>
      <c r="G203" s="252" t="s">
        <v>734</v>
      </c>
      <c r="H203" s="189"/>
      <c r="I203" s="189"/>
      <c r="J203" s="189"/>
      <c r="K203" s="190"/>
      <c r="L203" s="189">
        <v>1</v>
      </c>
      <c r="M203" s="189"/>
      <c r="N203" s="189"/>
      <c r="O203" s="190" t="s">
        <v>71</v>
      </c>
      <c r="P203" s="190" t="s">
        <v>72</v>
      </c>
      <c r="Q203" s="190" t="s">
        <v>73</v>
      </c>
      <c r="R203" s="190">
        <v>1</v>
      </c>
      <c r="S203" s="190">
        <v>1</v>
      </c>
      <c r="T203" s="190">
        <v>1</v>
      </c>
      <c r="U203" s="190" t="s">
        <v>21</v>
      </c>
      <c r="V203" s="191">
        <f t="shared" si="95"/>
        <v>0.01</v>
      </c>
      <c r="W203" s="191">
        <f t="shared" si="108"/>
        <v>1670</v>
      </c>
      <c r="X203" s="192" t="s">
        <v>1048</v>
      </c>
      <c r="Y203" s="192"/>
      <c r="Z203" s="192"/>
      <c r="AA203" s="193">
        <v>7.0000000000000007E-2</v>
      </c>
      <c r="AB203" s="189"/>
      <c r="AC203" s="189">
        <v>0.04</v>
      </c>
      <c r="AD203" s="189"/>
      <c r="AE203" s="189"/>
      <c r="AF203" s="189"/>
      <c r="AG203" s="189"/>
      <c r="AH203" s="189"/>
      <c r="AI203" s="194">
        <f t="shared" si="116"/>
        <v>-50.1</v>
      </c>
      <c r="AJ203" s="194">
        <f t="shared" si="112"/>
        <v>-50.1</v>
      </c>
      <c r="AK203" s="189"/>
      <c r="AL203" s="189"/>
      <c r="AM203" s="189" t="s">
        <v>781</v>
      </c>
      <c r="AN203" s="189" t="s">
        <v>92</v>
      </c>
      <c r="AO203" s="189" t="s">
        <v>419</v>
      </c>
      <c r="AP203" s="196">
        <v>0.08</v>
      </c>
      <c r="AQ203" s="196">
        <f t="shared" si="113"/>
        <v>9.999999999999995E-3</v>
      </c>
      <c r="AR203" s="194">
        <f t="shared" si="114"/>
        <v>16.699999999999992</v>
      </c>
      <c r="AS203" s="197">
        <f t="shared" si="115"/>
        <v>16.699999999999992</v>
      </c>
      <c r="AT203" s="198" t="s">
        <v>72</v>
      </c>
      <c r="AU203" s="189"/>
      <c r="AV203" s="189"/>
      <c r="AW203" s="189"/>
      <c r="AX203" s="361"/>
      <c r="AY203" s="361"/>
      <c r="AZ203" s="361"/>
      <c r="BA203" s="361"/>
      <c r="BB203" s="361"/>
      <c r="BC203" s="373"/>
    </row>
    <row r="204" spans="1:55" ht="18" customHeight="1">
      <c r="A204" s="184" t="s">
        <v>762</v>
      </c>
      <c r="B204" s="282" t="s">
        <v>1054</v>
      </c>
      <c r="C204" s="185" t="s">
        <v>1055</v>
      </c>
      <c r="D204" s="185" t="s">
        <v>88</v>
      </c>
      <c r="E204" s="238"/>
      <c r="F204" s="187"/>
      <c r="G204" s="252" t="s">
        <v>342</v>
      </c>
      <c r="H204" s="189"/>
      <c r="I204" s="189"/>
      <c r="J204" s="189"/>
      <c r="K204" s="190"/>
      <c r="L204" s="189">
        <v>1</v>
      </c>
      <c r="M204" s="189">
        <v>1</v>
      </c>
      <c r="N204" s="189"/>
      <c r="O204" s="190" t="s">
        <v>71</v>
      </c>
      <c r="P204" s="190" t="s">
        <v>72</v>
      </c>
      <c r="Q204" s="190" t="s">
        <v>73</v>
      </c>
      <c r="R204" s="190">
        <v>4</v>
      </c>
      <c r="S204" s="190">
        <v>4</v>
      </c>
      <c r="T204" s="190">
        <v>3</v>
      </c>
      <c r="U204" s="190" t="s">
        <v>73</v>
      </c>
      <c r="V204" s="191">
        <f t="shared" si="95"/>
        <v>0.01</v>
      </c>
      <c r="W204" s="191">
        <f t="shared" si="108"/>
        <v>1670</v>
      </c>
      <c r="X204" s="192" t="s">
        <v>115</v>
      </c>
      <c r="Y204" s="192"/>
      <c r="Z204" s="192" t="s">
        <v>1056</v>
      </c>
      <c r="AA204" s="193">
        <v>-7.0000000000000007E-2</v>
      </c>
      <c r="AB204" s="189"/>
      <c r="AC204" s="189"/>
      <c r="AD204" s="189"/>
      <c r="AE204" s="189">
        <v>-0.08</v>
      </c>
      <c r="AF204" s="189"/>
      <c r="AG204" s="189"/>
      <c r="AH204" s="189"/>
      <c r="AI204" s="194">
        <f t="shared" si="116"/>
        <v>-50.1</v>
      </c>
      <c r="AJ204" s="194">
        <f t="shared" si="112"/>
        <v>-200.4</v>
      </c>
      <c r="AK204" s="189"/>
      <c r="AL204" s="189"/>
      <c r="AM204" s="189" t="s">
        <v>841</v>
      </c>
      <c r="AN204" s="189" t="s">
        <v>92</v>
      </c>
      <c r="AO204" s="189" t="s">
        <v>1046</v>
      </c>
      <c r="AP204" s="196">
        <v>-0.09</v>
      </c>
      <c r="AQ204" s="196">
        <f t="shared" si="113"/>
        <v>1.999999999999999E-2</v>
      </c>
      <c r="AR204" s="194">
        <f t="shared" si="114"/>
        <v>133.59999999999994</v>
      </c>
      <c r="AS204" s="197">
        <f t="shared" si="115"/>
        <v>33.399999999999984</v>
      </c>
      <c r="AT204" s="198" t="s">
        <v>72</v>
      </c>
      <c r="AU204" s="189" t="s">
        <v>1047</v>
      </c>
      <c r="AV204" s="189" t="s">
        <v>1057</v>
      </c>
      <c r="AW204" s="189"/>
      <c r="AX204" s="361"/>
      <c r="AY204" s="361"/>
      <c r="AZ204" s="361"/>
      <c r="BA204" s="361"/>
      <c r="BB204" s="361"/>
      <c r="BC204" s="373"/>
    </row>
    <row r="205" spans="1:55" ht="18" customHeight="1">
      <c r="A205" s="184" t="s">
        <v>762</v>
      </c>
      <c r="B205" s="184">
        <v>44946</v>
      </c>
      <c r="C205" s="185" t="s">
        <v>1058</v>
      </c>
      <c r="D205" s="185" t="s">
        <v>88</v>
      </c>
      <c r="E205" s="238"/>
      <c r="F205" s="187"/>
      <c r="G205" s="258" t="s">
        <v>110</v>
      </c>
      <c r="H205" s="189"/>
      <c r="I205" s="189"/>
      <c r="J205" s="189"/>
      <c r="K205" s="190"/>
      <c r="L205" s="189">
        <v>1</v>
      </c>
      <c r="M205" s="189"/>
      <c r="N205" s="189"/>
      <c r="O205" s="190" t="s">
        <v>71</v>
      </c>
      <c r="P205" s="190" t="s">
        <v>72</v>
      </c>
      <c r="Q205" s="190" t="s">
        <v>73</v>
      </c>
      <c r="R205" s="190">
        <v>3</v>
      </c>
      <c r="S205" s="190">
        <v>3</v>
      </c>
      <c r="T205" s="190">
        <v>3</v>
      </c>
      <c r="U205" s="190" t="s">
        <v>73</v>
      </c>
      <c r="V205" s="191">
        <f t="shared" si="95"/>
        <v>0.01</v>
      </c>
      <c r="W205" s="191">
        <f t="shared" si="108"/>
        <v>1670</v>
      </c>
      <c r="X205" s="192" t="s">
        <v>1051</v>
      </c>
      <c r="Y205" s="192"/>
      <c r="Z205" s="192" t="s">
        <v>1059</v>
      </c>
      <c r="AA205" s="193">
        <v>-0.02</v>
      </c>
      <c r="AB205" s="189"/>
      <c r="AC205" s="189">
        <v>1</v>
      </c>
      <c r="AD205" s="189"/>
      <c r="AE205" s="189">
        <v>-0.03</v>
      </c>
      <c r="AF205" s="189"/>
      <c r="AG205" s="189"/>
      <c r="AH205" s="189"/>
      <c r="AI205" s="194">
        <f t="shared" si="116"/>
        <v>-50.1</v>
      </c>
      <c r="AJ205" s="194">
        <f t="shared" si="112"/>
        <v>-150.30000000000001</v>
      </c>
      <c r="AK205" s="189"/>
      <c r="AL205" s="189"/>
      <c r="AM205" s="189" t="s">
        <v>841</v>
      </c>
      <c r="AN205" s="189" t="s">
        <v>92</v>
      </c>
      <c r="AO205" s="189" t="s">
        <v>1046</v>
      </c>
      <c r="AP205" s="196">
        <v>-0.04</v>
      </c>
      <c r="AQ205" s="196">
        <f t="shared" si="113"/>
        <v>0.02</v>
      </c>
      <c r="AR205" s="194">
        <f t="shared" si="114"/>
        <v>100.19999999999999</v>
      </c>
      <c r="AS205" s="197">
        <f t="shared" si="115"/>
        <v>33.4</v>
      </c>
      <c r="AT205" s="198" t="s">
        <v>72</v>
      </c>
      <c r="AU205" s="189"/>
      <c r="AV205" s="189"/>
      <c r="AW205" s="189"/>
      <c r="AX205" s="361"/>
      <c r="AY205" s="361"/>
      <c r="AZ205" s="361"/>
      <c r="BA205" s="361"/>
      <c r="BB205" s="361"/>
      <c r="BC205" s="373"/>
    </row>
    <row r="206" spans="1:55" ht="18" customHeight="1">
      <c r="A206" s="184" t="s">
        <v>762</v>
      </c>
      <c r="B206" s="184">
        <v>44949</v>
      </c>
      <c r="C206" s="185" t="s">
        <v>1060</v>
      </c>
      <c r="D206" s="185" t="s">
        <v>109</v>
      </c>
      <c r="E206" s="238"/>
      <c r="F206" s="187"/>
      <c r="G206" s="262" t="s">
        <v>734</v>
      </c>
      <c r="H206" s="189"/>
      <c r="I206" s="189"/>
      <c r="J206" s="189"/>
      <c r="K206" s="190"/>
      <c r="L206" s="189">
        <v>1</v>
      </c>
      <c r="M206" s="189"/>
      <c r="N206" s="189"/>
      <c r="O206" s="190" t="s">
        <v>71</v>
      </c>
      <c r="P206" s="190" t="s">
        <v>72</v>
      </c>
      <c r="Q206" s="190" t="s">
        <v>73</v>
      </c>
      <c r="R206" s="190">
        <v>1</v>
      </c>
      <c r="S206" s="190">
        <v>1</v>
      </c>
      <c r="T206" s="190">
        <v>1</v>
      </c>
      <c r="U206" s="190" t="s">
        <v>21</v>
      </c>
      <c r="V206" s="191">
        <f t="shared" si="95"/>
        <v>0.01</v>
      </c>
      <c r="W206" s="191">
        <f t="shared" si="108"/>
        <v>1670</v>
      </c>
      <c r="X206" s="192" t="s">
        <v>1048</v>
      </c>
      <c r="Y206" s="192"/>
      <c r="Z206" s="192"/>
      <c r="AA206" s="193">
        <v>0.05</v>
      </c>
      <c r="AB206" s="189"/>
      <c r="AC206" s="189">
        <v>0.04</v>
      </c>
      <c r="AD206" s="189"/>
      <c r="AE206" s="189"/>
      <c r="AF206" s="189"/>
      <c r="AG206" s="189"/>
      <c r="AH206" s="189"/>
      <c r="AI206" s="194">
        <f t="shared" si="116"/>
        <v>-50.1</v>
      </c>
      <c r="AJ206" s="194">
        <f t="shared" si="112"/>
        <v>-50.1</v>
      </c>
      <c r="AK206" s="189"/>
      <c r="AL206" s="189"/>
      <c r="AM206" s="189" t="s">
        <v>1061</v>
      </c>
      <c r="AN206" s="189" t="s">
        <v>82</v>
      </c>
      <c r="AO206" s="189" t="s">
        <v>419</v>
      </c>
      <c r="AP206" s="196">
        <v>0.08</v>
      </c>
      <c r="AQ206" s="196">
        <f t="shared" si="113"/>
        <v>0.03</v>
      </c>
      <c r="AR206" s="194">
        <f t="shared" si="114"/>
        <v>50.1</v>
      </c>
      <c r="AS206" s="197">
        <f t="shared" si="115"/>
        <v>50.1</v>
      </c>
      <c r="AT206" s="198" t="s">
        <v>72</v>
      </c>
      <c r="AU206" s="189"/>
      <c r="AV206" s="189"/>
      <c r="AW206" s="189"/>
      <c r="AX206" s="361"/>
      <c r="AY206" s="361"/>
      <c r="AZ206" s="361"/>
      <c r="BA206" s="361"/>
      <c r="BB206" s="361"/>
      <c r="BC206" s="373"/>
    </row>
    <row r="207" spans="1:55" ht="18" customHeight="1">
      <c r="A207" s="184" t="s">
        <v>762</v>
      </c>
      <c r="B207" s="184"/>
      <c r="C207" s="185"/>
      <c r="D207" s="185"/>
      <c r="E207" s="238"/>
      <c r="F207" s="187"/>
      <c r="G207" s="188"/>
      <c r="H207" s="189"/>
      <c r="I207" s="189"/>
      <c r="J207" s="189"/>
      <c r="K207" s="190"/>
      <c r="L207" s="189"/>
      <c r="M207" s="189"/>
      <c r="N207" s="189"/>
      <c r="O207" s="190"/>
      <c r="P207" s="190"/>
      <c r="Q207" s="190"/>
      <c r="R207" s="190"/>
      <c r="S207" s="190"/>
      <c r="T207" s="190"/>
      <c r="U207" s="190"/>
      <c r="V207" s="191">
        <f t="shared" si="95"/>
        <v>0</v>
      </c>
      <c r="W207" s="191">
        <f t="shared" si="108"/>
        <v>0</v>
      </c>
      <c r="X207" s="192"/>
      <c r="Y207" s="192"/>
      <c r="Z207" s="192"/>
      <c r="AA207" s="193"/>
      <c r="AB207" s="189"/>
      <c r="AC207" s="189"/>
      <c r="AD207" s="189"/>
      <c r="AE207" s="189"/>
      <c r="AF207" s="189"/>
      <c r="AG207" s="189"/>
      <c r="AH207" s="189"/>
      <c r="AI207" s="194"/>
      <c r="AJ207" s="190"/>
      <c r="AK207" s="189"/>
      <c r="AL207" s="189"/>
      <c r="AM207" s="189"/>
      <c r="AN207" s="189"/>
      <c r="AO207" s="189"/>
      <c r="AP207" s="196"/>
      <c r="AQ207" s="189">
        <f t="shared" si="113"/>
        <v>0</v>
      </c>
      <c r="AR207" s="194"/>
      <c r="AS207" s="197">
        <f t="shared" si="115"/>
        <v>0</v>
      </c>
      <c r="AT207" s="198"/>
      <c r="AU207" s="192" t="s">
        <v>964</v>
      </c>
      <c r="AV207" s="189" t="s">
        <v>1062</v>
      </c>
      <c r="AW207" s="189" t="s">
        <v>1063</v>
      </c>
      <c r="AX207" s="361"/>
      <c r="AY207" s="361"/>
      <c r="AZ207" s="361"/>
      <c r="BA207" s="361" t="s">
        <v>1064</v>
      </c>
      <c r="BB207" s="361"/>
      <c r="BC207" s="373"/>
    </row>
    <row r="208" spans="1:55" ht="18" customHeight="1">
      <c r="A208" s="184" t="s">
        <v>762</v>
      </c>
      <c r="B208" s="184">
        <v>44951</v>
      </c>
      <c r="C208" s="201">
        <v>0.25</v>
      </c>
      <c r="D208" s="185" t="s">
        <v>128</v>
      </c>
      <c r="E208" s="238" t="s">
        <v>1065</v>
      </c>
      <c r="F208" s="187" t="s">
        <v>1066</v>
      </c>
      <c r="G208" s="188"/>
      <c r="H208" s="189">
        <v>1</v>
      </c>
      <c r="I208" s="189"/>
      <c r="J208" s="189"/>
      <c r="K208" s="190" t="s">
        <v>82</v>
      </c>
      <c r="L208" s="189"/>
      <c r="M208" s="189"/>
      <c r="N208" s="189"/>
      <c r="O208" s="190"/>
      <c r="P208" s="190"/>
      <c r="Q208" s="190"/>
      <c r="R208" s="190"/>
      <c r="S208" s="190"/>
      <c r="T208" s="190"/>
      <c r="U208" s="190"/>
      <c r="V208" s="191">
        <f t="shared" si="95"/>
        <v>0</v>
      </c>
      <c r="W208" s="191">
        <f t="shared" si="108"/>
        <v>0</v>
      </c>
      <c r="X208" s="192"/>
      <c r="Y208" s="192"/>
      <c r="Z208" s="192"/>
      <c r="AA208" s="193"/>
      <c r="AB208" s="189"/>
      <c r="AC208" s="189"/>
      <c r="AD208" s="189"/>
      <c r="AE208" s="189"/>
      <c r="AF208" s="189"/>
      <c r="AG208" s="189"/>
      <c r="AH208" s="189"/>
      <c r="AI208" s="194"/>
      <c r="AJ208" s="190"/>
      <c r="AK208" s="189"/>
      <c r="AL208" s="189"/>
      <c r="AM208" s="189"/>
      <c r="AN208" s="189"/>
      <c r="AO208" s="189"/>
      <c r="AP208" s="196"/>
      <c r="AQ208" s="189">
        <f t="shared" si="113"/>
        <v>0</v>
      </c>
      <c r="AR208" s="194"/>
      <c r="AS208" s="197">
        <f t="shared" si="115"/>
        <v>0</v>
      </c>
      <c r="AT208" s="198"/>
      <c r="AU208" s="189" t="s">
        <v>1067</v>
      </c>
      <c r="AV208" s="189" t="s">
        <v>1068</v>
      </c>
      <c r="AW208" s="189" t="s">
        <v>1063</v>
      </c>
      <c r="AX208" s="361"/>
      <c r="AY208" s="361"/>
      <c r="AZ208" s="361"/>
      <c r="BA208" s="361"/>
      <c r="BB208" s="361"/>
      <c r="BC208" s="373"/>
    </row>
    <row r="209" spans="1:55" ht="18" customHeight="1">
      <c r="A209" s="184" t="s">
        <v>762</v>
      </c>
      <c r="B209" s="184"/>
      <c r="C209" s="185"/>
      <c r="D209" s="185"/>
      <c r="E209" s="238" t="s">
        <v>1069</v>
      </c>
      <c r="F209" s="187" t="s">
        <v>1070</v>
      </c>
      <c r="G209" s="188"/>
      <c r="H209" s="189">
        <v>1</v>
      </c>
      <c r="I209" s="189"/>
      <c r="J209" s="189"/>
      <c r="K209" s="190" t="s">
        <v>82</v>
      </c>
      <c r="L209" s="189"/>
      <c r="M209" s="189"/>
      <c r="N209" s="189"/>
      <c r="O209" s="190"/>
      <c r="P209" s="190"/>
      <c r="Q209" s="190"/>
      <c r="R209" s="190"/>
      <c r="S209" s="190"/>
      <c r="T209" s="190"/>
      <c r="U209" s="190"/>
      <c r="V209" s="191">
        <f t="shared" si="95"/>
        <v>0</v>
      </c>
      <c r="W209" s="191">
        <f t="shared" si="108"/>
        <v>0</v>
      </c>
      <c r="X209" s="192"/>
      <c r="Y209" s="192"/>
      <c r="Z209" s="192"/>
      <c r="AA209" s="193"/>
      <c r="AB209" s="189"/>
      <c r="AC209" s="189"/>
      <c r="AD209" s="189"/>
      <c r="AE209" s="189"/>
      <c r="AF209" s="189"/>
      <c r="AG209" s="189"/>
      <c r="AH209" s="189"/>
      <c r="AI209" s="194"/>
      <c r="AJ209" s="190"/>
      <c r="AK209" s="189"/>
      <c r="AL209" s="189"/>
      <c r="AM209" s="189"/>
      <c r="AN209" s="189"/>
      <c r="AO209" s="189"/>
      <c r="AP209" s="196"/>
      <c r="AQ209" s="189">
        <f t="shared" si="113"/>
        <v>0</v>
      </c>
      <c r="AR209" s="194"/>
      <c r="AS209" s="197">
        <f t="shared" si="115"/>
        <v>0</v>
      </c>
      <c r="AT209" s="198"/>
      <c r="AU209" s="189"/>
      <c r="AV209" s="189"/>
      <c r="AW209" s="189"/>
      <c r="AX209" s="361"/>
      <c r="AY209" s="361"/>
      <c r="AZ209" s="361"/>
      <c r="BA209" s="361"/>
      <c r="BB209" s="361"/>
      <c r="BC209" s="373"/>
    </row>
    <row r="210" spans="1:55" ht="18" customHeight="1">
      <c r="A210" s="184" t="s">
        <v>762</v>
      </c>
      <c r="B210" s="184"/>
      <c r="C210" s="185"/>
      <c r="D210" s="185"/>
      <c r="E210" s="238" t="s">
        <v>1071</v>
      </c>
      <c r="F210" s="187"/>
      <c r="G210" s="188"/>
      <c r="H210" s="189">
        <v>1</v>
      </c>
      <c r="I210" s="189"/>
      <c r="J210" s="189"/>
      <c r="K210" s="190" t="s">
        <v>82</v>
      </c>
      <c r="L210" s="189"/>
      <c r="M210" s="189"/>
      <c r="N210" s="189"/>
      <c r="O210" s="190"/>
      <c r="P210" s="190"/>
      <c r="Q210" s="190"/>
      <c r="R210" s="190"/>
      <c r="S210" s="190"/>
      <c r="T210" s="190"/>
      <c r="U210" s="190"/>
      <c r="V210" s="191">
        <f t="shared" si="95"/>
        <v>0</v>
      </c>
      <c r="W210" s="191">
        <f t="shared" si="108"/>
        <v>0</v>
      </c>
      <c r="X210" s="192"/>
      <c r="Y210" s="192"/>
      <c r="Z210" s="192"/>
      <c r="AA210" s="193"/>
      <c r="AB210" s="189"/>
      <c r="AC210" s="189"/>
      <c r="AD210" s="189"/>
      <c r="AE210" s="189"/>
      <c r="AF210" s="189"/>
      <c r="AG210" s="189"/>
      <c r="AH210" s="189"/>
      <c r="AI210" s="194"/>
      <c r="AJ210" s="190"/>
      <c r="AK210" s="189"/>
      <c r="AL210" s="189"/>
      <c r="AM210" s="189"/>
      <c r="AN210" s="189"/>
      <c r="AO210" s="189"/>
      <c r="AP210" s="196"/>
      <c r="AQ210" s="189">
        <f t="shared" si="113"/>
        <v>0</v>
      </c>
      <c r="AR210" s="194"/>
      <c r="AS210" s="197">
        <f t="shared" si="115"/>
        <v>0</v>
      </c>
      <c r="AT210" s="198"/>
      <c r="AU210" s="189"/>
      <c r="AV210" s="189"/>
      <c r="AW210" s="189"/>
      <c r="AX210" s="361"/>
      <c r="AY210" s="361"/>
      <c r="AZ210" s="361"/>
      <c r="BA210" s="361"/>
      <c r="BB210" s="361"/>
      <c r="BC210" s="373"/>
    </row>
    <row r="211" spans="1:55" ht="18" customHeight="1">
      <c r="A211" s="184" t="s">
        <v>762</v>
      </c>
      <c r="B211" s="184">
        <v>44951</v>
      </c>
      <c r="C211" s="185" t="s">
        <v>659</v>
      </c>
      <c r="D211" s="185" t="s">
        <v>128</v>
      </c>
      <c r="E211" s="238"/>
      <c r="F211" s="187"/>
      <c r="G211" s="188" t="s">
        <v>1072</v>
      </c>
      <c r="H211" s="189"/>
      <c r="I211" s="189"/>
      <c r="J211" s="189"/>
      <c r="K211" s="190"/>
      <c r="L211" s="189">
        <v>2</v>
      </c>
      <c r="M211" s="189"/>
      <c r="N211" s="189"/>
      <c r="O211" s="190" t="s">
        <v>71</v>
      </c>
      <c r="P211" s="190" t="s">
        <v>114</v>
      </c>
      <c r="Q211" s="190" t="s">
        <v>661</v>
      </c>
      <c r="R211" s="190">
        <v>1</v>
      </c>
      <c r="S211" s="190">
        <v>1</v>
      </c>
      <c r="T211" s="190">
        <v>1</v>
      </c>
      <c r="U211" s="190" t="s">
        <v>73</v>
      </c>
      <c r="V211" s="191">
        <f t="shared" si="95"/>
        <v>0.01</v>
      </c>
      <c r="W211" s="191">
        <f t="shared" ref="W211:W219" si="117">IF(ISBLANK(O211),,IF(O211=UPPER("IB"),8.63*200,17*100))</f>
        <v>1700</v>
      </c>
      <c r="X211" s="192" t="s">
        <v>1073</v>
      </c>
      <c r="Y211" s="192" t="s">
        <v>1074</v>
      </c>
      <c r="Z211" s="192"/>
      <c r="AA211" s="193">
        <v>96.52</v>
      </c>
      <c r="AB211" s="189"/>
      <c r="AC211" s="189"/>
      <c r="AD211" s="189"/>
      <c r="AE211" s="189"/>
      <c r="AF211" s="189"/>
      <c r="AG211" s="189"/>
      <c r="AH211" s="189"/>
      <c r="AI211" s="194">
        <f t="shared" ref="AI211:AI212" si="118">-0.03*W211</f>
        <v>-51</v>
      </c>
      <c r="AJ211" s="194">
        <f t="shared" ref="AJ211:AJ212" si="119">AI211*R211</f>
        <v>-51</v>
      </c>
      <c r="AK211" s="189"/>
      <c r="AL211" s="189"/>
      <c r="AM211" s="189" t="s">
        <v>1075</v>
      </c>
      <c r="AN211" s="189" t="s">
        <v>371</v>
      </c>
      <c r="AO211" s="189" t="s">
        <v>659</v>
      </c>
      <c r="AP211" s="196">
        <v>96.48</v>
      </c>
      <c r="AQ211" s="196">
        <f t="shared" si="113"/>
        <v>3.9999999999992042E-2</v>
      </c>
      <c r="AR211" s="194">
        <f>AS211*R211</f>
        <v>67.999999999986471</v>
      </c>
      <c r="AS211" s="197">
        <f t="shared" si="115"/>
        <v>67.999999999986471</v>
      </c>
      <c r="AT211" s="198" t="s">
        <v>72</v>
      </c>
      <c r="AU211" s="189" t="s">
        <v>1076</v>
      </c>
      <c r="AV211" s="189" t="s">
        <v>1077</v>
      </c>
      <c r="AW211" s="189" t="s">
        <v>1078</v>
      </c>
      <c r="AX211" s="361"/>
      <c r="AY211" s="361"/>
      <c r="AZ211" s="361"/>
      <c r="BA211" s="361" t="s">
        <v>1079</v>
      </c>
      <c r="BB211" s="361"/>
      <c r="BC211" s="373"/>
    </row>
    <row r="212" spans="1:55" ht="18" customHeight="1">
      <c r="A212" s="184" t="s">
        <v>762</v>
      </c>
      <c r="B212" s="184">
        <v>44951</v>
      </c>
      <c r="C212" s="185" t="s">
        <v>659</v>
      </c>
      <c r="D212" s="185" t="s">
        <v>128</v>
      </c>
      <c r="E212" s="238"/>
      <c r="F212" s="286"/>
      <c r="G212" s="188" t="s">
        <v>1033</v>
      </c>
      <c r="H212" s="189"/>
      <c r="I212" s="189"/>
      <c r="J212" s="189"/>
      <c r="K212" s="190"/>
      <c r="L212" s="189">
        <v>1</v>
      </c>
      <c r="M212" s="189">
        <v>1</v>
      </c>
      <c r="N212" s="189"/>
      <c r="O212" s="190" t="s">
        <v>1034</v>
      </c>
      <c r="P212" s="190" t="s">
        <v>72</v>
      </c>
      <c r="Q212" s="190" t="s">
        <v>661</v>
      </c>
      <c r="R212" s="190">
        <v>2</v>
      </c>
      <c r="S212" s="190">
        <v>2</v>
      </c>
      <c r="T212" s="190">
        <v>2</v>
      </c>
      <c r="U212" s="190" t="s">
        <v>21</v>
      </c>
      <c r="V212" s="191">
        <f t="shared" si="95"/>
        <v>5.0000000000000001E-3</v>
      </c>
      <c r="W212" s="191">
        <f t="shared" si="117"/>
        <v>1726.0000000000002</v>
      </c>
      <c r="X212" s="192"/>
      <c r="Y212" s="192" t="s">
        <v>1080</v>
      </c>
      <c r="Z212" s="192"/>
      <c r="AA212" s="193">
        <v>96.76</v>
      </c>
      <c r="AB212" s="189"/>
      <c r="AC212" s="189"/>
      <c r="AD212" s="189"/>
      <c r="AE212" s="189"/>
      <c r="AF212" s="189"/>
      <c r="AG212" s="189"/>
      <c r="AH212" s="189"/>
      <c r="AI212" s="194">
        <f t="shared" si="118"/>
        <v>-51.780000000000008</v>
      </c>
      <c r="AJ212" s="194">
        <f t="shared" si="119"/>
        <v>-103.56000000000002</v>
      </c>
      <c r="AK212" s="189"/>
      <c r="AL212" s="189"/>
      <c r="AM212" s="189" t="s">
        <v>1081</v>
      </c>
      <c r="AN212" s="189" t="s">
        <v>371</v>
      </c>
      <c r="AO212" s="189" t="s">
        <v>659</v>
      </c>
      <c r="AP212" s="196">
        <v>96.754999999999995</v>
      </c>
      <c r="AQ212" s="196">
        <f t="shared" si="113"/>
        <v>-5.0000000000096634E-3</v>
      </c>
      <c r="AR212" s="194">
        <f>AS212*R212</f>
        <v>-17.260000000033362</v>
      </c>
      <c r="AS212" s="197">
        <f t="shared" si="115"/>
        <v>-8.6300000000166808</v>
      </c>
      <c r="AT212" s="198" t="s">
        <v>206</v>
      </c>
      <c r="AU212" s="189" t="s">
        <v>1082</v>
      </c>
      <c r="AV212" s="189" t="s">
        <v>1083</v>
      </c>
      <c r="AW212" s="189"/>
      <c r="AX212" s="361"/>
      <c r="AY212" s="361"/>
      <c r="AZ212" s="361"/>
      <c r="BA212" s="361"/>
      <c r="BB212" s="361"/>
      <c r="BC212" s="373"/>
    </row>
    <row r="213" spans="1:55" ht="18" customHeight="1">
      <c r="A213" s="184" t="s">
        <v>762</v>
      </c>
      <c r="B213" s="184"/>
      <c r="C213" s="201"/>
      <c r="D213" s="185"/>
      <c r="E213" s="238"/>
      <c r="F213" s="187"/>
      <c r="G213" s="188"/>
      <c r="H213" s="189"/>
      <c r="I213" s="189"/>
      <c r="J213" s="189"/>
      <c r="K213" s="190"/>
      <c r="L213" s="189"/>
      <c r="M213" s="189"/>
      <c r="N213" s="189"/>
      <c r="O213" s="190"/>
      <c r="P213" s="190"/>
      <c r="Q213" s="190"/>
      <c r="R213" s="190"/>
      <c r="S213" s="190"/>
      <c r="T213" s="190"/>
      <c r="U213" s="190"/>
      <c r="V213" s="191">
        <f t="shared" si="95"/>
        <v>0</v>
      </c>
      <c r="W213" s="191">
        <f t="shared" si="117"/>
        <v>0</v>
      </c>
      <c r="X213" s="192"/>
      <c r="Y213" s="192"/>
      <c r="Z213" s="192"/>
      <c r="AA213" s="193"/>
      <c r="AB213" s="189"/>
      <c r="AC213" s="189"/>
      <c r="AD213" s="189"/>
      <c r="AE213" s="189"/>
      <c r="AF213" s="189"/>
      <c r="AG213" s="189"/>
      <c r="AH213" s="189"/>
      <c r="AI213" s="194"/>
      <c r="AJ213" s="190"/>
      <c r="AK213" s="189"/>
      <c r="AL213" s="189"/>
      <c r="AM213" s="189"/>
      <c r="AN213" s="189"/>
      <c r="AO213" s="189"/>
      <c r="AP213" s="196"/>
      <c r="AQ213" s="189">
        <f t="shared" si="113"/>
        <v>0</v>
      </c>
      <c r="AR213" s="194"/>
      <c r="AS213" s="197">
        <f t="shared" si="115"/>
        <v>0</v>
      </c>
      <c r="AT213" s="198"/>
      <c r="AU213" s="287" t="s">
        <v>1084</v>
      </c>
      <c r="AV213" s="189" t="s">
        <v>1085</v>
      </c>
      <c r="AW213" s="192" t="s">
        <v>1086</v>
      </c>
      <c r="AX213" s="361"/>
      <c r="AY213" s="361"/>
      <c r="AZ213" s="361"/>
      <c r="BA213" s="361" t="s">
        <v>1087</v>
      </c>
      <c r="BB213" s="361" t="s">
        <v>1088</v>
      </c>
      <c r="BC213" s="373"/>
    </row>
    <row r="214" spans="1:55" ht="18" customHeight="1">
      <c r="A214" s="184" t="s">
        <v>762</v>
      </c>
      <c r="B214" s="184">
        <v>44951</v>
      </c>
      <c r="C214" s="201">
        <v>0.41666666666666669</v>
      </c>
      <c r="D214" s="185" t="s">
        <v>128</v>
      </c>
      <c r="E214" s="238"/>
      <c r="F214" s="187"/>
      <c r="G214" s="188" t="s">
        <v>734</v>
      </c>
      <c r="H214" s="189"/>
      <c r="I214" s="189"/>
      <c r="J214" s="189"/>
      <c r="K214" s="190"/>
      <c r="L214" s="189">
        <v>1</v>
      </c>
      <c r="M214" s="189"/>
      <c r="N214" s="189"/>
      <c r="O214" s="190" t="s">
        <v>71</v>
      </c>
      <c r="P214" s="190" t="s">
        <v>72</v>
      </c>
      <c r="Q214" s="190" t="s">
        <v>73</v>
      </c>
      <c r="R214" s="190">
        <v>2</v>
      </c>
      <c r="S214" s="190">
        <v>2</v>
      </c>
      <c r="T214" s="190">
        <v>2</v>
      </c>
      <c r="U214" s="190" t="s">
        <v>21</v>
      </c>
      <c r="V214" s="191">
        <f t="shared" si="95"/>
        <v>0.01</v>
      </c>
      <c r="W214" s="191">
        <f t="shared" si="117"/>
        <v>1700</v>
      </c>
      <c r="X214" s="192" t="s">
        <v>1089</v>
      </c>
      <c r="Y214" s="192"/>
      <c r="Z214" s="192" t="s">
        <v>1090</v>
      </c>
      <c r="AA214" s="193">
        <v>7.0000000000000007E-2</v>
      </c>
      <c r="AB214" s="189"/>
      <c r="AC214" s="189">
        <v>0.04</v>
      </c>
      <c r="AD214" s="189"/>
      <c r="AE214" s="189" t="s">
        <v>1091</v>
      </c>
      <c r="AF214" s="189"/>
      <c r="AG214" s="189"/>
      <c r="AH214" s="189"/>
      <c r="AI214" s="194">
        <f t="shared" ref="AI214:AI216" si="120">-0.03*W214</f>
        <v>-51</v>
      </c>
      <c r="AJ214" s="194">
        <f t="shared" ref="AJ214:AJ216" si="121">AI214*R214</f>
        <v>-102</v>
      </c>
      <c r="AK214" s="189"/>
      <c r="AL214" s="189"/>
      <c r="AM214" s="189" t="s">
        <v>747</v>
      </c>
      <c r="AN214" s="189" t="s">
        <v>92</v>
      </c>
      <c r="AO214" s="189" t="s">
        <v>1092</v>
      </c>
      <c r="AP214" s="196">
        <v>7.0000000000000007E-2</v>
      </c>
      <c r="AQ214" s="196">
        <f t="shared" si="113"/>
        <v>0</v>
      </c>
      <c r="AR214" s="194">
        <f>AS214*R214</f>
        <v>0</v>
      </c>
      <c r="AS214" s="197">
        <f t="shared" si="115"/>
        <v>0</v>
      </c>
      <c r="AT214" s="198" t="s">
        <v>92</v>
      </c>
      <c r="AU214" s="189" t="s">
        <v>1093</v>
      </c>
      <c r="AV214" s="189" t="s">
        <v>1094</v>
      </c>
      <c r="AW214" s="189"/>
      <c r="AX214" s="361"/>
      <c r="AY214" s="361"/>
      <c r="AZ214" s="361"/>
      <c r="BA214" s="361"/>
      <c r="BB214" s="361"/>
      <c r="BC214" s="373"/>
    </row>
    <row r="215" spans="1:55" ht="18" customHeight="1">
      <c r="A215" s="184" t="s">
        <v>762</v>
      </c>
      <c r="B215" s="184">
        <v>44951</v>
      </c>
      <c r="C215" s="185" t="s">
        <v>1095</v>
      </c>
      <c r="D215" s="185" t="s">
        <v>128</v>
      </c>
      <c r="E215" s="238"/>
      <c r="F215" s="187"/>
      <c r="G215" s="188" t="s">
        <v>110</v>
      </c>
      <c r="H215" s="189"/>
      <c r="I215" s="189"/>
      <c r="J215" s="189"/>
      <c r="K215" s="190"/>
      <c r="L215" s="189">
        <v>1</v>
      </c>
      <c r="M215" s="189"/>
      <c r="N215" s="189"/>
      <c r="O215" s="190" t="s">
        <v>71</v>
      </c>
      <c r="P215" s="190" t="s">
        <v>72</v>
      </c>
      <c r="Q215" s="190" t="s">
        <v>73</v>
      </c>
      <c r="R215" s="190">
        <v>4</v>
      </c>
      <c r="S215" s="190">
        <v>4</v>
      </c>
      <c r="T215" s="190">
        <v>4</v>
      </c>
      <c r="U215" s="190" t="s">
        <v>21</v>
      </c>
      <c r="V215" s="191">
        <f t="shared" si="95"/>
        <v>0.01</v>
      </c>
      <c r="W215" s="191">
        <f t="shared" si="117"/>
        <v>1700</v>
      </c>
      <c r="X215" s="192" t="s">
        <v>1096</v>
      </c>
      <c r="Y215" s="192"/>
      <c r="Z215" s="192"/>
      <c r="AA215" s="193">
        <v>-0.05</v>
      </c>
      <c r="AB215" s="189"/>
      <c r="AC215" s="189">
        <v>-0.08</v>
      </c>
      <c r="AD215" s="189"/>
      <c r="AE215" s="189"/>
      <c r="AF215" s="189"/>
      <c r="AG215" s="189"/>
      <c r="AH215" s="189"/>
      <c r="AI215" s="194">
        <f t="shared" si="120"/>
        <v>-51</v>
      </c>
      <c r="AJ215" s="194">
        <f t="shared" si="121"/>
        <v>-204</v>
      </c>
      <c r="AK215" s="189"/>
      <c r="AL215" s="189"/>
      <c r="AM215" s="189" t="s">
        <v>781</v>
      </c>
      <c r="AN215" s="189" t="s">
        <v>92</v>
      </c>
      <c r="AO215" s="189" t="s">
        <v>1097</v>
      </c>
      <c r="AP215" s="196">
        <v>-0.03</v>
      </c>
      <c r="AQ215" s="196">
        <f t="shared" si="113"/>
        <v>2.0000000000000004E-2</v>
      </c>
      <c r="AR215" s="194">
        <f>AS215*R215</f>
        <v>136.00000000000003</v>
      </c>
      <c r="AS215" s="197">
        <f t="shared" si="115"/>
        <v>34.000000000000007</v>
      </c>
      <c r="AT215" s="198" t="s">
        <v>72</v>
      </c>
      <c r="AU215" s="189"/>
      <c r="AV215" s="189"/>
      <c r="AW215" s="189"/>
      <c r="AX215" s="361"/>
      <c r="AY215" s="361"/>
      <c r="AZ215" s="361"/>
      <c r="BA215" s="361"/>
      <c r="BB215" s="361"/>
      <c r="BC215" s="373"/>
    </row>
    <row r="216" spans="1:55" ht="18" customHeight="1">
      <c r="A216" s="184" t="s">
        <v>762</v>
      </c>
      <c r="B216" s="184">
        <v>44953</v>
      </c>
      <c r="C216" s="185" t="s">
        <v>1098</v>
      </c>
      <c r="D216" s="185" t="s">
        <v>88</v>
      </c>
      <c r="E216" s="238"/>
      <c r="F216" s="187"/>
      <c r="G216" s="188" t="s">
        <v>248</v>
      </c>
      <c r="H216" s="189"/>
      <c r="I216" s="189"/>
      <c r="J216" s="189"/>
      <c r="K216" s="190"/>
      <c r="L216" s="189">
        <v>1</v>
      </c>
      <c r="M216" s="189"/>
      <c r="N216" s="189"/>
      <c r="O216" s="190" t="s">
        <v>71</v>
      </c>
      <c r="P216" s="190" t="s">
        <v>114</v>
      </c>
      <c r="Q216" s="190" t="s">
        <v>73</v>
      </c>
      <c r="R216" s="190">
        <v>2</v>
      </c>
      <c r="S216" s="190">
        <v>2</v>
      </c>
      <c r="T216" s="190">
        <v>2</v>
      </c>
      <c r="U216" s="190" t="s">
        <v>21</v>
      </c>
      <c r="V216" s="191">
        <f t="shared" si="95"/>
        <v>0.01</v>
      </c>
      <c r="W216" s="191">
        <f t="shared" si="117"/>
        <v>1700</v>
      </c>
      <c r="X216" s="192" t="s">
        <v>544</v>
      </c>
      <c r="Y216" s="192"/>
      <c r="Z216" s="192" t="s">
        <v>75</v>
      </c>
      <c r="AA216" s="193">
        <v>-0.16</v>
      </c>
      <c r="AB216" s="189"/>
      <c r="AC216" s="189">
        <v>-0.19</v>
      </c>
      <c r="AD216" s="189"/>
      <c r="AE216" s="189">
        <v>-0.15</v>
      </c>
      <c r="AF216" s="189"/>
      <c r="AG216" s="189"/>
      <c r="AH216" s="189"/>
      <c r="AI216" s="194">
        <f t="shared" si="120"/>
        <v>-51</v>
      </c>
      <c r="AJ216" s="194">
        <f t="shared" si="121"/>
        <v>-102</v>
      </c>
      <c r="AK216" s="189"/>
      <c r="AL216" s="189"/>
      <c r="AM216" s="189" t="s">
        <v>1099</v>
      </c>
      <c r="AN216" s="189" t="s">
        <v>371</v>
      </c>
      <c r="AO216" s="189" t="s">
        <v>1100</v>
      </c>
      <c r="AP216" s="196">
        <v>-0.15</v>
      </c>
      <c r="AQ216" s="196">
        <f t="shared" si="113"/>
        <v>1.0000000000000009E-2</v>
      </c>
      <c r="AR216" s="194">
        <f>AS216*R216</f>
        <v>34.000000000000028</v>
      </c>
      <c r="AS216" s="197">
        <f t="shared" si="115"/>
        <v>17.000000000000014</v>
      </c>
      <c r="AT216" s="198" t="s">
        <v>72</v>
      </c>
      <c r="AU216" s="189" t="s">
        <v>1101</v>
      </c>
      <c r="AV216" s="189"/>
      <c r="AW216" s="189"/>
      <c r="AX216" s="361"/>
      <c r="AY216" s="361"/>
      <c r="AZ216" s="361"/>
      <c r="BA216" s="361"/>
      <c r="BB216" s="361"/>
      <c r="BC216" s="373"/>
    </row>
    <row r="217" spans="1:55" ht="18" customHeight="1">
      <c r="A217" s="184" t="s">
        <v>762</v>
      </c>
      <c r="B217" s="184">
        <v>44953</v>
      </c>
      <c r="C217" s="201">
        <v>0.25</v>
      </c>
      <c r="D217" s="185" t="s">
        <v>88</v>
      </c>
      <c r="E217" s="238" t="s">
        <v>1102</v>
      </c>
      <c r="F217" s="187" t="s">
        <v>320</v>
      </c>
      <c r="G217" s="188"/>
      <c r="H217" s="189"/>
      <c r="I217" s="189"/>
      <c r="J217" s="189">
        <v>1</v>
      </c>
      <c r="K217" s="190" t="s">
        <v>92</v>
      </c>
      <c r="L217" s="189"/>
      <c r="M217" s="189"/>
      <c r="N217" s="189"/>
      <c r="O217" s="190"/>
      <c r="P217" s="190"/>
      <c r="Q217" s="190"/>
      <c r="R217" s="190"/>
      <c r="S217" s="190"/>
      <c r="T217" s="190"/>
      <c r="U217" s="190"/>
      <c r="V217" s="191">
        <f t="shared" si="95"/>
        <v>0</v>
      </c>
      <c r="W217" s="191">
        <f t="shared" si="117"/>
        <v>0</v>
      </c>
      <c r="X217" s="192"/>
      <c r="Y217" s="192"/>
      <c r="Z217" s="192"/>
      <c r="AA217" s="193"/>
      <c r="AB217" s="189"/>
      <c r="AC217" s="189"/>
      <c r="AD217" s="189"/>
      <c r="AE217" s="189"/>
      <c r="AF217" s="189"/>
      <c r="AG217" s="189"/>
      <c r="AH217" s="189"/>
      <c r="AI217" s="194"/>
      <c r="AJ217" s="190"/>
      <c r="AK217" s="189"/>
      <c r="AL217" s="189"/>
      <c r="AM217" s="189"/>
      <c r="AN217" s="189"/>
      <c r="AO217" s="189"/>
      <c r="AP217" s="196"/>
      <c r="AQ217" s="189">
        <f t="shared" si="113"/>
        <v>0</v>
      </c>
      <c r="AR217" s="194"/>
      <c r="AS217" s="197">
        <f t="shared" si="115"/>
        <v>0</v>
      </c>
      <c r="AT217" s="198"/>
      <c r="AU217" s="189"/>
      <c r="AV217" s="189"/>
      <c r="AW217" s="189"/>
      <c r="AX217" s="361"/>
      <c r="AY217" s="361"/>
      <c r="AZ217" s="361"/>
      <c r="BA217" s="361"/>
      <c r="BB217" s="361"/>
      <c r="BC217" s="373"/>
    </row>
    <row r="218" spans="1:55" ht="18" customHeight="1">
      <c r="A218" s="184" t="s">
        <v>762</v>
      </c>
      <c r="B218" s="184"/>
      <c r="C218" s="185"/>
      <c r="D218" s="185"/>
      <c r="E218" s="238" t="s">
        <v>1103</v>
      </c>
      <c r="F218" s="187"/>
      <c r="G218" s="188"/>
      <c r="H218" s="189"/>
      <c r="I218" s="189"/>
      <c r="J218" s="189">
        <v>1</v>
      </c>
      <c r="K218" s="190" t="s">
        <v>92</v>
      </c>
      <c r="L218" s="189"/>
      <c r="M218" s="189"/>
      <c r="N218" s="189"/>
      <c r="O218" s="190"/>
      <c r="P218" s="190"/>
      <c r="Q218" s="190"/>
      <c r="R218" s="190"/>
      <c r="S218" s="190"/>
      <c r="T218" s="190"/>
      <c r="U218" s="190"/>
      <c r="V218" s="191">
        <f t="shared" si="95"/>
        <v>0</v>
      </c>
      <c r="W218" s="191">
        <f t="shared" si="117"/>
        <v>0</v>
      </c>
      <c r="X218" s="192"/>
      <c r="Y218" s="192"/>
      <c r="Z218" s="192"/>
      <c r="AA218" s="193"/>
      <c r="AB218" s="189"/>
      <c r="AC218" s="189"/>
      <c r="AD218" s="189"/>
      <c r="AE218" s="189"/>
      <c r="AF218" s="189"/>
      <c r="AG218" s="189"/>
      <c r="AH218" s="189"/>
      <c r="AI218" s="194"/>
      <c r="AJ218" s="190"/>
      <c r="AK218" s="189"/>
      <c r="AL218" s="189"/>
      <c r="AM218" s="189"/>
      <c r="AN218" s="189"/>
      <c r="AO218" s="189"/>
      <c r="AP218" s="196"/>
      <c r="AQ218" s="189">
        <f t="shared" si="113"/>
        <v>0</v>
      </c>
      <c r="AR218" s="194"/>
      <c r="AS218" s="197">
        <f t="shared" si="115"/>
        <v>0</v>
      </c>
      <c r="AT218" s="198"/>
      <c r="AU218" s="189"/>
      <c r="AV218" s="189"/>
      <c r="AW218" s="189"/>
      <c r="AX218" s="361"/>
      <c r="AY218" s="361"/>
      <c r="AZ218" s="361"/>
      <c r="BA218" s="361"/>
      <c r="BB218" s="361"/>
      <c r="BC218" s="373"/>
    </row>
    <row r="219" spans="1:55" ht="18" customHeight="1">
      <c r="A219" s="184" t="s">
        <v>762</v>
      </c>
      <c r="B219" s="184">
        <v>44953</v>
      </c>
      <c r="C219" s="201">
        <v>0.375</v>
      </c>
      <c r="D219" s="185" t="s">
        <v>88</v>
      </c>
      <c r="E219" s="238"/>
      <c r="F219" s="187"/>
      <c r="G219" s="188" t="s">
        <v>110</v>
      </c>
      <c r="H219" s="189"/>
      <c r="I219" s="189"/>
      <c r="J219" s="189"/>
      <c r="K219" s="190"/>
      <c r="L219" s="189">
        <v>1</v>
      </c>
      <c r="M219" s="189"/>
      <c r="N219" s="189"/>
      <c r="O219" s="190" t="s">
        <v>71</v>
      </c>
      <c r="P219" s="190" t="s">
        <v>72</v>
      </c>
      <c r="Q219" s="190" t="s">
        <v>73</v>
      </c>
      <c r="R219" s="190">
        <v>4</v>
      </c>
      <c r="S219" s="190">
        <v>4</v>
      </c>
      <c r="T219" s="190">
        <v>4</v>
      </c>
      <c r="U219" s="284" t="s">
        <v>73</v>
      </c>
      <c r="V219" s="191">
        <f t="shared" si="95"/>
        <v>0.01</v>
      </c>
      <c r="W219" s="191">
        <f t="shared" si="117"/>
        <v>1700</v>
      </c>
      <c r="X219" s="192" t="s">
        <v>1104</v>
      </c>
      <c r="Y219" s="192"/>
      <c r="Z219" s="192"/>
      <c r="AA219" s="193">
        <v>-0.02</v>
      </c>
      <c r="AB219" s="189"/>
      <c r="AC219" s="189">
        <v>2</v>
      </c>
      <c r="AD219" s="189"/>
      <c r="AE219" s="189"/>
      <c r="AF219" s="189"/>
      <c r="AG219" s="189"/>
      <c r="AH219" s="189"/>
      <c r="AI219" s="194">
        <f>-0.04*W219</f>
        <v>-68</v>
      </c>
      <c r="AJ219" s="194">
        <f t="shared" ref="AJ219:AJ220" si="122">AI219*R219</f>
        <v>-272</v>
      </c>
      <c r="AK219" s="189"/>
      <c r="AL219" s="189"/>
      <c r="AM219" s="189" t="s">
        <v>781</v>
      </c>
      <c r="AN219" s="189" t="s">
        <v>92</v>
      </c>
      <c r="AO219" s="189" t="s">
        <v>1105</v>
      </c>
      <c r="AP219" s="196">
        <v>-2.5000000000000001E-2</v>
      </c>
      <c r="AQ219" s="196">
        <f t="shared" si="113"/>
        <v>5.000000000000001E-3</v>
      </c>
      <c r="AR219" s="194">
        <f>AS219*R219</f>
        <v>34.000000000000007</v>
      </c>
      <c r="AS219" s="197">
        <f t="shared" si="115"/>
        <v>8.5000000000000018</v>
      </c>
      <c r="AT219" s="198" t="s">
        <v>72</v>
      </c>
      <c r="AU219" s="189" t="s">
        <v>1106</v>
      </c>
      <c r="AV219" s="189" t="s">
        <v>1107</v>
      </c>
      <c r="AW219" s="189"/>
      <c r="AX219" s="361"/>
      <c r="AY219" s="361"/>
      <c r="AZ219" s="361"/>
      <c r="BA219" s="361"/>
      <c r="BB219" s="361"/>
      <c r="BC219" s="373"/>
    </row>
    <row r="220" spans="1:55" ht="18" customHeight="1">
      <c r="A220" s="184" t="s">
        <v>762</v>
      </c>
      <c r="B220" s="184">
        <v>44953</v>
      </c>
      <c r="C220" s="185" t="s">
        <v>1108</v>
      </c>
      <c r="D220" s="185" t="s">
        <v>88</v>
      </c>
      <c r="E220" s="238"/>
      <c r="F220" s="187"/>
      <c r="G220" s="188" t="s">
        <v>257</v>
      </c>
      <c r="H220" s="189"/>
      <c r="I220" s="189"/>
      <c r="J220" s="189"/>
      <c r="K220" s="190"/>
      <c r="L220" s="189">
        <v>1</v>
      </c>
      <c r="M220" s="189">
        <v>1</v>
      </c>
      <c r="N220" s="189"/>
      <c r="O220" s="190" t="s">
        <v>71</v>
      </c>
      <c r="P220" s="190" t="s">
        <v>72</v>
      </c>
      <c r="Q220" s="190" t="s">
        <v>73</v>
      </c>
      <c r="R220" s="190">
        <v>4</v>
      </c>
      <c r="S220" s="190">
        <v>4</v>
      </c>
      <c r="T220" s="190">
        <v>4</v>
      </c>
      <c r="U220" s="284" t="s">
        <v>73</v>
      </c>
      <c r="V220" s="191">
        <f t="shared" si="95"/>
        <v>0.01</v>
      </c>
      <c r="W220" s="191">
        <f>IF(ISBLANK(O220),,IF(O220=UPPER("IB"),8.63*200,16.9*100))</f>
        <v>1689.9999999999998</v>
      </c>
      <c r="X220" s="192" t="s">
        <v>1109</v>
      </c>
      <c r="Y220" s="192" t="s">
        <v>1110</v>
      </c>
      <c r="Z220" s="192" t="s">
        <v>1111</v>
      </c>
      <c r="AA220" s="193">
        <v>-0.09</v>
      </c>
      <c r="AB220" s="189"/>
      <c r="AC220" s="189">
        <v>2</v>
      </c>
      <c r="AD220" s="189"/>
      <c r="AE220" s="189" t="s">
        <v>1112</v>
      </c>
      <c r="AF220" s="189"/>
      <c r="AG220" s="189"/>
      <c r="AH220" s="189"/>
      <c r="AI220" s="194">
        <f>-0.03*W220</f>
        <v>-50.699999999999989</v>
      </c>
      <c r="AJ220" s="194">
        <f t="shared" si="122"/>
        <v>-202.79999999999995</v>
      </c>
      <c r="AK220" s="189"/>
      <c r="AL220" s="189"/>
      <c r="AM220" s="189" t="s">
        <v>566</v>
      </c>
      <c r="AN220" s="189" t="s">
        <v>92</v>
      </c>
      <c r="AO220" s="189" t="s">
        <v>1113</v>
      </c>
      <c r="AP220" s="196">
        <v>-0.11</v>
      </c>
      <c r="AQ220" s="196">
        <f t="shared" si="113"/>
        <v>2.0000000000000004E-2</v>
      </c>
      <c r="AR220" s="194">
        <f>AS220*R220</f>
        <v>135.20000000000002</v>
      </c>
      <c r="AS220" s="197">
        <f t="shared" si="115"/>
        <v>33.800000000000004</v>
      </c>
      <c r="AT220" s="198" t="s">
        <v>72</v>
      </c>
      <c r="AU220" s="189" t="s">
        <v>1114</v>
      </c>
      <c r="AV220" s="189"/>
      <c r="AW220" s="189"/>
      <c r="AX220" s="361"/>
      <c r="AY220" s="361"/>
      <c r="AZ220" s="361"/>
      <c r="BA220" s="361"/>
      <c r="BB220" s="361"/>
      <c r="BC220" s="373"/>
    </row>
    <row r="221" spans="1:55" ht="18" customHeight="1">
      <c r="A221" s="184" t="s">
        <v>762</v>
      </c>
      <c r="B221" s="184">
        <v>44957</v>
      </c>
      <c r="C221" s="185" t="s">
        <v>659</v>
      </c>
      <c r="D221" s="185" t="s">
        <v>123</v>
      </c>
      <c r="E221" s="238" t="s">
        <v>1115</v>
      </c>
      <c r="F221" s="187" t="s">
        <v>1116</v>
      </c>
      <c r="G221" s="188"/>
      <c r="H221" s="189"/>
      <c r="I221" s="189"/>
      <c r="J221" s="189"/>
      <c r="K221" s="190" t="s">
        <v>92</v>
      </c>
      <c r="L221" s="189"/>
      <c r="M221" s="189"/>
      <c r="N221" s="189"/>
      <c r="O221" s="190"/>
      <c r="P221" s="190"/>
      <c r="Q221" s="190"/>
      <c r="R221" s="190"/>
      <c r="S221" s="190"/>
      <c r="T221" s="190"/>
      <c r="U221" s="190"/>
      <c r="V221" s="191"/>
      <c r="W221" s="191"/>
      <c r="X221" s="192"/>
      <c r="Y221" s="192"/>
      <c r="Z221" s="192"/>
      <c r="AA221" s="193"/>
      <c r="AB221" s="189"/>
      <c r="AC221" s="189"/>
      <c r="AD221" s="189"/>
      <c r="AE221" s="189"/>
      <c r="AF221" s="189"/>
      <c r="AG221" s="189"/>
      <c r="AH221" s="189"/>
      <c r="AI221" s="194"/>
      <c r="AJ221" s="190"/>
      <c r="AK221" s="189"/>
      <c r="AL221" s="189"/>
      <c r="AM221" s="189"/>
      <c r="AN221" s="189"/>
      <c r="AO221" s="189"/>
      <c r="AP221" s="196"/>
      <c r="AQ221" s="189"/>
      <c r="AR221" s="194"/>
      <c r="AS221" s="197"/>
      <c r="AT221" s="198"/>
      <c r="AU221" s="189"/>
      <c r="AV221" s="189"/>
      <c r="AW221" s="189"/>
      <c r="AX221" s="361"/>
      <c r="AY221" s="361"/>
      <c r="AZ221" s="361"/>
      <c r="BA221" s="361"/>
      <c r="BB221" s="361"/>
      <c r="BC221" s="373"/>
    </row>
    <row r="222" spans="1:55" ht="18" customHeight="1">
      <c r="A222" s="184" t="s">
        <v>762</v>
      </c>
      <c r="B222" s="184">
        <v>44957</v>
      </c>
      <c r="C222" s="185" t="s">
        <v>659</v>
      </c>
      <c r="D222" s="185" t="s">
        <v>123</v>
      </c>
      <c r="E222" s="238"/>
      <c r="F222" s="187"/>
      <c r="G222" s="188" t="s">
        <v>1117</v>
      </c>
      <c r="H222" s="189"/>
      <c r="I222" s="189"/>
      <c r="J222" s="189"/>
      <c r="K222" s="190"/>
      <c r="L222" s="189"/>
      <c r="M222" s="189"/>
      <c r="N222" s="189"/>
      <c r="O222" s="190" t="s">
        <v>71</v>
      </c>
      <c r="P222" s="190" t="s">
        <v>72</v>
      </c>
      <c r="Q222" s="190" t="s">
        <v>661</v>
      </c>
      <c r="R222" s="190">
        <v>1</v>
      </c>
      <c r="S222" s="190">
        <v>1</v>
      </c>
      <c r="T222" s="190">
        <v>1</v>
      </c>
      <c r="U222" s="190" t="s">
        <v>21</v>
      </c>
      <c r="V222" s="191">
        <f t="shared" ref="V222:V243" si="123">IF(ISBLANK(O222),,(IF(O222=UPPER("IB"),0.005,0.01)))</f>
        <v>0.01</v>
      </c>
      <c r="W222" s="191">
        <f t="shared" ref="W222:W223" si="124">IF(ISBLANK(O222),,IF(O222=UPPER("IB"),8.63*200,16.9*100))</f>
        <v>1689.9999999999998</v>
      </c>
      <c r="X222" s="192" t="s">
        <v>1073</v>
      </c>
      <c r="Y222" s="192"/>
      <c r="Z222" s="192"/>
      <c r="AA222" s="193">
        <v>96.12</v>
      </c>
      <c r="AB222" s="189"/>
      <c r="AC222" s="189"/>
      <c r="AD222" s="189"/>
      <c r="AE222" s="189"/>
      <c r="AF222" s="189"/>
      <c r="AG222" s="189"/>
      <c r="AH222" s="189"/>
      <c r="AI222" s="194"/>
      <c r="AJ222" s="190"/>
      <c r="AK222" s="189"/>
      <c r="AL222" s="189"/>
      <c r="AM222" s="189" t="s">
        <v>1118</v>
      </c>
      <c r="AN222" s="189" t="s">
        <v>371</v>
      </c>
      <c r="AO222" s="189" t="s">
        <v>1119</v>
      </c>
      <c r="AP222" s="196">
        <v>96.13</v>
      </c>
      <c r="AQ222" s="196">
        <f>IF(ISBLANK(AP222),,IF(U222="S",AA222-AP222,AP222-AA222))</f>
        <v>9.9999999999909051E-3</v>
      </c>
      <c r="AR222" s="194">
        <f>AS222*R222</f>
        <v>16.899999999984626</v>
      </c>
      <c r="AS222" s="197">
        <f>IF(ISBLANK(AP222),,(AQ222*W222))</f>
        <v>16.899999999984626</v>
      </c>
      <c r="AT222" s="198" t="s">
        <v>72</v>
      </c>
      <c r="AU222" s="189" t="s">
        <v>1120</v>
      </c>
      <c r="AV222" s="189"/>
      <c r="AW222" s="189"/>
      <c r="AX222" s="361"/>
      <c r="AY222" s="361"/>
      <c r="AZ222" s="361"/>
      <c r="BA222" s="361" t="s">
        <v>172</v>
      </c>
      <c r="BB222" s="361"/>
      <c r="BC222" s="373"/>
    </row>
    <row r="223" spans="1:55" ht="18" customHeight="1">
      <c r="A223" s="184" t="s">
        <v>762</v>
      </c>
      <c r="B223" s="184"/>
      <c r="C223" s="185"/>
      <c r="D223" s="185"/>
      <c r="E223" s="238"/>
      <c r="F223" s="187"/>
      <c r="G223" s="188"/>
      <c r="H223" s="189"/>
      <c r="I223" s="189"/>
      <c r="J223" s="189"/>
      <c r="K223" s="190"/>
      <c r="L223" s="189"/>
      <c r="M223" s="189"/>
      <c r="N223" s="189"/>
      <c r="O223" s="190"/>
      <c r="P223" s="190"/>
      <c r="Q223" s="190"/>
      <c r="R223" s="190"/>
      <c r="S223" s="190"/>
      <c r="T223" s="190"/>
      <c r="U223" s="190"/>
      <c r="V223" s="191">
        <f t="shared" si="123"/>
        <v>0</v>
      </c>
      <c r="W223" s="191">
        <f t="shared" si="124"/>
        <v>0</v>
      </c>
      <c r="X223" s="192"/>
      <c r="Y223" s="192"/>
      <c r="Z223" s="192"/>
      <c r="AA223" s="193"/>
      <c r="AB223" s="189"/>
      <c r="AC223" s="189"/>
      <c r="AD223" s="189"/>
      <c r="AE223" s="189"/>
      <c r="AF223" s="189"/>
      <c r="AG223" s="189"/>
      <c r="AH223" s="189"/>
      <c r="AI223" s="194"/>
      <c r="AJ223" s="190"/>
      <c r="AK223" s="189"/>
      <c r="AL223" s="189"/>
      <c r="AM223" s="189"/>
      <c r="AN223" s="189"/>
      <c r="AO223" s="189"/>
      <c r="AP223" s="196"/>
      <c r="AQ223" s="189">
        <f>IF(ISBLANK(AP223),,IF(U223="S",AA223-AP223,AP223-AA223))</f>
        <v>0</v>
      </c>
      <c r="AR223" s="194">
        <f>AS223*R223</f>
        <v>0</v>
      </c>
      <c r="AS223" s="197">
        <f>IF(ISBLANK(AP223),,(AQ223*W223))</f>
        <v>0</v>
      </c>
      <c r="AT223" s="198"/>
      <c r="AU223" s="189"/>
      <c r="AV223" s="189"/>
      <c r="AW223" s="189"/>
      <c r="AX223" s="361"/>
      <c r="AY223" s="361"/>
      <c r="AZ223" s="361"/>
      <c r="BA223" s="361"/>
      <c r="BB223" s="361"/>
      <c r="BC223" s="373"/>
    </row>
    <row r="224" spans="1:55" ht="18" customHeight="1">
      <c r="A224" s="184" t="s">
        <v>762</v>
      </c>
      <c r="B224" s="208"/>
      <c r="C224" s="209"/>
      <c r="D224" s="209"/>
      <c r="E224" s="259"/>
      <c r="F224" s="211"/>
      <c r="G224" s="212"/>
      <c r="H224" s="213"/>
      <c r="I224" s="213"/>
      <c r="J224" s="213"/>
      <c r="K224" s="214"/>
      <c r="L224" s="213"/>
      <c r="M224" s="213"/>
      <c r="N224" s="213"/>
      <c r="O224" s="214"/>
      <c r="P224" s="214"/>
      <c r="Q224" s="214"/>
      <c r="R224" s="214"/>
      <c r="S224" s="214"/>
      <c r="T224" s="214"/>
      <c r="U224" s="214"/>
      <c r="V224" s="214"/>
      <c r="W224" s="214"/>
      <c r="X224" s="214"/>
      <c r="Y224" s="214"/>
      <c r="Z224" s="214"/>
      <c r="AA224" s="217"/>
      <c r="AB224" s="213"/>
      <c r="AC224" s="213"/>
      <c r="AD224" s="213"/>
      <c r="AE224" s="213"/>
      <c r="AF224" s="213"/>
      <c r="AG224" s="213"/>
      <c r="AH224" s="213"/>
      <c r="AI224" s="218"/>
      <c r="AJ224" s="214"/>
      <c r="AK224" s="213"/>
      <c r="AL224" s="213"/>
      <c r="AM224" s="213"/>
      <c r="AN224" s="213"/>
      <c r="AO224" s="213"/>
      <c r="AP224" s="219"/>
      <c r="AQ224" s="213">
        <f>IF(ISBLANK(AP224),,IF(U224="S",AA224-AP224,AP224-AA224))</f>
        <v>0</v>
      </c>
      <c r="AR224" s="218">
        <f>AS224*R224</f>
        <v>0</v>
      </c>
      <c r="AS224" s="220">
        <f>IF(ISBLANK(AP224),,(AQ224*W224))</f>
        <v>0</v>
      </c>
      <c r="AT224" s="221"/>
      <c r="AU224" s="222" t="s">
        <v>1121</v>
      </c>
      <c r="AV224" s="222" t="s">
        <v>1122</v>
      </c>
      <c r="AW224" s="222" t="s">
        <v>1123</v>
      </c>
      <c r="AX224" s="364"/>
      <c r="AY224" s="364"/>
      <c r="AZ224" s="364"/>
      <c r="BA224" s="364"/>
      <c r="BB224" s="364"/>
      <c r="BC224" s="374"/>
    </row>
    <row r="225" spans="1:55" ht="18" customHeight="1">
      <c r="A225" s="288" t="s">
        <v>1124</v>
      </c>
      <c r="B225" s="288"/>
      <c r="C225" s="223"/>
      <c r="D225" s="223"/>
      <c r="E225" s="224"/>
      <c r="F225" s="225"/>
      <c r="G225" s="223"/>
      <c r="H225" s="223"/>
      <c r="I225" s="223"/>
      <c r="J225" s="223"/>
      <c r="K225" s="226"/>
      <c r="L225" s="223"/>
      <c r="M225" s="223"/>
      <c r="N225" s="223"/>
      <c r="O225" s="226"/>
      <c r="P225" s="226"/>
      <c r="Q225" s="226"/>
      <c r="R225" s="226"/>
      <c r="S225" s="226"/>
      <c r="T225" s="226"/>
      <c r="U225" s="226"/>
      <c r="V225" s="295"/>
      <c r="W225" s="295"/>
      <c r="X225" s="227"/>
      <c r="Y225" s="227"/>
      <c r="Z225" s="227"/>
      <c r="AA225" s="228"/>
      <c r="AB225" s="223"/>
      <c r="AC225" s="223"/>
      <c r="AD225" s="223"/>
      <c r="AE225" s="223"/>
      <c r="AF225" s="223"/>
      <c r="AG225" s="223"/>
      <c r="AH225" s="223"/>
      <c r="AI225" s="223"/>
      <c r="AJ225" s="223"/>
      <c r="AK225" s="223"/>
      <c r="AL225" s="223"/>
      <c r="AM225" s="223"/>
      <c r="AN225" s="223"/>
      <c r="AO225" s="223"/>
      <c r="AP225" s="230"/>
      <c r="AQ225" s="230"/>
      <c r="AR225" s="230"/>
      <c r="AS225" s="230"/>
      <c r="AT225" s="231"/>
      <c r="AU225" s="223"/>
      <c r="AV225" s="223"/>
      <c r="AW225" s="223"/>
      <c r="AX225" s="365"/>
      <c r="AY225" s="365"/>
      <c r="AZ225" s="365"/>
      <c r="BA225" s="365"/>
      <c r="BB225" s="365"/>
      <c r="BC225" s="365"/>
    </row>
    <row r="226" spans="1:55" ht="18" customHeight="1">
      <c r="A226" s="232" t="s">
        <v>1125</v>
      </c>
      <c r="B226" s="232">
        <v>44958</v>
      </c>
      <c r="C226" s="234"/>
      <c r="D226" s="234"/>
      <c r="E226" s="235"/>
      <c r="F226" s="236"/>
      <c r="G226" s="237"/>
      <c r="H226" s="172"/>
      <c r="I226" s="172"/>
      <c r="J226" s="172"/>
      <c r="K226" s="175"/>
      <c r="L226" s="172"/>
      <c r="M226" s="172"/>
      <c r="N226" s="172"/>
      <c r="O226" s="175"/>
      <c r="P226" s="175"/>
      <c r="Q226" s="175"/>
      <c r="R226" s="175"/>
      <c r="S226" s="175"/>
      <c r="T226" s="175"/>
      <c r="U226" s="175"/>
      <c r="V226" s="177"/>
      <c r="W226" s="177"/>
      <c r="X226" s="178"/>
      <c r="Y226" s="178"/>
      <c r="Z226" s="178"/>
      <c r="AA226" s="179"/>
      <c r="AB226" s="172"/>
      <c r="AC226" s="172"/>
      <c r="AD226" s="172"/>
      <c r="AE226" s="172"/>
      <c r="AF226" s="172"/>
      <c r="AG226" s="172"/>
      <c r="AH226" s="172"/>
      <c r="AI226" s="180"/>
      <c r="AJ226" s="175"/>
      <c r="AK226" s="172"/>
      <c r="AL226" s="172"/>
      <c r="AM226" s="172"/>
      <c r="AN226" s="172"/>
      <c r="AO226" s="172"/>
      <c r="AP226" s="181"/>
      <c r="AQ226" s="172">
        <f t="shared" ref="AQ226:AQ244" si="125">IF(ISBLANK(AP226),,IF(U226="S",AA226-AP226,AP226-AA226))</f>
        <v>0</v>
      </c>
      <c r="AR226" s="180"/>
      <c r="AS226" s="182">
        <f t="shared" ref="AS226:AS244" si="126">IF(ISBLANK(AP226),,(AQ226*W226))</f>
        <v>0</v>
      </c>
      <c r="AT226" s="183"/>
      <c r="AU226" s="289" t="s">
        <v>1126</v>
      </c>
      <c r="AV226" s="289" t="s">
        <v>1127</v>
      </c>
      <c r="AW226" s="172" t="s">
        <v>1128</v>
      </c>
      <c r="AX226" s="360" t="s">
        <v>1129</v>
      </c>
      <c r="AY226" s="360"/>
      <c r="AZ226" s="360"/>
      <c r="BA226" s="360"/>
      <c r="BB226" s="360"/>
      <c r="BC226" s="372"/>
    </row>
    <row r="227" spans="1:55" ht="18" customHeight="1">
      <c r="A227" s="184" t="s">
        <v>1125</v>
      </c>
      <c r="B227" s="184">
        <v>44959</v>
      </c>
      <c r="C227" s="185" t="s">
        <v>1130</v>
      </c>
      <c r="D227" s="185" t="s">
        <v>69</v>
      </c>
      <c r="E227" s="238"/>
      <c r="F227" s="187"/>
      <c r="G227" s="252" t="s">
        <v>110</v>
      </c>
      <c r="H227" s="189"/>
      <c r="I227" s="189"/>
      <c r="J227" s="189"/>
      <c r="K227" s="190"/>
      <c r="L227" s="189">
        <v>1</v>
      </c>
      <c r="M227" s="189"/>
      <c r="N227" s="189"/>
      <c r="O227" s="190" t="s">
        <v>71</v>
      </c>
      <c r="P227" s="190" t="s">
        <v>72</v>
      </c>
      <c r="Q227" s="190" t="s">
        <v>73</v>
      </c>
      <c r="R227" s="190">
        <v>3</v>
      </c>
      <c r="S227" s="190">
        <v>3</v>
      </c>
      <c r="T227" s="190">
        <v>3</v>
      </c>
      <c r="U227" s="190" t="s">
        <v>73</v>
      </c>
      <c r="V227" s="191">
        <f t="shared" si="123"/>
        <v>0.01</v>
      </c>
      <c r="W227" s="191">
        <f>IF(ISBLANK(O227),,IF(O227=UPPER("IB"),8.63*200,17.1*100))</f>
        <v>1710.0000000000002</v>
      </c>
      <c r="X227" s="192" t="s">
        <v>1131</v>
      </c>
      <c r="Y227" s="192"/>
      <c r="Z227" s="192" t="s">
        <v>75</v>
      </c>
      <c r="AA227" s="193">
        <v>-0.02</v>
      </c>
      <c r="AB227" s="189"/>
      <c r="AC227" s="189">
        <v>2</v>
      </c>
      <c r="AD227" s="189"/>
      <c r="AE227" s="189" t="s">
        <v>1132</v>
      </c>
      <c r="AF227" s="189"/>
      <c r="AG227" s="189"/>
      <c r="AH227" s="189"/>
      <c r="AI227" s="194">
        <f>-0.04*W227</f>
        <v>-68.400000000000006</v>
      </c>
      <c r="AJ227" s="194">
        <f>AI227*R227</f>
        <v>-205.20000000000002</v>
      </c>
      <c r="AK227" s="189"/>
      <c r="AL227" s="189"/>
      <c r="AM227" s="189" t="s">
        <v>823</v>
      </c>
      <c r="AN227" s="189" t="s">
        <v>82</v>
      </c>
      <c r="AO227" s="189" t="s">
        <v>1133</v>
      </c>
      <c r="AP227" s="196">
        <v>-0.04</v>
      </c>
      <c r="AQ227" s="196">
        <f t="shared" si="125"/>
        <v>0.02</v>
      </c>
      <c r="AR227" s="194">
        <f>AS227*R227</f>
        <v>102.60000000000001</v>
      </c>
      <c r="AS227" s="197">
        <f t="shared" si="126"/>
        <v>34.200000000000003</v>
      </c>
      <c r="AT227" s="198" t="s">
        <v>72</v>
      </c>
      <c r="AU227" s="189"/>
      <c r="AV227" s="189"/>
      <c r="AW227" s="189"/>
      <c r="AX227" s="361"/>
      <c r="AY227" s="361"/>
      <c r="AZ227" s="361"/>
      <c r="BA227" s="361"/>
      <c r="BB227" s="361"/>
      <c r="BC227" s="373"/>
    </row>
    <row r="228" spans="1:55" ht="18" customHeight="1">
      <c r="A228" s="184" t="s">
        <v>1125</v>
      </c>
      <c r="B228" s="184">
        <v>44959</v>
      </c>
      <c r="C228" s="185" t="s">
        <v>1134</v>
      </c>
      <c r="D228" s="185" t="s">
        <v>69</v>
      </c>
      <c r="E228" s="238" t="s">
        <v>1135</v>
      </c>
      <c r="F228" s="187" t="s">
        <v>1136</v>
      </c>
      <c r="G228" s="188"/>
      <c r="H228" s="189"/>
      <c r="I228" s="189">
        <v>1</v>
      </c>
      <c r="J228" s="189"/>
      <c r="K228" s="190"/>
      <c r="L228" s="189"/>
      <c r="M228" s="189"/>
      <c r="N228" s="189"/>
      <c r="O228" s="190"/>
      <c r="P228" s="190"/>
      <c r="Q228" s="190"/>
      <c r="R228" s="190"/>
      <c r="S228" s="190"/>
      <c r="T228" s="190"/>
      <c r="U228" s="190"/>
      <c r="V228" s="191"/>
      <c r="W228" s="191"/>
      <c r="X228" s="192"/>
      <c r="Y228" s="192"/>
      <c r="Z228" s="192"/>
      <c r="AA228" s="193"/>
      <c r="AB228" s="189"/>
      <c r="AC228" s="189"/>
      <c r="AD228" s="189"/>
      <c r="AE228" s="189"/>
      <c r="AF228" s="189"/>
      <c r="AG228" s="189"/>
      <c r="AH228" s="189"/>
      <c r="AI228" s="194"/>
      <c r="AJ228" s="190"/>
      <c r="AK228" s="189"/>
      <c r="AL228" s="189"/>
      <c r="AM228" s="189"/>
      <c r="AN228" s="189"/>
      <c r="AO228" s="189"/>
      <c r="AP228" s="196"/>
      <c r="AQ228" s="189">
        <f t="shared" si="125"/>
        <v>0</v>
      </c>
      <c r="AR228" s="194"/>
      <c r="AS228" s="197">
        <f t="shared" si="126"/>
        <v>0</v>
      </c>
      <c r="AT228" s="198"/>
      <c r="AU228" s="189"/>
      <c r="AV228" s="189"/>
      <c r="AW228" s="189"/>
      <c r="AX228" s="361"/>
      <c r="AY228" s="361"/>
      <c r="AZ228" s="361"/>
      <c r="BA228" s="361"/>
      <c r="BB228" s="361"/>
      <c r="BC228" s="373"/>
    </row>
    <row r="229" spans="1:55" ht="18" customHeight="1">
      <c r="A229" s="232" t="s">
        <v>1125</v>
      </c>
      <c r="B229" s="184">
        <v>44959</v>
      </c>
      <c r="C229" s="185" t="s">
        <v>1119</v>
      </c>
      <c r="D229" s="185" t="s">
        <v>69</v>
      </c>
      <c r="E229" s="238" t="s">
        <v>1137</v>
      </c>
      <c r="F229" s="187" t="s">
        <v>1138</v>
      </c>
      <c r="G229" s="188"/>
      <c r="H229" s="189"/>
      <c r="I229" s="189"/>
      <c r="J229" s="189"/>
      <c r="K229" s="190"/>
      <c r="L229" s="189"/>
      <c r="M229" s="189"/>
      <c r="N229" s="189"/>
      <c r="O229" s="190"/>
      <c r="P229" s="190"/>
      <c r="Q229" s="190"/>
      <c r="R229" s="190"/>
      <c r="S229" s="190"/>
      <c r="T229" s="190"/>
      <c r="U229" s="190"/>
      <c r="V229" s="191"/>
      <c r="W229" s="191"/>
      <c r="X229" s="192"/>
      <c r="Y229" s="192"/>
      <c r="Z229" s="192"/>
      <c r="AA229" s="193"/>
      <c r="AB229" s="189"/>
      <c r="AC229" s="189"/>
      <c r="AD229" s="189"/>
      <c r="AE229" s="189"/>
      <c r="AF229" s="189"/>
      <c r="AG229" s="189"/>
      <c r="AH229" s="189"/>
      <c r="AI229" s="194"/>
      <c r="AJ229" s="190"/>
      <c r="AK229" s="189"/>
      <c r="AL229" s="189"/>
      <c r="AM229" s="189"/>
      <c r="AN229" s="189"/>
      <c r="AO229" s="189"/>
      <c r="AP229" s="196"/>
      <c r="AQ229" s="189">
        <f t="shared" si="125"/>
        <v>0</v>
      </c>
      <c r="AR229" s="194"/>
      <c r="AS229" s="197">
        <f t="shared" si="126"/>
        <v>0</v>
      </c>
      <c r="AT229" s="198"/>
      <c r="AU229" s="189"/>
      <c r="AV229" s="189"/>
      <c r="AW229" s="189"/>
      <c r="AX229" s="361"/>
      <c r="AY229" s="361"/>
      <c r="AZ229" s="361"/>
      <c r="BA229" s="361"/>
      <c r="BB229" s="361"/>
      <c r="BC229" s="373"/>
    </row>
    <row r="230" spans="1:55" ht="18" customHeight="1">
      <c r="A230" s="184" t="s">
        <v>1125</v>
      </c>
      <c r="B230" s="184">
        <v>44959</v>
      </c>
      <c r="C230" s="185" t="s">
        <v>1139</v>
      </c>
      <c r="D230" s="185" t="s">
        <v>69</v>
      </c>
      <c r="E230" s="238"/>
      <c r="F230" s="187"/>
      <c r="G230" s="188" t="s">
        <v>257</v>
      </c>
      <c r="H230" s="189"/>
      <c r="I230" s="189"/>
      <c r="J230" s="189"/>
      <c r="K230" s="190"/>
      <c r="L230" s="189">
        <v>1</v>
      </c>
      <c r="M230" s="189"/>
      <c r="N230" s="189"/>
      <c r="O230" s="190" t="s">
        <v>71</v>
      </c>
      <c r="P230" s="190" t="s">
        <v>114</v>
      </c>
      <c r="Q230" s="190" t="s">
        <v>73</v>
      </c>
      <c r="R230" s="190">
        <v>3</v>
      </c>
      <c r="S230" s="190">
        <v>3</v>
      </c>
      <c r="T230" s="190">
        <v>3</v>
      </c>
      <c r="U230" s="190" t="s">
        <v>21</v>
      </c>
      <c r="V230" s="191">
        <f t="shared" si="123"/>
        <v>0.01</v>
      </c>
      <c r="W230" s="191">
        <f t="shared" ref="W230:W243" si="127">IF(ISBLANK(O230),,IF(O230=UPPER("IB"),8.63*200,17*100))</f>
        <v>1700</v>
      </c>
      <c r="X230" s="192" t="s">
        <v>1140</v>
      </c>
      <c r="Y230" s="192"/>
      <c r="Z230" s="192" t="s">
        <v>75</v>
      </c>
      <c r="AA230" s="193">
        <v>-0.11</v>
      </c>
      <c r="AB230" s="189"/>
      <c r="AC230" s="189">
        <v>-0.13</v>
      </c>
      <c r="AD230" s="189"/>
      <c r="AE230" s="189">
        <v>-0.1</v>
      </c>
      <c r="AF230" s="189"/>
      <c r="AG230" s="189"/>
      <c r="AH230" s="189"/>
      <c r="AI230" s="194">
        <f t="shared" ref="AI230:AI232" si="128">-0.03*W230</f>
        <v>-51</v>
      </c>
      <c r="AJ230" s="194">
        <f t="shared" ref="AJ230:AJ236" si="129">AI230*R230</f>
        <v>-153</v>
      </c>
      <c r="AK230" s="189" t="s">
        <v>1141</v>
      </c>
      <c r="AL230" s="189"/>
      <c r="AM230" s="189"/>
      <c r="AN230" s="189"/>
      <c r="AO230" s="189" t="s">
        <v>1142</v>
      </c>
      <c r="AP230" s="196">
        <v>-0.11</v>
      </c>
      <c r="AQ230" s="196">
        <f t="shared" si="125"/>
        <v>0</v>
      </c>
      <c r="AR230" s="194">
        <f t="shared" ref="AR230:AR236" si="130">AS230*R230</f>
        <v>0</v>
      </c>
      <c r="AS230" s="197">
        <f t="shared" si="126"/>
        <v>0</v>
      </c>
      <c r="AT230" s="198" t="s">
        <v>92</v>
      </c>
      <c r="AU230" s="189" t="s">
        <v>1143</v>
      </c>
      <c r="AV230" s="189"/>
      <c r="AW230" s="189"/>
      <c r="AX230" s="361"/>
      <c r="AY230" s="361"/>
      <c r="AZ230" s="361"/>
      <c r="BA230" s="361"/>
      <c r="BB230" s="361"/>
      <c r="BC230" s="373"/>
    </row>
    <row r="231" spans="1:55" ht="18" customHeight="1">
      <c r="A231" s="184" t="s">
        <v>1125</v>
      </c>
      <c r="B231" s="184">
        <v>44959</v>
      </c>
      <c r="C231" s="185" t="s">
        <v>1144</v>
      </c>
      <c r="D231" s="185" t="s">
        <v>69</v>
      </c>
      <c r="E231" s="238"/>
      <c r="F231" s="187"/>
      <c r="G231" s="279" t="s">
        <v>734</v>
      </c>
      <c r="H231" s="189"/>
      <c r="I231" s="189"/>
      <c r="J231" s="189"/>
      <c r="K231" s="190"/>
      <c r="L231" s="189">
        <v>1</v>
      </c>
      <c r="M231" s="189"/>
      <c r="N231" s="189"/>
      <c r="O231" s="190" t="s">
        <v>71</v>
      </c>
      <c r="P231" s="190" t="s">
        <v>72</v>
      </c>
      <c r="Q231" s="190" t="s">
        <v>73</v>
      </c>
      <c r="R231" s="190">
        <v>3</v>
      </c>
      <c r="S231" s="190">
        <v>3</v>
      </c>
      <c r="T231" s="190">
        <v>3</v>
      </c>
      <c r="U231" s="190" t="s">
        <v>21</v>
      </c>
      <c r="V231" s="191">
        <f t="shared" si="123"/>
        <v>0.01</v>
      </c>
      <c r="W231" s="191">
        <f t="shared" si="127"/>
        <v>1700</v>
      </c>
      <c r="X231" s="192" t="s">
        <v>1145</v>
      </c>
      <c r="Y231" s="192"/>
      <c r="Z231" s="192" t="s">
        <v>1146</v>
      </c>
      <c r="AA231" s="193">
        <v>0.04</v>
      </c>
      <c r="AB231" s="189"/>
      <c r="AC231" s="189">
        <v>0</v>
      </c>
      <c r="AD231" s="189"/>
      <c r="AE231" s="189">
        <v>4</v>
      </c>
      <c r="AF231" s="189"/>
      <c r="AG231" s="189"/>
      <c r="AH231" s="189"/>
      <c r="AI231" s="194">
        <f t="shared" si="128"/>
        <v>-51</v>
      </c>
      <c r="AJ231" s="194">
        <f t="shared" si="129"/>
        <v>-153</v>
      </c>
      <c r="AK231" s="189" t="s">
        <v>1147</v>
      </c>
      <c r="AL231" s="189"/>
      <c r="AM231" s="189" t="s">
        <v>823</v>
      </c>
      <c r="AN231" s="189" t="s">
        <v>82</v>
      </c>
      <c r="AO231" s="240">
        <v>0.29166666666666669</v>
      </c>
      <c r="AP231" s="196">
        <v>0.01</v>
      </c>
      <c r="AQ231" s="196">
        <f t="shared" si="125"/>
        <v>-0.03</v>
      </c>
      <c r="AR231" s="194">
        <f t="shared" si="130"/>
        <v>-153</v>
      </c>
      <c r="AS231" s="197">
        <f t="shared" si="126"/>
        <v>-51</v>
      </c>
      <c r="AT231" s="198" t="s">
        <v>206</v>
      </c>
      <c r="AU231" s="189" t="s">
        <v>1148</v>
      </c>
      <c r="AV231" s="189" t="s">
        <v>1149</v>
      </c>
      <c r="AW231" s="189" t="s">
        <v>1150</v>
      </c>
      <c r="AX231" s="361" t="s">
        <v>1151</v>
      </c>
      <c r="AY231" s="361" t="s">
        <v>1152</v>
      </c>
      <c r="AZ231" s="361"/>
      <c r="BA231" s="361" t="s">
        <v>1151</v>
      </c>
      <c r="BB231" s="361"/>
      <c r="BC231" s="373"/>
    </row>
    <row r="232" spans="1:55" ht="18" customHeight="1">
      <c r="A232" s="232" t="s">
        <v>1125</v>
      </c>
      <c r="B232" s="184">
        <v>44959</v>
      </c>
      <c r="C232" s="185" t="s">
        <v>1153</v>
      </c>
      <c r="D232" s="185" t="s">
        <v>69</v>
      </c>
      <c r="E232" s="238"/>
      <c r="F232" s="187"/>
      <c r="G232" s="283" t="s">
        <v>342</v>
      </c>
      <c r="H232" s="189"/>
      <c r="I232" s="189"/>
      <c r="J232" s="189"/>
      <c r="K232" s="190"/>
      <c r="L232" s="189">
        <v>1</v>
      </c>
      <c r="M232" s="189">
        <v>1</v>
      </c>
      <c r="N232" s="189"/>
      <c r="O232" s="190" t="s">
        <v>71</v>
      </c>
      <c r="P232" s="190" t="s">
        <v>114</v>
      </c>
      <c r="Q232" s="190" t="s">
        <v>73</v>
      </c>
      <c r="R232" s="190">
        <v>5</v>
      </c>
      <c r="S232" s="190">
        <v>5</v>
      </c>
      <c r="T232" s="190">
        <v>5</v>
      </c>
      <c r="U232" s="190" t="s">
        <v>21</v>
      </c>
      <c r="V232" s="191">
        <f t="shared" si="123"/>
        <v>0.01</v>
      </c>
      <c r="W232" s="191">
        <f t="shared" si="127"/>
        <v>1700</v>
      </c>
      <c r="X232" s="192" t="s">
        <v>1154</v>
      </c>
      <c r="Y232" s="192"/>
      <c r="Z232" s="192" t="s">
        <v>1155</v>
      </c>
      <c r="AA232" s="193">
        <v>-0.12</v>
      </c>
      <c r="AB232" s="189"/>
      <c r="AC232" s="189">
        <v>15</v>
      </c>
      <c r="AD232" s="189"/>
      <c r="AE232" s="189" t="s">
        <v>1156</v>
      </c>
      <c r="AF232" s="189"/>
      <c r="AG232" s="189"/>
      <c r="AH232" s="189"/>
      <c r="AI232" s="194">
        <f t="shared" si="128"/>
        <v>-51</v>
      </c>
      <c r="AJ232" s="194">
        <f t="shared" si="129"/>
        <v>-255</v>
      </c>
      <c r="AK232" s="189" t="s">
        <v>1141</v>
      </c>
      <c r="AL232" s="189"/>
      <c r="AM232" s="189" t="s">
        <v>781</v>
      </c>
      <c r="AN232" s="189" t="s">
        <v>92</v>
      </c>
      <c r="AO232" s="189" t="s">
        <v>1157</v>
      </c>
      <c r="AP232" s="196">
        <v>-0.11</v>
      </c>
      <c r="AQ232" s="196">
        <f t="shared" si="125"/>
        <v>9.999999999999995E-3</v>
      </c>
      <c r="AR232" s="194">
        <f t="shared" si="130"/>
        <v>84.999999999999972</v>
      </c>
      <c r="AS232" s="197">
        <f t="shared" si="126"/>
        <v>16.999999999999993</v>
      </c>
      <c r="AT232" s="198" t="s">
        <v>72</v>
      </c>
      <c r="AU232" s="189"/>
      <c r="AV232" s="189"/>
      <c r="AW232" s="189"/>
      <c r="AX232" s="361"/>
      <c r="AY232" s="361"/>
      <c r="AZ232" s="361"/>
      <c r="BA232" s="361"/>
      <c r="BB232" s="361"/>
      <c r="BC232" s="373"/>
    </row>
    <row r="233" spans="1:55" ht="18" customHeight="1">
      <c r="A233" s="184" t="s">
        <v>1125</v>
      </c>
      <c r="B233" s="184">
        <v>44959</v>
      </c>
      <c r="C233" s="185" t="s">
        <v>1158</v>
      </c>
      <c r="D233" s="185" t="s">
        <v>69</v>
      </c>
      <c r="E233" s="238"/>
      <c r="F233" s="187"/>
      <c r="G233" s="285" t="s">
        <v>734</v>
      </c>
      <c r="H233" s="189"/>
      <c r="I233" s="189"/>
      <c r="J233" s="189"/>
      <c r="K233" s="190"/>
      <c r="L233" s="189">
        <v>1</v>
      </c>
      <c r="M233" s="189"/>
      <c r="N233" s="189"/>
      <c r="O233" s="190" t="s">
        <v>71</v>
      </c>
      <c r="P233" s="190" t="s">
        <v>72</v>
      </c>
      <c r="Q233" s="190" t="s">
        <v>73</v>
      </c>
      <c r="R233" s="190">
        <v>3</v>
      </c>
      <c r="S233" s="190">
        <v>3</v>
      </c>
      <c r="T233" s="190">
        <v>3</v>
      </c>
      <c r="U233" s="190" t="s">
        <v>21</v>
      </c>
      <c r="V233" s="191">
        <f t="shared" si="123"/>
        <v>0.01</v>
      </c>
      <c r="W233" s="191">
        <f t="shared" si="127"/>
        <v>1700</v>
      </c>
      <c r="X233" s="192" t="s">
        <v>1145</v>
      </c>
      <c r="Y233" s="191" t="s">
        <v>1159</v>
      </c>
      <c r="Z233" s="192" t="s">
        <v>1160</v>
      </c>
      <c r="AA233" s="193">
        <v>0.03</v>
      </c>
      <c r="AB233" s="189"/>
      <c r="AC233" s="189">
        <v>-1</v>
      </c>
      <c r="AD233" s="189"/>
      <c r="AE233" s="189">
        <v>4</v>
      </c>
      <c r="AF233" s="189"/>
      <c r="AG233" s="189"/>
      <c r="AH233" s="189"/>
      <c r="AI233" s="194">
        <f t="shared" ref="AI233:AI235" si="131">-0.04*W233</f>
        <v>-68</v>
      </c>
      <c r="AJ233" s="194">
        <f t="shared" si="129"/>
        <v>-204</v>
      </c>
      <c r="AK233" s="189" t="s">
        <v>1147</v>
      </c>
      <c r="AL233" s="189"/>
      <c r="AM233" s="189" t="s">
        <v>1061</v>
      </c>
      <c r="AN233" s="189" t="s">
        <v>82</v>
      </c>
      <c r="AO233" s="240">
        <v>0.29166666666666669</v>
      </c>
      <c r="AP233" s="196">
        <v>0.01</v>
      </c>
      <c r="AQ233" s="196">
        <f t="shared" si="125"/>
        <v>-1.9999999999999997E-2</v>
      </c>
      <c r="AR233" s="194">
        <f t="shared" si="130"/>
        <v>-101.99999999999997</v>
      </c>
      <c r="AS233" s="197">
        <f t="shared" si="126"/>
        <v>-33.999999999999993</v>
      </c>
      <c r="AT233" s="198" t="s">
        <v>206</v>
      </c>
      <c r="AU233" s="189" t="s">
        <v>1161</v>
      </c>
      <c r="AV233" s="189" t="s">
        <v>1162</v>
      </c>
      <c r="AW233" s="189" t="s">
        <v>1163</v>
      </c>
      <c r="AX233" s="361"/>
      <c r="AY233" s="361"/>
      <c r="AZ233" s="361"/>
      <c r="BA233" s="361"/>
      <c r="BB233" s="361"/>
      <c r="BC233" s="373"/>
    </row>
    <row r="234" spans="1:55" ht="18" customHeight="1">
      <c r="A234" s="184" t="s">
        <v>1125</v>
      </c>
      <c r="B234" s="184">
        <v>44959</v>
      </c>
      <c r="C234" s="185" t="s">
        <v>1164</v>
      </c>
      <c r="D234" s="185" t="s">
        <v>69</v>
      </c>
      <c r="E234" s="238"/>
      <c r="F234" s="187"/>
      <c r="G234" s="188" t="s">
        <v>412</v>
      </c>
      <c r="H234" s="189"/>
      <c r="I234" s="189"/>
      <c r="J234" s="189"/>
      <c r="K234" s="190"/>
      <c r="L234" s="189">
        <v>1</v>
      </c>
      <c r="M234" s="189"/>
      <c r="N234" s="189"/>
      <c r="O234" s="190" t="s">
        <v>71</v>
      </c>
      <c r="P234" s="190" t="s">
        <v>72</v>
      </c>
      <c r="Q234" s="190" t="s">
        <v>73</v>
      </c>
      <c r="R234" s="190">
        <v>2</v>
      </c>
      <c r="S234" s="190">
        <v>2</v>
      </c>
      <c r="T234" s="190">
        <v>2</v>
      </c>
      <c r="U234" s="190" t="s">
        <v>21</v>
      </c>
      <c r="V234" s="191">
        <f t="shared" si="123"/>
        <v>0.01</v>
      </c>
      <c r="W234" s="191">
        <f t="shared" si="127"/>
        <v>1700</v>
      </c>
      <c r="X234" s="192" t="s">
        <v>1165</v>
      </c>
      <c r="Y234" s="192"/>
      <c r="Z234" s="192"/>
      <c r="AA234" s="193">
        <v>0.2</v>
      </c>
      <c r="AB234" s="189"/>
      <c r="AC234" s="189">
        <v>16</v>
      </c>
      <c r="AD234" s="189"/>
      <c r="AE234" s="189" t="s">
        <v>1166</v>
      </c>
      <c r="AF234" s="189" t="s">
        <v>1167</v>
      </c>
      <c r="AG234" s="189"/>
      <c r="AH234" s="189"/>
      <c r="AI234" s="194">
        <f t="shared" si="131"/>
        <v>-68</v>
      </c>
      <c r="AJ234" s="194">
        <f t="shared" si="129"/>
        <v>-136</v>
      </c>
      <c r="AK234" s="189"/>
      <c r="AL234" s="189"/>
      <c r="AM234" s="189"/>
      <c r="AN234" s="189"/>
      <c r="AO234" s="189" t="s">
        <v>1168</v>
      </c>
      <c r="AP234" s="196">
        <v>0.2</v>
      </c>
      <c r="AQ234" s="196">
        <f t="shared" si="125"/>
        <v>0</v>
      </c>
      <c r="AR234" s="194">
        <f t="shared" si="130"/>
        <v>0</v>
      </c>
      <c r="AS234" s="197">
        <f t="shared" si="126"/>
        <v>0</v>
      </c>
      <c r="AT234" s="198" t="s">
        <v>92</v>
      </c>
      <c r="AU234" s="189"/>
      <c r="AV234" s="189"/>
      <c r="AW234" s="189"/>
      <c r="AX234" s="361"/>
      <c r="AY234" s="361"/>
      <c r="AZ234" s="361"/>
      <c r="BA234" s="361"/>
      <c r="BB234" s="361"/>
      <c r="BC234" s="373"/>
    </row>
    <row r="235" spans="1:55" ht="18" customHeight="1">
      <c r="A235" s="232" t="s">
        <v>1125</v>
      </c>
      <c r="B235" s="184">
        <v>44959</v>
      </c>
      <c r="C235" s="185" t="s">
        <v>1164</v>
      </c>
      <c r="D235" s="185" t="s">
        <v>69</v>
      </c>
      <c r="E235" s="238"/>
      <c r="F235" s="187"/>
      <c r="G235" s="283" t="s">
        <v>110</v>
      </c>
      <c r="H235" s="189"/>
      <c r="I235" s="189"/>
      <c r="J235" s="189"/>
      <c r="K235" s="190"/>
      <c r="L235" s="189">
        <v>1</v>
      </c>
      <c r="M235" s="189"/>
      <c r="N235" s="189"/>
      <c r="O235" s="190" t="s">
        <v>71</v>
      </c>
      <c r="P235" s="190" t="s">
        <v>72</v>
      </c>
      <c r="Q235" s="190" t="s">
        <v>73</v>
      </c>
      <c r="R235" s="190">
        <v>5</v>
      </c>
      <c r="S235" s="190">
        <v>5</v>
      </c>
      <c r="T235" s="190">
        <v>5</v>
      </c>
      <c r="U235" s="190" t="s">
        <v>21</v>
      </c>
      <c r="V235" s="191">
        <f t="shared" si="123"/>
        <v>0.01</v>
      </c>
      <c r="W235" s="191">
        <f t="shared" si="127"/>
        <v>1700</v>
      </c>
      <c r="X235" s="192" t="s">
        <v>1169</v>
      </c>
      <c r="Y235" s="192" t="s">
        <v>1170</v>
      </c>
      <c r="Z235" s="192"/>
      <c r="AA235" s="193">
        <v>-0.05</v>
      </c>
      <c r="AB235" s="189"/>
      <c r="AC235" s="189">
        <v>-8</v>
      </c>
      <c r="AD235" s="189"/>
      <c r="AE235" s="189" t="s">
        <v>1171</v>
      </c>
      <c r="AF235" s="189"/>
      <c r="AG235" s="189"/>
      <c r="AH235" s="189"/>
      <c r="AI235" s="194">
        <f t="shared" si="131"/>
        <v>-68</v>
      </c>
      <c r="AJ235" s="194">
        <f t="shared" si="129"/>
        <v>-340</v>
      </c>
      <c r="AK235" s="189"/>
      <c r="AL235" s="189"/>
      <c r="AM235" s="189" t="s">
        <v>781</v>
      </c>
      <c r="AN235" s="189" t="s">
        <v>92</v>
      </c>
      <c r="AO235" s="202">
        <v>44960.833333333336</v>
      </c>
      <c r="AP235" s="196">
        <v>-0.04</v>
      </c>
      <c r="AQ235" s="196">
        <f t="shared" si="125"/>
        <v>1.0000000000000002E-2</v>
      </c>
      <c r="AR235" s="194">
        <f t="shared" si="130"/>
        <v>85.000000000000014</v>
      </c>
      <c r="AS235" s="197">
        <f t="shared" si="126"/>
        <v>17.000000000000004</v>
      </c>
      <c r="AT235" s="198" t="s">
        <v>72</v>
      </c>
      <c r="AU235" s="189" t="s">
        <v>1172</v>
      </c>
      <c r="AV235" s="189" t="s">
        <v>1173</v>
      </c>
      <c r="AW235" s="189"/>
      <c r="AX235" s="361"/>
      <c r="AY235" s="361"/>
      <c r="AZ235" s="361"/>
      <c r="BA235" s="361"/>
      <c r="BB235" s="361"/>
      <c r="BC235" s="373"/>
    </row>
    <row r="236" spans="1:55" ht="18" customHeight="1">
      <c r="A236" s="184" t="s">
        <v>1125</v>
      </c>
      <c r="B236" s="184">
        <v>44959</v>
      </c>
      <c r="C236" s="201">
        <v>0.95833333333333337</v>
      </c>
      <c r="D236" s="185" t="s">
        <v>69</v>
      </c>
      <c r="E236" s="238"/>
      <c r="F236" s="187"/>
      <c r="G236" s="188" t="s">
        <v>734</v>
      </c>
      <c r="H236" s="189"/>
      <c r="I236" s="189"/>
      <c r="J236" s="189"/>
      <c r="K236" s="190"/>
      <c r="L236" s="189">
        <v>1</v>
      </c>
      <c r="M236" s="189"/>
      <c r="N236" s="189"/>
      <c r="O236" s="190" t="s">
        <v>71</v>
      </c>
      <c r="P236" s="190" t="s">
        <v>72</v>
      </c>
      <c r="Q236" s="190" t="s">
        <v>73</v>
      </c>
      <c r="R236" s="190">
        <v>4</v>
      </c>
      <c r="S236" s="190">
        <v>4</v>
      </c>
      <c r="T236" s="190">
        <v>4</v>
      </c>
      <c r="U236" s="190" t="s">
        <v>21</v>
      </c>
      <c r="V236" s="191">
        <f t="shared" si="123"/>
        <v>0.01</v>
      </c>
      <c r="W236" s="191">
        <f t="shared" si="127"/>
        <v>1700</v>
      </c>
      <c r="X236" s="192" t="s">
        <v>1145</v>
      </c>
      <c r="Y236" s="192"/>
      <c r="Z236" s="192"/>
      <c r="AA236" s="193">
        <v>0.02</v>
      </c>
      <c r="AB236" s="189"/>
      <c r="AC236" s="189">
        <v>-1</v>
      </c>
      <c r="AD236" s="189"/>
      <c r="AE236" s="189">
        <v>4</v>
      </c>
      <c r="AF236" s="189"/>
      <c r="AG236" s="189"/>
      <c r="AH236" s="189"/>
      <c r="AI236" s="194">
        <f>-0.03*W236</f>
        <v>-51</v>
      </c>
      <c r="AJ236" s="194">
        <f t="shared" si="129"/>
        <v>-204</v>
      </c>
      <c r="AK236" s="189" t="s">
        <v>1141</v>
      </c>
      <c r="AL236" s="189"/>
      <c r="AM236" s="189" t="s">
        <v>823</v>
      </c>
      <c r="AN236" s="189" t="s">
        <v>82</v>
      </c>
      <c r="AO236" s="189" t="s">
        <v>1174</v>
      </c>
      <c r="AP236" s="196">
        <v>0.02</v>
      </c>
      <c r="AQ236" s="196">
        <f t="shared" si="125"/>
        <v>0</v>
      </c>
      <c r="AR236" s="194">
        <f t="shared" si="130"/>
        <v>0</v>
      </c>
      <c r="AS236" s="197">
        <f t="shared" si="126"/>
        <v>0</v>
      </c>
      <c r="AT236" s="198" t="s">
        <v>92</v>
      </c>
      <c r="AU236" s="189" t="s">
        <v>1175</v>
      </c>
      <c r="AV236" s="189" t="s">
        <v>1176</v>
      </c>
      <c r="AW236" s="189"/>
      <c r="AX236" s="361"/>
      <c r="AY236" s="361"/>
      <c r="AZ236" s="361"/>
      <c r="BA236" s="361"/>
      <c r="BB236" s="361"/>
      <c r="BC236" s="373"/>
    </row>
    <row r="237" spans="1:55" ht="18" customHeight="1">
      <c r="A237" s="184" t="s">
        <v>1125</v>
      </c>
      <c r="B237" s="184">
        <v>44960</v>
      </c>
      <c r="C237" s="201">
        <v>0.79166666666666663</v>
      </c>
      <c r="D237" s="185" t="s">
        <v>88</v>
      </c>
      <c r="E237" s="238" t="s">
        <v>1177</v>
      </c>
      <c r="F237" s="187" t="s">
        <v>1178</v>
      </c>
      <c r="G237" s="188"/>
      <c r="H237" s="189">
        <v>1</v>
      </c>
      <c r="I237" s="189"/>
      <c r="J237" s="189"/>
      <c r="K237" s="190" t="s">
        <v>82</v>
      </c>
      <c r="L237" s="189"/>
      <c r="M237" s="189"/>
      <c r="N237" s="189"/>
      <c r="O237" s="190"/>
      <c r="P237" s="190"/>
      <c r="Q237" s="190"/>
      <c r="R237" s="190"/>
      <c r="S237" s="190"/>
      <c r="T237" s="190"/>
      <c r="U237" s="190"/>
      <c r="V237" s="191"/>
      <c r="W237" s="191"/>
      <c r="X237" s="192"/>
      <c r="Y237" s="192"/>
      <c r="Z237" s="192"/>
      <c r="AA237" s="193"/>
      <c r="AB237" s="189"/>
      <c r="AC237" s="189"/>
      <c r="AD237" s="189"/>
      <c r="AE237" s="189"/>
      <c r="AF237" s="189"/>
      <c r="AG237" s="189"/>
      <c r="AH237" s="189"/>
      <c r="AI237" s="194"/>
      <c r="AJ237" s="190"/>
      <c r="AK237" s="189"/>
      <c r="AL237" s="189"/>
      <c r="AM237" s="189"/>
      <c r="AN237" s="189"/>
      <c r="AO237" s="189"/>
      <c r="AP237" s="196"/>
      <c r="AQ237" s="189">
        <f t="shared" si="125"/>
        <v>0</v>
      </c>
      <c r="AR237" s="194"/>
      <c r="AS237" s="197">
        <f t="shared" si="126"/>
        <v>0</v>
      </c>
      <c r="AT237" s="198"/>
      <c r="AU237" s="189"/>
      <c r="AV237" s="189"/>
      <c r="AW237" s="189"/>
      <c r="AX237" s="361"/>
      <c r="AY237" s="361"/>
      <c r="AZ237" s="361"/>
      <c r="BA237" s="361"/>
      <c r="BB237" s="361"/>
      <c r="BC237" s="373"/>
    </row>
    <row r="238" spans="1:55" ht="18" customHeight="1">
      <c r="A238" s="232" t="s">
        <v>1125</v>
      </c>
      <c r="B238" s="184"/>
      <c r="C238" s="185"/>
      <c r="D238" s="185"/>
      <c r="E238" s="238" t="s">
        <v>1179</v>
      </c>
      <c r="F238" s="187"/>
      <c r="G238" s="188"/>
      <c r="H238" s="189"/>
      <c r="I238" s="189"/>
      <c r="J238" s="189">
        <v>1</v>
      </c>
      <c r="K238" s="190" t="s">
        <v>82</v>
      </c>
      <c r="L238" s="189"/>
      <c r="M238" s="189"/>
      <c r="N238" s="189"/>
      <c r="O238" s="190"/>
      <c r="P238" s="190"/>
      <c r="Q238" s="190"/>
      <c r="R238" s="190"/>
      <c r="S238" s="190"/>
      <c r="T238" s="190"/>
      <c r="U238" s="190"/>
      <c r="V238" s="191"/>
      <c r="W238" s="191"/>
      <c r="X238" s="192"/>
      <c r="Y238" s="192"/>
      <c r="Z238" s="192"/>
      <c r="AA238" s="193"/>
      <c r="AB238" s="189"/>
      <c r="AC238" s="189"/>
      <c r="AD238" s="189"/>
      <c r="AE238" s="189"/>
      <c r="AF238" s="189"/>
      <c r="AG238" s="189"/>
      <c r="AH238" s="189"/>
      <c r="AI238" s="194"/>
      <c r="AJ238" s="190"/>
      <c r="AK238" s="189"/>
      <c r="AL238" s="189"/>
      <c r="AM238" s="189"/>
      <c r="AN238" s="189"/>
      <c r="AO238" s="189"/>
      <c r="AP238" s="196"/>
      <c r="AQ238" s="189">
        <f t="shared" si="125"/>
        <v>0</v>
      </c>
      <c r="AR238" s="194"/>
      <c r="AS238" s="197">
        <f t="shared" si="126"/>
        <v>0</v>
      </c>
      <c r="AT238" s="198"/>
      <c r="AU238" s="189"/>
      <c r="AV238" s="189"/>
      <c r="AW238" s="189"/>
      <c r="AX238" s="361"/>
      <c r="AY238" s="361"/>
      <c r="AZ238" s="361"/>
      <c r="BA238" s="361"/>
      <c r="BB238" s="361"/>
      <c r="BC238" s="373"/>
    </row>
    <row r="239" spans="1:55" ht="18" customHeight="1">
      <c r="A239" s="184" t="s">
        <v>1125</v>
      </c>
      <c r="B239" s="184">
        <v>44960</v>
      </c>
      <c r="C239" s="185" t="s">
        <v>659</v>
      </c>
      <c r="D239" s="185" t="s">
        <v>88</v>
      </c>
      <c r="E239" s="238"/>
      <c r="F239" s="187"/>
      <c r="G239" s="188" t="s">
        <v>1180</v>
      </c>
      <c r="H239" s="189"/>
      <c r="I239" s="189"/>
      <c r="J239" s="189"/>
      <c r="K239" s="190"/>
      <c r="L239" s="189">
        <v>1</v>
      </c>
      <c r="M239" s="189"/>
      <c r="N239" s="189"/>
      <c r="O239" s="190" t="s">
        <v>71</v>
      </c>
      <c r="P239" s="190" t="s">
        <v>114</v>
      </c>
      <c r="Q239" s="190" t="s">
        <v>661</v>
      </c>
      <c r="R239" s="190">
        <v>1</v>
      </c>
      <c r="S239" s="190">
        <v>1</v>
      </c>
      <c r="T239" s="190">
        <v>1</v>
      </c>
      <c r="U239" s="190" t="s">
        <v>73</v>
      </c>
      <c r="V239" s="191">
        <f t="shared" si="123"/>
        <v>0.01</v>
      </c>
      <c r="W239" s="191">
        <f t="shared" si="127"/>
        <v>1700</v>
      </c>
      <c r="X239" s="192" t="s">
        <v>1181</v>
      </c>
      <c r="Y239" s="192"/>
      <c r="Z239" s="192"/>
      <c r="AA239" s="193">
        <v>96.54</v>
      </c>
      <c r="AB239" s="189"/>
      <c r="AC239" s="189"/>
      <c r="AD239" s="189"/>
      <c r="AE239" s="189"/>
      <c r="AF239" s="189"/>
      <c r="AG239" s="189"/>
      <c r="AH239" s="189"/>
      <c r="AI239" s="194"/>
      <c r="AJ239" s="190"/>
      <c r="AK239" s="189"/>
      <c r="AL239" s="189"/>
      <c r="AM239" s="189" t="s">
        <v>1118</v>
      </c>
      <c r="AN239" s="189" t="s">
        <v>371</v>
      </c>
      <c r="AO239" s="189" t="s">
        <v>1182</v>
      </c>
      <c r="AP239" s="196">
        <v>96.53</v>
      </c>
      <c r="AQ239" s="196">
        <f t="shared" si="125"/>
        <v>1.0000000000005116E-2</v>
      </c>
      <c r="AR239" s="194">
        <f t="shared" ref="AR239:AR244" si="132">AS239*R239</f>
        <v>17.000000000008697</v>
      </c>
      <c r="AS239" s="197">
        <f t="shared" si="126"/>
        <v>17.000000000008697</v>
      </c>
      <c r="AT239" s="198" t="s">
        <v>72</v>
      </c>
      <c r="AU239" s="189" t="s">
        <v>1183</v>
      </c>
      <c r="AV239" s="189"/>
      <c r="AW239" s="189"/>
      <c r="AX239" s="361"/>
      <c r="AY239" s="361"/>
      <c r="AZ239" s="361"/>
      <c r="BA239" s="361"/>
      <c r="BB239" s="361"/>
      <c r="BC239" s="373"/>
    </row>
    <row r="240" spans="1:55" ht="18" customHeight="1">
      <c r="A240" s="184" t="s">
        <v>1125</v>
      </c>
      <c r="B240" s="184">
        <v>44960</v>
      </c>
      <c r="C240" s="185" t="s">
        <v>659</v>
      </c>
      <c r="D240" s="185" t="s">
        <v>88</v>
      </c>
      <c r="E240" s="238"/>
      <c r="F240" s="187"/>
      <c r="G240" s="188" t="s">
        <v>922</v>
      </c>
      <c r="H240" s="189"/>
      <c r="I240" s="189"/>
      <c r="J240" s="189"/>
      <c r="K240" s="190"/>
      <c r="L240" s="189">
        <v>1</v>
      </c>
      <c r="M240" s="189"/>
      <c r="N240" s="189"/>
      <c r="O240" s="190" t="s">
        <v>71</v>
      </c>
      <c r="P240" s="190" t="s">
        <v>114</v>
      </c>
      <c r="Q240" s="190" t="s">
        <v>661</v>
      </c>
      <c r="R240" s="190">
        <v>1</v>
      </c>
      <c r="S240" s="190">
        <v>1</v>
      </c>
      <c r="T240" s="190">
        <v>1</v>
      </c>
      <c r="U240" s="190" t="s">
        <v>73</v>
      </c>
      <c r="V240" s="191">
        <f t="shared" si="123"/>
        <v>0.01</v>
      </c>
      <c r="W240" s="191">
        <f t="shared" si="127"/>
        <v>1700</v>
      </c>
      <c r="X240" s="192" t="s">
        <v>1073</v>
      </c>
      <c r="Y240" s="192"/>
      <c r="Z240" s="192"/>
      <c r="AA240" s="193">
        <v>96.66</v>
      </c>
      <c r="AB240" s="189"/>
      <c r="AC240" s="189"/>
      <c r="AD240" s="189"/>
      <c r="AE240" s="189"/>
      <c r="AF240" s="189"/>
      <c r="AG240" s="189"/>
      <c r="AH240" s="189"/>
      <c r="AI240" s="194"/>
      <c r="AJ240" s="190"/>
      <c r="AK240" s="189"/>
      <c r="AL240" s="189"/>
      <c r="AM240" s="189" t="s">
        <v>1184</v>
      </c>
      <c r="AN240" s="189" t="s">
        <v>371</v>
      </c>
      <c r="AO240" s="189" t="s">
        <v>1185</v>
      </c>
      <c r="AP240" s="196">
        <v>96.64</v>
      </c>
      <c r="AQ240" s="196">
        <f t="shared" si="125"/>
        <v>1.9999999999996021E-2</v>
      </c>
      <c r="AR240" s="194">
        <f t="shared" si="132"/>
        <v>33.999999999993236</v>
      </c>
      <c r="AS240" s="197">
        <f t="shared" si="126"/>
        <v>33.999999999993236</v>
      </c>
      <c r="AT240" s="198" t="s">
        <v>72</v>
      </c>
      <c r="AU240" s="189" t="s">
        <v>1186</v>
      </c>
      <c r="AV240" s="189" t="s">
        <v>1187</v>
      </c>
      <c r="AW240" s="189" t="s">
        <v>1188</v>
      </c>
      <c r="AX240" s="361"/>
      <c r="AY240" s="361"/>
      <c r="AZ240" s="361"/>
      <c r="BA240" s="361" t="s">
        <v>1189</v>
      </c>
      <c r="BB240" s="361"/>
      <c r="BC240" s="373"/>
    </row>
    <row r="241" spans="1:55" ht="18" customHeight="1">
      <c r="A241" s="232" t="s">
        <v>1125</v>
      </c>
      <c r="B241" s="184">
        <v>44960</v>
      </c>
      <c r="C241" s="185" t="s">
        <v>659</v>
      </c>
      <c r="D241" s="185" t="s">
        <v>88</v>
      </c>
      <c r="E241" s="238"/>
      <c r="F241" s="187"/>
      <c r="G241" s="188" t="s">
        <v>808</v>
      </c>
      <c r="H241" s="189"/>
      <c r="I241" s="189"/>
      <c r="J241" s="189"/>
      <c r="K241" s="190"/>
      <c r="L241" s="189">
        <v>1</v>
      </c>
      <c r="M241" s="189"/>
      <c r="N241" s="189"/>
      <c r="O241" s="190" t="s">
        <v>71</v>
      </c>
      <c r="P241" s="190" t="s">
        <v>114</v>
      </c>
      <c r="Q241" s="190" t="s">
        <v>661</v>
      </c>
      <c r="R241" s="190">
        <v>1</v>
      </c>
      <c r="S241" s="190">
        <v>1</v>
      </c>
      <c r="T241" s="190">
        <v>1</v>
      </c>
      <c r="U241" s="190" t="s">
        <v>73</v>
      </c>
      <c r="V241" s="191">
        <f t="shared" si="123"/>
        <v>0.01</v>
      </c>
      <c r="W241" s="191">
        <f t="shared" si="127"/>
        <v>1700</v>
      </c>
      <c r="X241" s="192" t="s">
        <v>1073</v>
      </c>
      <c r="Y241" s="192"/>
      <c r="Z241" s="192"/>
      <c r="AA241" s="193">
        <v>96.35</v>
      </c>
      <c r="AB241" s="189"/>
      <c r="AC241" s="189"/>
      <c r="AD241" s="189"/>
      <c r="AE241" s="189"/>
      <c r="AF241" s="189"/>
      <c r="AG241" s="189"/>
      <c r="AH241" s="189"/>
      <c r="AI241" s="194"/>
      <c r="AJ241" s="190"/>
      <c r="AK241" s="189"/>
      <c r="AL241" s="189"/>
      <c r="AM241" s="189"/>
      <c r="AN241" s="189" t="s">
        <v>371</v>
      </c>
      <c r="AO241" s="189"/>
      <c r="AP241" s="196">
        <v>96.36</v>
      </c>
      <c r="AQ241" s="196">
        <f t="shared" si="125"/>
        <v>-1.0000000000005116E-2</v>
      </c>
      <c r="AR241" s="194">
        <f t="shared" si="132"/>
        <v>-17.000000000008697</v>
      </c>
      <c r="AS241" s="197">
        <f t="shared" si="126"/>
        <v>-17.000000000008697</v>
      </c>
      <c r="AT241" s="198" t="s">
        <v>206</v>
      </c>
      <c r="AU241" s="189" t="s">
        <v>1190</v>
      </c>
      <c r="AV241" s="189" t="s">
        <v>1191</v>
      </c>
      <c r="AW241" s="189"/>
      <c r="AX241" s="361"/>
      <c r="AY241" s="361"/>
      <c r="AZ241" s="361"/>
      <c r="BA241" s="361" t="s">
        <v>1192</v>
      </c>
      <c r="BB241" s="361" t="s">
        <v>1193</v>
      </c>
      <c r="BC241" s="373"/>
    </row>
    <row r="242" spans="1:55" ht="18" customHeight="1">
      <c r="A242" s="184" t="s">
        <v>1125</v>
      </c>
      <c r="B242" s="184">
        <v>44960</v>
      </c>
      <c r="C242" s="185" t="s">
        <v>1194</v>
      </c>
      <c r="D242" s="185" t="s">
        <v>88</v>
      </c>
      <c r="E242" s="238"/>
      <c r="F242" s="187"/>
      <c r="G242" s="188" t="s">
        <v>734</v>
      </c>
      <c r="H242" s="189"/>
      <c r="I242" s="189"/>
      <c r="J242" s="189"/>
      <c r="K242" s="190"/>
      <c r="L242" s="189">
        <v>1</v>
      </c>
      <c r="M242" s="189"/>
      <c r="N242" s="189"/>
      <c r="O242" s="190" t="s">
        <v>71</v>
      </c>
      <c r="P242" s="190" t="s">
        <v>72</v>
      </c>
      <c r="Q242" s="190" t="s">
        <v>73</v>
      </c>
      <c r="R242" s="190">
        <v>2</v>
      </c>
      <c r="S242" s="190">
        <v>2</v>
      </c>
      <c r="T242" s="190">
        <v>2</v>
      </c>
      <c r="U242" s="190" t="s">
        <v>73</v>
      </c>
      <c r="V242" s="191">
        <f t="shared" si="123"/>
        <v>0.01</v>
      </c>
      <c r="W242" s="191">
        <f t="shared" si="127"/>
        <v>1700</v>
      </c>
      <c r="X242" s="192"/>
      <c r="Y242" s="192" t="s">
        <v>1195</v>
      </c>
      <c r="Z242" s="192" t="s">
        <v>506</v>
      </c>
      <c r="AA242" s="193">
        <v>0.03</v>
      </c>
      <c r="AB242" s="189"/>
      <c r="AC242" s="189"/>
      <c r="AD242" s="189"/>
      <c r="AE242" s="189"/>
      <c r="AF242" s="189"/>
      <c r="AG242" s="189"/>
      <c r="AH242" s="189"/>
      <c r="AI242" s="194"/>
      <c r="AJ242" s="190"/>
      <c r="AK242" s="189"/>
      <c r="AL242" s="189"/>
      <c r="AM242" s="189"/>
      <c r="AN242" s="189" t="s">
        <v>371</v>
      </c>
      <c r="AO242" s="189" t="s">
        <v>1196</v>
      </c>
      <c r="AP242" s="196">
        <v>0.03</v>
      </c>
      <c r="AQ242" s="196">
        <f t="shared" si="125"/>
        <v>0</v>
      </c>
      <c r="AR242" s="194">
        <f t="shared" si="132"/>
        <v>0</v>
      </c>
      <c r="AS242" s="197">
        <f t="shared" si="126"/>
        <v>0</v>
      </c>
      <c r="AT242" s="198" t="s">
        <v>92</v>
      </c>
      <c r="AU242" s="189" t="s">
        <v>1197</v>
      </c>
      <c r="AV242" s="207" t="s">
        <v>1198</v>
      </c>
      <c r="AW242" s="189"/>
      <c r="AX242" s="361"/>
      <c r="AY242" s="361"/>
      <c r="AZ242" s="361"/>
      <c r="BA242" s="361"/>
      <c r="BB242" s="361"/>
      <c r="BC242" s="373"/>
    </row>
    <row r="243" spans="1:55" ht="18" customHeight="1">
      <c r="A243" s="184" t="s">
        <v>1125</v>
      </c>
      <c r="B243" s="184">
        <v>44960</v>
      </c>
      <c r="C243" s="185" t="s">
        <v>1199</v>
      </c>
      <c r="D243" s="185" t="s">
        <v>88</v>
      </c>
      <c r="E243" s="238"/>
      <c r="F243" s="187"/>
      <c r="G243" s="188" t="s">
        <v>734</v>
      </c>
      <c r="H243" s="189"/>
      <c r="I243" s="189"/>
      <c r="J243" s="189"/>
      <c r="K243" s="190"/>
      <c r="L243" s="189">
        <v>1</v>
      </c>
      <c r="M243" s="189"/>
      <c r="N243" s="189"/>
      <c r="O243" s="190" t="s">
        <v>71</v>
      </c>
      <c r="P243" s="190" t="s">
        <v>72</v>
      </c>
      <c r="Q243" s="190" t="s">
        <v>73</v>
      </c>
      <c r="R243" s="190">
        <v>2</v>
      </c>
      <c r="S243" s="190">
        <v>2</v>
      </c>
      <c r="T243" s="190">
        <v>2</v>
      </c>
      <c r="U243" s="190" t="s">
        <v>73</v>
      </c>
      <c r="V243" s="191">
        <f t="shared" si="123"/>
        <v>0.01</v>
      </c>
      <c r="W243" s="191">
        <f t="shared" si="127"/>
        <v>1700</v>
      </c>
      <c r="X243" s="192"/>
      <c r="Y243" s="192" t="s">
        <v>1195</v>
      </c>
      <c r="Z243" s="192" t="s">
        <v>506</v>
      </c>
      <c r="AA243" s="193">
        <v>0.03</v>
      </c>
      <c r="AB243" s="189"/>
      <c r="AC243" s="189"/>
      <c r="AD243" s="189"/>
      <c r="AE243" s="189"/>
      <c r="AF243" s="189"/>
      <c r="AG243" s="189"/>
      <c r="AH243" s="189"/>
      <c r="AI243" s="194"/>
      <c r="AJ243" s="190"/>
      <c r="AK243" s="189"/>
      <c r="AL243" s="189"/>
      <c r="AM243" s="189"/>
      <c r="AN243" s="189" t="s">
        <v>371</v>
      </c>
      <c r="AO243" s="189" t="s">
        <v>1200</v>
      </c>
      <c r="AP243" s="196">
        <v>0.03</v>
      </c>
      <c r="AQ243" s="196">
        <f t="shared" si="125"/>
        <v>0</v>
      </c>
      <c r="AR243" s="194">
        <f t="shared" si="132"/>
        <v>0</v>
      </c>
      <c r="AS243" s="197">
        <f t="shared" si="126"/>
        <v>0</v>
      </c>
      <c r="AT243" s="198" t="s">
        <v>92</v>
      </c>
      <c r="AU243" s="189" t="s">
        <v>1197</v>
      </c>
      <c r="AV243" s="189"/>
      <c r="AW243" s="189"/>
      <c r="AX243" s="361"/>
      <c r="AY243" s="361"/>
      <c r="AZ243" s="361"/>
      <c r="BA243" s="361"/>
      <c r="BB243" s="361"/>
      <c r="BC243" s="373"/>
    </row>
    <row r="244" spans="1:55" ht="18" customHeight="1">
      <c r="A244" s="232" t="s">
        <v>1125</v>
      </c>
      <c r="B244" s="184">
        <v>44963</v>
      </c>
      <c r="C244" s="185" t="s">
        <v>1201</v>
      </c>
      <c r="D244" s="185" t="s">
        <v>109</v>
      </c>
      <c r="E244" s="238"/>
      <c r="F244" s="187"/>
      <c r="G244" s="285" t="s">
        <v>110</v>
      </c>
      <c r="H244" s="189"/>
      <c r="I244" s="189"/>
      <c r="J244" s="189"/>
      <c r="K244" s="190"/>
      <c r="L244" s="189">
        <v>1</v>
      </c>
      <c r="M244" s="189"/>
      <c r="N244" s="189"/>
      <c r="O244" s="190" t="s">
        <v>71</v>
      </c>
      <c r="P244" s="190" t="s">
        <v>72</v>
      </c>
      <c r="Q244" s="190" t="s">
        <v>73</v>
      </c>
      <c r="R244" s="190">
        <v>5</v>
      </c>
      <c r="S244" s="190">
        <v>5</v>
      </c>
      <c r="T244" s="190">
        <v>4</v>
      </c>
      <c r="U244" s="190" t="s">
        <v>73</v>
      </c>
      <c r="V244" s="191">
        <f>IF(ISBLANK(O244),"",(IF(O244=UPPER("IB"),0.005,0.01)))</f>
        <v>0.01</v>
      </c>
      <c r="W244" s="191">
        <f>IF(ISBLANK(O244),"",IF(O244=UPPER("IB"),8.63*200,16.6*100))</f>
        <v>1660.0000000000002</v>
      </c>
      <c r="X244" s="192" t="s">
        <v>1202</v>
      </c>
      <c r="Y244" s="192"/>
      <c r="Z244" s="192" t="s">
        <v>1203</v>
      </c>
      <c r="AA244" s="193">
        <v>-0.03</v>
      </c>
      <c r="AB244" s="189"/>
      <c r="AC244" s="189">
        <v>0</v>
      </c>
      <c r="AD244" s="189"/>
      <c r="AE244" s="189" t="s">
        <v>1204</v>
      </c>
      <c r="AF244" s="189"/>
      <c r="AG244" s="189"/>
      <c r="AH244" s="189"/>
      <c r="AI244" s="194">
        <f>-0.04*W244</f>
        <v>-66.400000000000006</v>
      </c>
      <c r="AJ244" s="194">
        <f>AI244*R244</f>
        <v>-332</v>
      </c>
      <c r="AK244" s="189"/>
      <c r="AL244" s="189"/>
      <c r="AM244" s="189" t="s">
        <v>747</v>
      </c>
      <c r="AN244" s="189" t="s">
        <v>92</v>
      </c>
      <c r="AO244" s="189" t="s">
        <v>1205</v>
      </c>
      <c r="AP244" s="196">
        <f>(-0.03*3 +2*-0.05)/5</f>
        <v>-3.7999999999999999E-2</v>
      </c>
      <c r="AQ244" s="196">
        <f t="shared" si="125"/>
        <v>8.0000000000000002E-3</v>
      </c>
      <c r="AR244" s="194">
        <f t="shared" si="132"/>
        <v>66.40000000000002</v>
      </c>
      <c r="AS244" s="197">
        <f t="shared" si="126"/>
        <v>13.280000000000003</v>
      </c>
      <c r="AT244" s="198" t="s">
        <v>72</v>
      </c>
      <c r="AU244" s="189" t="s">
        <v>1206</v>
      </c>
      <c r="AV244" s="189"/>
      <c r="AW244" s="189"/>
      <c r="AX244" s="361"/>
      <c r="AY244" s="361"/>
      <c r="AZ244" s="361"/>
      <c r="BA244" s="361"/>
      <c r="BB244" s="361"/>
      <c r="BC244" s="373"/>
    </row>
    <row r="245" spans="1:55" ht="18" customHeight="1">
      <c r="A245" s="184" t="s">
        <v>1125</v>
      </c>
      <c r="B245" s="184">
        <v>44963</v>
      </c>
      <c r="C245" s="201">
        <v>0.25</v>
      </c>
      <c r="D245" s="185" t="s">
        <v>109</v>
      </c>
      <c r="E245" s="238" t="s">
        <v>1207</v>
      </c>
      <c r="F245" s="187" t="s">
        <v>1208</v>
      </c>
      <c r="G245" s="188"/>
      <c r="H245" s="189">
        <v>1</v>
      </c>
      <c r="I245" s="189"/>
      <c r="J245" s="189"/>
      <c r="K245" s="190"/>
      <c r="L245" s="189"/>
      <c r="M245" s="189"/>
      <c r="N245" s="189"/>
      <c r="O245" s="190"/>
      <c r="P245" s="190"/>
      <c r="Q245" s="190"/>
      <c r="R245" s="190"/>
      <c r="S245" s="190"/>
      <c r="T245" s="190"/>
      <c r="U245" s="190"/>
      <c r="V245" s="191" t="str">
        <f t="shared" ref="V245:V257" si="133">IF(ISBLANK(O245),"",(IF(O245=UPPER("IB"),0.005,0.01)))</f>
        <v/>
      </c>
      <c r="W245" s="191" t="str">
        <f t="shared" ref="W245:W257" si="134">IF(ISBLANK(O245),"",IF(O245=UPPER("IB"),8.63*200,16.6*100))</f>
        <v/>
      </c>
      <c r="X245" s="192"/>
      <c r="Y245" s="192"/>
      <c r="Z245" s="192"/>
      <c r="AA245" s="193"/>
      <c r="AB245" s="189"/>
      <c r="AC245" s="189"/>
      <c r="AD245" s="189"/>
      <c r="AE245" s="189"/>
      <c r="AF245" s="189"/>
      <c r="AG245" s="189"/>
      <c r="AH245" s="189"/>
      <c r="AI245" s="194"/>
      <c r="AJ245" s="190"/>
      <c r="AK245" s="189"/>
      <c r="AL245" s="189"/>
      <c r="AM245" s="189"/>
      <c r="AN245" s="189"/>
      <c r="AO245" s="189"/>
      <c r="AP245" s="196"/>
      <c r="AQ245" s="196"/>
      <c r="AR245" s="194"/>
      <c r="AS245" s="197"/>
      <c r="AT245" s="198"/>
      <c r="AU245" s="189"/>
      <c r="AV245" s="189"/>
      <c r="AW245" s="189"/>
      <c r="AX245" s="361"/>
      <c r="AY245" s="361"/>
      <c r="AZ245" s="361"/>
      <c r="BA245" s="361"/>
      <c r="BB245" s="361"/>
      <c r="BC245" s="373"/>
    </row>
    <row r="246" spans="1:55" ht="18" customHeight="1">
      <c r="A246" s="184" t="s">
        <v>1125</v>
      </c>
      <c r="B246" s="184" t="s">
        <v>1209</v>
      </c>
      <c r="C246" s="185" t="s">
        <v>1210</v>
      </c>
      <c r="D246" s="185" t="s">
        <v>109</v>
      </c>
      <c r="E246" s="238"/>
      <c r="F246" s="187"/>
      <c r="G246" s="296" t="s">
        <v>734</v>
      </c>
      <c r="H246" s="189"/>
      <c r="I246" s="189"/>
      <c r="J246" s="189"/>
      <c r="K246" s="190"/>
      <c r="L246" s="189">
        <v>1</v>
      </c>
      <c r="M246" s="189">
        <v>1</v>
      </c>
      <c r="N246" s="189"/>
      <c r="O246" s="190" t="s">
        <v>71</v>
      </c>
      <c r="P246" s="190" t="s">
        <v>72</v>
      </c>
      <c r="Q246" s="190" t="s">
        <v>73</v>
      </c>
      <c r="R246" s="190">
        <v>2</v>
      </c>
      <c r="S246" s="190">
        <v>2</v>
      </c>
      <c r="T246" s="190">
        <v>1</v>
      </c>
      <c r="U246" s="190" t="s">
        <v>73</v>
      </c>
      <c r="V246" s="191">
        <f t="shared" si="133"/>
        <v>0.01</v>
      </c>
      <c r="W246" s="191">
        <f t="shared" si="134"/>
        <v>1660.0000000000002</v>
      </c>
      <c r="X246" s="192" t="s">
        <v>1211</v>
      </c>
      <c r="Y246" s="192"/>
      <c r="Z246" s="192" t="s">
        <v>1212</v>
      </c>
      <c r="AA246" s="193">
        <v>0.05</v>
      </c>
      <c r="AB246" s="189"/>
      <c r="AC246" s="189">
        <v>9</v>
      </c>
      <c r="AD246" s="189" t="s">
        <v>1213</v>
      </c>
      <c r="AE246" s="189" t="s">
        <v>1214</v>
      </c>
      <c r="AF246" s="189"/>
      <c r="AG246" s="189"/>
      <c r="AH246" s="189"/>
      <c r="AI246" s="194">
        <f t="shared" ref="AI246:AI247" si="135">-0.04*W246</f>
        <v>-66.400000000000006</v>
      </c>
      <c r="AJ246" s="194">
        <f t="shared" ref="AJ246:AJ247" si="136">AI246*R246</f>
        <v>-132.80000000000001</v>
      </c>
      <c r="AK246" s="189" t="s">
        <v>1215</v>
      </c>
      <c r="AL246" s="189" t="s">
        <v>1216</v>
      </c>
      <c r="AM246" s="189" t="s">
        <v>823</v>
      </c>
      <c r="AN246" s="189" t="s">
        <v>82</v>
      </c>
      <c r="AO246" s="189" t="s">
        <v>1217</v>
      </c>
      <c r="AP246" s="196">
        <v>0.05</v>
      </c>
      <c r="AQ246" s="196">
        <f>IF(ISBLANK(AP246),,IF(U246="S",AA246-AP246,AP246-AA246))</f>
        <v>0</v>
      </c>
      <c r="AR246" s="194">
        <f>AS246*R246</f>
        <v>0</v>
      </c>
      <c r="AS246" s="197">
        <f>IF(ISBLANK(AP246),,(AQ246*W246))</f>
        <v>0</v>
      </c>
      <c r="AT246" s="198" t="s">
        <v>92</v>
      </c>
      <c r="AU246" s="189" t="s">
        <v>1218</v>
      </c>
      <c r="AV246" s="189"/>
      <c r="AW246" s="189"/>
      <c r="AX246" s="361"/>
      <c r="AY246" s="361"/>
      <c r="AZ246" s="361"/>
      <c r="BA246" s="361"/>
      <c r="BB246" s="361"/>
      <c r="BC246" s="373"/>
    </row>
    <row r="247" spans="1:55" ht="18" customHeight="1">
      <c r="A247" s="232" t="s">
        <v>1125</v>
      </c>
      <c r="B247" s="184">
        <v>44963</v>
      </c>
      <c r="C247" s="185" t="s">
        <v>1219</v>
      </c>
      <c r="D247" s="185" t="s">
        <v>109</v>
      </c>
      <c r="E247" s="238"/>
      <c r="F247" s="187"/>
      <c r="G247" s="258" t="s">
        <v>1220</v>
      </c>
      <c r="H247" s="189"/>
      <c r="I247" s="189"/>
      <c r="J247" s="189"/>
      <c r="K247" s="190"/>
      <c r="L247" s="189">
        <v>1</v>
      </c>
      <c r="M247" s="189">
        <v>1</v>
      </c>
      <c r="N247" s="189"/>
      <c r="O247" s="190" t="s">
        <v>71</v>
      </c>
      <c r="P247" s="190" t="s">
        <v>72</v>
      </c>
      <c r="Q247" s="190" t="s">
        <v>233</v>
      </c>
      <c r="R247" s="190">
        <v>2</v>
      </c>
      <c r="S247" s="190">
        <v>2</v>
      </c>
      <c r="T247" s="190">
        <v>2</v>
      </c>
      <c r="U247" s="190" t="s">
        <v>73</v>
      </c>
      <c r="V247" s="191">
        <f t="shared" si="133"/>
        <v>0.01</v>
      </c>
      <c r="W247" s="191">
        <f t="shared" si="134"/>
        <v>1660.0000000000002</v>
      </c>
      <c r="X247" s="192" t="s">
        <v>1221</v>
      </c>
      <c r="Y247" s="192"/>
      <c r="Z247" s="192" t="s">
        <v>1203</v>
      </c>
      <c r="AA247" s="193">
        <v>0.08</v>
      </c>
      <c r="AB247" s="189" t="s">
        <v>1222</v>
      </c>
      <c r="AC247" s="189">
        <v>12</v>
      </c>
      <c r="AD247" s="189"/>
      <c r="AE247" s="189" t="s">
        <v>1223</v>
      </c>
      <c r="AF247" s="189"/>
      <c r="AG247" s="189"/>
      <c r="AH247" s="189"/>
      <c r="AI247" s="194">
        <f t="shared" si="135"/>
        <v>-66.400000000000006</v>
      </c>
      <c r="AJ247" s="194">
        <f t="shared" si="136"/>
        <v>-132.80000000000001</v>
      </c>
      <c r="AK247" s="189" t="s">
        <v>1224</v>
      </c>
      <c r="AL247" s="189"/>
      <c r="AM247" s="189" t="s">
        <v>747</v>
      </c>
      <c r="AN247" s="189" t="s">
        <v>92</v>
      </c>
      <c r="AO247" s="189" t="s">
        <v>1225</v>
      </c>
      <c r="AP247" s="196">
        <v>7.0000000000000007E-2</v>
      </c>
      <c r="AQ247" s="196">
        <f>IF(ISBLANK(AP247),,IF(U247="S",AA247-AP247,AP247-AA247))</f>
        <v>9.999999999999995E-3</v>
      </c>
      <c r="AR247" s="194">
        <f>AS247*R247</f>
        <v>33.199999999999989</v>
      </c>
      <c r="AS247" s="197">
        <f>IF(ISBLANK(AP247),,(AQ247*W247))</f>
        <v>16.599999999999994</v>
      </c>
      <c r="AT247" s="198" t="s">
        <v>72</v>
      </c>
      <c r="AU247" s="189" t="s">
        <v>1226</v>
      </c>
      <c r="AV247" s="189"/>
      <c r="AW247" s="189"/>
      <c r="AX247" s="361"/>
      <c r="AY247" s="361"/>
      <c r="AZ247" s="361"/>
      <c r="BA247" s="361"/>
      <c r="BB247" s="361"/>
      <c r="BC247" s="373"/>
    </row>
    <row r="248" spans="1:55" ht="18" customHeight="1">
      <c r="A248" s="184" t="s">
        <v>1125</v>
      </c>
      <c r="B248" s="184">
        <v>44964</v>
      </c>
      <c r="C248" s="185" t="s">
        <v>1227</v>
      </c>
      <c r="D248" s="185" t="s">
        <v>123</v>
      </c>
      <c r="E248" s="238"/>
      <c r="F248" s="187"/>
      <c r="G248" s="297" t="s">
        <v>110</v>
      </c>
      <c r="H248" s="189"/>
      <c r="I248" s="189"/>
      <c r="J248" s="189"/>
      <c r="K248" s="190"/>
      <c r="L248" s="189">
        <v>1</v>
      </c>
      <c r="M248" s="189"/>
      <c r="N248" s="189"/>
      <c r="O248" s="190" t="s">
        <v>71</v>
      </c>
      <c r="P248" s="190" t="s">
        <v>72</v>
      </c>
      <c r="Q248" s="190" t="s">
        <v>73</v>
      </c>
      <c r="R248" s="190">
        <v>5</v>
      </c>
      <c r="S248" s="190">
        <v>5</v>
      </c>
      <c r="T248" s="190">
        <v>5</v>
      </c>
      <c r="U248" s="190" t="s">
        <v>73</v>
      </c>
      <c r="V248" s="191">
        <f t="shared" si="133"/>
        <v>0.01</v>
      </c>
      <c r="W248" s="191">
        <f>IF(ISBLANK(O248),"",IF(O248=UPPER("IB"),8.63*200,16.65*100))</f>
        <v>1664.9999999999998</v>
      </c>
      <c r="X248" s="192" t="s">
        <v>1228</v>
      </c>
      <c r="Y248" s="192"/>
      <c r="Z248" s="192" t="s">
        <v>1229</v>
      </c>
      <c r="AA248" s="193">
        <v>-0.02</v>
      </c>
      <c r="AB248" s="189"/>
      <c r="AC248" s="189">
        <v>0</v>
      </c>
      <c r="AD248" s="189"/>
      <c r="AE248" s="189" t="s">
        <v>1204</v>
      </c>
      <c r="AF248" s="189"/>
      <c r="AG248" s="189"/>
      <c r="AH248" s="189"/>
      <c r="AI248" s="194"/>
      <c r="AJ248" s="194"/>
      <c r="AK248" s="189"/>
      <c r="AL248" s="189"/>
      <c r="AM248" s="189" t="s">
        <v>566</v>
      </c>
      <c r="AN248" s="189" t="s">
        <v>92</v>
      </c>
      <c r="AO248" s="189" t="s">
        <v>1230</v>
      </c>
      <c r="AP248" s="196">
        <f>(3*-0.05+2*-0.06)/5</f>
        <v>-5.4000000000000006E-2</v>
      </c>
      <c r="AQ248" s="196">
        <f>IF(ISBLANK(AP248),,IF(U248="S",AA248-AP248,AP248-AA248))</f>
        <v>3.4000000000000002E-2</v>
      </c>
      <c r="AR248" s="194">
        <f>AS248*R248</f>
        <v>283.05</v>
      </c>
      <c r="AS248" s="197">
        <f>IF(ISBLANK(AP248),,(AQ248*W248))</f>
        <v>56.61</v>
      </c>
      <c r="AT248" s="198" t="s">
        <v>72</v>
      </c>
      <c r="AU248" s="189" t="s">
        <v>1231</v>
      </c>
      <c r="AV248" s="189"/>
      <c r="AW248" s="189"/>
      <c r="AX248" s="361"/>
      <c r="AY248" s="361"/>
      <c r="AZ248" s="361"/>
      <c r="BA248" s="361" t="s">
        <v>884</v>
      </c>
      <c r="BB248" s="361"/>
      <c r="BC248" s="373"/>
    </row>
    <row r="249" spans="1:55" ht="18" customHeight="1">
      <c r="A249" s="184" t="s">
        <v>1125</v>
      </c>
      <c r="B249" s="184">
        <v>44964</v>
      </c>
      <c r="C249" s="185" t="s">
        <v>1232</v>
      </c>
      <c r="D249" s="185" t="s">
        <v>123</v>
      </c>
      <c r="E249" s="238" t="s">
        <v>1233</v>
      </c>
      <c r="F249" s="187" t="s">
        <v>1234</v>
      </c>
      <c r="G249" s="188"/>
      <c r="H249" s="189"/>
      <c r="I249" s="189">
        <v>1</v>
      </c>
      <c r="J249" s="189"/>
      <c r="K249" s="190"/>
      <c r="L249" s="189"/>
      <c r="M249" s="189"/>
      <c r="N249" s="189"/>
      <c r="O249" s="190"/>
      <c r="P249" s="190"/>
      <c r="Q249" s="190"/>
      <c r="R249" s="190"/>
      <c r="S249" s="190"/>
      <c r="T249" s="190"/>
      <c r="U249" s="190"/>
      <c r="V249" s="191" t="str">
        <f t="shared" si="133"/>
        <v/>
      </c>
      <c r="W249" s="191" t="str">
        <f t="shared" si="134"/>
        <v/>
      </c>
      <c r="X249" s="192"/>
      <c r="Y249" s="192"/>
      <c r="Z249" s="192"/>
      <c r="AA249" s="193"/>
      <c r="AB249" s="189"/>
      <c r="AC249" s="189"/>
      <c r="AD249" s="189"/>
      <c r="AE249" s="189"/>
      <c r="AF249" s="189"/>
      <c r="AG249" s="189"/>
      <c r="AH249" s="189"/>
      <c r="AI249" s="194"/>
      <c r="AJ249" s="194"/>
      <c r="AK249" s="189"/>
      <c r="AL249" s="189"/>
      <c r="AM249" s="189"/>
      <c r="AN249" s="189"/>
      <c r="AO249" s="189"/>
      <c r="AP249" s="196"/>
      <c r="AQ249" s="196"/>
      <c r="AR249" s="194"/>
      <c r="AS249" s="197"/>
      <c r="AT249" s="198"/>
      <c r="AU249" s="189"/>
      <c r="AV249" s="189"/>
      <c r="AW249" s="189"/>
      <c r="AX249" s="361"/>
      <c r="AY249" s="361"/>
      <c r="AZ249" s="361"/>
      <c r="BA249" s="361"/>
      <c r="BB249" s="361"/>
      <c r="BC249" s="373"/>
    </row>
    <row r="250" spans="1:55" ht="18" customHeight="1">
      <c r="A250" s="232" t="s">
        <v>1125</v>
      </c>
      <c r="B250" s="184">
        <v>44964</v>
      </c>
      <c r="C250" s="185" t="s">
        <v>1232</v>
      </c>
      <c r="D250" s="185" t="s">
        <v>123</v>
      </c>
      <c r="E250" s="238"/>
      <c r="F250" s="187"/>
      <c r="G250" s="188" t="s">
        <v>960</v>
      </c>
      <c r="H250" s="189"/>
      <c r="I250" s="189"/>
      <c r="J250" s="189"/>
      <c r="K250" s="190"/>
      <c r="L250" s="189">
        <v>1</v>
      </c>
      <c r="M250" s="189"/>
      <c r="N250" s="189"/>
      <c r="O250" s="190" t="s">
        <v>71</v>
      </c>
      <c r="P250" s="190" t="s">
        <v>72</v>
      </c>
      <c r="Q250" s="190" t="s">
        <v>661</v>
      </c>
      <c r="R250" s="190">
        <v>1</v>
      </c>
      <c r="S250" s="190">
        <v>1</v>
      </c>
      <c r="T250" s="190">
        <v>1</v>
      </c>
      <c r="U250" s="190" t="s">
        <v>21</v>
      </c>
      <c r="V250" s="191">
        <f t="shared" si="133"/>
        <v>0.01</v>
      </c>
      <c r="W250" s="191">
        <f t="shared" si="134"/>
        <v>1660.0000000000002</v>
      </c>
      <c r="X250" s="192"/>
      <c r="Y250" s="192" t="s">
        <v>1235</v>
      </c>
      <c r="Z250" s="192"/>
      <c r="AA250" s="193">
        <v>96.05</v>
      </c>
      <c r="AB250" s="189"/>
      <c r="AC250" s="189"/>
      <c r="AD250" s="189"/>
      <c r="AE250" s="189"/>
      <c r="AF250" s="189"/>
      <c r="AG250" s="189"/>
      <c r="AH250" s="189"/>
      <c r="AI250" s="194"/>
      <c r="AJ250" s="194"/>
      <c r="AK250" s="189"/>
      <c r="AL250" s="189"/>
      <c r="AM250" s="189" t="s">
        <v>1119</v>
      </c>
      <c r="AN250" s="189" t="s">
        <v>371</v>
      </c>
      <c r="AO250" s="189" t="s">
        <v>1119</v>
      </c>
      <c r="AP250" s="196">
        <v>96</v>
      </c>
      <c r="AQ250" s="196">
        <f t="shared" ref="AQ250:AQ260" si="137">IF(ISBLANK(AP250),,IF(U250="S",AA250-AP250,AP250-AA250))</f>
        <v>-4.9999999999997158E-2</v>
      </c>
      <c r="AR250" s="194">
        <f t="shared" ref="AR250:AR260" si="138">AS250*R250</f>
        <v>-82.999999999995296</v>
      </c>
      <c r="AS250" s="197">
        <f t="shared" ref="AS250:AS260" si="139">IF(ISBLANK(AP250),,(AQ250*W250))</f>
        <v>-82.999999999995296</v>
      </c>
      <c r="AT250" s="198" t="s">
        <v>206</v>
      </c>
      <c r="AU250" s="189"/>
      <c r="AV250" s="189"/>
      <c r="AW250" s="189"/>
      <c r="AX250" s="361"/>
      <c r="AY250" s="361"/>
      <c r="AZ250" s="361"/>
      <c r="BA250" s="361"/>
      <c r="BB250" s="361"/>
      <c r="BC250" s="373"/>
    </row>
    <row r="251" spans="1:55" ht="18" customHeight="1">
      <c r="A251" s="184" t="s">
        <v>1125</v>
      </c>
      <c r="B251" s="184">
        <v>44964</v>
      </c>
      <c r="C251" s="185" t="s">
        <v>952</v>
      </c>
      <c r="D251" s="185" t="s">
        <v>123</v>
      </c>
      <c r="E251" s="238"/>
      <c r="F251" s="187"/>
      <c r="G251" s="298" t="s">
        <v>530</v>
      </c>
      <c r="H251" s="189"/>
      <c r="I251" s="189"/>
      <c r="J251" s="189"/>
      <c r="K251" s="190"/>
      <c r="L251" s="189">
        <v>1</v>
      </c>
      <c r="M251" s="189"/>
      <c r="N251" s="189"/>
      <c r="O251" s="190" t="s">
        <v>71</v>
      </c>
      <c r="P251" s="190" t="s">
        <v>114</v>
      </c>
      <c r="Q251" s="190" t="s">
        <v>73</v>
      </c>
      <c r="R251" s="190">
        <v>2</v>
      </c>
      <c r="S251" s="190">
        <v>2</v>
      </c>
      <c r="T251" s="190">
        <v>2</v>
      </c>
      <c r="U251" s="190" t="s">
        <v>21</v>
      </c>
      <c r="V251" s="191">
        <f t="shared" si="133"/>
        <v>0.01</v>
      </c>
      <c r="W251" s="191">
        <f t="shared" si="134"/>
        <v>1660.0000000000002</v>
      </c>
      <c r="X251" s="192" t="s">
        <v>913</v>
      </c>
      <c r="Y251" s="192"/>
      <c r="Z251" s="192"/>
      <c r="AA251" s="193">
        <v>-0.09</v>
      </c>
      <c r="AB251" s="189"/>
      <c r="AC251" s="189">
        <v>-12</v>
      </c>
      <c r="AD251" s="189"/>
      <c r="AE251" s="189" t="s">
        <v>1236</v>
      </c>
      <c r="AF251" s="189"/>
      <c r="AG251" s="189"/>
      <c r="AH251" s="189"/>
      <c r="AI251" s="194">
        <f>-0.02*W251</f>
        <v>-33.200000000000003</v>
      </c>
      <c r="AJ251" s="194">
        <f t="shared" ref="AJ251" si="140">AI251*R251</f>
        <v>-66.400000000000006</v>
      </c>
      <c r="AK251" s="189"/>
      <c r="AL251" s="189"/>
      <c r="AM251" s="189" t="s">
        <v>1237</v>
      </c>
      <c r="AN251" s="189" t="s">
        <v>92</v>
      </c>
      <c r="AO251" s="189" t="s">
        <v>1238</v>
      </c>
      <c r="AP251" s="196">
        <v>-0.105</v>
      </c>
      <c r="AQ251" s="196">
        <f t="shared" si="137"/>
        <v>-1.4999999999999999E-2</v>
      </c>
      <c r="AR251" s="194">
        <f t="shared" si="138"/>
        <v>-49.800000000000004</v>
      </c>
      <c r="AS251" s="197">
        <f t="shared" si="139"/>
        <v>-24.900000000000002</v>
      </c>
      <c r="AT251" s="198" t="s">
        <v>206</v>
      </c>
      <c r="AU251" s="189" t="s">
        <v>1239</v>
      </c>
      <c r="AV251" s="189" t="s">
        <v>1240</v>
      </c>
      <c r="AW251" s="189" t="s">
        <v>1241</v>
      </c>
      <c r="AX251" s="361" t="s">
        <v>1242</v>
      </c>
      <c r="AY251" s="361" t="s">
        <v>1243</v>
      </c>
      <c r="AZ251" s="361"/>
      <c r="BA251" s="361"/>
      <c r="BB251" s="361"/>
      <c r="BC251" s="373"/>
    </row>
    <row r="252" spans="1:55" ht="18" customHeight="1">
      <c r="A252" s="184" t="s">
        <v>1125</v>
      </c>
      <c r="B252" s="184">
        <v>44964</v>
      </c>
      <c r="C252" s="185" t="s">
        <v>659</v>
      </c>
      <c r="D252" s="185" t="s">
        <v>123</v>
      </c>
      <c r="E252" s="238"/>
      <c r="F252" s="187"/>
      <c r="G252" s="316" t="s">
        <v>110</v>
      </c>
      <c r="H252" s="189"/>
      <c r="I252" s="189"/>
      <c r="J252" s="189"/>
      <c r="K252" s="190"/>
      <c r="L252" s="189">
        <v>1</v>
      </c>
      <c r="M252" s="189"/>
      <c r="N252" s="189"/>
      <c r="O252" s="190" t="s">
        <v>71</v>
      </c>
      <c r="P252" s="190" t="s">
        <v>72</v>
      </c>
      <c r="Q252" s="190" t="s">
        <v>73</v>
      </c>
      <c r="R252" s="190">
        <v>5</v>
      </c>
      <c r="S252" s="190">
        <v>5</v>
      </c>
      <c r="T252" s="190">
        <v>5</v>
      </c>
      <c r="U252" s="190" t="s">
        <v>73</v>
      </c>
      <c r="V252" s="191">
        <f t="shared" si="133"/>
        <v>0.01</v>
      </c>
      <c r="W252" s="191">
        <f t="shared" si="134"/>
        <v>1660.0000000000002</v>
      </c>
      <c r="X252" s="192" t="s">
        <v>1244</v>
      </c>
      <c r="Y252" s="192"/>
      <c r="Z252" s="192" t="s">
        <v>1245</v>
      </c>
      <c r="AA252" s="193">
        <v>-0.01</v>
      </c>
      <c r="AB252" s="189"/>
      <c r="AC252" s="189">
        <v>1</v>
      </c>
      <c r="AD252" s="189"/>
      <c r="AE252" s="189" t="s">
        <v>1246</v>
      </c>
      <c r="AF252" s="189"/>
      <c r="AG252" s="189"/>
      <c r="AH252" s="189"/>
      <c r="AI252" s="194"/>
      <c r="AJ252" s="194"/>
      <c r="AK252" s="189"/>
      <c r="AL252" s="189"/>
      <c r="AM252" s="189" t="s">
        <v>897</v>
      </c>
      <c r="AN252" s="189" t="s">
        <v>72</v>
      </c>
      <c r="AO252" s="189" t="s">
        <v>1247</v>
      </c>
      <c r="AP252" s="196">
        <v>0</v>
      </c>
      <c r="AQ252" s="196">
        <f t="shared" si="137"/>
        <v>-0.01</v>
      </c>
      <c r="AR252" s="194">
        <f t="shared" si="138"/>
        <v>-83</v>
      </c>
      <c r="AS252" s="197">
        <f t="shared" si="139"/>
        <v>-16.600000000000001</v>
      </c>
      <c r="AT252" s="198" t="s">
        <v>206</v>
      </c>
      <c r="AU252" s="189"/>
      <c r="AV252" s="189" t="s">
        <v>1248</v>
      </c>
      <c r="AW252" s="189" t="s">
        <v>1249</v>
      </c>
      <c r="AX252" s="361"/>
      <c r="AY252" s="361"/>
      <c r="AZ252" s="361"/>
      <c r="BA252" s="361"/>
      <c r="BB252" s="361"/>
      <c r="BC252" s="373"/>
    </row>
    <row r="253" spans="1:55" ht="18" customHeight="1">
      <c r="A253" s="232" t="s">
        <v>1125</v>
      </c>
      <c r="B253" s="184">
        <v>44964</v>
      </c>
      <c r="C253" s="185" t="s">
        <v>659</v>
      </c>
      <c r="D253" s="185" t="s">
        <v>123</v>
      </c>
      <c r="E253" s="238"/>
      <c r="F253" s="187"/>
      <c r="G253" s="299" t="s">
        <v>248</v>
      </c>
      <c r="H253" s="189"/>
      <c r="I253" s="189"/>
      <c r="J253" s="189"/>
      <c r="K253" s="190"/>
      <c r="L253" s="189">
        <v>1</v>
      </c>
      <c r="M253" s="189"/>
      <c r="N253" s="189"/>
      <c r="O253" s="190" t="s">
        <v>71</v>
      </c>
      <c r="P253" s="190" t="s">
        <v>114</v>
      </c>
      <c r="Q253" s="190" t="s">
        <v>73</v>
      </c>
      <c r="R253" s="190">
        <v>5</v>
      </c>
      <c r="S253" s="190">
        <v>5</v>
      </c>
      <c r="T253" s="190">
        <v>5</v>
      </c>
      <c r="U253" s="190" t="s">
        <v>21</v>
      </c>
      <c r="V253" s="191">
        <f t="shared" si="133"/>
        <v>0.01</v>
      </c>
      <c r="W253" s="191">
        <f t="shared" si="134"/>
        <v>1660.0000000000002</v>
      </c>
      <c r="X253" s="192" t="s">
        <v>1250</v>
      </c>
      <c r="Y253" s="192"/>
      <c r="Z253" s="192"/>
      <c r="AA253" s="193">
        <v>-0.16</v>
      </c>
      <c r="AB253" s="189"/>
      <c r="AC253" s="189"/>
      <c r="AD253" s="189"/>
      <c r="AE253" s="189">
        <v>-14</v>
      </c>
      <c r="AF253" s="189"/>
      <c r="AG253" s="189"/>
      <c r="AH253" s="189"/>
      <c r="AI253" s="194">
        <f>-0.03*W253</f>
        <v>-49.800000000000004</v>
      </c>
      <c r="AJ253" s="194">
        <f t="shared" ref="AJ253:AJ256" si="141">AI253*R253</f>
        <v>-249.00000000000003</v>
      </c>
      <c r="AK253" s="189"/>
      <c r="AL253" s="189"/>
      <c r="AM253" s="189" t="s">
        <v>976</v>
      </c>
      <c r="AN253" s="189" t="s">
        <v>92</v>
      </c>
      <c r="AO253" s="189" t="s">
        <v>1251</v>
      </c>
      <c r="AP253" s="196">
        <v>-0.16</v>
      </c>
      <c r="AQ253" s="196">
        <f t="shared" si="137"/>
        <v>0</v>
      </c>
      <c r="AR253" s="194">
        <f t="shared" si="138"/>
        <v>0</v>
      </c>
      <c r="AS253" s="197">
        <f t="shared" si="139"/>
        <v>0</v>
      </c>
      <c r="AT253" s="198" t="s">
        <v>92</v>
      </c>
      <c r="AU253" s="189" t="s">
        <v>1252</v>
      </c>
      <c r="AV253" s="189" t="s">
        <v>1253</v>
      </c>
      <c r="AW253" s="189" t="s">
        <v>1254</v>
      </c>
      <c r="AX253" s="361"/>
      <c r="AY253" s="361"/>
      <c r="AZ253" s="361"/>
      <c r="BA253" s="361"/>
      <c r="BB253" s="361"/>
      <c r="BC253" s="373"/>
    </row>
    <row r="254" spans="1:55" ht="18" customHeight="1">
      <c r="A254" s="184" t="s">
        <v>1125</v>
      </c>
      <c r="B254" s="184">
        <v>44964</v>
      </c>
      <c r="C254" s="185" t="s">
        <v>1255</v>
      </c>
      <c r="D254" s="185" t="s">
        <v>123</v>
      </c>
      <c r="E254" s="238"/>
      <c r="F254" s="187"/>
      <c r="G254" s="304" t="s">
        <v>257</v>
      </c>
      <c r="H254" s="189"/>
      <c r="I254" s="189"/>
      <c r="J254" s="189"/>
      <c r="K254" s="190"/>
      <c r="L254" s="189">
        <v>1</v>
      </c>
      <c r="M254" s="189"/>
      <c r="N254" s="189"/>
      <c r="O254" s="190" t="s">
        <v>71</v>
      </c>
      <c r="P254" s="190" t="s">
        <v>114</v>
      </c>
      <c r="Q254" s="190" t="s">
        <v>73</v>
      </c>
      <c r="R254" s="190">
        <v>5</v>
      </c>
      <c r="S254" s="190">
        <v>5</v>
      </c>
      <c r="T254" s="190">
        <v>5</v>
      </c>
      <c r="U254" s="190" t="s">
        <v>21</v>
      </c>
      <c r="V254" s="191">
        <f t="shared" si="133"/>
        <v>0.01</v>
      </c>
      <c r="W254" s="191">
        <f>IF(ISBLANK(O254),"",IF(O254=UPPER("IB"),8.63*200,16.7*100))</f>
        <v>1670</v>
      </c>
      <c r="X254" s="192" t="s">
        <v>1256</v>
      </c>
      <c r="Y254" s="192" t="s">
        <v>506</v>
      </c>
      <c r="Z254" s="192"/>
      <c r="AA254" s="193">
        <v>-0.13</v>
      </c>
      <c r="AB254" s="189"/>
      <c r="AC254" s="189"/>
      <c r="AD254" s="189"/>
      <c r="AE254" s="189">
        <v>-11</v>
      </c>
      <c r="AF254" s="189"/>
      <c r="AG254" s="189"/>
      <c r="AH254" s="189"/>
      <c r="AI254" s="194">
        <f>-0.03*W254</f>
        <v>-50.1</v>
      </c>
      <c r="AJ254" s="194">
        <f t="shared" si="141"/>
        <v>-250.5</v>
      </c>
      <c r="AK254" s="189" t="s">
        <v>1257</v>
      </c>
      <c r="AL254" s="189"/>
      <c r="AM254" s="189" t="s">
        <v>879</v>
      </c>
      <c r="AN254" s="189" t="s">
        <v>72</v>
      </c>
      <c r="AO254" s="303" t="s">
        <v>1258</v>
      </c>
      <c r="AP254" s="196">
        <f>(-0.15*2+-0.14*3)/5</f>
        <v>-0.14399999999999999</v>
      </c>
      <c r="AQ254" s="196">
        <f t="shared" si="137"/>
        <v>-1.3999999999999985E-2</v>
      </c>
      <c r="AR254" s="194">
        <f t="shared" si="138"/>
        <v>-116.89999999999986</v>
      </c>
      <c r="AS254" s="197">
        <f t="shared" si="139"/>
        <v>-23.379999999999974</v>
      </c>
      <c r="AT254" s="198" t="s">
        <v>206</v>
      </c>
      <c r="AU254" s="189" t="s">
        <v>1259</v>
      </c>
      <c r="AV254" s="189" t="s">
        <v>1253</v>
      </c>
      <c r="AW254" s="189" t="s">
        <v>1260</v>
      </c>
      <c r="AX254" s="361" t="s">
        <v>1261</v>
      </c>
      <c r="AY254" s="361"/>
      <c r="AZ254" s="361"/>
      <c r="BA254" s="361"/>
      <c r="BB254" s="361"/>
      <c r="BC254" s="373"/>
    </row>
    <row r="255" spans="1:55" ht="18" customHeight="1">
      <c r="A255" s="184" t="s">
        <v>1125</v>
      </c>
      <c r="B255" s="184">
        <v>44964</v>
      </c>
      <c r="C255" s="185" t="s">
        <v>1255</v>
      </c>
      <c r="D255" s="185" t="s">
        <v>123</v>
      </c>
      <c r="E255" s="238"/>
      <c r="F255" s="187"/>
      <c r="G255" s="294" t="s">
        <v>342</v>
      </c>
      <c r="H255" s="189"/>
      <c r="I255" s="189"/>
      <c r="J255" s="189"/>
      <c r="K255" s="190"/>
      <c r="L255" s="189">
        <v>1</v>
      </c>
      <c r="M255" s="189"/>
      <c r="N255" s="189"/>
      <c r="O255" s="190" t="s">
        <v>71</v>
      </c>
      <c r="P255" s="190" t="s">
        <v>114</v>
      </c>
      <c r="Q255" s="190" t="s">
        <v>73</v>
      </c>
      <c r="R255" s="190">
        <v>2</v>
      </c>
      <c r="S255" s="190">
        <v>2</v>
      </c>
      <c r="T255" s="190">
        <v>2</v>
      </c>
      <c r="U255" s="190" t="s">
        <v>21</v>
      </c>
      <c r="V255" s="191">
        <f t="shared" si="133"/>
        <v>0.01</v>
      </c>
      <c r="W255" s="191">
        <f t="shared" si="134"/>
        <v>1660.0000000000002</v>
      </c>
      <c r="X255" s="192" t="s">
        <v>1262</v>
      </c>
      <c r="Y255" s="192"/>
      <c r="Z255" s="192" t="s">
        <v>1263</v>
      </c>
      <c r="AA255" s="193">
        <v>-0.12</v>
      </c>
      <c r="AB255" s="189"/>
      <c r="AC255" s="189"/>
      <c r="AD255" s="189"/>
      <c r="AE255" s="189"/>
      <c r="AF255" s="189"/>
      <c r="AG255" s="189"/>
      <c r="AH255" s="189"/>
      <c r="AI255" s="194">
        <f t="shared" ref="AI255" si="142">-0.02*W255</f>
        <v>-33.200000000000003</v>
      </c>
      <c r="AJ255" s="194">
        <f t="shared" si="141"/>
        <v>-66.400000000000006</v>
      </c>
      <c r="AK255" s="189"/>
      <c r="AL255" s="189"/>
      <c r="AM255" s="189" t="s">
        <v>941</v>
      </c>
      <c r="AN255" s="189" t="s">
        <v>82</v>
      </c>
      <c r="AO255" s="189" t="s">
        <v>1264</v>
      </c>
      <c r="AP255" s="196">
        <v>-0.11</v>
      </c>
      <c r="AQ255" s="196">
        <f t="shared" si="137"/>
        <v>9.999999999999995E-3</v>
      </c>
      <c r="AR255" s="194">
        <f t="shared" si="138"/>
        <v>33.199999999999989</v>
      </c>
      <c r="AS255" s="197">
        <f t="shared" si="139"/>
        <v>16.599999999999994</v>
      </c>
      <c r="AT255" s="198" t="s">
        <v>72</v>
      </c>
      <c r="AU255" s="189"/>
      <c r="AV255" s="189"/>
      <c r="AW255" s="189"/>
      <c r="AX255" s="361"/>
      <c r="AY255" s="361"/>
      <c r="AZ255" s="361"/>
      <c r="BA255" s="361"/>
      <c r="BB255" s="361"/>
      <c r="BC255" s="373"/>
    </row>
    <row r="256" spans="1:55" ht="18" customHeight="1">
      <c r="A256" s="232" t="s">
        <v>1125</v>
      </c>
      <c r="B256" s="184">
        <v>44964</v>
      </c>
      <c r="C256" s="185" t="s">
        <v>659</v>
      </c>
      <c r="D256" s="185" t="s">
        <v>123</v>
      </c>
      <c r="E256" s="238"/>
      <c r="F256" s="187"/>
      <c r="G256" s="262" t="s">
        <v>734</v>
      </c>
      <c r="H256" s="189"/>
      <c r="I256" s="189"/>
      <c r="J256" s="189"/>
      <c r="K256" s="190"/>
      <c r="L256" s="189">
        <v>1</v>
      </c>
      <c r="M256" s="189">
        <v>1</v>
      </c>
      <c r="N256" s="189"/>
      <c r="O256" s="190" t="s">
        <v>71</v>
      </c>
      <c r="P256" s="190" t="s">
        <v>72</v>
      </c>
      <c r="Q256" s="190" t="s">
        <v>73</v>
      </c>
      <c r="R256" s="190">
        <v>1</v>
      </c>
      <c r="S256" s="190">
        <v>1</v>
      </c>
      <c r="T256" s="190">
        <v>1</v>
      </c>
      <c r="U256" s="190" t="s">
        <v>73</v>
      </c>
      <c r="V256" s="191">
        <f t="shared" si="133"/>
        <v>0.01</v>
      </c>
      <c r="W256" s="191">
        <f t="shared" si="134"/>
        <v>1660.0000000000002</v>
      </c>
      <c r="X256" s="192" t="s">
        <v>1211</v>
      </c>
      <c r="Y256" s="192"/>
      <c r="Z256" s="192" t="s">
        <v>1212</v>
      </c>
      <c r="AA256" s="193">
        <v>0.06</v>
      </c>
      <c r="AB256" s="189"/>
      <c r="AC256" s="189">
        <v>9</v>
      </c>
      <c r="AD256" s="189" t="s">
        <v>1213</v>
      </c>
      <c r="AE256" s="189" t="s">
        <v>1265</v>
      </c>
      <c r="AF256" s="189"/>
      <c r="AG256" s="189"/>
      <c r="AH256" s="189"/>
      <c r="AI256" s="194">
        <f t="shared" ref="AI256" si="143">-0.04*W256</f>
        <v>-66.400000000000006</v>
      </c>
      <c r="AJ256" s="194">
        <f t="shared" si="141"/>
        <v>-66.400000000000006</v>
      </c>
      <c r="AK256" s="189" t="s">
        <v>1215</v>
      </c>
      <c r="AL256" s="189" t="s">
        <v>1216</v>
      </c>
      <c r="AM256" s="189" t="s">
        <v>823</v>
      </c>
      <c r="AN256" s="189" t="s">
        <v>82</v>
      </c>
      <c r="AO256" s="189" t="s">
        <v>1217</v>
      </c>
      <c r="AP256" s="196">
        <v>0.05</v>
      </c>
      <c r="AQ256" s="196">
        <f t="shared" si="137"/>
        <v>9.999999999999995E-3</v>
      </c>
      <c r="AR256" s="194">
        <f t="shared" si="138"/>
        <v>16.599999999999994</v>
      </c>
      <c r="AS256" s="197">
        <f t="shared" si="139"/>
        <v>16.599999999999994</v>
      </c>
      <c r="AT256" s="198" t="s">
        <v>72</v>
      </c>
      <c r="AU256" s="189"/>
      <c r="AV256" s="189"/>
      <c r="AW256" s="189"/>
      <c r="AX256" s="361"/>
      <c r="AY256" s="361"/>
      <c r="AZ256" s="361"/>
      <c r="BA256" s="361"/>
      <c r="BB256" s="361"/>
      <c r="BC256" s="373"/>
    </row>
    <row r="257" spans="1:55" ht="18" customHeight="1">
      <c r="A257" s="184" t="s">
        <v>1125</v>
      </c>
      <c r="B257" s="184">
        <v>44964</v>
      </c>
      <c r="C257" s="185" t="s">
        <v>1266</v>
      </c>
      <c r="D257" s="185" t="s">
        <v>123</v>
      </c>
      <c r="E257" s="238"/>
      <c r="F257" s="187"/>
      <c r="G257" s="294" t="s">
        <v>412</v>
      </c>
      <c r="H257" s="189"/>
      <c r="I257" s="189"/>
      <c r="J257" s="189"/>
      <c r="K257" s="190"/>
      <c r="L257" s="189">
        <v>1</v>
      </c>
      <c r="M257" s="189"/>
      <c r="N257" s="189"/>
      <c r="O257" s="190" t="s">
        <v>71</v>
      </c>
      <c r="P257" s="190" t="s">
        <v>72</v>
      </c>
      <c r="Q257" s="190" t="s">
        <v>73</v>
      </c>
      <c r="R257" s="190">
        <v>1</v>
      </c>
      <c r="S257" s="190">
        <v>1</v>
      </c>
      <c r="T257" s="190">
        <v>1</v>
      </c>
      <c r="U257" s="190" t="s">
        <v>73</v>
      </c>
      <c r="V257" s="191">
        <f t="shared" si="133"/>
        <v>0.01</v>
      </c>
      <c r="W257" s="191">
        <f t="shared" si="134"/>
        <v>1660.0000000000002</v>
      </c>
      <c r="X257" s="192" t="s">
        <v>115</v>
      </c>
      <c r="Y257" s="192"/>
      <c r="Z257" s="192" t="s">
        <v>1267</v>
      </c>
      <c r="AA257" s="193">
        <v>0.32</v>
      </c>
      <c r="AB257" s="189"/>
      <c r="AC257" s="189"/>
      <c r="AD257" s="189"/>
      <c r="AE257" s="189"/>
      <c r="AF257" s="189"/>
      <c r="AG257" s="189"/>
      <c r="AH257" s="189"/>
      <c r="AI257" s="194">
        <f>-0.03*W257</f>
        <v>-49.800000000000004</v>
      </c>
      <c r="AJ257" s="194">
        <f t="shared" ref="AJ257" si="144">AI257*R257</f>
        <v>-49.800000000000004</v>
      </c>
      <c r="AK257" s="189"/>
      <c r="AL257" s="189"/>
      <c r="AM257" s="189" t="s">
        <v>1268</v>
      </c>
      <c r="AN257" s="189" t="s">
        <v>82</v>
      </c>
      <c r="AO257" s="189" t="s">
        <v>1269</v>
      </c>
      <c r="AP257" s="196">
        <v>0.31</v>
      </c>
      <c r="AQ257" s="196">
        <f t="shared" si="137"/>
        <v>1.0000000000000009E-2</v>
      </c>
      <c r="AR257" s="194">
        <f t="shared" si="138"/>
        <v>16.600000000000016</v>
      </c>
      <c r="AS257" s="197">
        <f t="shared" si="139"/>
        <v>16.600000000000016</v>
      </c>
      <c r="AT257" s="198" t="s">
        <v>72</v>
      </c>
      <c r="AU257" s="189" t="s">
        <v>1270</v>
      </c>
      <c r="AV257" s="189" t="s">
        <v>506</v>
      </c>
      <c r="AW257" s="189"/>
      <c r="AX257" s="361"/>
      <c r="AY257" s="361"/>
      <c r="AZ257" s="361"/>
      <c r="BA257" s="361"/>
      <c r="BB257" s="361"/>
      <c r="BC257" s="373"/>
    </row>
    <row r="258" spans="1:55" ht="18" customHeight="1">
      <c r="A258" s="184" t="s">
        <v>1125</v>
      </c>
      <c r="B258" s="184">
        <v>44967</v>
      </c>
      <c r="C258" s="185" t="s">
        <v>1271</v>
      </c>
      <c r="D258" s="185" t="s">
        <v>88</v>
      </c>
      <c r="E258" s="238"/>
      <c r="F258" s="187"/>
      <c r="G258" s="299" t="s">
        <v>530</v>
      </c>
      <c r="H258" s="189"/>
      <c r="I258" s="189"/>
      <c r="J258" s="189"/>
      <c r="K258" s="190"/>
      <c r="L258" s="189">
        <v>1</v>
      </c>
      <c r="M258" s="189"/>
      <c r="N258" s="189"/>
      <c r="O258" s="190" t="s">
        <v>71</v>
      </c>
      <c r="P258" s="190" t="s">
        <v>114</v>
      </c>
      <c r="Q258" s="190" t="s">
        <v>73</v>
      </c>
      <c r="R258" s="190">
        <v>3</v>
      </c>
      <c r="S258" s="190">
        <v>3</v>
      </c>
      <c r="T258" s="190">
        <v>3</v>
      </c>
      <c r="U258" s="190" t="s">
        <v>21</v>
      </c>
      <c r="V258" s="191">
        <f t="shared" ref="V258" si="145">IF(ISBLANK(O258),"",(IF(O258=UPPER("IB"),0.005,0.01)))</f>
        <v>0.01</v>
      </c>
      <c r="W258" s="191">
        <f t="shared" ref="W258" si="146">IF(ISBLANK(O258),"",IF(O258=UPPER("IB"),8.63*200,16.6*100))</f>
        <v>1660.0000000000002</v>
      </c>
      <c r="X258" s="192"/>
      <c r="Y258" s="192"/>
      <c r="Z258" s="192" t="s">
        <v>75</v>
      </c>
      <c r="AA258" s="193">
        <v>-0.11</v>
      </c>
      <c r="AB258" s="189"/>
      <c r="AC258" s="189"/>
      <c r="AD258" s="189"/>
      <c r="AE258" s="189"/>
      <c r="AF258" s="189"/>
      <c r="AG258" s="189"/>
      <c r="AH258" s="189"/>
      <c r="AI258" s="194">
        <f t="shared" ref="AI258" si="147">-0.03*W258</f>
        <v>-49.800000000000004</v>
      </c>
      <c r="AJ258" s="194">
        <f t="shared" ref="AJ258:AJ260" si="148">AI258*R258</f>
        <v>-149.4</v>
      </c>
      <c r="AK258" s="189"/>
      <c r="AL258" s="189"/>
      <c r="AM258" s="189" t="s">
        <v>941</v>
      </c>
      <c r="AN258" s="189" t="s">
        <v>82</v>
      </c>
      <c r="AO258" s="189" t="s">
        <v>1272</v>
      </c>
      <c r="AP258" s="196">
        <v>-0.11</v>
      </c>
      <c r="AQ258" s="196">
        <f t="shared" si="137"/>
        <v>0</v>
      </c>
      <c r="AR258" s="194">
        <f t="shared" si="138"/>
        <v>0</v>
      </c>
      <c r="AS258" s="197">
        <f t="shared" si="139"/>
        <v>0</v>
      </c>
      <c r="AT258" s="198" t="s">
        <v>92</v>
      </c>
      <c r="AU258" s="189" t="s">
        <v>1273</v>
      </c>
      <c r="AV258" s="189" t="s">
        <v>1274</v>
      </c>
      <c r="AW258" s="189"/>
      <c r="AX258" s="361"/>
      <c r="AY258" s="361"/>
      <c r="AZ258" s="361"/>
      <c r="BA258" s="361"/>
      <c r="BB258" s="361"/>
      <c r="BC258" s="373"/>
    </row>
    <row r="259" spans="1:55" ht="18" customHeight="1">
      <c r="A259" s="232" t="s">
        <v>1125</v>
      </c>
      <c r="B259" s="184">
        <v>44967</v>
      </c>
      <c r="C259" s="185" t="s">
        <v>1275</v>
      </c>
      <c r="D259" s="185" t="s">
        <v>88</v>
      </c>
      <c r="E259" s="238"/>
      <c r="F259" s="187"/>
      <c r="G259" s="299" t="s">
        <v>412</v>
      </c>
      <c r="H259" s="189"/>
      <c r="I259" s="189"/>
      <c r="J259" s="189"/>
      <c r="K259" s="190"/>
      <c r="L259" s="189">
        <v>1</v>
      </c>
      <c r="M259" s="189"/>
      <c r="N259" s="189"/>
      <c r="O259" s="190" t="s">
        <v>71</v>
      </c>
      <c r="P259" s="190" t="s">
        <v>72</v>
      </c>
      <c r="Q259" s="190" t="s">
        <v>73</v>
      </c>
      <c r="R259" s="190">
        <v>1</v>
      </c>
      <c r="S259" s="190">
        <v>1</v>
      </c>
      <c r="T259" s="190">
        <v>1</v>
      </c>
      <c r="U259" s="190" t="s">
        <v>73</v>
      </c>
      <c r="V259" s="191">
        <f t="shared" ref="V259:V260" si="149">IF(ISBLANK(O259),"",(IF(O259=UPPER("IB"),0.005,0.01)))</f>
        <v>0.01</v>
      </c>
      <c r="W259" s="191">
        <f t="shared" ref="W259:W260" si="150">IF(ISBLANK(O259),"",IF(O259=UPPER("IB"),8.63*200,16.6*100))</f>
        <v>1660.0000000000002</v>
      </c>
      <c r="X259" s="192" t="s">
        <v>1276</v>
      </c>
      <c r="Y259" s="192" t="s">
        <v>1277</v>
      </c>
      <c r="Z259" s="192" t="s">
        <v>1278</v>
      </c>
      <c r="AA259" s="193">
        <v>0.44</v>
      </c>
      <c r="AB259" s="189"/>
      <c r="AC259" s="189"/>
      <c r="AD259" s="189"/>
      <c r="AE259" s="189" t="s">
        <v>1279</v>
      </c>
      <c r="AF259" s="189"/>
      <c r="AG259" s="189"/>
      <c r="AH259" s="189">
        <v>1</v>
      </c>
      <c r="AI259" s="194">
        <f>-0.05*W259</f>
        <v>-83.000000000000014</v>
      </c>
      <c r="AJ259" s="194">
        <f t="shared" si="148"/>
        <v>-83.000000000000014</v>
      </c>
      <c r="AK259" s="189"/>
      <c r="AL259" s="189"/>
      <c r="AM259" s="189" t="s">
        <v>1003</v>
      </c>
      <c r="AN259" s="189" t="s">
        <v>82</v>
      </c>
      <c r="AO259" s="189" t="s">
        <v>1280</v>
      </c>
      <c r="AP259" s="196">
        <v>0.44</v>
      </c>
      <c r="AQ259" s="196">
        <f t="shared" si="137"/>
        <v>0</v>
      </c>
      <c r="AR259" s="194">
        <f t="shared" si="138"/>
        <v>0</v>
      </c>
      <c r="AS259" s="197">
        <f t="shared" si="139"/>
        <v>0</v>
      </c>
      <c r="AT259" s="198" t="s">
        <v>92</v>
      </c>
      <c r="AU259" s="189" t="s">
        <v>1281</v>
      </c>
      <c r="AV259" s="189" t="s">
        <v>1282</v>
      </c>
      <c r="AW259" s="189"/>
      <c r="AX259" s="361" t="s">
        <v>1283</v>
      </c>
      <c r="AY259" s="361" t="s">
        <v>506</v>
      </c>
      <c r="AZ259" s="361"/>
      <c r="BA259" s="361"/>
      <c r="BB259" s="361"/>
      <c r="BC259" s="373"/>
    </row>
    <row r="260" spans="1:55" ht="18" customHeight="1">
      <c r="A260" s="184" t="s">
        <v>1125</v>
      </c>
      <c r="B260" s="184">
        <v>44967</v>
      </c>
      <c r="C260" s="185" t="s">
        <v>1284</v>
      </c>
      <c r="D260" s="185" t="s">
        <v>88</v>
      </c>
      <c r="E260" s="238"/>
      <c r="F260" s="187"/>
      <c r="G260" s="300" t="s">
        <v>734</v>
      </c>
      <c r="H260" s="189"/>
      <c r="I260" s="189"/>
      <c r="J260" s="189"/>
      <c r="K260" s="190"/>
      <c r="L260" s="189">
        <v>1</v>
      </c>
      <c r="M260" s="189">
        <v>1</v>
      </c>
      <c r="N260" s="189"/>
      <c r="O260" s="190" t="s">
        <v>71</v>
      </c>
      <c r="P260" s="190" t="s">
        <v>72</v>
      </c>
      <c r="Q260" s="190" t="s">
        <v>73</v>
      </c>
      <c r="R260" s="190">
        <v>2</v>
      </c>
      <c r="S260" s="190">
        <v>2</v>
      </c>
      <c r="T260" s="190">
        <v>1</v>
      </c>
      <c r="U260" s="190" t="s">
        <v>73</v>
      </c>
      <c r="V260" s="191">
        <f t="shared" si="149"/>
        <v>0.01</v>
      </c>
      <c r="W260" s="191">
        <f t="shared" si="150"/>
        <v>1660.0000000000002</v>
      </c>
      <c r="X260" s="192" t="s">
        <v>1211</v>
      </c>
      <c r="Y260" s="192"/>
      <c r="Z260" s="192" t="s">
        <v>1285</v>
      </c>
      <c r="AA260" s="193">
        <v>0.09</v>
      </c>
      <c r="AB260" s="189"/>
      <c r="AC260" s="189">
        <v>13</v>
      </c>
      <c r="AD260" s="189" t="s">
        <v>1213</v>
      </c>
      <c r="AE260" s="189" t="s">
        <v>1286</v>
      </c>
      <c r="AF260" s="189"/>
      <c r="AG260" s="189"/>
      <c r="AH260" s="189"/>
      <c r="AI260" s="194">
        <f>-0.03*W260</f>
        <v>-49.800000000000004</v>
      </c>
      <c r="AJ260" s="194">
        <f t="shared" si="148"/>
        <v>-99.600000000000009</v>
      </c>
      <c r="AK260" s="189"/>
      <c r="AL260" s="189"/>
      <c r="AM260" s="189" t="s">
        <v>747</v>
      </c>
      <c r="AN260" s="189" t="s">
        <v>92</v>
      </c>
      <c r="AO260" s="189" t="s">
        <v>1287</v>
      </c>
      <c r="AP260" s="196">
        <v>0.11</v>
      </c>
      <c r="AQ260" s="196">
        <f t="shared" si="137"/>
        <v>-2.0000000000000004E-2</v>
      </c>
      <c r="AR260" s="194">
        <f t="shared" si="138"/>
        <v>-66.40000000000002</v>
      </c>
      <c r="AS260" s="197">
        <f t="shared" si="139"/>
        <v>-33.20000000000001</v>
      </c>
      <c r="AT260" s="198" t="s">
        <v>206</v>
      </c>
      <c r="AU260" s="189" t="s">
        <v>1288</v>
      </c>
      <c r="AV260" s="189"/>
      <c r="AW260" s="189"/>
      <c r="AX260" s="361"/>
      <c r="AY260" s="361"/>
      <c r="AZ260" s="361"/>
      <c r="BA260" s="361"/>
      <c r="BB260" s="361"/>
      <c r="BC260" s="373"/>
    </row>
    <row r="261" spans="1:55" ht="18" customHeight="1">
      <c r="A261" s="184" t="s">
        <v>1125</v>
      </c>
      <c r="B261" s="184">
        <v>44967</v>
      </c>
      <c r="C261" s="185" t="s">
        <v>1232</v>
      </c>
      <c r="D261" s="185" t="s">
        <v>88</v>
      </c>
      <c r="E261" s="301" t="s">
        <v>1289</v>
      </c>
      <c r="F261" s="187" t="s">
        <v>1290</v>
      </c>
      <c r="G261" s="188"/>
      <c r="H261" s="189"/>
      <c r="I261" s="189"/>
      <c r="J261" s="189"/>
      <c r="K261" s="190"/>
      <c r="L261" s="189"/>
      <c r="M261" s="189"/>
      <c r="N261" s="189"/>
      <c r="O261" s="190"/>
      <c r="P261" s="190"/>
      <c r="Q261" s="190"/>
      <c r="R261" s="190"/>
      <c r="S261" s="190"/>
      <c r="T261" s="190"/>
      <c r="U261" s="190"/>
      <c r="V261" s="191" t="str">
        <f t="shared" ref="V261:V263" si="151">IF(ISBLANK(O261),"",(IF(O261=UPPER("IB"),0.005,0.01)))</f>
        <v/>
      </c>
      <c r="W261" s="191" t="str">
        <f t="shared" ref="W261:W263" si="152">IF(ISBLANK(O261),"",IF(O261=UPPER("IB"),8.63*200,16.6*100))</f>
        <v/>
      </c>
      <c r="X261" s="192"/>
      <c r="Y261" s="192"/>
      <c r="Z261" s="192"/>
      <c r="AA261" s="193"/>
      <c r="AB261" s="189"/>
      <c r="AC261" s="189"/>
      <c r="AD261" s="189"/>
      <c r="AE261" s="189"/>
      <c r="AF261" s="189"/>
      <c r="AG261" s="189"/>
      <c r="AH261" s="189"/>
      <c r="AI261" s="194"/>
      <c r="AJ261" s="194"/>
      <c r="AK261" s="189"/>
      <c r="AL261" s="189"/>
      <c r="AM261" s="189"/>
      <c r="AN261" s="189"/>
      <c r="AO261" s="189"/>
      <c r="AP261" s="196"/>
      <c r="AQ261" s="196"/>
      <c r="AR261" s="194"/>
      <c r="AS261" s="197"/>
      <c r="AT261" s="198"/>
      <c r="AU261" s="189" t="s">
        <v>1291</v>
      </c>
      <c r="AV261" s="189" t="s">
        <v>506</v>
      </c>
      <c r="AW261" s="189"/>
      <c r="AX261" s="361"/>
      <c r="AY261" s="361"/>
      <c r="AZ261" s="361"/>
      <c r="BA261" s="361"/>
      <c r="BB261" s="361"/>
      <c r="BC261" s="373"/>
    </row>
    <row r="262" spans="1:55" ht="18" customHeight="1">
      <c r="A262" s="232" t="s">
        <v>1125</v>
      </c>
      <c r="B262" s="184">
        <v>44967</v>
      </c>
      <c r="C262" s="185" t="s">
        <v>1292</v>
      </c>
      <c r="D262" s="185" t="s">
        <v>88</v>
      </c>
      <c r="E262" s="238"/>
      <c r="F262" s="187"/>
      <c r="G262" s="302" t="s">
        <v>530</v>
      </c>
      <c r="H262" s="189"/>
      <c r="I262" s="189"/>
      <c r="J262" s="189"/>
      <c r="K262" s="190"/>
      <c r="L262" s="189">
        <v>1</v>
      </c>
      <c r="M262" s="189"/>
      <c r="N262" s="189"/>
      <c r="O262" s="190" t="s">
        <v>71</v>
      </c>
      <c r="P262" s="190" t="s">
        <v>114</v>
      </c>
      <c r="Q262" s="190" t="s">
        <v>73</v>
      </c>
      <c r="R262" s="190">
        <v>3</v>
      </c>
      <c r="S262" s="190">
        <v>3</v>
      </c>
      <c r="T262" s="190">
        <v>3</v>
      </c>
      <c r="U262" s="190" t="s">
        <v>73</v>
      </c>
      <c r="V262" s="191">
        <f t="shared" si="151"/>
        <v>0.01</v>
      </c>
      <c r="W262" s="191">
        <f t="shared" si="152"/>
        <v>1660.0000000000002</v>
      </c>
      <c r="X262" s="192" t="s">
        <v>1293</v>
      </c>
      <c r="Y262" s="192"/>
      <c r="Z262" s="192" t="s">
        <v>1294</v>
      </c>
      <c r="AA262" s="193">
        <v>-0.09</v>
      </c>
      <c r="AB262" s="189"/>
      <c r="AC262" s="189"/>
      <c r="AD262" s="189"/>
      <c r="AE262" s="189"/>
      <c r="AF262" s="189"/>
      <c r="AG262" s="189"/>
      <c r="AH262" s="189"/>
      <c r="AI262" s="194">
        <f>-0.02*W262</f>
        <v>-33.200000000000003</v>
      </c>
      <c r="AJ262" s="194">
        <f t="shared" ref="AJ262:AJ263" si="153">AI262*R262</f>
        <v>-99.600000000000009</v>
      </c>
      <c r="AK262" s="189"/>
      <c r="AL262" s="189"/>
      <c r="AM262" s="189" t="s">
        <v>781</v>
      </c>
      <c r="AN262" s="189" t="s">
        <v>92</v>
      </c>
      <c r="AO262" s="189" t="s">
        <v>1295</v>
      </c>
      <c r="AP262" s="196">
        <v>-0.1</v>
      </c>
      <c r="AQ262" s="196">
        <f>IF(ISBLANK(AP262),,IF(U262="S",AA262-AP262,AP262-AA262))</f>
        <v>1.0000000000000009E-2</v>
      </c>
      <c r="AR262" s="194">
        <f>AS262*R262</f>
        <v>49.800000000000047</v>
      </c>
      <c r="AS262" s="197">
        <f>IF(ISBLANK(AP262),,(AQ262*W262))</f>
        <v>16.600000000000016</v>
      </c>
      <c r="AT262" s="198" t="s">
        <v>72</v>
      </c>
      <c r="AU262" s="189" t="s">
        <v>1296</v>
      </c>
      <c r="AV262" s="189" t="s">
        <v>1297</v>
      </c>
      <c r="AW262" s="189"/>
      <c r="AX262" s="361"/>
      <c r="AY262" s="361"/>
      <c r="AZ262" s="361"/>
      <c r="BA262" s="361"/>
      <c r="BB262" s="361"/>
      <c r="BC262" s="373"/>
    </row>
    <row r="263" spans="1:55" ht="18" customHeight="1">
      <c r="A263" s="184" t="s">
        <v>1125</v>
      </c>
      <c r="B263" s="184">
        <v>44967</v>
      </c>
      <c r="C263" s="185" t="s">
        <v>1298</v>
      </c>
      <c r="D263" s="185" t="s">
        <v>88</v>
      </c>
      <c r="E263" s="308"/>
      <c r="F263" s="187"/>
      <c r="G263" s="300" t="s">
        <v>734</v>
      </c>
      <c r="H263" s="189"/>
      <c r="I263" s="189"/>
      <c r="J263" s="189"/>
      <c r="K263" s="190"/>
      <c r="L263" s="189">
        <v>1</v>
      </c>
      <c r="M263" s="189">
        <v>1</v>
      </c>
      <c r="N263" s="189"/>
      <c r="O263" s="190" t="s">
        <v>71</v>
      </c>
      <c r="P263" s="190" t="s">
        <v>72</v>
      </c>
      <c r="Q263" s="190" t="s">
        <v>73</v>
      </c>
      <c r="R263" s="190">
        <v>2</v>
      </c>
      <c r="S263" s="190">
        <v>2</v>
      </c>
      <c r="T263" s="190">
        <v>1</v>
      </c>
      <c r="U263" s="190" t="s">
        <v>73</v>
      </c>
      <c r="V263" s="191">
        <f t="shared" si="151"/>
        <v>0.01</v>
      </c>
      <c r="W263" s="191">
        <f t="shared" si="152"/>
        <v>1660.0000000000002</v>
      </c>
      <c r="X263" s="192"/>
      <c r="Y263" s="192"/>
      <c r="Z263" s="192" t="s">
        <v>1285</v>
      </c>
      <c r="AA263" s="193">
        <v>0.1</v>
      </c>
      <c r="AB263" s="189"/>
      <c r="AC263" s="189">
        <v>15</v>
      </c>
      <c r="AD263" s="189" t="s">
        <v>1213</v>
      </c>
      <c r="AE263" s="189" t="s">
        <v>1299</v>
      </c>
      <c r="AF263" s="189"/>
      <c r="AG263" s="189" t="s">
        <v>1300</v>
      </c>
      <c r="AH263" s="189"/>
      <c r="AI263" s="194">
        <f>-0.05*W263</f>
        <v>-83.000000000000014</v>
      </c>
      <c r="AJ263" s="194">
        <f t="shared" si="153"/>
        <v>-166.00000000000003</v>
      </c>
      <c r="AK263" s="189" t="s">
        <v>1301</v>
      </c>
      <c r="AL263" s="189" t="s">
        <v>1216</v>
      </c>
      <c r="AM263" s="189" t="s">
        <v>781</v>
      </c>
      <c r="AN263" s="189" t="s">
        <v>92</v>
      </c>
      <c r="AO263" s="303" t="s">
        <v>1302</v>
      </c>
      <c r="AP263" s="196">
        <v>0.1</v>
      </c>
      <c r="AQ263" s="196">
        <f>IF(ISBLANK(AP263),,IF(U263="S",AA263-AP263,AP263-AA263))</f>
        <v>0</v>
      </c>
      <c r="AR263" s="194">
        <f>AS263*R263</f>
        <v>0</v>
      </c>
      <c r="AS263" s="197">
        <f>IF(ISBLANK(AP263),,(AQ263*W263))</f>
        <v>0</v>
      </c>
      <c r="AT263" s="198" t="s">
        <v>92</v>
      </c>
      <c r="AU263" s="189" t="s">
        <v>1303</v>
      </c>
      <c r="AV263" s="189"/>
      <c r="AW263" s="189" t="s">
        <v>1304</v>
      </c>
      <c r="AX263" s="361"/>
      <c r="AY263" s="361"/>
      <c r="AZ263" s="361"/>
      <c r="BA263" s="361"/>
      <c r="BB263" s="361"/>
      <c r="BC263" s="373"/>
    </row>
    <row r="264" spans="1:55" ht="18" customHeight="1">
      <c r="A264" s="184" t="s">
        <v>1125</v>
      </c>
      <c r="B264" s="184"/>
      <c r="C264" s="185"/>
      <c r="D264" s="185"/>
      <c r="E264" s="308"/>
      <c r="F264" s="187"/>
      <c r="G264" s="188"/>
      <c r="H264" s="189"/>
      <c r="I264" s="189"/>
      <c r="J264" s="189"/>
      <c r="K264" s="190"/>
      <c r="L264" s="189"/>
      <c r="M264" s="189"/>
      <c r="N264" s="189"/>
      <c r="O264" s="190"/>
      <c r="P264" s="190"/>
      <c r="Q264" s="190"/>
      <c r="R264" s="190"/>
      <c r="S264" s="190"/>
      <c r="T264" s="190"/>
      <c r="U264" s="190"/>
      <c r="V264" s="290"/>
      <c r="W264" s="290"/>
      <c r="X264" s="192"/>
      <c r="Y264" s="192"/>
      <c r="Z264" s="192"/>
      <c r="AA264" s="193"/>
      <c r="AB264" s="189"/>
      <c r="AC264" s="189"/>
      <c r="AD264" s="189"/>
      <c r="AE264" s="189"/>
      <c r="AF264" s="189"/>
      <c r="AG264" s="189"/>
      <c r="AH264" s="189"/>
      <c r="AI264" s="194"/>
      <c r="AJ264" s="194"/>
      <c r="AK264" s="189"/>
      <c r="AL264" s="189"/>
      <c r="AM264" s="189"/>
      <c r="AN264" s="189"/>
      <c r="AO264" s="189"/>
      <c r="AP264" s="196"/>
      <c r="AQ264" s="196"/>
      <c r="AR264" s="194"/>
      <c r="AS264" s="197"/>
      <c r="AT264" s="198"/>
      <c r="AU264" s="189" t="s">
        <v>1305</v>
      </c>
      <c r="AV264" s="189" t="s">
        <v>1306</v>
      </c>
      <c r="AW264" s="189" t="s">
        <v>1307</v>
      </c>
      <c r="AX264" s="361" t="s">
        <v>1308</v>
      </c>
      <c r="AY264" s="361" t="s">
        <v>1309</v>
      </c>
      <c r="AZ264" s="361" t="s">
        <v>1310</v>
      </c>
      <c r="BA264" s="361" t="s">
        <v>506</v>
      </c>
      <c r="BB264" s="361"/>
      <c r="BC264" s="373"/>
    </row>
    <row r="265" spans="1:55" ht="18" customHeight="1">
      <c r="A265" s="232" t="s">
        <v>1125</v>
      </c>
      <c r="B265" s="184">
        <v>44970</v>
      </c>
      <c r="C265" s="185" t="s">
        <v>1311</v>
      </c>
      <c r="D265" s="185" t="s">
        <v>109</v>
      </c>
      <c r="E265" s="308"/>
      <c r="F265" s="187"/>
      <c r="G265" s="312" t="s">
        <v>110</v>
      </c>
      <c r="H265" s="189"/>
      <c r="I265" s="189"/>
      <c r="J265" s="189"/>
      <c r="K265" s="190"/>
      <c r="L265" s="189">
        <v>1</v>
      </c>
      <c r="M265" s="189"/>
      <c r="N265" s="189"/>
      <c r="O265" s="190" t="s">
        <v>71</v>
      </c>
      <c r="P265" s="190" t="s">
        <v>72</v>
      </c>
      <c r="Q265" s="190" t="s">
        <v>73</v>
      </c>
      <c r="R265" s="190">
        <v>3</v>
      </c>
      <c r="S265" s="190">
        <v>3</v>
      </c>
      <c r="T265" s="190">
        <v>3</v>
      </c>
      <c r="U265" s="190" t="s">
        <v>73</v>
      </c>
      <c r="V265" s="191">
        <f t="shared" ref="V265" si="154">IF(ISBLANK(O265),"",(IF(O265=UPPER("IB"),0.005,0.01)))</f>
        <v>0.01</v>
      </c>
      <c r="W265" s="191">
        <f t="shared" ref="W265" si="155">IF(ISBLANK(O265),"",IF(O265=UPPER("IB"),8.63*200,16.6*100))</f>
        <v>1660.0000000000002</v>
      </c>
      <c r="X265" s="192"/>
      <c r="Y265" s="192"/>
      <c r="Z265" s="192" t="s">
        <v>1312</v>
      </c>
      <c r="AA265" s="193">
        <v>-0.03</v>
      </c>
      <c r="AB265" s="189"/>
      <c r="AC265" s="189"/>
      <c r="AD265" s="189"/>
      <c r="AE265" s="189"/>
      <c r="AF265" s="189"/>
      <c r="AG265" s="189"/>
      <c r="AH265" s="189"/>
      <c r="AI265" s="194">
        <f>-0.05*W265</f>
        <v>-83.000000000000014</v>
      </c>
      <c r="AJ265" s="194">
        <f t="shared" ref="AJ265" si="156">AI265*R265</f>
        <v>-249.00000000000006</v>
      </c>
      <c r="AK265" s="189"/>
      <c r="AL265" s="189"/>
      <c r="AM265" s="189" t="s">
        <v>566</v>
      </c>
      <c r="AN265" s="189" t="s">
        <v>92</v>
      </c>
      <c r="AO265" s="189" t="s">
        <v>1313</v>
      </c>
      <c r="AP265" s="196">
        <v>0.03</v>
      </c>
      <c r="AQ265" s="196">
        <f>IF(ISBLANK(AP265),,IF(U265="S",AA265-AP265,AP265-AA265))</f>
        <v>-0.06</v>
      </c>
      <c r="AR265" s="194">
        <f>AS265*R265</f>
        <v>-298.8</v>
      </c>
      <c r="AS265" s="197">
        <f>IF(ISBLANK(AP265),,(AQ265*W265))</f>
        <v>-99.600000000000009</v>
      </c>
      <c r="AT265" s="198" t="s">
        <v>206</v>
      </c>
      <c r="AU265" s="189" t="s">
        <v>1314</v>
      </c>
      <c r="AV265" s="189"/>
      <c r="AW265" s="189"/>
      <c r="AX265" s="361"/>
      <c r="AY265" s="361"/>
      <c r="AZ265" s="361" t="s">
        <v>506</v>
      </c>
      <c r="BA265" s="361"/>
      <c r="BB265" s="361"/>
      <c r="BC265" s="373"/>
    </row>
    <row r="266" spans="1:55" ht="18" customHeight="1">
      <c r="A266" s="184" t="s">
        <v>1125</v>
      </c>
      <c r="B266" s="184">
        <v>44970</v>
      </c>
      <c r="C266" s="185" t="s">
        <v>825</v>
      </c>
      <c r="D266" s="185" t="s">
        <v>109</v>
      </c>
      <c r="E266" s="308"/>
      <c r="F266" s="187"/>
      <c r="G266" s="316" t="s">
        <v>110</v>
      </c>
      <c r="H266" s="189"/>
      <c r="I266" s="189"/>
      <c r="J266" s="189"/>
      <c r="K266" s="190"/>
      <c r="L266" s="189">
        <v>1</v>
      </c>
      <c r="M266" s="189"/>
      <c r="N266" s="189"/>
      <c r="O266" s="190" t="s">
        <v>71</v>
      </c>
      <c r="P266" s="190" t="s">
        <v>72</v>
      </c>
      <c r="Q266" s="190" t="s">
        <v>73</v>
      </c>
      <c r="R266" s="190">
        <v>4</v>
      </c>
      <c r="S266" s="190">
        <v>4</v>
      </c>
      <c r="T266" s="190">
        <v>3</v>
      </c>
      <c r="U266" s="190" t="s">
        <v>73</v>
      </c>
      <c r="V266" s="191">
        <f t="shared" ref="V266" si="157">IF(ISBLANK(O266),"",(IF(O266=UPPER("IB"),0.005,0.01)))</f>
        <v>0.01</v>
      </c>
      <c r="W266" s="191">
        <f t="shared" ref="W266" si="158">IF(ISBLANK(O266),"",IF(O266=UPPER("IB"),8.63*200,16.6*100))</f>
        <v>1660.0000000000002</v>
      </c>
      <c r="X266" s="192"/>
      <c r="Y266" s="192"/>
      <c r="Z266" s="192" t="s">
        <v>1312</v>
      </c>
      <c r="AA266" s="193">
        <v>-0.02</v>
      </c>
      <c r="AB266" s="189"/>
      <c r="AC266" s="189">
        <v>0</v>
      </c>
      <c r="AD266" s="189"/>
      <c r="AE266" s="189"/>
      <c r="AF266" s="189"/>
      <c r="AG266" s="189"/>
      <c r="AH266" s="189"/>
      <c r="AI266" s="194">
        <f>-0.04*W266</f>
        <v>-66.400000000000006</v>
      </c>
      <c r="AJ266" s="194">
        <f t="shared" ref="AJ266" si="159">AI266*R266</f>
        <v>-265.60000000000002</v>
      </c>
      <c r="AK266" s="189"/>
      <c r="AL266" s="189"/>
      <c r="AM266" s="189" t="s">
        <v>841</v>
      </c>
      <c r="AN266" s="189" t="s">
        <v>92</v>
      </c>
      <c r="AO266" s="189" t="s">
        <v>1315</v>
      </c>
      <c r="AP266" s="196">
        <v>0.01</v>
      </c>
      <c r="AQ266" s="196">
        <f>IF(ISBLANK(AP266),,IF(U266="S",AA266-AP266,AP266-AA266))</f>
        <v>-0.03</v>
      </c>
      <c r="AR266" s="194">
        <f>AS266*R266</f>
        <v>-199.20000000000002</v>
      </c>
      <c r="AS266" s="197">
        <f>IF(ISBLANK(AP266),,(AQ266*W266))</f>
        <v>-49.800000000000004</v>
      </c>
      <c r="AT266" s="198" t="s">
        <v>206</v>
      </c>
      <c r="AU266" s="189" t="s">
        <v>1316</v>
      </c>
      <c r="AV266" s="189"/>
      <c r="AW266" s="189"/>
      <c r="AX266" s="361"/>
      <c r="AY266" s="361"/>
      <c r="AZ266" s="361"/>
      <c r="BA266" s="361"/>
      <c r="BB266" s="361"/>
      <c r="BC266" s="373"/>
    </row>
    <row r="267" spans="1:55" ht="18" customHeight="1">
      <c r="A267" s="184" t="s">
        <v>1125</v>
      </c>
      <c r="B267" s="184">
        <v>44970</v>
      </c>
      <c r="C267" s="185" t="s">
        <v>1317</v>
      </c>
      <c r="D267" s="185" t="s">
        <v>109</v>
      </c>
      <c r="E267" s="308"/>
      <c r="F267" s="187"/>
      <c r="G267" s="305" t="s">
        <v>110</v>
      </c>
      <c r="H267" s="189"/>
      <c r="I267" s="189"/>
      <c r="J267" s="189"/>
      <c r="K267" s="190"/>
      <c r="L267" s="189">
        <v>1</v>
      </c>
      <c r="M267" s="189"/>
      <c r="N267" s="189"/>
      <c r="O267" s="190" t="s">
        <v>71</v>
      </c>
      <c r="P267" s="190" t="s">
        <v>72</v>
      </c>
      <c r="Q267" s="190" t="s">
        <v>73</v>
      </c>
      <c r="R267" s="190">
        <v>1</v>
      </c>
      <c r="S267" s="190">
        <v>1</v>
      </c>
      <c r="T267" s="190">
        <v>1</v>
      </c>
      <c r="U267" s="190" t="s">
        <v>73</v>
      </c>
      <c r="V267" s="191">
        <f t="shared" ref="V267" si="160">IF(ISBLANK(O267),"",(IF(O267=UPPER("IB"),0.005,0.01)))</f>
        <v>0.01</v>
      </c>
      <c r="W267" s="191">
        <f t="shared" ref="W267" si="161">IF(ISBLANK(O267),"",IF(O267=UPPER("IB"),8.63*200,16.6*100))</f>
        <v>1660.0000000000002</v>
      </c>
      <c r="X267" s="192"/>
      <c r="Y267" s="192"/>
      <c r="Z267" s="192" t="s">
        <v>1312</v>
      </c>
      <c r="AA267" s="193">
        <v>-0.01</v>
      </c>
      <c r="AB267" s="189"/>
      <c r="AC267" s="189"/>
      <c r="AD267" s="189"/>
      <c r="AE267" s="189"/>
      <c r="AF267" s="189"/>
      <c r="AG267" s="189"/>
      <c r="AH267" s="189"/>
      <c r="AI267" s="194">
        <f>-0.03*W267</f>
        <v>-49.800000000000004</v>
      </c>
      <c r="AJ267" s="194">
        <f t="shared" ref="AJ267" si="162">AI267*R267</f>
        <v>-49.800000000000004</v>
      </c>
      <c r="AK267" s="189"/>
      <c r="AL267" s="189"/>
      <c r="AM267" s="189"/>
      <c r="AN267" s="189" t="s">
        <v>92</v>
      </c>
      <c r="AO267" s="189" t="s">
        <v>1318</v>
      </c>
      <c r="AP267" s="196">
        <v>-0.06</v>
      </c>
      <c r="AQ267" s="196">
        <f>IF(ISBLANK(AP267),,IF(U267="S",AA267-AP267,AP267-AA267))</f>
        <v>4.9999999999999996E-2</v>
      </c>
      <c r="AR267" s="194">
        <f>AS267*R267</f>
        <v>83</v>
      </c>
      <c r="AS267" s="197">
        <f>IF(ISBLANK(AP267),,(AQ267*W267))</f>
        <v>83</v>
      </c>
      <c r="AT267" s="198" t="s">
        <v>72</v>
      </c>
      <c r="AU267" s="189" t="s">
        <v>1319</v>
      </c>
      <c r="AV267" s="189"/>
      <c r="AW267" s="189"/>
      <c r="AX267" s="361"/>
      <c r="AY267" s="361"/>
      <c r="AZ267" s="361"/>
      <c r="BA267" s="361"/>
      <c r="BB267" s="361"/>
      <c r="BC267" s="373"/>
    </row>
    <row r="268" spans="1:55" ht="18" customHeight="1">
      <c r="A268" s="232" t="s">
        <v>1125</v>
      </c>
      <c r="B268" s="184">
        <v>44971</v>
      </c>
      <c r="C268" s="185" t="s">
        <v>1320</v>
      </c>
      <c r="D268" s="185" t="s">
        <v>123</v>
      </c>
      <c r="E268" s="309" t="s">
        <v>1321</v>
      </c>
      <c r="F268" s="187" t="s">
        <v>1322</v>
      </c>
      <c r="G268" s="188"/>
      <c r="H268" s="189"/>
      <c r="I268" s="189">
        <v>1</v>
      </c>
      <c r="J268" s="189"/>
      <c r="K268" s="190"/>
      <c r="L268" s="189"/>
      <c r="M268" s="189"/>
      <c r="N268" s="189"/>
      <c r="O268" s="190"/>
      <c r="P268" s="190"/>
      <c r="Q268" s="190"/>
      <c r="R268" s="190"/>
      <c r="S268" s="190"/>
      <c r="T268" s="190"/>
      <c r="U268" s="190"/>
      <c r="V268" s="191" t="str">
        <f t="shared" ref="V268:V272" si="163">IF(ISBLANK(O268),"",(IF(O268=UPPER("IB"),0.005,0.01)))</f>
        <v/>
      </c>
      <c r="W268" s="191" t="str">
        <f t="shared" ref="W268:W272" si="164">IF(ISBLANK(O268),"",IF(O268=UPPER("IB"),8.63*200,16.6*100))</f>
        <v/>
      </c>
      <c r="X268" s="192"/>
      <c r="Y268" s="192"/>
      <c r="Z268" s="192"/>
      <c r="AA268" s="193"/>
      <c r="AB268" s="189"/>
      <c r="AC268" s="189"/>
      <c r="AD268" s="189"/>
      <c r="AE268" s="189"/>
      <c r="AF268" s="189"/>
      <c r="AG268" s="189"/>
      <c r="AH268" s="189"/>
      <c r="AI268" s="194"/>
      <c r="AJ268" s="194"/>
      <c r="AK268" s="189"/>
      <c r="AL268" s="189"/>
      <c r="AM268" s="189"/>
      <c r="AN268" s="189"/>
      <c r="AO268" s="189"/>
      <c r="AP268" s="196"/>
      <c r="AQ268" s="196"/>
      <c r="AR268" s="194"/>
      <c r="AS268" s="197"/>
      <c r="AT268" s="198"/>
      <c r="AU268" s="189" t="s">
        <v>1323</v>
      </c>
      <c r="AV268" s="189" t="s">
        <v>1324</v>
      </c>
      <c r="AW268" s="189" t="s">
        <v>1325</v>
      </c>
      <c r="AX268" s="361"/>
      <c r="AY268" s="361"/>
      <c r="AZ268" s="361"/>
      <c r="BA268" s="361"/>
      <c r="BB268" s="361"/>
      <c r="BC268" s="373"/>
    </row>
    <row r="269" spans="1:55" ht="18" customHeight="1">
      <c r="A269" s="184" t="s">
        <v>1125</v>
      </c>
      <c r="B269" s="184"/>
      <c r="C269" s="185"/>
      <c r="D269" s="185"/>
      <c r="E269" s="309" t="s">
        <v>1326</v>
      </c>
      <c r="F269" s="187" t="s">
        <v>1327</v>
      </c>
      <c r="G269" s="188"/>
      <c r="H269" s="189"/>
      <c r="I269" s="189">
        <v>1</v>
      </c>
      <c r="J269" s="189"/>
      <c r="K269" s="190"/>
      <c r="L269" s="189"/>
      <c r="M269" s="189"/>
      <c r="N269" s="189"/>
      <c r="O269" s="190"/>
      <c r="P269" s="190"/>
      <c r="Q269" s="190"/>
      <c r="R269" s="190"/>
      <c r="S269" s="190"/>
      <c r="T269" s="190"/>
      <c r="U269" s="190"/>
      <c r="V269" s="191" t="str">
        <f t="shared" si="163"/>
        <v/>
      </c>
      <c r="W269" s="191" t="str">
        <f t="shared" si="164"/>
        <v/>
      </c>
      <c r="X269" s="192"/>
      <c r="Y269" s="192"/>
      <c r="Z269" s="192"/>
      <c r="AA269" s="193"/>
      <c r="AB269" s="189"/>
      <c r="AC269" s="189"/>
      <c r="AD269" s="189"/>
      <c r="AE269" s="189"/>
      <c r="AF269" s="189"/>
      <c r="AG269" s="189"/>
      <c r="AH269" s="189"/>
      <c r="AI269" s="194"/>
      <c r="AJ269" s="194"/>
      <c r="AK269" s="189"/>
      <c r="AL269" s="189"/>
      <c r="AM269" s="189"/>
      <c r="AN269" s="189"/>
      <c r="AO269" s="189"/>
      <c r="AP269" s="196"/>
      <c r="AQ269" s="196"/>
      <c r="AR269" s="194"/>
      <c r="AS269" s="197"/>
      <c r="AT269" s="198"/>
      <c r="AU269" s="189"/>
      <c r="AV269" s="189"/>
      <c r="AW269" s="189"/>
      <c r="AX269" s="361"/>
      <c r="AY269" s="361"/>
      <c r="AZ269" s="361"/>
      <c r="BA269" s="361"/>
      <c r="BB269" s="361"/>
      <c r="BC269" s="373"/>
    </row>
    <row r="270" spans="1:55" ht="18" customHeight="1">
      <c r="A270" s="184" t="s">
        <v>1125</v>
      </c>
      <c r="B270" s="184"/>
      <c r="C270" s="185"/>
      <c r="D270" s="185"/>
      <c r="E270" s="310" t="s">
        <v>1328</v>
      </c>
      <c r="F270" s="187" t="s">
        <v>1329</v>
      </c>
      <c r="G270" s="188"/>
      <c r="H270" s="189">
        <v>1</v>
      </c>
      <c r="I270" s="189"/>
      <c r="J270" s="189"/>
      <c r="K270" s="190" t="s">
        <v>82</v>
      </c>
      <c r="L270" s="189"/>
      <c r="M270" s="189"/>
      <c r="N270" s="189"/>
      <c r="O270" s="190"/>
      <c r="P270" s="190"/>
      <c r="Q270" s="190"/>
      <c r="R270" s="190"/>
      <c r="S270" s="190"/>
      <c r="T270" s="190"/>
      <c r="U270" s="190"/>
      <c r="V270" s="191" t="str">
        <f t="shared" si="163"/>
        <v/>
      </c>
      <c r="W270" s="191" t="str">
        <f t="shared" si="164"/>
        <v/>
      </c>
      <c r="X270" s="192"/>
      <c r="Y270" s="192"/>
      <c r="Z270" s="192"/>
      <c r="AA270" s="193"/>
      <c r="AB270" s="189"/>
      <c r="AC270" s="189"/>
      <c r="AD270" s="189"/>
      <c r="AE270" s="189"/>
      <c r="AF270" s="189"/>
      <c r="AG270" s="189"/>
      <c r="AH270" s="189"/>
      <c r="AI270" s="194"/>
      <c r="AJ270" s="194"/>
      <c r="AK270" s="189"/>
      <c r="AL270" s="189"/>
      <c r="AM270" s="189"/>
      <c r="AN270" s="189"/>
      <c r="AO270" s="189"/>
      <c r="AP270" s="196"/>
      <c r="AQ270" s="196"/>
      <c r="AR270" s="194"/>
      <c r="AS270" s="197"/>
      <c r="AT270" s="198"/>
      <c r="AU270" s="189"/>
      <c r="AV270" s="189"/>
      <c r="AW270" s="189"/>
      <c r="AX270" s="361"/>
      <c r="AY270" s="361"/>
      <c r="AZ270" s="361"/>
      <c r="BA270" s="361"/>
      <c r="BB270" s="361"/>
      <c r="BC270" s="373"/>
    </row>
    <row r="271" spans="1:55" ht="18" customHeight="1">
      <c r="A271" s="232" t="s">
        <v>1125</v>
      </c>
      <c r="B271" s="184"/>
      <c r="C271" s="185"/>
      <c r="D271" s="185"/>
      <c r="E271" s="310" t="s">
        <v>1330</v>
      </c>
      <c r="F271" s="187" t="s">
        <v>1323</v>
      </c>
      <c r="G271" s="188"/>
      <c r="H271" s="189">
        <v>1</v>
      </c>
      <c r="I271" s="189"/>
      <c r="J271" s="189"/>
      <c r="K271" s="190" t="s">
        <v>82</v>
      </c>
      <c r="L271" s="189"/>
      <c r="M271" s="189"/>
      <c r="N271" s="189"/>
      <c r="O271" s="190"/>
      <c r="P271" s="190"/>
      <c r="Q271" s="190"/>
      <c r="R271" s="190"/>
      <c r="S271" s="190"/>
      <c r="T271" s="190"/>
      <c r="U271" s="190"/>
      <c r="V271" s="191" t="str">
        <f t="shared" si="163"/>
        <v/>
      </c>
      <c r="W271" s="191" t="str">
        <f t="shared" si="164"/>
        <v/>
      </c>
      <c r="X271" s="192"/>
      <c r="Y271" s="192"/>
      <c r="Z271" s="192"/>
      <c r="AA271" s="193"/>
      <c r="AB271" s="189"/>
      <c r="AC271" s="189"/>
      <c r="AD271" s="189"/>
      <c r="AE271" s="189"/>
      <c r="AF271" s="189"/>
      <c r="AG271" s="189"/>
      <c r="AH271" s="189"/>
      <c r="AI271" s="194"/>
      <c r="AJ271" s="194"/>
      <c r="AK271" s="189"/>
      <c r="AL271" s="189"/>
      <c r="AM271" s="189"/>
      <c r="AN271" s="189"/>
      <c r="AO271" s="189"/>
      <c r="AP271" s="196"/>
      <c r="AQ271" s="196"/>
      <c r="AR271" s="194"/>
      <c r="AS271" s="197"/>
      <c r="AT271" s="198"/>
      <c r="AU271" s="189"/>
      <c r="AV271" s="189"/>
      <c r="AW271" s="189"/>
      <c r="AX271" s="361"/>
      <c r="AY271" s="361"/>
      <c r="AZ271" s="361"/>
      <c r="BA271" s="361"/>
      <c r="BB271" s="361"/>
      <c r="BC271" s="373"/>
    </row>
    <row r="272" spans="1:55" ht="18" customHeight="1">
      <c r="A272" s="184" t="s">
        <v>1125</v>
      </c>
      <c r="B272" s="184" t="s">
        <v>1331</v>
      </c>
      <c r="C272" s="185" t="s">
        <v>1332</v>
      </c>
      <c r="D272" s="185" t="s">
        <v>123</v>
      </c>
      <c r="E272" s="307" t="s">
        <v>506</v>
      </c>
      <c r="F272" s="187"/>
      <c r="G272" s="311" t="s">
        <v>530</v>
      </c>
      <c r="H272" s="189"/>
      <c r="I272" s="189"/>
      <c r="J272" s="189"/>
      <c r="K272" s="190"/>
      <c r="L272" s="189">
        <v>1</v>
      </c>
      <c r="M272" s="189"/>
      <c r="N272" s="189"/>
      <c r="O272" s="190" t="s">
        <v>71</v>
      </c>
      <c r="P272" s="190" t="s">
        <v>114</v>
      </c>
      <c r="Q272" s="190" t="s">
        <v>73</v>
      </c>
      <c r="R272" s="190">
        <v>3</v>
      </c>
      <c r="S272" s="190">
        <v>3</v>
      </c>
      <c r="T272" s="190">
        <v>2</v>
      </c>
      <c r="U272" s="190" t="s">
        <v>73</v>
      </c>
      <c r="V272" s="191">
        <f t="shared" si="163"/>
        <v>0.01</v>
      </c>
      <c r="W272" s="191">
        <f t="shared" si="164"/>
        <v>1660.0000000000002</v>
      </c>
      <c r="X272" s="192"/>
      <c r="Y272" s="192" t="s">
        <v>1333</v>
      </c>
      <c r="Z272" s="192" t="s">
        <v>1334</v>
      </c>
      <c r="AA272" s="193">
        <v>-0.1</v>
      </c>
      <c r="AB272" s="189"/>
      <c r="AC272" s="189"/>
      <c r="AD272" s="189"/>
      <c r="AE272" s="189" t="s">
        <v>1335</v>
      </c>
      <c r="AF272" s="189"/>
      <c r="AG272" s="189" t="s">
        <v>1336</v>
      </c>
      <c r="AH272" s="189"/>
      <c r="AI272" s="194">
        <f t="shared" ref="AI272:AI277" si="165">-0.03*W272</f>
        <v>-49.800000000000004</v>
      </c>
      <c r="AJ272" s="194">
        <f t="shared" ref="AJ272" si="166">AI272*R272</f>
        <v>-149.4</v>
      </c>
      <c r="AK272" s="189"/>
      <c r="AL272" s="189"/>
      <c r="AM272" s="189" t="s">
        <v>566</v>
      </c>
      <c r="AN272" s="189" t="s">
        <v>92</v>
      </c>
      <c r="AO272" s="303">
        <v>44973</v>
      </c>
      <c r="AP272" s="196">
        <v>-0.11</v>
      </c>
      <c r="AQ272" s="196">
        <f t="shared" ref="AQ272:AQ277" si="167">IF(ISBLANK(AP272),,IF(U272="S",AA272-AP272,AP272-AA272))</f>
        <v>9.999999999999995E-3</v>
      </c>
      <c r="AR272" s="194">
        <f t="shared" ref="AR272:AR277" si="168">AS272*R272</f>
        <v>49.799999999999983</v>
      </c>
      <c r="AS272" s="197">
        <f t="shared" ref="AS272:AS277" si="169">IF(ISBLANK(AP272),,(AQ272*W272))</f>
        <v>16.599999999999994</v>
      </c>
      <c r="AT272" s="198" t="s">
        <v>72</v>
      </c>
      <c r="AU272" s="189" t="s">
        <v>1337</v>
      </c>
      <c r="AV272" s="189" t="s">
        <v>1338</v>
      </c>
      <c r="AW272" s="189"/>
      <c r="AX272" s="361"/>
      <c r="AY272" s="361"/>
      <c r="AZ272" s="361"/>
      <c r="BA272" s="361"/>
      <c r="BB272" s="361"/>
      <c r="BC272" s="373"/>
    </row>
    <row r="273" spans="1:55" ht="18" customHeight="1">
      <c r="A273" s="184" t="s">
        <v>1125</v>
      </c>
      <c r="B273" s="184">
        <v>44971</v>
      </c>
      <c r="C273" s="185" t="s">
        <v>1339</v>
      </c>
      <c r="D273" s="185" t="s">
        <v>123</v>
      </c>
      <c r="E273" s="307"/>
      <c r="F273" s="187"/>
      <c r="G273" s="306" t="s">
        <v>734</v>
      </c>
      <c r="H273" s="189"/>
      <c r="I273" s="189"/>
      <c r="J273" s="189"/>
      <c r="K273" s="190"/>
      <c r="L273" s="189">
        <v>1</v>
      </c>
      <c r="M273" s="189">
        <v>1</v>
      </c>
      <c r="N273" s="189"/>
      <c r="O273" s="190" t="s">
        <v>71</v>
      </c>
      <c r="P273" s="190" t="s">
        <v>72</v>
      </c>
      <c r="Q273" s="190" t="s">
        <v>73</v>
      </c>
      <c r="R273" s="190">
        <v>1</v>
      </c>
      <c r="S273" s="190">
        <v>1</v>
      </c>
      <c r="T273" s="190">
        <v>1</v>
      </c>
      <c r="U273" s="190" t="s">
        <v>73</v>
      </c>
      <c r="V273" s="191">
        <f t="shared" ref="V273:V274" si="170">IF(ISBLANK(O273),"",(IF(O273=UPPER("IB"),0.005,0.01)))</f>
        <v>0.01</v>
      </c>
      <c r="W273" s="191">
        <f t="shared" ref="W273:W274" si="171">IF(ISBLANK(O273),"",IF(O273=UPPER("IB"),8.63*200,16.6*100))</f>
        <v>1660.0000000000002</v>
      </c>
      <c r="X273" s="192" t="s">
        <v>1340</v>
      </c>
      <c r="Y273" s="192" t="s">
        <v>1341</v>
      </c>
      <c r="Z273" s="192" t="s">
        <v>1342</v>
      </c>
      <c r="AA273" s="193">
        <v>0.15</v>
      </c>
      <c r="AB273" s="189"/>
      <c r="AC273" s="189">
        <v>18</v>
      </c>
      <c r="AD273" s="189" t="s">
        <v>1343</v>
      </c>
      <c r="AE273" s="189" t="s">
        <v>1344</v>
      </c>
      <c r="AF273" s="189"/>
      <c r="AG273" s="189"/>
      <c r="AH273" s="189"/>
      <c r="AI273" s="194">
        <f t="shared" si="165"/>
        <v>-49.800000000000004</v>
      </c>
      <c r="AJ273" s="194">
        <f t="shared" ref="AJ273:AJ274" si="172">AI273*R273</f>
        <v>-49.800000000000004</v>
      </c>
      <c r="AK273" s="189"/>
      <c r="AL273" s="189"/>
      <c r="AM273" s="189"/>
      <c r="AN273" s="189" t="s">
        <v>371</v>
      </c>
      <c r="AO273" s="317">
        <v>44971</v>
      </c>
      <c r="AP273" s="196">
        <v>0.15</v>
      </c>
      <c r="AQ273" s="196">
        <f t="shared" si="167"/>
        <v>0</v>
      </c>
      <c r="AR273" s="194">
        <f t="shared" si="168"/>
        <v>0</v>
      </c>
      <c r="AS273" s="197">
        <f t="shared" si="169"/>
        <v>0</v>
      </c>
      <c r="AT273" s="198" t="s">
        <v>92</v>
      </c>
      <c r="AU273" s="189" t="s">
        <v>1345</v>
      </c>
      <c r="AV273" s="189"/>
      <c r="AW273" s="189"/>
      <c r="AX273" s="361"/>
      <c r="AY273" s="361"/>
      <c r="AZ273" s="361"/>
      <c r="BA273" s="361"/>
      <c r="BB273" s="361"/>
      <c r="BC273" s="373"/>
    </row>
    <row r="274" spans="1:55" ht="18" customHeight="1">
      <c r="A274" s="232" t="s">
        <v>1125</v>
      </c>
      <c r="B274" s="184">
        <v>44972</v>
      </c>
      <c r="C274" s="185" t="s">
        <v>1346</v>
      </c>
      <c r="D274" s="185" t="s">
        <v>128</v>
      </c>
      <c r="E274" s="308"/>
      <c r="F274" s="187"/>
      <c r="G274" s="305" t="s">
        <v>110</v>
      </c>
      <c r="H274" s="189"/>
      <c r="I274" s="189"/>
      <c r="J274" s="189"/>
      <c r="K274" s="190"/>
      <c r="L274" s="189">
        <v>1</v>
      </c>
      <c r="M274" s="189"/>
      <c r="N274" s="189"/>
      <c r="O274" s="190" t="s">
        <v>71</v>
      </c>
      <c r="P274" s="190" t="s">
        <v>72</v>
      </c>
      <c r="Q274" s="190" t="s">
        <v>73</v>
      </c>
      <c r="R274" s="190">
        <v>2</v>
      </c>
      <c r="S274" s="190">
        <v>2</v>
      </c>
      <c r="T274" s="190">
        <v>2</v>
      </c>
      <c r="U274" s="190" t="s">
        <v>73</v>
      </c>
      <c r="V274" s="191">
        <f t="shared" si="170"/>
        <v>0.01</v>
      </c>
      <c r="W274" s="191">
        <f t="shared" si="171"/>
        <v>1660.0000000000002</v>
      </c>
      <c r="X274" s="192"/>
      <c r="Y274" s="192"/>
      <c r="Z274" s="192" t="s">
        <v>1312</v>
      </c>
      <c r="AA274" s="193">
        <v>0</v>
      </c>
      <c r="AB274" s="189"/>
      <c r="AC274" s="189">
        <v>3</v>
      </c>
      <c r="AD274" s="189"/>
      <c r="AE274" s="189">
        <v>-2</v>
      </c>
      <c r="AF274" s="189" t="s">
        <v>1347</v>
      </c>
      <c r="AG274" s="189"/>
      <c r="AH274" s="189"/>
      <c r="AI274" s="194">
        <f t="shared" si="165"/>
        <v>-49.800000000000004</v>
      </c>
      <c r="AJ274" s="194">
        <f t="shared" si="172"/>
        <v>-99.600000000000009</v>
      </c>
      <c r="AK274" s="189"/>
      <c r="AL274" s="189"/>
      <c r="AM274" s="189" t="s">
        <v>747</v>
      </c>
      <c r="AN274" s="189" t="s">
        <v>92</v>
      </c>
      <c r="AO274" s="303">
        <v>44973</v>
      </c>
      <c r="AP274" s="196">
        <v>0</v>
      </c>
      <c r="AQ274" s="196">
        <f t="shared" si="167"/>
        <v>0</v>
      </c>
      <c r="AR274" s="194">
        <f t="shared" si="168"/>
        <v>0</v>
      </c>
      <c r="AS274" s="197">
        <f t="shared" si="169"/>
        <v>0</v>
      </c>
      <c r="AT274" s="198" t="s">
        <v>92</v>
      </c>
      <c r="AU274" s="189"/>
      <c r="AV274" s="189"/>
      <c r="AW274" s="189"/>
      <c r="AX274" s="361"/>
      <c r="AY274" s="361"/>
      <c r="AZ274" s="361"/>
      <c r="BA274" s="361"/>
      <c r="BB274" s="361"/>
      <c r="BC274" s="373"/>
    </row>
    <row r="275" spans="1:55" ht="18" customHeight="1">
      <c r="A275" s="184" t="s">
        <v>1125</v>
      </c>
      <c r="B275" s="184">
        <v>44972</v>
      </c>
      <c r="C275" s="185" t="s">
        <v>1348</v>
      </c>
      <c r="D275" s="185" t="s">
        <v>128</v>
      </c>
      <c r="E275" s="308"/>
      <c r="F275" s="187"/>
      <c r="G275" s="306" t="s">
        <v>257</v>
      </c>
      <c r="H275" s="189"/>
      <c r="I275" s="189"/>
      <c r="J275" s="189"/>
      <c r="K275" s="190"/>
      <c r="L275" s="189">
        <v>1</v>
      </c>
      <c r="M275" s="189"/>
      <c r="N275" s="189"/>
      <c r="O275" s="190" t="s">
        <v>71</v>
      </c>
      <c r="P275" s="190" t="s">
        <v>114</v>
      </c>
      <c r="Q275" s="190" t="s">
        <v>73</v>
      </c>
      <c r="R275" s="190">
        <v>3</v>
      </c>
      <c r="S275" s="190">
        <v>3</v>
      </c>
      <c r="T275" s="190">
        <v>2</v>
      </c>
      <c r="U275" s="190" t="s">
        <v>73</v>
      </c>
      <c r="V275" s="191">
        <f t="shared" ref="V275:V276" si="173">IF(ISBLANK(O275),"",(IF(O275=UPPER("IB"),0.005,0.01)))</f>
        <v>0.01</v>
      </c>
      <c r="W275" s="191">
        <f t="shared" ref="W275:W276" si="174">IF(ISBLANK(O275),"",IF(O275=UPPER("IB"),8.63*200,16.6*100))</f>
        <v>1660.0000000000002</v>
      </c>
      <c r="X275" s="192"/>
      <c r="Y275" s="192"/>
      <c r="Z275" s="192" t="s">
        <v>1334</v>
      </c>
      <c r="AA275" s="193">
        <v>-0.14000000000000001</v>
      </c>
      <c r="AB275" s="189"/>
      <c r="AC275" s="189"/>
      <c r="AD275" s="189"/>
      <c r="AE275" s="189"/>
      <c r="AF275" s="189"/>
      <c r="AG275" s="189"/>
      <c r="AH275" s="189"/>
      <c r="AI275" s="194">
        <f t="shared" si="165"/>
        <v>-49.800000000000004</v>
      </c>
      <c r="AJ275" s="194">
        <f t="shared" ref="AJ275:AJ276" si="175">AI275*R275</f>
        <v>-149.4</v>
      </c>
      <c r="AK275" s="189"/>
      <c r="AL275" s="189"/>
      <c r="AM275" s="189" t="s">
        <v>781</v>
      </c>
      <c r="AN275" s="189" t="s">
        <v>92</v>
      </c>
      <c r="AO275" s="303" t="s">
        <v>1349</v>
      </c>
      <c r="AP275" s="196">
        <v>-0.14000000000000001</v>
      </c>
      <c r="AQ275" s="196">
        <f t="shared" si="167"/>
        <v>0</v>
      </c>
      <c r="AR275" s="194">
        <f t="shared" si="168"/>
        <v>0</v>
      </c>
      <c r="AS275" s="197">
        <f t="shared" si="169"/>
        <v>0</v>
      </c>
      <c r="AT275" s="198" t="s">
        <v>92</v>
      </c>
      <c r="AU275" s="189" t="s">
        <v>1350</v>
      </c>
      <c r="AV275" s="189"/>
      <c r="AW275" s="189"/>
      <c r="AX275" s="361"/>
      <c r="AY275" s="361"/>
      <c r="AZ275" s="361"/>
      <c r="BA275" s="361"/>
      <c r="BB275" s="361"/>
      <c r="BC275" s="373"/>
    </row>
    <row r="276" spans="1:55" ht="18" customHeight="1">
      <c r="A276" s="184" t="s">
        <v>1125</v>
      </c>
      <c r="B276" s="184">
        <v>44972</v>
      </c>
      <c r="C276" s="185" t="s">
        <v>1346</v>
      </c>
      <c r="D276" s="185" t="s">
        <v>128</v>
      </c>
      <c r="E276" s="308"/>
      <c r="F276" s="187"/>
      <c r="G276" s="299" t="s">
        <v>110</v>
      </c>
      <c r="H276" s="189"/>
      <c r="I276" s="189"/>
      <c r="J276" s="189"/>
      <c r="K276" s="190"/>
      <c r="L276" s="189">
        <v>1</v>
      </c>
      <c r="M276" s="189"/>
      <c r="N276" s="189"/>
      <c r="O276" s="190" t="s">
        <v>71</v>
      </c>
      <c r="P276" s="190" t="s">
        <v>72</v>
      </c>
      <c r="Q276" s="190" t="s">
        <v>73</v>
      </c>
      <c r="R276" s="190">
        <v>3</v>
      </c>
      <c r="S276" s="190">
        <v>3</v>
      </c>
      <c r="T276" s="190">
        <v>2</v>
      </c>
      <c r="U276" s="190" t="s">
        <v>73</v>
      </c>
      <c r="V276" s="191">
        <f t="shared" si="173"/>
        <v>0.01</v>
      </c>
      <c r="W276" s="191">
        <f t="shared" si="174"/>
        <v>1660.0000000000002</v>
      </c>
      <c r="X276" s="192" t="s">
        <v>1351</v>
      </c>
      <c r="Y276" s="192"/>
      <c r="Z276" s="192" t="s">
        <v>1312</v>
      </c>
      <c r="AA276" s="193">
        <v>0.01</v>
      </c>
      <c r="AB276" s="189"/>
      <c r="AC276" s="189">
        <v>4</v>
      </c>
      <c r="AD276" s="189"/>
      <c r="AE276" s="189">
        <v>-3</v>
      </c>
      <c r="AF276" s="189" t="s">
        <v>1352</v>
      </c>
      <c r="AG276" s="189"/>
      <c r="AH276" s="189"/>
      <c r="AI276" s="194">
        <f t="shared" si="165"/>
        <v>-49.800000000000004</v>
      </c>
      <c r="AJ276" s="194">
        <f t="shared" si="175"/>
        <v>-149.4</v>
      </c>
      <c r="AK276" s="189"/>
      <c r="AL276" s="189"/>
      <c r="AM276" s="189" t="s">
        <v>747</v>
      </c>
      <c r="AN276" s="189" t="s">
        <v>92</v>
      </c>
      <c r="AO276" s="303">
        <v>44973</v>
      </c>
      <c r="AP276" s="196">
        <v>0</v>
      </c>
      <c r="AQ276" s="196">
        <f t="shared" si="167"/>
        <v>0.01</v>
      </c>
      <c r="AR276" s="194">
        <f t="shared" si="168"/>
        <v>49.800000000000004</v>
      </c>
      <c r="AS276" s="197">
        <f t="shared" si="169"/>
        <v>16.600000000000001</v>
      </c>
      <c r="AT276" s="198" t="s">
        <v>72</v>
      </c>
      <c r="AU276" s="189"/>
      <c r="AV276" s="189"/>
      <c r="AW276" s="189"/>
      <c r="AX276" s="361"/>
      <c r="AY276" s="361"/>
      <c r="AZ276" s="361"/>
      <c r="BA276" s="361"/>
      <c r="BB276" s="361"/>
      <c r="BC276" s="373"/>
    </row>
    <row r="277" spans="1:55" ht="18" customHeight="1">
      <c r="A277" s="232" t="s">
        <v>1125</v>
      </c>
      <c r="B277" s="184">
        <v>44972</v>
      </c>
      <c r="C277" s="185" t="s">
        <v>1353</v>
      </c>
      <c r="D277" s="185" t="s">
        <v>128</v>
      </c>
      <c r="E277" s="238"/>
      <c r="F277" s="187"/>
      <c r="G277" s="313" t="s">
        <v>110</v>
      </c>
      <c r="H277" s="189"/>
      <c r="I277" s="189"/>
      <c r="J277" s="189"/>
      <c r="K277" s="190"/>
      <c r="L277" s="189">
        <v>1</v>
      </c>
      <c r="M277" s="189"/>
      <c r="N277" s="189"/>
      <c r="O277" s="190" t="s">
        <v>71</v>
      </c>
      <c r="P277" s="190" t="s">
        <v>72</v>
      </c>
      <c r="Q277" s="190" t="s">
        <v>73</v>
      </c>
      <c r="R277" s="190">
        <v>3</v>
      </c>
      <c r="S277" s="190">
        <v>3</v>
      </c>
      <c r="T277" s="190">
        <v>3</v>
      </c>
      <c r="U277" s="190" t="s">
        <v>73</v>
      </c>
      <c r="V277" s="191">
        <f t="shared" ref="V277" si="176">IF(ISBLANK(O277),"",(IF(O277=UPPER("IB"),0.005,0.01)))</f>
        <v>0.01</v>
      </c>
      <c r="W277" s="191">
        <f t="shared" ref="W277" si="177">IF(ISBLANK(O277),"",IF(O277=UPPER("IB"),8.63*200,16.6*100))</f>
        <v>1660.0000000000002</v>
      </c>
      <c r="X277" s="192" t="s">
        <v>1351</v>
      </c>
      <c r="Y277" s="192"/>
      <c r="Z277" s="192" t="s">
        <v>1312</v>
      </c>
      <c r="AA277" s="193">
        <v>0.02</v>
      </c>
      <c r="AB277" s="189"/>
      <c r="AC277" s="189">
        <v>5</v>
      </c>
      <c r="AD277" s="189"/>
      <c r="AE277" s="189">
        <v>-3</v>
      </c>
      <c r="AF277" s="189" t="s">
        <v>1352</v>
      </c>
      <c r="AG277" s="189"/>
      <c r="AH277" s="189"/>
      <c r="AI277" s="194">
        <f t="shared" si="165"/>
        <v>-49.800000000000004</v>
      </c>
      <c r="AJ277" s="194">
        <f t="shared" ref="AJ277" si="178">AI277*R277</f>
        <v>-149.4</v>
      </c>
      <c r="AK277" s="189"/>
      <c r="AL277" s="189"/>
      <c r="AM277" s="189" t="s">
        <v>747</v>
      </c>
      <c r="AN277" s="189" t="s">
        <v>92</v>
      </c>
      <c r="AO277" s="303">
        <v>44973</v>
      </c>
      <c r="AP277" s="196">
        <v>0</v>
      </c>
      <c r="AQ277" s="196">
        <f t="shared" si="167"/>
        <v>0.02</v>
      </c>
      <c r="AR277" s="194">
        <f t="shared" si="168"/>
        <v>99.600000000000009</v>
      </c>
      <c r="AS277" s="197">
        <f t="shared" si="169"/>
        <v>33.200000000000003</v>
      </c>
      <c r="AT277" s="198" t="s">
        <v>72</v>
      </c>
      <c r="AU277" s="189" t="s">
        <v>1354</v>
      </c>
      <c r="AV277" s="189"/>
      <c r="AW277" s="189"/>
      <c r="AX277" s="361"/>
      <c r="AY277" s="361"/>
      <c r="AZ277" s="361"/>
      <c r="BA277" s="361"/>
      <c r="BB277" s="361"/>
      <c r="BC277" s="373"/>
    </row>
    <row r="278" spans="1:55" ht="18" customHeight="1">
      <c r="A278" s="184" t="s">
        <v>1125</v>
      </c>
      <c r="B278" s="184">
        <v>44972</v>
      </c>
      <c r="C278" s="185" t="s">
        <v>1320</v>
      </c>
      <c r="D278" s="185" t="s">
        <v>128</v>
      </c>
      <c r="E278" s="309" t="s">
        <v>1355</v>
      </c>
      <c r="F278" s="187" t="s">
        <v>1356</v>
      </c>
      <c r="G278" s="188"/>
      <c r="H278" s="189">
        <v>1</v>
      </c>
      <c r="I278" s="189"/>
      <c r="J278" s="189"/>
      <c r="K278" s="190" t="s">
        <v>82</v>
      </c>
      <c r="L278" s="189"/>
      <c r="M278" s="189"/>
      <c r="N278" s="189"/>
      <c r="O278" s="190"/>
      <c r="P278" s="190"/>
      <c r="Q278" s="190"/>
      <c r="R278" s="190"/>
      <c r="S278" s="190"/>
      <c r="T278" s="190"/>
      <c r="U278" s="190"/>
      <c r="V278" s="191" t="str">
        <f t="shared" ref="V278:V284" si="179">IF(ISBLANK(O278),"",(IF(O278=UPPER("IB"),0.005,0.01)))</f>
        <v/>
      </c>
      <c r="W278" s="191" t="str">
        <f t="shared" ref="W278:W284" si="180">IF(ISBLANK(O278),"",IF(O278=UPPER("IB"),8.63*200,16.6*100))</f>
        <v/>
      </c>
      <c r="X278" s="192"/>
      <c r="Y278" s="192"/>
      <c r="Z278" s="192"/>
      <c r="AA278" s="193"/>
      <c r="AB278" s="189"/>
      <c r="AC278" s="189"/>
      <c r="AD278" s="189"/>
      <c r="AE278" s="189"/>
      <c r="AF278" s="189"/>
      <c r="AG278" s="189"/>
      <c r="AH278" s="189"/>
      <c r="AI278" s="194"/>
      <c r="AJ278" s="194"/>
      <c r="AK278" s="189"/>
      <c r="AL278" s="189"/>
      <c r="AM278" s="189"/>
      <c r="AN278" s="189"/>
      <c r="AO278" s="189"/>
      <c r="AP278" s="196"/>
      <c r="AQ278" s="196"/>
      <c r="AR278" s="194"/>
      <c r="AS278" s="197"/>
      <c r="AT278" s="198"/>
      <c r="AU278" s="189"/>
      <c r="AV278" s="189"/>
      <c r="AW278" s="189"/>
      <c r="AX278" s="361"/>
      <c r="AY278" s="361"/>
      <c r="AZ278" s="361"/>
      <c r="BA278" s="361"/>
      <c r="BB278" s="361"/>
      <c r="BC278" s="373"/>
    </row>
    <row r="279" spans="1:55" ht="18" customHeight="1">
      <c r="A279" s="184" t="s">
        <v>1125</v>
      </c>
      <c r="B279" s="184"/>
      <c r="C279" s="185"/>
      <c r="D279" s="185"/>
      <c r="E279" s="309" t="s">
        <v>1357</v>
      </c>
      <c r="F279" s="309"/>
      <c r="G279" s="188"/>
      <c r="H279" s="189">
        <v>1</v>
      </c>
      <c r="I279" s="189"/>
      <c r="J279" s="189"/>
      <c r="K279" s="190" t="s">
        <v>82</v>
      </c>
      <c r="L279" s="189"/>
      <c r="M279" s="189"/>
      <c r="N279" s="189"/>
      <c r="O279" s="190"/>
      <c r="P279" s="190"/>
      <c r="Q279" s="190"/>
      <c r="R279" s="190"/>
      <c r="S279" s="190"/>
      <c r="T279" s="190"/>
      <c r="U279" s="190"/>
      <c r="V279" s="191" t="str">
        <f t="shared" si="179"/>
        <v/>
      </c>
      <c r="W279" s="191" t="str">
        <f t="shared" si="180"/>
        <v/>
      </c>
      <c r="X279" s="192"/>
      <c r="Y279" s="192"/>
      <c r="Z279" s="192"/>
      <c r="AA279" s="193"/>
      <c r="AB279" s="189"/>
      <c r="AC279" s="189"/>
      <c r="AD279" s="189"/>
      <c r="AE279" s="189"/>
      <c r="AF279" s="189"/>
      <c r="AG279" s="189"/>
      <c r="AH279" s="189"/>
      <c r="AI279" s="194"/>
      <c r="AJ279" s="194"/>
      <c r="AK279" s="189"/>
      <c r="AL279" s="189"/>
      <c r="AM279" s="189"/>
      <c r="AN279" s="189"/>
      <c r="AO279" s="189"/>
      <c r="AP279" s="196"/>
      <c r="AQ279" s="196"/>
      <c r="AR279" s="194"/>
      <c r="AS279" s="197"/>
      <c r="AT279" s="198"/>
      <c r="AU279" s="189"/>
      <c r="AV279" s="189"/>
      <c r="AW279" s="189"/>
      <c r="AX279" s="361"/>
      <c r="AY279" s="361"/>
      <c r="AZ279" s="361"/>
      <c r="BA279" s="361"/>
      <c r="BB279" s="361"/>
      <c r="BC279" s="373"/>
    </row>
    <row r="280" spans="1:55" ht="18" customHeight="1">
      <c r="A280" s="232" t="s">
        <v>1125</v>
      </c>
      <c r="B280" s="184">
        <v>44973</v>
      </c>
      <c r="C280" s="185" t="s">
        <v>1232</v>
      </c>
      <c r="D280" s="185" t="s">
        <v>69</v>
      </c>
      <c r="E280" s="307" t="s">
        <v>1358</v>
      </c>
      <c r="F280" s="315" t="s">
        <v>1359</v>
      </c>
      <c r="G280" s="188"/>
      <c r="H280" s="189"/>
      <c r="I280" s="189"/>
      <c r="J280" s="189">
        <v>1</v>
      </c>
      <c r="K280" s="190" t="s">
        <v>92</v>
      </c>
      <c r="L280" s="189"/>
      <c r="M280" s="189"/>
      <c r="N280" s="189"/>
      <c r="O280" s="190"/>
      <c r="P280" s="190"/>
      <c r="Q280" s="190"/>
      <c r="R280" s="190"/>
      <c r="S280" s="190"/>
      <c r="T280" s="190"/>
      <c r="U280" s="190"/>
      <c r="V280" s="191" t="str">
        <f t="shared" si="179"/>
        <v/>
      </c>
      <c r="W280" s="191" t="str">
        <f t="shared" si="180"/>
        <v/>
      </c>
      <c r="X280" s="192"/>
      <c r="Y280" s="192"/>
      <c r="Z280" s="192"/>
      <c r="AA280" s="193"/>
      <c r="AB280" s="189"/>
      <c r="AC280" s="189"/>
      <c r="AD280" s="189"/>
      <c r="AE280" s="189"/>
      <c r="AF280" s="189"/>
      <c r="AG280" s="189"/>
      <c r="AH280" s="189"/>
      <c r="AI280" s="194"/>
      <c r="AJ280" s="194"/>
      <c r="AK280" s="189"/>
      <c r="AL280" s="189"/>
      <c r="AM280" s="189"/>
      <c r="AN280" s="189"/>
      <c r="AO280" s="189"/>
      <c r="AP280" s="196"/>
      <c r="AQ280" s="196"/>
      <c r="AR280" s="194"/>
      <c r="AS280" s="197"/>
      <c r="AT280" s="198"/>
      <c r="AU280" s="189" t="s">
        <v>1360</v>
      </c>
      <c r="AV280" s="189" t="s">
        <v>1361</v>
      </c>
      <c r="AW280" s="189" t="s">
        <v>1362</v>
      </c>
      <c r="AX280" s="361" t="s">
        <v>1363</v>
      </c>
      <c r="AY280" s="361" t="s">
        <v>506</v>
      </c>
      <c r="AZ280" s="361"/>
      <c r="BA280" s="361"/>
      <c r="BB280" s="361"/>
      <c r="BC280" s="373"/>
    </row>
    <row r="281" spans="1:55" ht="18" customHeight="1">
      <c r="A281" s="184" t="s">
        <v>1125</v>
      </c>
      <c r="B281" s="184"/>
      <c r="C281" s="185"/>
      <c r="D281" s="185"/>
      <c r="E281" s="307" t="s">
        <v>1364</v>
      </c>
      <c r="F281" s="315" t="s">
        <v>1365</v>
      </c>
      <c r="G281" s="188"/>
      <c r="H281" s="189">
        <v>1</v>
      </c>
      <c r="I281" s="189"/>
      <c r="J281" s="189"/>
      <c r="K281" s="190" t="s">
        <v>92</v>
      </c>
      <c r="L281" s="189"/>
      <c r="M281" s="189"/>
      <c r="N281" s="189"/>
      <c r="O281" s="190"/>
      <c r="P281" s="190"/>
      <c r="Q281" s="190"/>
      <c r="R281" s="190"/>
      <c r="S281" s="190"/>
      <c r="T281" s="190"/>
      <c r="U281" s="190"/>
      <c r="V281" s="191" t="str">
        <f t="shared" si="179"/>
        <v/>
      </c>
      <c r="W281" s="191" t="str">
        <f t="shared" si="180"/>
        <v/>
      </c>
      <c r="X281" s="192"/>
      <c r="Y281" s="192"/>
      <c r="Z281" s="192"/>
      <c r="AA281" s="193"/>
      <c r="AB281" s="189"/>
      <c r="AC281" s="189"/>
      <c r="AD281" s="189"/>
      <c r="AE281" s="189"/>
      <c r="AF281" s="189"/>
      <c r="AG281" s="189"/>
      <c r="AH281" s="189"/>
      <c r="AI281" s="194"/>
      <c r="AJ281" s="194"/>
      <c r="AK281" s="189"/>
      <c r="AL281" s="189"/>
      <c r="AM281" s="189"/>
      <c r="AN281" s="189"/>
      <c r="AO281" s="189"/>
      <c r="AP281" s="196"/>
      <c r="AQ281" s="196"/>
      <c r="AR281" s="194"/>
      <c r="AS281" s="197"/>
      <c r="AT281" s="198"/>
      <c r="AU281" s="189" t="s">
        <v>1366</v>
      </c>
      <c r="AV281" s="189" t="s">
        <v>1367</v>
      </c>
      <c r="AW281" s="189"/>
      <c r="AX281" s="361"/>
      <c r="AY281" s="361"/>
      <c r="AZ281" s="361"/>
      <c r="BA281" s="361"/>
      <c r="BB281" s="361"/>
      <c r="BC281" s="373"/>
    </row>
    <row r="282" spans="1:55" ht="18" customHeight="1">
      <c r="A282" s="184" t="s">
        <v>1125</v>
      </c>
      <c r="B282" s="184">
        <v>44973</v>
      </c>
      <c r="C282" s="185" t="s">
        <v>659</v>
      </c>
      <c r="D282" s="185" t="s">
        <v>69</v>
      </c>
      <c r="E282" s="307"/>
      <c r="F282" s="315"/>
      <c r="G282" s="188" t="s">
        <v>1368</v>
      </c>
      <c r="H282" s="189"/>
      <c r="I282" s="189"/>
      <c r="J282" s="189"/>
      <c r="K282" s="190"/>
      <c r="L282" s="189">
        <v>2</v>
      </c>
      <c r="M282" s="189"/>
      <c r="N282" s="189"/>
      <c r="O282" s="190" t="s">
        <v>71</v>
      </c>
      <c r="P282" s="190" t="s">
        <v>114</v>
      </c>
      <c r="Q282" s="190" t="s">
        <v>661</v>
      </c>
      <c r="R282" s="190">
        <v>1</v>
      </c>
      <c r="S282" s="190">
        <v>1</v>
      </c>
      <c r="T282" s="190">
        <v>1</v>
      </c>
      <c r="U282" s="190" t="s">
        <v>21</v>
      </c>
      <c r="V282" s="191">
        <f t="shared" si="179"/>
        <v>0.01</v>
      </c>
      <c r="W282" s="191">
        <f t="shared" si="180"/>
        <v>1660.0000000000002</v>
      </c>
      <c r="X282" s="192" t="s">
        <v>1073</v>
      </c>
      <c r="Y282" s="192"/>
      <c r="Z282" s="192"/>
      <c r="AA282" s="193">
        <v>96.08</v>
      </c>
      <c r="AB282" s="189"/>
      <c r="AC282" s="189"/>
      <c r="AD282" s="189"/>
      <c r="AE282" s="189"/>
      <c r="AF282" s="189"/>
      <c r="AG282" s="189"/>
      <c r="AH282" s="189"/>
      <c r="AI282" s="194"/>
      <c r="AJ282" s="194"/>
      <c r="AK282" s="189"/>
      <c r="AL282" s="189"/>
      <c r="AM282" s="189" t="s">
        <v>1369</v>
      </c>
      <c r="AN282" s="189" t="s">
        <v>371</v>
      </c>
      <c r="AO282" s="189" t="s">
        <v>1370</v>
      </c>
      <c r="AP282" s="196">
        <v>96.13</v>
      </c>
      <c r="AQ282" s="196">
        <f t="shared" ref="AQ282:AQ291" si="181">IF(ISBLANK(AP282),,IF(U282="S",AA282-AP282,AP282-AA282))</f>
        <v>4.9999999999997158E-2</v>
      </c>
      <c r="AR282" s="194">
        <f t="shared" ref="AR282:AR291" si="182">AS282*R282</f>
        <v>82.999999999995296</v>
      </c>
      <c r="AS282" s="197">
        <f t="shared" ref="AS282:AS291" si="183">IF(ISBLANK(AP282),,(AQ282*W282))</f>
        <v>82.999999999995296</v>
      </c>
      <c r="AT282" s="198" t="s">
        <v>72</v>
      </c>
      <c r="AU282" s="189" t="s">
        <v>1371</v>
      </c>
      <c r="AV282" s="189"/>
      <c r="AW282" s="189"/>
      <c r="AX282" s="361"/>
      <c r="AY282" s="361"/>
      <c r="AZ282" s="361"/>
      <c r="BA282" s="361"/>
      <c r="BB282" s="361"/>
      <c r="BC282" s="373"/>
    </row>
    <row r="283" spans="1:55" ht="18" customHeight="1">
      <c r="A283" s="232" t="s">
        <v>1125</v>
      </c>
      <c r="B283" s="184">
        <v>44973</v>
      </c>
      <c r="C283" s="185" t="s">
        <v>659</v>
      </c>
      <c r="D283" s="185" t="s">
        <v>69</v>
      </c>
      <c r="E283" s="307"/>
      <c r="F283" s="315"/>
      <c r="G283" s="188" t="s">
        <v>1180</v>
      </c>
      <c r="H283" s="189"/>
      <c r="I283" s="189"/>
      <c r="J283" s="189"/>
      <c r="K283" s="190"/>
      <c r="L283" s="189">
        <v>2</v>
      </c>
      <c r="M283" s="189"/>
      <c r="N283" s="189"/>
      <c r="O283" s="190" t="s">
        <v>71</v>
      </c>
      <c r="P283" s="190" t="s">
        <v>114</v>
      </c>
      <c r="Q283" s="190" t="s">
        <v>661</v>
      </c>
      <c r="R283" s="190">
        <v>1</v>
      </c>
      <c r="S283" s="190">
        <v>1</v>
      </c>
      <c r="T283" s="190">
        <v>1</v>
      </c>
      <c r="U283" s="190" t="s">
        <v>21</v>
      </c>
      <c r="V283" s="191">
        <f t="shared" si="179"/>
        <v>0.01</v>
      </c>
      <c r="W283" s="191">
        <f t="shared" si="180"/>
        <v>1660.0000000000002</v>
      </c>
      <c r="X283" s="192" t="s">
        <v>1073</v>
      </c>
      <c r="Y283" s="192"/>
      <c r="Z283" s="192"/>
      <c r="AA283" s="193">
        <v>95.97</v>
      </c>
      <c r="AB283" s="189"/>
      <c r="AC283" s="189"/>
      <c r="AD283" s="189"/>
      <c r="AE283" s="189"/>
      <c r="AF283" s="189"/>
      <c r="AG283" s="189"/>
      <c r="AH283" s="189"/>
      <c r="AI283" s="194"/>
      <c r="AJ283" s="194"/>
      <c r="AK283" s="189"/>
      <c r="AL283" s="189"/>
      <c r="AM283" s="189" t="s">
        <v>1014</v>
      </c>
      <c r="AN283" s="189" t="s">
        <v>371</v>
      </c>
      <c r="AO283" s="189" t="s">
        <v>1372</v>
      </c>
      <c r="AP283" s="196">
        <v>96.02</v>
      </c>
      <c r="AQ283" s="196">
        <f t="shared" si="181"/>
        <v>4.9999999999997158E-2</v>
      </c>
      <c r="AR283" s="194">
        <f t="shared" si="182"/>
        <v>82.999999999995296</v>
      </c>
      <c r="AS283" s="197">
        <f t="shared" si="183"/>
        <v>82.999999999995296</v>
      </c>
      <c r="AT283" s="198" t="s">
        <v>72</v>
      </c>
      <c r="AU283" s="189" t="s">
        <v>1373</v>
      </c>
      <c r="AV283" s="189"/>
      <c r="AW283" s="189"/>
      <c r="AX283" s="361"/>
      <c r="AY283" s="361"/>
      <c r="AZ283" s="361"/>
      <c r="BA283" s="361"/>
      <c r="BB283" s="361"/>
      <c r="BC283" s="373"/>
    </row>
    <row r="284" spans="1:55" ht="18" customHeight="1">
      <c r="A284" s="184" t="s">
        <v>1125</v>
      </c>
      <c r="B284" s="184">
        <v>44973</v>
      </c>
      <c r="C284" s="185" t="s">
        <v>659</v>
      </c>
      <c r="D284" s="185" t="s">
        <v>69</v>
      </c>
      <c r="E284" s="307"/>
      <c r="F284" s="315"/>
      <c r="G284" s="306" t="s">
        <v>257</v>
      </c>
      <c r="H284" s="189"/>
      <c r="I284" s="189"/>
      <c r="J284" s="189"/>
      <c r="K284" s="190"/>
      <c r="L284" s="189">
        <v>1</v>
      </c>
      <c r="M284" s="189">
        <v>1</v>
      </c>
      <c r="N284" s="189"/>
      <c r="O284" s="190" t="s">
        <v>71</v>
      </c>
      <c r="P284" s="190" t="s">
        <v>114</v>
      </c>
      <c r="Q284" s="190" t="s">
        <v>73</v>
      </c>
      <c r="R284" s="190">
        <v>3</v>
      </c>
      <c r="S284" s="190">
        <v>3</v>
      </c>
      <c r="T284" s="190">
        <v>3</v>
      </c>
      <c r="U284" s="190" t="s">
        <v>73</v>
      </c>
      <c r="V284" s="191">
        <f t="shared" si="179"/>
        <v>0.01</v>
      </c>
      <c r="W284" s="191">
        <f t="shared" si="180"/>
        <v>1660.0000000000002</v>
      </c>
      <c r="X284" s="192"/>
      <c r="Y284" s="192"/>
      <c r="Z284" s="192" t="s">
        <v>1334</v>
      </c>
      <c r="AA284" s="193">
        <v>-0.13</v>
      </c>
      <c r="AB284" s="189"/>
      <c r="AC284" s="189"/>
      <c r="AD284" s="189"/>
      <c r="AE284" s="189"/>
      <c r="AF284" s="189"/>
      <c r="AG284" s="189"/>
      <c r="AH284" s="189"/>
      <c r="AI284" s="194">
        <f>-0.03*W284</f>
        <v>-49.800000000000004</v>
      </c>
      <c r="AJ284" s="194">
        <f t="shared" ref="AJ284" si="184">AI284*R284</f>
        <v>-149.4</v>
      </c>
      <c r="AK284" s="189"/>
      <c r="AL284" s="189"/>
      <c r="AM284" s="189" t="s">
        <v>1374</v>
      </c>
      <c r="AN284" s="189" t="s">
        <v>82</v>
      </c>
      <c r="AO284" s="189" t="s">
        <v>1375</v>
      </c>
      <c r="AP284" s="196">
        <v>-0.14000000000000001</v>
      </c>
      <c r="AQ284" s="196">
        <f t="shared" si="181"/>
        <v>1.0000000000000009E-2</v>
      </c>
      <c r="AR284" s="194">
        <f t="shared" si="182"/>
        <v>49.800000000000047</v>
      </c>
      <c r="AS284" s="197">
        <f t="shared" si="183"/>
        <v>16.600000000000016</v>
      </c>
      <c r="AT284" s="198" t="s">
        <v>72</v>
      </c>
      <c r="AU284" s="189" t="s">
        <v>1337</v>
      </c>
      <c r="AV284" s="189"/>
      <c r="AW284" s="189"/>
      <c r="AX284" s="361"/>
      <c r="AY284" s="361"/>
      <c r="AZ284" s="361"/>
      <c r="BA284" s="361"/>
      <c r="BB284" s="361"/>
      <c r="BC284" s="373"/>
    </row>
    <row r="285" spans="1:55" ht="18" customHeight="1">
      <c r="A285" s="184" t="s">
        <v>1125</v>
      </c>
      <c r="B285" s="184">
        <v>44973</v>
      </c>
      <c r="C285" s="185" t="s">
        <v>1376</v>
      </c>
      <c r="D285" s="185" t="s">
        <v>69</v>
      </c>
      <c r="E285" s="307"/>
      <c r="F285" s="315"/>
      <c r="G285" s="188" t="s">
        <v>248</v>
      </c>
      <c r="H285" s="189"/>
      <c r="I285" s="189"/>
      <c r="J285" s="189"/>
      <c r="K285" s="190"/>
      <c r="L285" s="189">
        <v>1</v>
      </c>
      <c r="M285" s="189"/>
      <c r="N285" s="189"/>
      <c r="O285" s="190" t="s">
        <v>71</v>
      </c>
      <c r="P285" s="190" t="s">
        <v>114</v>
      </c>
      <c r="Q285" s="190" t="s">
        <v>73</v>
      </c>
      <c r="R285" s="190">
        <v>3</v>
      </c>
      <c r="S285" s="190">
        <v>3</v>
      </c>
      <c r="T285" s="190">
        <v>3</v>
      </c>
      <c r="U285" s="190" t="s">
        <v>73</v>
      </c>
      <c r="V285" s="191">
        <f t="shared" ref="V285" si="185">IF(ISBLANK(O285),"",(IF(O285=UPPER("IB"),0.005,0.01)))</f>
        <v>0.01</v>
      </c>
      <c r="W285" s="191">
        <f t="shared" ref="W285:W291" si="186">IF(ISBLANK(O285),"",IF(O285=UPPER("IB"),8.63*200,16.5*100))</f>
        <v>1650</v>
      </c>
      <c r="X285" s="192"/>
      <c r="Y285" s="192"/>
      <c r="Z285" s="192" t="s">
        <v>75</v>
      </c>
      <c r="AA285" s="193">
        <v>-0.14000000000000001</v>
      </c>
      <c r="AB285" s="189"/>
      <c r="AC285" s="189"/>
      <c r="AD285" s="189"/>
      <c r="AE285" s="189"/>
      <c r="AF285" s="189"/>
      <c r="AG285" s="189"/>
      <c r="AH285" s="189"/>
      <c r="AI285" s="194"/>
      <c r="AJ285" s="194"/>
      <c r="AK285" s="189"/>
      <c r="AL285" s="189"/>
      <c r="AM285" s="189"/>
      <c r="AN285" s="189" t="s">
        <v>82</v>
      </c>
      <c r="AO285" s="189" t="s">
        <v>1377</v>
      </c>
      <c r="AP285" s="196">
        <v>-0.14000000000000001</v>
      </c>
      <c r="AQ285" s="196">
        <f t="shared" si="181"/>
        <v>0</v>
      </c>
      <c r="AR285" s="194">
        <f t="shared" si="182"/>
        <v>0</v>
      </c>
      <c r="AS285" s="197">
        <f t="shared" si="183"/>
        <v>0</v>
      </c>
      <c r="AT285" s="198" t="s">
        <v>92</v>
      </c>
      <c r="AU285" s="189" t="s">
        <v>1378</v>
      </c>
      <c r="AV285" s="189" t="s">
        <v>506</v>
      </c>
      <c r="AW285" s="189"/>
      <c r="AX285" s="361"/>
      <c r="AY285" s="361"/>
      <c r="AZ285" s="361"/>
      <c r="BA285" s="361"/>
      <c r="BB285" s="361"/>
      <c r="BC285" s="373"/>
    </row>
    <row r="286" spans="1:55" ht="18" customHeight="1">
      <c r="A286" s="232" t="s">
        <v>1125</v>
      </c>
      <c r="B286" s="184">
        <v>44974</v>
      </c>
      <c r="C286" s="185" t="s">
        <v>1379</v>
      </c>
      <c r="D286" s="185" t="s">
        <v>88</v>
      </c>
      <c r="E286" s="307"/>
      <c r="F286" s="315"/>
      <c r="G286" s="188" t="s">
        <v>412</v>
      </c>
      <c r="H286" s="189"/>
      <c r="I286" s="189"/>
      <c r="J286" s="189"/>
      <c r="K286" s="190"/>
      <c r="L286" s="189">
        <v>1</v>
      </c>
      <c r="M286" s="189"/>
      <c r="N286" s="189"/>
      <c r="O286" s="190" t="s">
        <v>71</v>
      </c>
      <c r="P286" s="190" t="s">
        <v>72</v>
      </c>
      <c r="Q286" s="190" t="s">
        <v>73</v>
      </c>
      <c r="R286" s="190">
        <v>1</v>
      </c>
      <c r="S286" s="190">
        <v>1</v>
      </c>
      <c r="T286" s="190">
        <v>1</v>
      </c>
      <c r="U286" s="190" t="s">
        <v>73</v>
      </c>
      <c r="V286" s="191">
        <f t="shared" ref="V286" si="187">IF(ISBLANK(O286),"",(IF(O286=UPPER("IB"),0.005,0.01)))</f>
        <v>0.01</v>
      </c>
      <c r="W286" s="191">
        <f t="shared" si="186"/>
        <v>1650</v>
      </c>
      <c r="X286" s="192" t="s">
        <v>1380</v>
      </c>
      <c r="Y286" s="192"/>
      <c r="Z286" s="192" t="s">
        <v>75</v>
      </c>
      <c r="AA286" s="193">
        <v>0.48</v>
      </c>
      <c r="AB286" s="189"/>
      <c r="AC286" s="189"/>
      <c r="AD286" s="189"/>
      <c r="AE286" s="189"/>
      <c r="AF286" s="189"/>
      <c r="AG286" s="189"/>
      <c r="AH286" s="189"/>
      <c r="AI286" s="194"/>
      <c r="AJ286" s="194"/>
      <c r="AK286" s="189"/>
      <c r="AL286" s="189"/>
      <c r="AM286" s="189" t="s">
        <v>1381</v>
      </c>
      <c r="AN286" s="189" t="s">
        <v>371</v>
      </c>
      <c r="AO286" s="189" t="s">
        <v>1382</v>
      </c>
      <c r="AP286" s="196">
        <v>0.47</v>
      </c>
      <c r="AQ286" s="196">
        <f t="shared" si="181"/>
        <v>1.0000000000000009E-2</v>
      </c>
      <c r="AR286" s="194">
        <f t="shared" si="182"/>
        <v>16.500000000000014</v>
      </c>
      <c r="AS286" s="197">
        <f t="shared" si="183"/>
        <v>16.500000000000014</v>
      </c>
      <c r="AT286" s="198" t="s">
        <v>72</v>
      </c>
      <c r="AU286" s="189" t="s">
        <v>1383</v>
      </c>
      <c r="AV286" s="189"/>
      <c r="AW286" s="189"/>
      <c r="AX286" s="361"/>
      <c r="AY286" s="361"/>
      <c r="AZ286" s="361"/>
      <c r="BA286" s="361"/>
      <c r="BB286" s="361"/>
      <c r="BC286" s="373"/>
    </row>
    <row r="287" spans="1:55" ht="18" customHeight="1">
      <c r="A287" s="184" t="s">
        <v>1125</v>
      </c>
      <c r="B287" s="184">
        <v>44974</v>
      </c>
      <c r="C287" s="185" t="s">
        <v>1384</v>
      </c>
      <c r="D287" s="185" t="s">
        <v>88</v>
      </c>
      <c r="E287" s="307"/>
      <c r="F287" s="315"/>
      <c r="G287" s="299" t="s">
        <v>412</v>
      </c>
      <c r="H287" s="189"/>
      <c r="I287" s="189"/>
      <c r="J287" s="189"/>
      <c r="K287" s="190"/>
      <c r="L287" s="189">
        <v>1</v>
      </c>
      <c r="M287" s="189"/>
      <c r="N287" s="189"/>
      <c r="O287" s="190" t="s">
        <v>71</v>
      </c>
      <c r="P287" s="190" t="s">
        <v>72</v>
      </c>
      <c r="Q287" s="190" t="s">
        <v>73</v>
      </c>
      <c r="R287" s="190">
        <v>1</v>
      </c>
      <c r="S287" s="190">
        <v>1</v>
      </c>
      <c r="T287" s="190">
        <v>1</v>
      </c>
      <c r="U287" s="190" t="s">
        <v>73</v>
      </c>
      <c r="V287" s="191">
        <f t="shared" ref="V287" si="188">IF(ISBLANK(O287),"",(IF(O287=UPPER("IB"),0.005,0.01)))</f>
        <v>0.01</v>
      </c>
      <c r="W287" s="191">
        <f t="shared" si="186"/>
        <v>1650</v>
      </c>
      <c r="X287" s="192" t="s">
        <v>1385</v>
      </c>
      <c r="Y287" s="192"/>
      <c r="Z287" s="192"/>
      <c r="AA287" s="193">
        <v>0.52</v>
      </c>
      <c r="AB287" s="189"/>
      <c r="AC287" s="189">
        <v>0.56999999999999995</v>
      </c>
      <c r="AD287" s="189"/>
      <c r="AE287" s="189" t="s">
        <v>1386</v>
      </c>
      <c r="AF287" s="189" t="s">
        <v>1387</v>
      </c>
      <c r="AG287" s="189"/>
      <c r="AH287" s="189"/>
      <c r="AI287" s="194">
        <f>-0.03*W287</f>
        <v>-49.5</v>
      </c>
      <c r="AJ287" s="194">
        <f t="shared" ref="AJ287" si="189">AI287*R287</f>
        <v>-49.5</v>
      </c>
      <c r="AK287" s="189"/>
      <c r="AL287" s="189"/>
      <c r="AM287" s="189" t="s">
        <v>781</v>
      </c>
      <c r="AN287" s="189" t="s">
        <v>92</v>
      </c>
      <c r="AO287" s="189" t="s">
        <v>1388</v>
      </c>
      <c r="AP287" s="196">
        <v>0.5</v>
      </c>
      <c r="AQ287" s="196">
        <f t="shared" si="181"/>
        <v>2.0000000000000018E-2</v>
      </c>
      <c r="AR287" s="194">
        <f t="shared" si="182"/>
        <v>33.000000000000028</v>
      </c>
      <c r="AS287" s="197">
        <f t="shared" si="183"/>
        <v>33.000000000000028</v>
      </c>
      <c r="AT287" s="198" t="s">
        <v>72</v>
      </c>
      <c r="AU287" s="189"/>
      <c r="AV287" s="189"/>
      <c r="AW287" s="189"/>
      <c r="AX287" s="361"/>
      <c r="AY287" s="361"/>
      <c r="AZ287" s="361"/>
      <c r="BA287" s="361"/>
      <c r="BB287" s="361"/>
      <c r="BC287" s="373"/>
    </row>
    <row r="288" spans="1:55" ht="18" customHeight="1">
      <c r="A288" s="184" t="s">
        <v>1125</v>
      </c>
      <c r="B288" s="184">
        <v>44977</v>
      </c>
      <c r="C288" s="185" t="s">
        <v>1389</v>
      </c>
      <c r="D288" s="185" t="s">
        <v>109</v>
      </c>
      <c r="E288" s="307"/>
      <c r="F288" s="315"/>
      <c r="G288" s="305" t="s">
        <v>110</v>
      </c>
      <c r="H288" s="189"/>
      <c r="I288" s="189"/>
      <c r="J288" s="189"/>
      <c r="K288" s="190"/>
      <c r="L288" s="189">
        <v>1</v>
      </c>
      <c r="M288" s="189"/>
      <c r="N288" s="189"/>
      <c r="O288" s="190" t="s">
        <v>71</v>
      </c>
      <c r="P288" s="190" t="s">
        <v>72</v>
      </c>
      <c r="Q288" s="190" t="s">
        <v>73</v>
      </c>
      <c r="R288" s="190">
        <v>4</v>
      </c>
      <c r="S288" s="190">
        <v>4</v>
      </c>
      <c r="T288" s="190">
        <v>4</v>
      </c>
      <c r="U288" s="190" t="s">
        <v>73</v>
      </c>
      <c r="V288" s="191">
        <f t="shared" ref="V288" si="190">IF(ISBLANK(O288),"",(IF(O288=UPPER("IB"),0.005,0.01)))</f>
        <v>0.01</v>
      </c>
      <c r="W288" s="191">
        <f t="shared" si="186"/>
        <v>1650</v>
      </c>
      <c r="X288" s="192"/>
      <c r="Y288" s="192"/>
      <c r="Z288" s="192" t="s">
        <v>75</v>
      </c>
      <c r="AA288" s="193">
        <v>0.01</v>
      </c>
      <c r="AB288" s="189"/>
      <c r="AC288" s="189">
        <v>4</v>
      </c>
      <c r="AD288" s="189"/>
      <c r="AE288" s="189">
        <v>0</v>
      </c>
      <c r="AF288" s="189"/>
      <c r="AG288" s="189"/>
      <c r="AH288" s="189"/>
      <c r="AI288" s="194">
        <f>-0.04*W288</f>
        <v>-66</v>
      </c>
      <c r="AJ288" s="194">
        <f t="shared" ref="AJ288" si="191">AI288*R288</f>
        <v>-264</v>
      </c>
      <c r="AK288" s="189"/>
      <c r="AL288" s="189"/>
      <c r="AM288" s="189" t="s">
        <v>781</v>
      </c>
      <c r="AN288" s="189" t="s">
        <v>92</v>
      </c>
      <c r="AO288" s="189" t="s">
        <v>1390</v>
      </c>
      <c r="AP288" s="196">
        <v>0.01</v>
      </c>
      <c r="AQ288" s="196">
        <f t="shared" si="181"/>
        <v>0</v>
      </c>
      <c r="AR288" s="194">
        <f t="shared" si="182"/>
        <v>0</v>
      </c>
      <c r="AS288" s="197">
        <f t="shared" si="183"/>
        <v>0</v>
      </c>
      <c r="AT288" s="198" t="s">
        <v>92</v>
      </c>
      <c r="AU288" s="189" t="s">
        <v>1391</v>
      </c>
      <c r="AV288" s="189" t="s">
        <v>1392</v>
      </c>
      <c r="AW288" s="189" t="s">
        <v>1393</v>
      </c>
      <c r="AX288" s="361"/>
      <c r="AY288" s="361" t="s">
        <v>506</v>
      </c>
      <c r="AZ288" s="361"/>
      <c r="BA288" s="361"/>
      <c r="BB288" s="361"/>
      <c r="BC288" s="373"/>
    </row>
    <row r="289" spans="1:55" ht="18" customHeight="1">
      <c r="A289" s="232" t="s">
        <v>1125</v>
      </c>
      <c r="B289" s="184">
        <v>44977</v>
      </c>
      <c r="C289" s="185" t="s">
        <v>1394</v>
      </c>
      <c r="D289" s="185" t="s">
        <v>109</v>
      </c>
      <c r="E289" s="307"/>
      <c r="F289" s="315"/>
      <c r="G289" s="299" t="s">
        <v>530</v>
      </c>
      <c r="H289" s="189"/>
      <c r="I289" s="189"/>
      <c r="J289" s="189"/>
      <c r="K289" s="190"/>
      <c r="L289" s="189">
        <v>1</v>
      </c>
      <c r="M289" s="189"/>
      <c r="N289" s="189"/>
      <c r="O289" s="190" t="s">
        <v>71</v>
      </c>
      <c r="P289" s="190" t="s">
        <v>114</v>
      </c>
      <c r="Q289" s="190" t="s">
        <v>73</v>
      </c>
      <c r="R289" s="190">
        <v>7</v>
      </c>
      <c r="S289" s="190">
        <v>7</v>
      </c>
      <c r="T289" s="190">
        <v>5</v>
      </c>
      <c r="U289" s="190" t="s">
        <v>73</v>
      </c>
      <c r="V289" s="191">
        <f t="shared" ref="V289" si="192">IF(ISBLANK(O289),"",(IF(O289=UPPER("IB"),0.005,0.01)))</f>
        <v>0.01</v>
      </c>
      <c r="W289" s="191">
        <f>IF(ISBLANK(O289),"",IF(O289=UPPER("IB"),8.63*200,16.1*100))</f>
        <v>1610.0000000000002</v>
      </c>
      <c r="X289" s="192" t="s">
        <v>1395</v>
      </c>
      <c r="Y289" s="192"/>
      <c r="Z289" s="192" t="s">
        <v>75</v>
      </c>
      <c r="AA289" s="193">
        <v>-0.1</v>
      </c>
      <c r="AB289" s="189"/>
      <c r="AC289" s="189"/>
      <c r="AD289" s="189"/>
      <c r="AE289" s="189"/>
      <c r="AF289" s="189"/>
      <c r="AG289" s="189"/>
      <c r="AH289" s="189"/>
      <c r="AI289" s="194">
        <f>-0.03*W289</f>
        <v>-48.300000000000004</v>
      </c>
      <c r="AJ289" s="194">
        <f t="shared" ref="AJ289" si="193">AI289*R289</f>
        <v>-338.1</v>
      </c>
      <c r="AK289" s="189"/>
      <c r="AL289" s="189"/>
      <c r="AM289" s="189" t="s">
        <v>728</v>
      </c>
      <c r="AN289" s="189" t="s">
        <v>92</v>
      </c>
      <c r="AO289" s="189" t="s">
        <v>1396</v>
      </c>
      <c r="AP289" s="196">
        <f>(-0.1*4 + (-0.11)*3)/7</f>
        <v>-0.10428571428571429</v>
      </c>
      <c r="AQ289" s="196">
        <f t="shared" si="181"/>
        <v>4.2857142857142816E-3</v>
      </c>
      <c r="AR289" s="194">
        <f t="shared" si="182"/>
        <v>48.299999999999962</v>
      </c>
      <c r="AS289" s="197">
        <f t="shared" si="183"/>
        <v>6.8999999999999941</v>
      </c>
      <c r="AT289" s="198" t="s">
        <v>72</v>
      </c>
      <c r="AU289" s="189" t="s">
        <v>1397</v>
      </c>
      <c r="AV289" s="189" t="s">
        <v>1398</v>
      </c>
      <c r="AW289" s="189" t="s">
        <v>1399</v>
      </c>
      <c r="AX289" s="361"/>
      <c r="AY289" s="361"/>
      <c r="AZ289" s="361"/>
      <c r="BA289" s="361"/>
      <c r="BB289" s="361"/>
      <c r="BC289" s="373"/>
    </row>
    <row r="290" spans="1:55" ht="18" customHeight="1">
      <c r="A290" s="184" t="s">
        <v>1125</v>
      </c>
      <c r="B290" s="184">
        <v>44977</v>
      </c>
      <c r="C290" s="185" t="s">
        <v>1400</v>
      </c>
      <c r="D290" s="185" t="s">
        <v>109</v>
      </c>
      <c r="E290" s="307"/>
      <c r="F290" s="315"/>
      <c r="G290" s="318" t="s">
        <v>257</v>
      </c>
      <c r="H290" s="189"/>
      <c r="I290" s="189"/>
      <c r="J290" s="189"/>
      <c r="K290" s="190"/>
      <c r="L290" s="189">
        <v>1</v>
      </c>
      <c r="M290" s="189"/>
      <c r="N290" s="189"/>
      <c r="O290" s="190" t="s">
        <v>71</v>
      </c>
      <c r="P290" s="190" t="s">
        <v>114</v>
      </c>
      <c r="Q290" s="190" t="s">
        <v>73</v>
      </c>
      <c r="R290" s="190">
        <v>5</v>
      </c>
      <c r="S290" s="190">
        <v>5</v>
      </c>
      <c r="T290" s="190">
        <v>5</v>
      </c>
      <c r="U290" s="190" t="s">
        <v>73</v>
      </c>
      <c r="V290" s="191">
        <f t="shared" ref="V290" si="194">IF(ISBLANK(O290),"",(IF(O290=UPPER("IB"),0.005,0.01)))</f>
        <v>0.01</v>
      </c>
      <c r="W290" s="191">
        <f>IF(ISBLANK(O290),"",IF(O290=UPPER("IB"),8.63*200,16.4*100))</f>
        <v>1639.9999999999998</v>
      </c>
      <c r="X290" s="192" t="s">
        <v>1401</v>
      </c>
      <c r="Y290" s="192"/>
      <c r="Z290" s="192" t="s">
        <v>1402</v>
      </c>
      <c r="AA290" s="193">
        <v>-0.13</v>
      </c>
      <c r="AB290" s="189"/>
      <c r="AC290" s="189"/>
      <c r="AD290" s="189"/>
      <c r="AE290" s="189"/>
      <c r="AF290" s="189"/>
      <c r="AG290" s="189"/>
      <c r="AH290" s="189"/>
      <c r="AI290" s="194">
        <f>-0.03*W290</f>
        <v>-49.199999999999989</v>
      </c>
      <c r="AJ290" s="194">
        <f t="shared" ref="AJ290" si="195">AI290*R290</f>
        <v>-245.99999999999994</v>
      </c>
      <c r="AK290" s="189"/>
      <c r="AL290" s="189"/>
      <c r="AM290" s="189" t="s">
        <v>841</v>
      </c>
      <c r="AN290" s="189" t="s">
        <v>92</v>
      </c>
      <c r="AO290" s="189" t="s">
        <v>1403</v>
      </c>
      <c r="AP290" s="196">
        <v>-0.14000000000000001</v>
      </c>
      <c r="AQ290" s="196">
        <f t="shared" si="181"/>
        <v>1.0000000000000009E-2</v>
      </c>
      <c r="AR290" s="194">
        <f t="shared" si="182"/>
        <v>82.000000000000057</v>
      </c>
      <c r="AS290" s="197">
        <f t="shared" si="183"/>
        <v>16.400000000000013</v>
      </c>
      <c r="AT290" s="198" t="s">
        <v>72</v>
      </c>
      <c r="AU290" s="189" t="s">
        <v>1404</v>
      </c>
      <c r="AV290" s="189" t="s">
        <v>1405</v>
      </c>
      <c r="AW290" s="189" t="s">
        <v>1406</v>
      </c>
      <c r="AX290" s="361"/>
      <c r="AY290" s="361"/>
      <c r="AZ290" s="361"/>
      <c r="BA290" s="361"/>
      <c r="BB290" s="361"/>
      <c r="BC290" s="373"/>
    </row>
    <row r="291" spans="1:55" ht="18" customHeight="1">
      <c r="A291" s="184" t="s">
        <v>1125</v>
      </c>
      <c r="B291" s="184">
        <v>44978</v>
      </c>
      <c r="C291" s="185" t="s">
        <v>1407</v>
      </c>
      <c r="D291" s="185" t="s">
        <v>123</v>
      </c>
      <c r="E291" s="307"/>
      <c r="F291" s="315"/>
      <c r="G291" s="299" t="s">
        <v>110</v>
      </c>
      <c r="H291" s="189"/>
      <c r="I291" s="189"/>
      <c r="J291" s="189"/>
      <c r="K291" s="190"/>
      <c r="L291" s="189">
        <v>1</v>
      </c>
      <c r="M291" s="189"/>
      <c r="N291" s="189"/>
      <c r="O291" s="190" t="s">
        <v>71</v>
      </c>
      <c r="P291" s="190" t="s">
        <v>72</v>
      </c>
      <c r="Q291" s="190" t="s">
        <v>73</v>
      </c>
      <c r="R291" s="190">
        <v>5</v>
      </c>
      <c r="S291" s="190">
        <v>5</v>
      </c>
      <c r="T291" s="190">
        <v>5</v>
      </c>
      <c r="U291" s="190" t="s">
        <v>73</v>
      </c>
      <c r="V291" s="191">
        <f t="shared" ref="V291" si="196">IF(ISBLANK(O291),"",(IF(O291=UPPER("IB"),0.005,0.01)))</f>
        <v>0.01</v>
      </c>
      <c r="W291" s="191">
        <f t="shared" si="186"/>
        <v>1650</v>
      </c>
      <c r="X291" s="192" t="s">
        <v>1408</v>
      </c>
      <c r="Y291" s="192"/>
      <c r="Z291" s="192"/>
      <c r="AA291" s="193">
        <v>0.02</v>
      </c>
      <c r="AB291" s="189"/>
      <c r="AC291" s="189"/>
      <c r="AD291" s="189"/>
      <c r="AE291" s="189"/>
      <c r="AF291" s="189"/>
      <c r="AG291" s="189"/>
      <c r="AH291" s="189"/>
      <c r="AI291" s="194">
        <f>-0.03*W291</f>
        <v>-49.5</v>
      </c>
      <c r="AJ291" s="194">
        <f t="shared" ref="AJ291" si="197">AI291*R291</f>
        <v>-247.5</v>
      </c>
      <c r="AK291" s="189"/>
      <c r="AL291" s="189"/>
      <c r="AM291" s="189" t="s">
        <v>1409</v>
      </c>
      <c r="AN291" s="189" t="s">
        <v>82</v>
      </c>
      <c r="AO291" s="189" t="s">
        <v>1410</v>
      </c>
      <c r="AP291" s="196">
        <v>0.01</v>
      </c>
      <c r="AQ291" s="196">
        <f t="shared" si="181"/>
        <v>0.01</v>
      </c>
      <c r="AR291" s="194">
        <f t="shared" si="182"/>
        <v>82.5</v>
      </c>
      <c r="AS291" s="197">
        <f t="shared" si="183"/>
        <v>16.5</v>
      </c>
      <c r="AT291" s="198" t="s">
        <v>72</v>
      </c>
      <c r="AU291" s="189" t="s">
        <v>1411</v>
      </c>
      <c r="AV291" s="189"/>
      <c r="AW291" s="189"/>
      <c r="AX291" s="361"/>
      <c r="AY291" s="361"/>
      <c r="AZ291" s="361"/>
      <c r="BA291" s="361" t="s">
        <v>1412</v>
      </c>
      <c r="BB291" s="361"/>
      <c r="BC291" s="373"/>
    </row>
    <row r="292" spans="1:55" ht="18" customHeight="1">
      <c r="A292" s="232" t="s">
        <v>1125</v>
      </c>
      <c r="B292" s="184">
        <v>44978</v>
      </c>
      <c r="C292" s="185" t="s">
        <v>1413</v>
      </c>
      <c r="D292" s="185" t="s">
        <v>123</v>
      </c>
      <c r="E292" s="307" t="s">
        <v>1414</v>
      </c>
      <c r="F292" s="315" t="s">
        <v>1415</v>
      </c>
      <c r="G292" s="188"/>
      <c r="H292" s="189"/>
      <c r="I292" s="189"/>
      <c r="J292" s="189"/>
      <c r="K292" s="190"/>
      <c r="L292" s="189"/>
      <c r="M292" s="189"/>
      <c r="N292" s="189"/>
      <c r="O292" s="190"/>
      <c r="P292" s="190"/>
      <c r="Q292" s="190"/>
      <c r="R292" s="190"/>
      <c r="S292" s="190"/>
      <c r="T292" s="190"/>
      <c r="U292" s="190"/>
      <c r="V292" s="191" t="str">
        <f t="shared" ref="V292:V293" si="198">IF(ISBLANK(O292),"",(IF(O292=UPPER("IB"),0.005,0.01)))</f>
        <v/>
      </c>
      <c r="W292" s="191" t="str">
        <f t="shared" ref="W292" si="199">IF(ISBLANK(O292),"",IF(O292=UPPER("IB"),8.63*200,16.5*100))</f>
        <v/>
      </c>
      <c r="X292" s="192"/>
      <c r="Y292" s="192"/>
      <c r="Z292" s="192"/>
      <c r="AA292" s="193"/>
      <c r="AB292" s="189"/>
      <c r="AC292" s="189"/>
      <c r="AD292" s="189"/>
      <c r="AE292" s="189"/>
      <c r="AF292" s="189"/>
      <c r="AG292" s="189"/>
      <c r="AH292" s="189"/>
      <c r="AI292" s="194"/>
      <c r="AJ292" s="194"/>
      <c r="AK292" s="189"/>
      <c r="AL292" s="189"/>
      <c r="AM292" s="189"/>
      <c r="AN292" s="189"/>
      <c r="AO292" s="189"/>
      <c r="AP292" s="196"/>
      <c r="AQ292" s="196"/>
      <c r="AR292" s="194"/>
      <c r="AS292" s="197"/>
      <c r="AT292" s="198"/>
      <c r="AU292" s="189" t="s">
        <v>1416</v>
      </c>
      <c r="AV292" s="189" t="s">
        <v>1417</v>
      </c>
      <c r="AW292" s="189" t="s">
        <v>1418</v>
      </c>
      <c r="AX292" s="361" t="s">
        <v>1419</v>
      </c>
      <c r="AY292" s="361" t="s">
        <v>506</v>
      </c>
      <c r="AZ292" s="361"/>
      <c r="BA292" s="361"/>
      <c r="BB292" s="361"/>
      <c r="BC292" s="373"/>
    </row>
    <row r="293" spans="1:55" ht="18" customHeight="1">
      <c r="A293" s="184" t="s">
        <v>1125</v>
      </c>
      <c r="B293" s="184">
        <v>44979</v>
      </c>
      <c r="C293" s="185" t="s">
        <v>1420</v>
      </c>
      <c r="D293" s="185" t="s">
        <v>128</v>
      </c>
      <c r="E293" s="307"/>
      <c r="F293" s="315"/>
      <c r="G293" s="299" t="s">
        <v>110</v>
      </c>
      <c r="H293" s="189"/>
      <c r="I293" s="189"/>
      <c r="J293" s="189"/>
      <c r="K293" s="190"/>
      <c r="L293" s="189">
        <v>1</v>
      </c>
      <c r="M293" s="189"/>
      <c r="N293" s="189"/>
      <c r="O293" s="190" t="s">
        <v>71</v>
      </c>
      <c r="P293" s="190" t="s">
        <v>72</v>
      </c>
      <c r="Q293" s="190" t="s">
        <v>73</v>
      </c>
      <c r="R293" s="190">
        <v>4</v>
      </c>
      <c r="S293" s="190">
        <v>4</v>
      </c>
      <c r="T293" s="190">
        <v>4</v>
      </c>
      <c r="U293" s="190" t="s">
        <v>73</v>
      </c>
      <c r="V293" s="191">
        <f t="shared" si="198"/>
        <v>0.01</v>
      </c>
      <c r="W293" s="191">
        <f>IF(ISBLANK(O293),"",IF(O293=UPPER("IB"),8.63*200,16.4*100))</f>
        <v>1639.9999999999998</v>
      </c>
      <c r="X293" s="192" t="s">
        <v>1421</v>
      </c>
      <c r="Y293" s="192"/>
      <c r="Z293" s="192" t="s">
        <v>75</v>
      </c>
      <c r="AA293" s="193">
        <v>0.03</v>
      </c>
      <c r="AB293" s="189"/>
      <c r="AC293" s="189">
        <v>6</v>
      </c>
      <c r="AD293" s="189"/>
      <c r="AE293" s="189" t="s">
        <v>1422</v>
      </c>
      <c r="AF293" s="189" t="s">
        <v>1423</v>
      </c>
      <c r="AG293" s="189" t="s">
        <v>1424</v>
      </c>
      <c r="AH293" s="189" t="s">
        <v>506</v>
      </c>
      <c r="AI293" s="194">
        <f>-0.03*W293</f>
        <v>-49.199999999999989</v>
      </c>
      <c r="AJ293" s="194">
        <f t="shared" ref="AJ293" si="200">AI293*R293</f>
        <v>-196.79999999999995</v>
      </c>
      <c r="AK293" s="189"/>
      <c r="AL293" s="189"/>
      <c r="AM293" s="189" t="s">
        <v>370</v>
      </c>
      <c r="AN293" s="189" t="s">
        <v>371</v>
      </c>
      <c r="AO293" s="189" t="s">
        <v>659</v>
      </c>
      <c r="AP293" s="196">
        <v>0.02</v>
      </c>
      <c r="AQ293" s="196">
        <f>IF(ISBLANK(AP293),,IF(U293="S",AA293-AP293,AP293-AA293))</f>
        <v>9.9999999999999985E-3</v>
      </c>
      <c r="AR293" s="194">
        <f>AS293*R293</f>
        <v>65.59999999999998</v>
      </c>
      <c r="AS293" s="197">
        <f>IF(ISBLANK(AP293),,(AQ293*W293))</f>
        <v>16.399999999999995</v>
      </c>
      <c r="AT293" s="198" t="s">
        <v>72</v>
      </c>
      <c r="AU293" s="189" t="s">
        <v>1425</v>
      </c>
      <c r="AV293" s="189"/>
      <c r="AW293" s="189"/>
      <c r="AX293" s="361"/>
      <c r="AY293" s="361"/>
      <c r="AZ293" s="361"/>
      <c r="BA293" s="361"/>
      <c r="BB293" s="361"/>
      <c r="BC293" s="373"/>
    </row>
    <row r="294" spans="1:55" ht="18" customHeight="1">
      <c r="A294" s="184" t="s">
        <v>1125</v>
      </c>
      <c r="B294" s="184">
        <v>44979</v>
      </c>
      <c r="C294" s="185" t="s">
        <v>1413</v>
      </c>
      <c r="D294" s="185" t="s">
        <v>128</v>
      </c>
      <c r="E294" s="307" t="s">
        <v>1426</v>
      </c>
      <c r="F294" s="315" t="s">
        <v>1427</v>
      </c>
      <c r="G294" s="188"/>
      <c r="H294" s="189"/>
      <c r="I294" s="189"/>
      <c r="J294" s="189"/>
      <c r="K294" s="190" t="s">
        <v>92</v>
      </c>
      <c r="L294" s="189"/>
      <c r="M294" s="189"/>
      <c r="N294" s="189"/>
      <c r="O294" s="190"/>
      <c r="P294" s="190"/>
      <c r="Q294" s="190"/>
      <c r="R294" s="190"/>
      <c r="S294" s="190"/>
      <c r="T294" s="190"/>
      <c r="U294" s="190"/>
      <c r="V294" s="191" t="str">
        <f t="shared" ref="V294:V296" si="201">IF(ISBLANK(O294),"",(IF(O294=UPPER("IB"),0.005,0.01)))</f>
        <v/>
      </c>
      <c r="W294" s="191" t="str">
        <f t="shared" ref="W294" si="202">IF(ISBLANK(O294),"",IF(O294=UPPER("IB"),8.63*200,16.5*100))</f>
        <v/>
      </c>
      <c r="X294" s="192"/>
      <c r="Y294" s="192"/>
      <c r="Z294" s="192"/>
      <c r="AA294" s="193"/>
      <c r="AB294" s="189"/>
      <c r="AC294" s="189"/>
      <c r="AD294" s="189"/>
      <c r="AE294" s="189"/>
      <c r="AF294" s="189"/>
      <c r="AG294" s="189"/>
      <c r="AH294" s="189"/>
      <c r="AI294" s="194"/>
      <c r="AJ294" s="194"/>
      <c r="AK294" s="189"/>
      <c r="AL294" s="189"/>
      <c r="AM294" s="189"/>
      <c r="AN294" s="189"/>
      <c r="AO294" s="189"/>
      <c r="AP294" s="196"/>
      <c r="AQ294" s="196"/>
      <c r="AR294" s="194"/>
      <c r="AS294" s="197"/>
      <c r="AT294" s="198"/>
      <c r="AU294" s="189" t="s">
        <v>1428</v>
      </c>
      <c r="AV294" s="189" t="s">
        <v>1429</v>
      </c>
      <c r="AW294" s="189"/>
      <c r="AX294" s="361"/>
      <c r="AY294" s="361"/>
      <c r="AZ294" s="361"/>
      <c r="BA294" s="361"/>
      <c r="BB294" s="361"/>
      <c r="BC294" s="373"/>
    </row>
    <row r="295" spans="1:55" ht="18" customHeight="1">
      <c r="A295" s="232" t="s">
        <v>1125</v>
      </c>
      <c r="B295" s="184"/>
      <c r="C295" s="185"/>
      <c r="D295" s="185"/>
      <c r="E295" s="307" t="s">
        <v>1430</v>
      </c>
      <c r="F295" s="315"/>
      <c r="G295" s="188"/>
      <c r="H295" s="189"/>
      <c r="I295" s="189"/>
      <c r="J295" s="189"/>
      <c r="K295" s="190" t="s">
        <v>92</v>
      </c>
      <c r="L295" s="189"/>
      <c r="M295" s="189"/>
      <c r="N295" s="189"/>
      <c r="O295" s="190"/>
      <c r="P295" s="190"/>
      <c r="Q295" s="190"/>
      <c r="R295" s="190"/>
      <c r="S295" s="190"/>
      <c r="T295" s="190"/>
      <c r="U295" s="190"/>
      <c r="V295" s="290"/>
      <c r="W295" s="290"/>
      <c r="X295" s="192"/>
      <c r="Y295" s="192"/>
      <c r="Z295" s="192"/>
      <c r="AA295" s="193"/>
      <c r="AB295" s="189"/>
      <c r="AC295" s="189"/>
      <c r="AD295" s="189"/>
      <c r="AE295" s="189"/>
      <c r="AF295" s="189"/>
      <c r="AG295" s="189"/>
      <c r="AH295" s="189"/>
      <c r="AI295" s="194"/>
      <c r="AJ295" s="194"/>
      <c r="AK295" s="189"/>
      <c r="AL295" s="189"/>
      <c r="AM295" s="189"/>
      <c r="AN295" s="189"/>
      <c r="AO295" s="189"/>
      <c r="AP295" s="196"/>
      <c r="AQ295" s="196"/>
      <c r="AR295" s="194"/>
      <c r="AS295" s="197"/>
      <c r="AT295" s="198"/>
      <c r="AU295" s="189"/>
      <c r="AV295" s="189"/>
      <c r="AW295" s="189"/>
      <c r="AX295" s="361"/>
      <c r="AY295" s="361"/>
      <c r="AZ295" s="361"/>
      <c r="BA295" s="361"/>
      <c r="BB295" s="361"/>
      <c r="BC295" s="373"/>
    </row>
    <row r="296" spans="1:55" ht="18" customHeight="1">
      <c r="A296" s="184" t="s">
        <v>1125</v>
      </c>
      <c r="B296" s="184">
        <v>44979</v>
      </c>
      <c r="C296" s="185" t="s">
        <v>659</v>
      </c>
      <c r="D296" s="185" t="s">
        <v>128</v>
      </c>
      <c r="E296" s="307"/>
      <c r="F296" s="315"/>
      <c r="G296" s="188" t="s">
        <v>1180</v>
      </c>
      <c r="H296" s="189"/>
      <c r="I296" s="189"/>
      <c r="J296" s="189"/>
      <c r="K296" s="190"/>
      <c r="L296" s="189">
        <v>2</v>
      </c>
      <c r="M296" s="189"/>
      <c r="N296" s="189"/>
      <c r="O296" s="190" t="s">
        <v>71</v>
      </c>
      <c r="P296" s="190" t="s">
        <v>114</v>
      </c>
      <c r="Q296" s="190" t="s">
        <v>661</v>
      </c>
      <c r="R296" s="190">
        <v>1</v>
      </c>
      <c r="S296" s="190">
        <v>1</v>
      </c>
      <c r="T296" s="190">
        <v>1</v>
      </c>
      <c r="U296" s="190" t="s">
        <v>21</v>
      </c>
      <c r="V296" s="191">
        <f t="shared" si="201"/>
        <v>0.01</v>
      </c>
      <c r="W296" s="191">
        <f>IF(ISBLANK(O296),"",IF(O296=UPPER("IB"),8.63*200,16.4*100))</f>
        <v>1639.9999999999998</v>
      </c>
      <c r="X296" s="192" t="s">
        <v>1073</v>
      </c>
      <c r="Y296" s="192"/>
      <c r="Z296" s="192"/>
      <c r="AA296" s="193">
        <v>95.82</v>
      </c>
      <c r="AB296" s="189"/>
      <c r="AC296" s="189"/>
      <c r="AD296" s="189"/>
      <c r="AE296" s="189"/>
      <c r="AF296" s="189"/>
      <c r="AG296" s="189"/>
      <c r="AH296" s="189"/>
      <c r="AI296" s="194"/>
      <c r="AJ296" s="194"/>
      <c r="AK296" s="189"/>
      <c r="AL296" s="189"/>
      <c r="AM296" s="189" t="s">
        <v>1431</v>
      </c>
      <c r="AN296" s="189" t="s">
        <v>371</v>
      </c>
      <c r="AO296" s="189" t="s">
        <v>659</v>
      </c>
      <c r="AP296" s="196">
        <v>95.84</v>
      </c>
      <c r="AQ296" s="196">
        <f>IF(ISBLANK(AP296),,IF(U296="S",AA296-AP296,AP296-AA296))</f>
        <v>2.0000000000010232E-2</v>
      </c>
      <c r="AR296" s="194">
        <f>AS296*R296</f>
        <v>32.800000000016773</v>
      </c>
      <c r="AS296" s="197">
        <f>IF(ISBLANK(AP296),,(AQ296*W296))</f>
        <v>32.800000000016773</v>
      </c>
      <c r="AT296" s="198" t="s">
        <v>72</v>
      </c>
      <c r="AU296" s="189" t="s">
        <v>1432</v>
      </c>
      <c r="AV296" s="189" t="s">
        <v>1433</v>
      </c>
      <c r="AW296" s="189" t="s">
        <v>506</v>
      </c>
      <c r="AX296" s="361"/>
      <c r="AY296" s="361"/>
      <c r="AZ296" s="361"/>
      <c r="BA296" s="361"/>
      <c r="BB296" s="361"/>
      <c r="BC296" s="373"/>
    </row>
    <row r="297" spans="1:55" ht="18" customHeight="1">
      <c r="A297" s="184" t="s">
        <v>1125</v>
      </c>
      <c r="B297" s="184">
        <v>44979</v>
      </c>
      <c r="C297" s="185" t="s">
        <v>477</v>
      </c>
      <c r="D297" s="185" t="s">
        <v>128</v>
      </c>
      <c r="E297" s="307" t="s">
        <v>1434</v>
      </c>
      <c r="F297" s="315" t="s">
        <v>1435</v>
      </c>
      <c r="G297" s="188"/>
      <c r="H297" s="189"/>
      <c r="I297" s="189"/>
      <c r="J297" s="189"/>
      <c r="K297" s="190"/>
      <c r="L297" s="189"/>
      <c r="M297" s="189"/>
      <c r="N297" s="189"/>
      <c r="O297" s="190"/>
      <c r="P297" s="190"/>
      <c r="Q297" s="190"/>
      <c r="R297" s="190"/>
      <c r="S297" s="190"/>
      <c r="T297" s="190"/>
      <c r="U297" s="190"/>
      <c r="V297" s="191" t="str">
        <f t="shared" ref="V297:V298" si="203">IF(ISBLANK(O297),"",(IF(O297=UPPER("IB"),0.005,0.01)))</f>
        <v/>
      </c>
      <c r="W297" s="191" t="str">
        <f t="shared" ref="W297:W298" si="204">IF(ISBLANK(O297),"",IF(O297=UPPER("IB"),8.63*200,16.4*100))</f>
        <v/>
      </c>
      <c r="X297" s="192"/>
      <c r="Y297" s="192"/>
      <c r="Z297" s="192"/>
      <c r="AA297" s="193"/>
      <c r="AB297" s="189"/>
      <c r="AC297" s="189"/>
      <c r="AD297" s="189"/>
      <c r="AE297" s="189"/>
      <c r="AF297" s="189"/>
      <c r="AG297" s="189"/>
      <c r="AH297" s="189"/>
      <c r="AI297" s="194"/>
      <c r="AJ297" s="194"/>
      <c r="AK297" s="189"/>
      <c r="AL297" s="189"/>
      <c r="AM297" s="189"/>
      <c r="AN297" s="189"/>
      <c r="AO297" s="189"/>
      <c r="AP297" s="196"/>
      <c r="AQ297" s="196"/>
      <c r="AR297" s="194"/>
      <c r="AS297" s="197"/>
      <c r="AT297" s="198"/>
      <c r="AU297" s="189" t="s">
        <v>1436</v>
      </c>
      <c r="AV297" s="189" t="s">
        <v>1437</v>
      </c>
      <c r="AW297" s="189"/>
      <c r="AX297" s="361"/>
      <c r="AY297" s="361"/>
      <c r="AZ297" s="361"/>
      <c r="BA297" s="361"/>
      <c r="BB297" s="361"/>
      <c r="BC297" s="373"/>
    </row>
    <row r="298" spans="1:55" ht="18" customHeight="1">
      <c r="A298" s="232" t="s">
        <v>1125</v>
      </c>
      <c r="B298" s="184">
        <v>44979</v>
      </c>
      <c r="C298" s="185" t="s">
        <v>705</v>
      </c>
      <c r="D298" s="185" t="s">
        <v>128</v>
      </c>
      <c r="E298" s="307"/>
      <c r="F298" s="315"/>
      <c r="G298" s="299" t="s">
        <v>248</v>
      </c>
      <c r="H298" s="189"/>
      <c r="I298" s="189"/>
      <c r="J298" s="189"/>
      <c r="K298" s="190"/>
      <c r="L298" s="189">
        <v>1</v>
      </c>
      <c r="M298" s="189"/>
      <c r="N298" s="189"/>
      <c r="O298" s="190" t="s">
        <v>71</v>
      </c>
      <c r="P298" s="190" t="s">
        <v>114</v>
      </c>
      <c r="Q298" s="190" t="s">
        <v>73</v>
      </c>
      <c r="R298" s="190">
        <v>4</v>
      </c>
      <c r="S298" s="190">
        <v>4</v>
      </c>
      <c r="T298" s="190">
        <v>4</v>
      </c>
      <c r="U298" s="190" t="s">
        <v>73</v>
      </c>
      <c r="V298" s="191">
        <f t="shared" si="203"/>
        <v>0.01</v>
      </c>
      <c r="W298" s="191">
        <f t="shared" si="204"/>
        <v>1639.9999999999998</v>
      </c>
      <c r="X298" s="192" t="s">
        <v>1438</v>
      </c>
      <c r="Y298" s="192"/>
      <c r="Z298" s="192"/>
      <c r="AA298" s="193">
        <v>-0.14000000000000001</v>
      </c>
      <c r="AB298" s="189"/>
      <c r="AC298" s="189"/>
      <c r="AD298" s="189"/>
      <c r="AE298" s="189"/>
      <c r="AF298" s="189"/>
      <c r="AG298" s="189"/>
      <c r="AH298" s="189"/>
      <c r="AI298" s="194">
        <f t="shared" ref="AI298" si="205">-0.03*W298</f>
        <v>-49.199999999999989</v>
      </c>
      <c r="AJ298" s="194">
        <f t="shared" ref="AJ298" si="206">AI298*R298</f>
        <v>-196.79999999999995</v>
      </c>
      <c r="AK298" s="189"/>
      <c r="AL298" s="189"/>
      <c r="AM298" s="189" t="s">
        <v>1439</v>
      </c>
      <c r="AN298" s="189" t="s">
        <v>371</v>
      </c>
      <c r="AO298" s="189" t="s">
        <v>741</v>
      </c>
      <c r="AP298" s="196">
        <v>-0.15</v>
      </c>
      <c r="AQ298" s="196">
        <f>IF(ISBLANK(AP298),,IF(U298="S",AA298-AP298,AP298-AA298))</f>
        <v>9.9999999999999811E-3</v>
      </c>
      <c r="AR298" s="194">
        <f>AS298*R298</f>
        <v>65.599999999999866</v>
      </c>
      <c r="AS298" s="197">
        <f>IF(ISBLANK(AP298),,(AQ298*W298))</f>
        <v>16.399999999999967</v>
      </c>
      <c r="AT298" s="198" t="s">
        <v>72</v>
      </c>
      <c r="AU298" s="189"/>
      <c r="AV298" s="189"/>
      <c r="AW298" s="189"/>
      <c r="AX298" s="361"/>
      <c r="AY298" s="361"/>
      <c r="AZ298" s="361"/>
      <c r="BA298" s="361"/>
      <c r="BB298" s="361"/>
      <c r="BC298" s="373"/>
    </row>
    <row r="299" spans="1:55" ht="18" customHeight="1">
      <c r="A299" s="184" t="s">
        <v>1125</v>
      </c>
      <c r="B299" s="184">
        <v>44979</v>
      </c>
      <c r="C299" s="185" t="s">
        <v>1440</v>
      </c>
      <c r="D299" s="185" t="s">
        <v>128</v>
      </c>
      <c r="E299" s="307"/>
      <c r="F299" s="315"/>
      <c r="G299" s="299" t="s">
        <v>412</v>
      </c>
      <c r="H299" s="189"/>
      <c r="I299" s="189"/>
      <c r="J299" s="189"/>
      <c r="K299" s="190"/>
      <c r="L299" s="189">
        <v>1</v>
      </c>
      <c r="M299" s="189"/>
      <c r="N299" s="189"/>
      <c r="O299" s="190" t="s">
        <v>71</v>
      </c>
      <c r="P299" s="190" t="s">
        <v>72</v>
      </c>
      <c r="Q299" s="190" t="s">
        <v>73</v>
      </c>
      <c r="R299" s="190">
        <v>1</v>
      </c>
      <c r="S299" s="190">
        <v>1</v>
      </c>
      <c r="T299" s="190">
        <v>1</v>
      </c>
      <c r="U299" s="190" t="s">
        <v>21</v>
      </c>
      <c r="V299" s="191">
        <f t="shared" ref="V299" si="207">IF(ISBLANK(O299),"",(IF(O299=UPPER("IB"),0.005,0.01)))</f>
        <v>0.01</v>
      </c>
      <c r="W299" s="191">
        <f t="shared" ref="W299" si="208">IF(ISBLANK(O299),"",IF(O299=UPPER("IB"),8.63*200,16.4*100))</f>
        <v>1639.9999999999998</v>
      </c>
      <c r="X299" s="192" t="s">
        <v>1441</v>
      </c>
      <c r="Y299" s="192"/>
      <c r="Z299" s="192"/>
      <c r="AA299" s="193">
        <v>0.49</v>
      </c>
      <c r="AB299" s="189"/>
      <c r="AC299" s="189"/>
      <c r="AD299" s="189"/>
      <c r="AE299" s="189"/>
      <c r="AF299" s="189"/>
      <c r="AG299" s="189"/>
      <c r="AH299" s="189"/>
      <c r="AI299" s="194"/>
      <c r="AJ299" s="194"/>
      <c r="AK299" s="189"/>
      <c r="AL299" s="189"/>
      <c r="AM299" s="189" t="s">
        <v>815</v>
      </c>
      <c r="AN299" s="189" t="s">
        <v>82</v>
      </c>
      <c r="AO299" s="189" t="s">
        <v>1442</v>
      </c>
      <c r="AP299" s="196">
        <v>0.5</v>
      </c>
      <c r="AQ299" s="196">
        <f>IF(ISBLANK(AP299),,IF(U299="S",AA299-AP299,AP299-AA299))</f>
        <v>1.0000000000000009E-2</v>
      </c>
      <c r="AR299" s="194">
        <f>AS299*R299</f>
        <v>16.400000000000013</v>
      </c>
      <c r="AS299" s="197">
        <f>IF(ISBLANK(AP299),,(AQ299*W299))</f>
        <v>16.400000000000013</v>
      </c>
      <c r="AT299" s="198" t="s">
        <v>72</v>
      </c>
      <c r="AU299" s="189" t="s">
        <v>1443</v>
      </c>
      <c r="AV299" s="189" t="s">
        <v>1444</v>
      </c>
      <c r="AW299" s="189" t="s">
        <v>1445</v>
      </c>
      <c r="AX299" s="361" t="s">
        <v>1446</v>
      </c>
      <c r="AY299" s="361"/>
      <c r="AZ299" s="361" t="s">
        <v>506</v>
      </c>
      <c r="BA299" s="361" t="s">
        <v>1412</v>
      </c>
      <c r="BB299" s="361"/>
      <c r="BC299" s="373"/>
    </row>
    <row r="300" spans="1:55" ht="18" customHeight="1">
      <c r="A300" s="184" t="s">
        <v>1125</v>
      </c>
      <c r="B300" s="208">
        <v>44980</v>
      </c>
      <c r="C300" s="185" t="s">
        <v>1320</v>
      </c>
      <c r="D300" s="185" t="s">
        <v>69</v>
      </c>
      <c r="E300" s="307" t="s">
        <v>1447</v>
      </c>
      <c r="F300" s="315" t="s">
        <v>1448</v>
      </c>
      <c r="G300" s="188"/>
      <c r="H300" s="189"/>
      <c r="I300" s="189"/>
      <c r="J300" s="189">
        <v>1</v>
      </c>
      <c r="K300" s="190" t="s">
        <v>92</v>
      </c>
      <c r="L300" s="189"/>
      <c r="M300" s="189"/>
      <c r="N300" s="189"/>
      <c r="O300" s="190"/>
      <c r="P300" s="190"/>
      <c r="Q300" s="190"/>
      <c r="R300" s="190"/>
      <c r="S300" s="190"/>
      <c r="T300" s="190"/>
      <c r="U300" s="190"/>
      <c r="V300" s="191" t="str">
        <f t="shared" ref="V300:V304" si="209">IF(ISBLANK(O300),"",(IF(O300=UPPER("IB"),0.005,0.01)))</f>
        <v/>
      </c>
      <c r="W300" s="191" t="str">
        <f t="shared" ref="W300:W301" si="210">IF(ISBLANK(O300),"",IF(O300=UPPER("IB"),8.63*200,16.4*100))</f>
        <v/>
      </c>
      <c r="X300" s="192"/>
      <c r="Y300" s="192"/>
      <c r="Z300" s="192"/>
      <c r="AA300" s="193"/>
      <c r="AB300" s="189"/>
      <c r="AC300" s="189"/>
      <c r="AD300" s="189"/>
      <c r="AE300" s="189"/>
      <c r="AF300" s="189"/>
      <c r="AG300" s="189"/>
      <c r="AH300" s="189"/>
      <c r="AI300" s="194"/>
      <c r="AJ300" s="194"/>
      <c r="AK300" s="189"/>
      <c r="AL300" s="189"/>
      <c r="AM300" s="189"/>
      <c r="AN300" s="189"/>
      <c r="AO300" s="189"/>
      <c r="AP300" s="196"/>
      <c r="AQ300" s="196"/>
      <c r="AR300" s="194"/>
      <c r="AS300" s="197"/>
      <c r="AT300" s="198"/>
      <c r="AU300" s="189"/>
      <c r="AV300" s="189"/>
      <c r="AW300" s="189"/>
      <c r="AX300" s="361"/>
      <c r="AY300" s="361"/>
      <c r="AZ300" s="361"/>
      <c r="BA300" s="361"/>
      <c r="BB300" s="361"/>
      <c r="BC300" s="373"/>
    </row>
    <row r="301" spans="1:55" ht="18" customHeight="1">
      <c r="A301" s="184" t="s">
        <v>1125</v>
      </c>
      <c r="B301" s="184"/>
      <c r="C301" s="185"/>
      <c r="D301" s="185"/>
      <c r="E301" s="307" t="s">
        <v>1449</v>
      </c>
      <c r="F301" s="315"/>
      <c r="G301" s="188"/>
      <c r="H301" s="189"/>
      <c r="I301" s="189"/>
      <c r="J301" s="189">
        <v>1</v>
      </c>
      <c r="K301" s="190" t="s">
        <v>82</v>
      </c>
      <c r="L301" s="189"/>
      <c r="M301" s="189"/>
      <c r="N301" s="189"/>
      <c r="O301" s="190"/>
      <c r="P301" s="190"/>
      <c r="Q301" s="190"/>
      <c r="R301" s="190"/>
      <c r="S301" s="190"/>
      <c r="T301" s="190"/>
      <c r="U301" s="190"/>
      <c r="V301" s="191" t="str">
        <f t="shared" si="209"/>
        <v/>
      </c>
      <c r="W301" s="191" t="str">
        <f t="shared" si="210"/>
        <v/>
      </c>
      <c r="X301" s="192"/>
      <c r="Y301" s="192"/>
      <c r="Z301" s="192"/>
      <c r="AA301" s="193"/>
      <c r="AB301" s="189"/>
      <c r="AC301" s="189"/>
      <c r="AD301" s="189"/>
      <c r="AE301" s="189"/>
      <c r="AF301" s="189"/>
      <c r="AG301" s="189"/>
      <c r="AH301" s="189"/>
      <c r="AI301" s="194"/>
      <c r="AJ301" s="194"/>
      <c r="AK301" s="189"/>
      <c r="AL301" s="189"/>
      <c r="AM301" s="189"/>
      <c r="AN301" s="189"/>
      <c r="AO301" s="189"/>
      <c r="AP301" s="196"/>
      <c r="AQ301" s="196"/>
      <c r="AR301" s="194"/>
      <c r="AS301" s="197"/>
      <c r="AT301" s="198"/>
      <c r="AU301" s="189"/>
      <c r="AV301" s="189"/>
      <c r="AW301" s="189"/>
      <c r="AX301" s="361"/>
      <c r="AY301" s="361"/>
      <c r="AZ301" s="361"/>
      <c r="BA301" s="361"/>
      <c r="BB301" s="361"/>
      <c r="BC301" s="373"/>
    </row>
    <row r="302" spans="1:55" ht="18" customHeight="1">
      <c r="A302" s="184" t="s">
        <v>1125</v>
      </c>
      <c r="B302" s="208">
        <v>44981</v>
      </c>
      <c r="C302" s="185" t="s">
        <v>1450</v>
      </c>
      <c r="D302" s="185" t="s">
        <v>88</v>
      </c>
      <c r="E302" s="307" t="s">
        <v>1451</v>
      </c>
      <c r="F302" s="315" t="s">
        <v>1452</v>
      </c>
      <c r="G302" s="188"/>
      <c r="H302" s="189">
        <v>1</v>
      </c>
      <c r="I302" s="189"/>
      <c r="J302" s="189"/>
      <c r="K302" s="190" t="s">
        <v>82</v>
      </c>
      <c r="L302" s="189"/>
      <c r="M302" s="189"/>
      <c r="N302" s="189"/>
      <c r="O302" s="190"/>
      <c r="P302" s="190"/>
      <c r="Q302" s="190"/>
      <c r="R302" s="190"/>
      <c r="S302" s="190"/>
      <c r="T302" s="190"/>
      <c r="U302" s="190"/>
      <c r="V302" s="290"/>
      <c r="W302" s="290"/>
      <c r="X302" s="192"/>
      <c r="Y302" s="192"/>
      <c r="Z302" s="192"/>
      <c r="AA302" s="193"/>
      <c r="AB302" s="189"/>
      <c r="AC302" s="189"/>
      <c r="AD302" s="189"/>
      <c r="AE302" s="189"/>
      <c r="AF302" s="189"/>
      <c r="AG302" s="189"/>
      <c r="AH302" s="189"/>
      <c r="AI302" s="194"/>
      <c r="AJ302" s="194"/>
      <c r="AK302" s="189"/>
      <c r="AL302" s="189"/>
      <c r="AM302" s="189"/>
      <c r="AN302" s="189"/>
      <c r="AO302" s="189"/>
      <c r="AP302" s="196"/>
      <c r="AQ302" s="196"/>
      <c r="AR302" s="194"/>
      <c r="AS302" s="197"/>
      <c r="AT302" s="198"/>
      <c r="AU302" s="189" t="s">
        <v>1453</v>
      </c>
      <c r="AV302" s="189" t="s">
        <v>1454</v>
      </c>
      <c r="AW302" s="189" t="s">
        <v>1455</v>
      </c>
      <c r="AX302" s="361" t="s">
        <v>506</v>
      </c>
      <c r="AY302" s="361"/>
      <c r="AZ302" s="361"/>
      <c r="BA302" s="361"/>
      <c r="BB302" s="361"/>
      <c r="BC302" s="373"/>
    </row>
    <row r="303" spans="1:55" ht="18" customHeight="1">
      <c r="A303" s="184" t="s">
        <v>1125</v>
      </c>
      <c r="B303" s="208"/>
      <c r="C303" s="185"/>
      <c r="D303" s="185"/>
      <c r="E303" s="307" t="s">
        <v>1456</v>
      </c>
      <c r="F303" s="315"/>
      <c r="G303" s="188"/>
      <c r="H303" s="189">
        <v>1</v>
      </c>
      <c r="I303" s="189"/>
      <c r="J303" s="189"/>
      <c r="K303" s="190" t="s">
        <v>82</v>
      </c>
      <c r="L303" s="189"/>
      <c r="M303" s="189"/>
      <c r="N303" s="189"/>
      <c r="O303" s="190"/>
      <c r="P303" s="190"/>
      <c r="Q303" s="190"/>
      <c r="R303" s="190"/>
      <c r="S303" s="190"/>
      <c r="T303" s="190"/>
      <c r="U303" s="190"/>
      <c r="V303" s="290"/>
      <c r="W303" s="290"/>
      <c r="X303" s="192"/>
      <c r="Y303" s="192"/>
      <c r="Z303" s="192"/>
      <c r="AA303" s="193"/>
      <c r="AB303" s="189"/>
      <c r="AC303" s="189"/>
      <c r="AD303" s="189"/>
      <c r="AE303" s="189"/>
      <c r="AF303" s="189"/>
      <c r="AG303" s="189"/>
      <c r="AH303" s="189"/>
      <c r="AI303" s="194"/>
      <c r="AJ303" s="194"/>
      <c r="AK303" s="189"/>
      <c r="AL303" s="189"/>
      <c r="AM303" s="189"/>
      <c r="AN303" s="189"/>
      <c r="AO303" s="189"/>
      <c r="AP303" s="196"/>
      <c r="AQ303" s="196"/>
      <c r="AR303" s="194"/>
      <c r="AS303" s="197"/>
      <c r="AT303" s="198"/>
      <c r="AU303" s="189"/>
      <c r="AV303" s="189"/>
      <c r="AW303" s="189"/>
      <c r="AX303" s="361"/>
      <c r="AY303" s="361"/>
      <c r="AZ303" s="361"/>
      <c r="BA303" s="361"/>
      <c r="BB303" s="361"/>
      <c r="BC303" s="373"/>
    </row>
    <row r="304" spans="1:55" ht="18" customHeight="1">
      <c r="A304" s="232" t="s">
        <v>1125</v>
      </c>
      <c r="B304" s="184">
        <v>44981</v>
      </c>
      <c r="C304" s="185" t="s">
        <v>1457</v>
      </c>
      <c r="D304" s="185" t="s">
        <v>88</v>
      </c>
      <c r="E304" s="307"/>
      <c r="F304" s="315"/>
      <c r="G304" s="299" t="s">
        <v>734</v>
      </c>
      <c r="H304" s="189"/>
      <c r="I304" s="189"/>
      <c r="J304" s="189"/>
      <c r="K304" s="190"/>
      <c r="L304" s="189">
        <v>1</v>
      </c>
      <c r="M304" s="189"/>
      <c r="N304" s="189"/>
      <c r="O304" s="190" t="s">
        <v>71</v>
      </c>
      <c r="P304" s="190" t="s">
        <v>72</v>
      </c>
      <c r="Q304" s="190" t="s">
        <v>73</v>
      </c>
      <c r="R304" s="190">
        <v>2</v>
      </c>
      <c r="S304" s="190">
        <v>2</v>
      </c>
      <c r="T304" s="190">
        <v>1</v>
      </c>
      <c r="U304" s="190" t="s">
        <v>73</v>
      </c>
      <c r="V304" s="191">
        <f t="shared" si="209"/>
        <v>0.01</v>
      </c>
      <c r="W304" s="191">
        <f>IF(ISBLANK(O304),"",IF(O304=UPPER("IB"),8.63*200,16.2*100))</f>
        <v>1620</v>
      </c>
      <c r="X304" s="192" t="s">
        <v>1458</v>
      </c>
      <c r="Y304" s="192" t="s">
        <v>506</v>
      </c>
      <c r="Z304" s="192"/>
      <c r="AA304" s="193">
        <v>0.23</v>
      </c>
      <c r="AB304" s="189"/>
      <c r="AC304" s="189"/>
      <c r="AD304" s="189">
        <v>28</v>
      </c>
      <c r="AE304" s="189" t="s">
        <v>1459</v>
      </c>
      <c r="AF304" s="189" t="s">
        <v>1460</v>
      </c>
      <c r="AG304" s="189" t="s">
        <v>1461</v>
      </c>
      <c r="AH304" s="189"/>
      <c r="AI304" s="194">
        <f>-0.05*W304</f>
        <v>-81</v>
      </c>
      <c r="AJ304" s="194">
        <f t="shared" ref="AJ304" si="211">AI304*R304</f>
        <v>-162</v>
      </c>
      <c r="AK304" s="189" t="s">
        <v>1462</v>
      </c>
      <c r="AL304" s="189" t="s">
        <v>1463</v>
      </c>
      <c r="AM304" s="189" t="s">
        <v>781</v>
      </c>
      <c r="AN304" s="189" t="s">
        <v>92</v>
      </c>
      <c r="AO304" s="189" t="s">
        <v>1464</v>
      </c>
      <c r="AP304" s="196">
        <v>0.23</v>
      </c>
      <c r="AQ304" s="196">
        <f>IF(ISBLANK(AP304),,IF(U304="S",AA304-AP304,AP304-AA304))</f>
        <v>0</v>
      </c>
      <c r="AR304" s="194">
        <f>AS304*R304</f>
        <v>0</v>
      </c>
      <c r="AS304" s="197">
        <f>IF(ISBLANK(AP304),,(AQ304*W304))</f>
        <v>0</v>
      </c>
      <c r="AT304" s="198" t="s">
        <v>92</v>
      </c>
      <c r="AU304" s="189" t="s">
        <v>1465</v>
      </c>
      <c r="AV304" s="189" t="s">
        <v>1466</v>
      </c>
      <c r="AW304" s="189" t="s">
        <v>1467</v>
      </c>
      <c r="AX304" s="361" t="s">
        <v>964</v>
      </c>
      <c r="AY304" s="361"/>
      <c r="AZ304" s="361"/>
      <c r="BA304" s="361" t="s">
        <v>1468</v>
      </c>
      <c r="BB304" s="361" t="s">
        <v>1469</v>
      </c>
      <c r="BC304" s="373" t="s">
        <v>506</v>
      </c>
    </row>
    <row r="305" spans="1:55" ht="18" customHeight="1">
      <c r="A305" s="232" t="s">
        <v>1125</v>
      </c>
      <c r="B305" s="208">
        <v>44985</v>
      </c>
      <c r="C305" s="185" t="s">
        <v>1232</v>
      </c>
      <c r="D305" s="185" t="s">
        <v>123</v>
      </c>
      <c r="E305" s="307" t="s">
        <v>1470</v>
      </c>
      <c r="F305" s="315" t="s">
        <v>1471</v>
      </c>
      <c r="G305" s="188"/>
      <c r="H305" s="189">
        <v>1</v>
      </c>
      <c r="I305" s="189"/>
      <c r="J305" s="189"/>
      <c r="K305" s="190" t="s">
        <v>82</v>
      </c>
      <c r="L305" s="189"/>
      <c r="M305" s="189"/>
      <c r="N305" s="189"/>
      <c r="O305" s="190"/>
      <c r="P305" s="190"/>
      <c r="Q305" s="190"/>
      <c r="R305" s="190"/>
      <c r="S305" s="190"/>
      <c r="T305" s="190"/>
      <c r="U305" s="190"/>
      <c r="V305" s="191" t="str">
        <f t="shared" ref="V305:V306" si="212">IF(ISBLANK(O305),"",(IF(O305=UPPER("IB"),0.005,0.01)))</f>
        <v/>
      </c>
      <c r="W305" s="191" t="str">
        <f t="shared" ref="W305" si="213">IF(ISBLANK(O305),"",IF(O305=UPPER("IB"),8.63*200,16.4*100))</f>
        <v/>
      </c>
      <c r="X305" s="192"/>
      <c r="Y305" s="192"/>
      <c r="Z305" s="192"/>
      <c r="AA305" s="193"/>
      <c r="AB305" s="189"/>
      <c r="AC305" s="189"/>
      <c r="AD305" s="189"/>
      <c r="AE305" s="189"/>
      <c r="AF305" s="189"/>
      <c r="AG305" s="189"/>
      <c r="AH305" s="189"/>
      <c r="AI305" s="194"/>
      <c r="AJ305" s="194"/>
      <c r="AK305" s="189"/>
      <c r="AL305" s="189"/>
      <c r="AM305" s="189"/>
      <c r="AN305" s="189"/>
      <c r="AO305" s="189"/>
      <c r="AP305" s="196"/>
      <c r="AQ305" s="196"/>
      <c r="AR305" s="194"/>
      <c r="AS305" s="197"/>
      <c r="AT305" s="198"/>
      <c r="AU305" s="189"/>
      <c r="AV305" s="189"/>
      <c r="AW305" s="189"/>
      <c r="AX305" s="361"/>
      <c r="AY305" s="361"/>
      <c r="AZ305" s="361"/>
      <c r="BA305" s="361"/>
      <c r="BB305" s="361"/>
      <c r="BC305" s="373"/>
    </row>
    <row r="306" spans="1:55" ht="18" customHeight="1">
      <c r="A306" s="232" t="s">
        <v>1125</v>
      </c>
      <c r="B306" s="208">
        <v>44985</v>
      </c>
      <c r="C306" s="185" t="s">
        <v>659</v>
      </c>
      <c r="D306" s="185"/>
      <c r="E306" s="307"/>
      <c r="F306" s="315"/>
      <c r="G306" s="188" t="s">
        <v>1368</v>
      </c>
      <c r="H306" s="189"/>
      <c r="I306" s="189"/>
      <c r="J306" s="189"/>
      <c r="K306" s="190"/>
      <c r="L306" s="189">
        <v>1</v>
      </c>
      <c r="M306" s="189"/>
      <c r="N306" s="189"/>
      <c r="O306" s="190" t="s">
        <v>71</v>
      </c>
      <c r="P306" s="190" t="s">
        <v>114</v>
      </c>
      <c r="Q306" s="190" t="s">
        <v>661</v>
      </c>
      <c r="R306" s="190">
        <v>2</v>
      </c>
      <c r="S306" s="190">
        <v>2</v>
      </c>
      <c r="T306" s="190">
        <v>2</v>
      </c>
      <c r="U306" s="190" t="s">
        <v>73</v>
      </c>
      <c r="V306" s="191">
        <f t="shared" si="212"/>
        <v>0.01</v>
      </c>
      <c r="W306" s="191">
        <f>IF(ISBLANK(O306),"",IF(O306=UPPER("IB"),8.63*200,16.2*100))</f>
        <v>1620</v>
      </c>
      <c r="X306" s="192" t="s">
        <v>1073</v>
      </c>
      <c r="Y306" s="192"/>
      <c r="Z306" s="192"/>
      <c r="AA306" s="193">
        <v>95.92</v>
      </c>
      <c r="AB306" s="189"/>
      <c r="AC306" s="189"/>
      <c r="AD306" s="189"/>
      <c r="AE306" s="189"/>
      <c r="AF306" s="189"/>
      <c r="AG306" s="189"/>
      <c r="AH306" s="189"/>
      <c r="AI306" s="194">
        <f>-0.03*W306</f>
        <v>-48.6</v>
      </c>
      <c r="AJ306" s="194">
        <f t="shared" ref="AJ306" si="214">AI306*R306</f>
        <v>-97.2</v>
      </c>
      <c r="AK306" s="189"/>
      <c r="AL306" s="189"/>
      <c r="AM306" s="189" t="s">
        <v>1472</v>
      </c>
      <c r="AN306" s="189" t="s">
        <v>371</v>
      </c>
      <c r="AO306" s="189" t="s">
        <v>659</v>
      </c>
      <c r="AP306" s="196">
        <v>95.94</v>
      </c>
      <c r="AQ306" s="196">
        <f>IF(ISBLANK(AP306),,IF(U306="S",AA306-AP306,AP306-AA306))</f>
        <v>-1.9999999999996021E-2</v>
      </c>
      <c r="AR306" s="194">
        <f>AS306*R306</f>
        <v>-64.799999999987108</v>
      </c>
      <c r="AS306" s="197">
        <f>IF(ISBLANK(AP306),,(AQ306*W306))</f>
        <v>-32.399999999993554</v>
      </c>
      <c r="AT306" s="198" t="s">
        <v>206</v>
      </c>
      <c r="AU306" s="189" t="s">
        <v>1473</v>
      </c>
      <c r="AV306" s="189" t="s">
        <v>1474</v>
      </c>
      <c r="AW306" s="189"/>
      <c r="AX306" s="361" t="s">
        <v>1475</v>
      </c>
      <c r="AY306" s="361" t="s">
        <v>1476</v>
      </c>
      <c r="AZ306" s="361" t="s">
        <v>506</v>
      </c>
      <c r="BA306" s="361" t="s">
        <v>1477</v>
      </c>
      <c r="BB306" s="361" t="s">
        <v>1478</v>
      </c>
      <c r="BC306" s="373" t="s">
        <v>506</v>
      </c>
    </row>
    <row r="307" spans="1:55" ht="18" customHeight="1">
      <c r="A307" s="184" t="s">
        <v>1125</v>
      </c>
      <c r="B307" s="184">
        <v>44985</v>
      </c>
      <c r="C307" s="185" t="s">
        <v>606</v>
      </c>
      <c r="D307" s="185" t="s">
        <v>123</v>
      </c>
      <c r="E307" s="307"/>
      <c r="F307" s="315"/>
      <c r="G307" s="299" t="s">
        <v>110</v>
      </c>
      <c r="H307" s="189"/>
      <c r="I307" s="189"/>
      <c r="J307" s="189"/>
      <c r="K307" s="190"/>
      <c r="L307" s="189">
        <v>1</v>
      </c>
      <c r="M307" s="189"/>
      <c r="N307" s="189"/>
      <c r="O307" s="190" t="s">
        <v>71</v>
      </c>
      <c r="P307" s="190" t="s">
        <v>72</v>
      </c>
      <c r="Q307" s="190" t="s">
        <v>73</v>
      </c>
      <c r="R307" s="190">
        <v>3</v>
      </c>
      <c r="S307" s="190">
        <v>3</v>
      </c>
      <c r="T307" s="190">
        <v>3</v>
      </c>
      <c r="U307" s="190" t="s">
        <v>21</v>
      </c>
      <c r="V307" s="191">
        <f t="shared" ref="V307" si="215">IF(ISBLANK(O307),"",(IF(O307=UPPER("IB"),0.005,0.01)))</f>
        <v>0.01</v>
      </c>
      <c r="W307" s="191">
        <f>IF(ISBLANK(O307),"",IF(O307=UPPER("IB"),8.63*200,16.2*100))</f>
        <v>1620</v>
      </c>
      <c r="X307" s="192"/>
      <c r="Y307" s="192"/>
      <c r="Z307" s="192" t="s">
        <v>1479</v>
      </c>
      <c r="AA307" s="193">
        <v>0.01</v>
      </c>
      <c r="AB307" s="189"/>
      <c r="AC307" s="189"/>
      <c r="AD307" s="189"/>
      <c r="AE307" s="189" t="s">
        <v>1480</v>
      </c>
      <c r="AF307" s="189" t="s">
        <v>1481</v>
      </c>
      <c r="AG307" s="189"/>
      <c r="AH307" s="189"/>
      <c r="AI307" s="194">
        <f>-0.03*W307</f>
        <v>-48.6</v>
      </c>
      <c r="AJ307" s="194">
        <f t="shared" ref="AJ307" si="216">AI307*R307</f>
        <v>-145.80000000000001</v>
      </c>
      <c r="AK307" s="189"/>
      <c r="AL307" s="189"/>
      <c r="AM307" s="189" t="s">
        <v>747</v>
      </c>
      <c r="AN307" s="189" t="s">
        <v>92</v>
      </c>
      <c r="AO307" s="189" t="s">
        <v>1482</v>
      </c>
      <c r="AP307" s="196">
        <v>0.01</v>
      </c>
      <c r="AQ307" s="196">
        <f>IF(ISBLANK(AP307),,IF(U307="S",AA307-AP307,AP307-AA307))</f>
        <v>0</v>
      </c>
      <c r="AR307" s="194">
        <f>AS307*R307</f>
        <v>0</v>
      </c>
      <c r="AS307" s="197">
        <f>IF(ISBLANK(AP307),,(AQ307*W307))</f>
        <v>0</v>
      </c>
      <c r="AT307" s="198" t="s">
        <v>92</v>
      </c>
      <c r="AU307" s="189" t="s">
        <v>1483</v>
      </c>
      <c r="AV307" s="189"/>
      <c r="AW307" s="189"/>
      <c r="AX307" s="361"/>
      <c r="AY307" s="361"/>
      <c r="AZ307" s="361"/>
      <c r="BA307" s="361"/>
      <c r="BB307" s="361"/>
      <c r="BC307" s="373"/>
    </row>
    <row r="308" spans="1:55" ht="18" customHeight="1">
      <c r="A308" s="184" t="s">
        <v>1125</v>
      </c>
      <c r="B308" s="184">
        <v>44985</v>
      </c>
      <c r="C308" s="185" t="s">
        <v>1484</v>
      </c>
      <c r="D308" s="185" t="s">
        <v>123</v>
      </c>
      <c r="E308" s="307"/>
      <c r="F308" s="315"/>
      <c r="G308" s="299" t="s">
        <v>530</v>
      </c>
      <c r="H308" s="189"/>
      <c r="I308" s="189"/>
      <c r="J308" s="189"/>
      <c r="K308" s="190"/>
      <c r="L308" s="189">
        <v>1</v>
      </c>
      <c r="M308" s="189"/>
      <c r="N308" s="189"/>
      <c r="O308" s="190" t="s">
        <v>71</v>
      </c>
      <c r="P308" s="190" t="s">
        <v>114</v>
      </c>
      <c r="Q308" s="190" t="s">
        <v>73</v>
      </c>
      <c r="R308" s="190">
        <v>7</v>
      </c>
      <c r="S308" s="190">
        <v>7</v>
      </c>
      <c r="T308" s="190">
        <v>7</v>
      </c>
      <c r="U308" s="190" t="s">
        <v>73</v>
      </c>
      <c r="V308" s="191">
        <f t="shared" ref="V308" si="217">IF(ISBLANK(O308),"",(IF(O308=UPPER("IB"),0.005,0.01)))</f>
        <v>0.01</v>
      </c>
      <c r="W308" s="191">
        <f>IF(ISBLANK(O308),"",IF(O308=UPPER("IB"),8.63*200,16.2*100))</f>
        <v>1620</v>
      </c>
      <c r="X308" s="192" t="s">
        <v>1395</v>
      </c>
      <c r="Y308" s="192"/>
      <c r="Z308" s="192" t="s">
        <v>1485</v>
      </c>
      <c r="AA308" s="193">
        <v>-0.1</v>
      </c>
      <c r="AB308" s="189"/>
      <c r="AC308" s="189">
        <v>-7</v>
      </c>
      <c r="AD308" s="189"/>
      <c r="AE308" s="189" t="s">
        <v>1486</v>
      </c>
      <c r="AF308" s="189" t="s">
        <v>1487</v>
      </c>
      <c r="AG308" s="189" t="s">
        <v>506</v>
      </c>
      <c r="AH308" s="189"/>
      <c r="AI308" s="194">
        <f>-0.03*W308</f>
        <v>-48.6</v>
      </c>
      <c r="AJ308" s="194">
        <f t="shared" ref="AJ308" si="218">AI308*R308</f>
        <v>-340.2</v>
      </c>
      <c r="AK308" s="213" t="s">
        <v>1488</v>
      </c>
      <c r="AL308" s="213" t="s">
        <v>1489</v>
      </c>
      <c r="AM308" s="189" t="s">
        <v>879</v>
      </c>
      <c r="AN308" s="189" t="s">
        <v>72</v>
      </c>
      <c r="AO308" s="189" t="s">
        <v>1490</v>
      </c>
      <c r="AP308" s="196">
        <v>-0.08</v>
      </c>
      <c r="AQ308" s="196">
        <f>IF(ISBLANK(AP308),,IF(U308="S",AA308-AP308,AP308-AA308))</f>
        <v>-2.0000000000000004E-2</v>
      </c>
      <c r="AR308" s="194">
        <f>AS308*R308</f>
        <v>-226.80000000000004</v>
      </c>
      <c r="AS308" s="197">
        <f>IF(ISBLANK(AP308),,(AQ308*W308))</f>
        <v>-32.400000000000006</v>
      </c>
      <c r="AT308" s="198" t="s">
        <v>206</v>
      </c>
      <c r="AU308" s="213" t="s">
        <v>1491</v>
      </c>
      <c r="AV308" s="189"/>
      <c r="AW308" s="213"/>
      <c r="AX308" s="361"/>
      <c r="AY308" s="361"/>
      <c r="AZ308" s="361"/>
      <c r="BA308" s="361"/>
      <c r="BB308" s="361"/>
      <c r="BC308" s="373"/>
    </row>
    <row r="309" spans="1:55" ht="18" customHeight="1">
      <c r="A309" s="184" t="s">
        <v>1125</v>
      </c>
      <c r="B309" s="208"/>
      <c r="C309" s="185"/>
      <c r="D309" s="185"/>
      <c r="E309" s="307"/>
      <c r="F309" s="315"/>
      <c r="G309" s="188"/>
      <c r="H309" s="189"/>
      <c r="I309" s="189"/>
      <c r="J309" s="189"/>
      <c r="K309" s="190"/>
      <c r="L309" s="189"/>
      <c r="M309" s="189"/>
      <c r="N309" s="189"/>
      <c r="O309" s="190"/>
      <c r="P309" s="190"/>
      <c r="Q309" s="190"/>
      <c r="R309" s="190"/>
      <c r="S309" s="190"/>
      <c r="T309" s="190"/>
      <c r="U309" s="190"/>
      <c r="V309" s="191" t="str">
        <f t="shared" ref="V309:V314" si="219">IF(ISBLANK(O309),"",(IF(O309=UPPER("IB"),0.005,0.01)))</f>
        <v/>
      </c>
      <c r="W309" s="191" t="str">
        <f t="shared" ref="W309:W314" si="220">IF(ISBLANK(O309),"",IF(O309=UPPER("IB"),8.63*200,16.2*100))</f>
        <v/>
      </c>
      <c r="X309" s="192"/>
      <c r="Y309" s="192"/>
      <c r="Z309" s="192"/>
      <c r="AA309" s="193"/>
      <c r="AB309" s="189"/>
      <c r="AC309" s="189"/>
      <c r="AD309" s="189"/>
      <c r="AE309" s="189"/>
      <c r="AF309" s="189"/>
      <c r="AG309" s="189"/>
      <c r="AH309" s="189"/>
      <c r="AI309" s="194"/>
      <c r="AJ309" s="194"/>
      <c r="AK309" s="189"/>
      <c r="AL309" s="189"/>
      <c r="AM309" s="189"/>
      <c r="AN309" s="189"/>
      <c r="AO309" s="189"/>
      <c r="AP309" s="196"/>
      <c r="AQ309" s="196"/>
      <c r="AR309" s="194"/>
      <c r="AS309" s="197"/>
      <c r="AT309" s="198"/>
      <c r="AU309" s="189"/>
      <c r="AV309" s="189"/>
      <c r="AW309" s="189"/>
      <c r="AX309" s="361"/>
      <c r="AY309" s="361"/>
      <c r="AZ309" s="361"/>
      <c r="BA309" s="361"/>
      <c r="BB309" s="361"/>
      <c r="BC309" s="373"/>
    </row>
    <row r="310" spans="1:55" ht="18" customHeight="1">
      <c r="A310" s="184" t="s">
        <v>1125</v>
      </c>
      <c r="B310" s="208"/>
      <c r="C310" s="209"/>
      <c r="D310" s="185"/>
      <c r="E310" s="259"/>
      <c r="F310" s="211"/>
      <c r="G310" s="212"/>
      <c r="H310" s="213"/>
      <c r="I310" s="213"/>
      <c r="J310" s="213"/>
      <c r="K310" s="214"/>
      <c r="L310" s="213"/>
      <c r="M310" s="213"/>
      <c r="N310" s="213"/>
      <c r="O310" s="214"/>
      <c r="P310" s="214"/>
      <c r="Q310" s="214"/>
      <c r="R310" s="214"/>
      <c r="S310" s="214"/>
      <c r="T310" s="214"/>
      <c r="U310" s="214"/>
      <c r="V310" s="191" t="str">
        <f t="shared" si="219"/>
        <v/>
      </c>
      <c r="W310" s="191" t="str">
        <f t="shared" si="220"/>
        <v/>
      </c>
      <c r="X310" s="216"/>
      <c r="Y310" s="216"/>
      <c r="Z310" s="216"/>
      <c r="AA310" s="217"/>
      <c r="AB310" s="213"/>
      <c r="AC310" s="213"/>
      <c r="AD310" s="213"/>
      <c r="AE310" s="213"/>
      <c r="AF310" s="213"/>
      <c r="AG310" s="213"/>
      <c r="AH310" s="213"/>
      <c r="AI310" s="194"/>
      <c r="AJ310" s="194"/>
      <c r="AK310" s="213"/>
      <c r="AL310" s="213"/>
      <c r="AM310" s="213"/>
      <c r="AN310" s="213"/>
      <c r="AO310" s="213"/>
      <c r="AP310" s="219"/>
      <c r="AQ310" s="196"/>
      <c r="AR310" s="194"/>
      <c r="AS310" s="197"/>
      <c r="AT310" s="221"/>
      <c r="AU310" s="314" t="s">
        <v>1492</v>
      </c>
      <c r="AV310" s="314" t="s">
        <v>1493</v>
      </c>
      <c r="AW310" s="314" t="s">
        <v>1494</v>
      </c>
      <c r="AX310" s="368" t="s">
        <v>1495</v>
      </c>
      <c r="AY310" s="368" t="s">
        <v>1496</v>
      </c>
      <c r="AZ310" s="368" t="s">
        <v>1497</v>
      </c>
      <c r="BA310" s="364" t="s">
        <v>506</v>
      </c>
      <c r="BB310" s="364"/>
      <c r="BC310" s="374"/>
    </row>
    <row r="311" spans="1:55" ht="18" customHeight="1">
      <c r="A311" s="288" t="s">
        <v>1498</v>
      </c>
      <c r="B311" s="288"/>
      <c r="C311" s="223"/>
      <c r="D311" s="223"/>
      <c r="E311" s="224"/>
      <c r="F311" s="225"/>
      <c r="G311" s="223"/>
      <c r="H311" s="223"/>
      <c r="I311" s="223"/>
      <c r="J311" s="223"/>
      <c r="K311" s="226"/>
      <c r="L311" s="223"/>
      <c r="M311" s="223"/>
      <c r="N311" s="223"/>
      <c r="O311" s="226"/>
      <c r="P311" s="226"/>
      <c r="Q311" s="226"/>
      <c r="R311" s="226"/>
      <c r="S311" s="226"/>
      <c r="T311" s="226"/>
      <c r="U311" s="226"/>
      <c r="V311" s="227" t="str">
        <f t="shared" si="219"/>
        <v/>
      </c>
      <c r="W311" s="227" t="str">
        <f t="shared" si="220"/>
        <v/>
      </c>
      <c r="X311" s="227"/>
      <c r="Y311" s="227"/>
      <c r="Z311" s="227"/>
      <c r="AA311" s="228"/>
      <c r="AB311" s="223"/>
      <c r="AC311" s="223"/>
      <c r="AD311" s="223"/>
      <c r="AE311" s="223"/>
      <c r="AF311" s="223"/>
      <c r="AG311" s="223"/>
      <c r="AH311" s="223"/>
      <c r="AI311" s="223"/>
      <c r="AJ311" s="223"/>
      <c r="AK311" s="223"/>
      <c r="AL311" s="223"/>
      <c r="AM311" s="223"/>
      <c r="AN311" s="223"/>
      <c r="AO311" s="223"/>
      <c r="AP311" s="230"/>
      <c r="AQ311" s="230"/>
      <c r="AR311" s="230"/>
      <c r="AS311" s="230"/>
      <c r="AT311" s="231"/>
      <c r="AU311" s="223"/>
      <c r="AV311" s="223"/>
      <c r="AW311" s="223"/>
      <c r="AX311" s="365"/>
      <c r="AY311" s="365"/>
      <c r="AZ311" s="365"/>
      <c r="BA311" s="365"/>
      <c r="BB311" s="365"/>
      <c r="BC311" s="365"/>
    </row>
    <row r="312" spans="1:55" ht="18" customHeight="1">
      <c r="A312" s="232" t="s">
        <v>1499</v>
      </c>
      <c r="B312" s="232">
        <v>44986</v>
      </c>
      <c r="C312" s="234" t="s">
        <v>1413</v>
      </c>
      <c r="D312" s="234" t="s">
        <v>128</v>
      </c>
      <c r="E312" s="307" t="s">
        <v>1500</v>
      </c>
      <c r="F312" s="236" t="s">
        <v>1501</v>
      </c>
      <c r="G312" s="237"/>
      <c r="H312" s="172"/>
      <c r="I312" s="172"/>
      <c r="J312" s="172"/>
      <c r="K312" s="175" t="s">
        <v>92</v>
      </c>
      <c r="L312" s="172"/>
      <c r="M312" s="172"/>
      <c r="N312" s="172"/>
      <c r="O312" s="175"/>
      <c r="P312" s="175"/>
      <c r="Q312" s="175"/>
      <c r="R312" s="175"/>
      <c r="S312" s="175"/>
      <c r="T312" s="175"/>
      <c r="U312" s="175"/>
      <c r="V312" s="191" t="str">
        <f t="shared" si="219"/>
        <v/>
      </c>
      <c r="W312" s="191" t="str">
        <f t="shared" si="220"/>
        <v/>
      </c>
      <c r="X312" s="178"/>
      <c r="Y312" s="178"/>
      <c r="Z312" s="178"/>
      <c r="AA312" s="179"/>
      <c r="AB312" s="172"/>
      <c r="AC312" s="172"/>
      <c r="AD312" s="172"/>
      <c r="AE312" s="172"/>
      <c r="AF312" s="172"/>
      <c r="AG312" s="172"/>
      <c r="AH312" s="172"/>
      <c r="AI312" s="194"/>
      <c r="AJ312" s="194"/>
      <c r="AK312" s="172"/>
      <c r="AL312" s="172"/>
      <c r="AM312" s="172"/>
      <c r="AN312" s="172"/>
      <c r="AO312" s="172"/>
      <c r="AP312" s="181"/>
      <c r="AQ312" s="196"/>
      <c r="AR312" s="194"/>
      <c r="AS312" s="197"/>
      <c r="AT312" s="183"/>
      <c r="AU312" s="172" t="s">
        <v>1502</v>
      </c>
      <c r="AV312" s="172" t="s">
        <v>506</v>
      </c>
      <c r="AW312" s="172"/>
      <c r="AX312" s="360"/>
      <c r="AY312" s="360"/>
      <c r="AZ312" s="360"/>
      <c r="BA312" s="360"/>
      <c r="BB312" s="360"/>
      <c r="BC312" s="372"/>
    </row>
    <row r="313" spans="1:55" ht="18" customHeight="1">
      <c r="A313" s="232" t="s">
        <v>1499</v>
      </c>
      <c r="B313" s="208"/>
      <c r="C313" s="185"/>
      <c r="D313" s="185"/>
      <c r="E313" s="307" t="s">
        <v>1503</v>
      </c>
      <c r="F313" s="187" t="s">
        <v>1504</v>
      </c>
      <c r="G313" s="188"/>
      <c r="H313" s="189"/>
      <c r="I313" s="189"/>
      <c r="J313" s="189"/>
      <c r="K313" s="190" t="s">
        <v>92</v>
      </c>
      <c r="L313" s="189"/>
      <c r="M313" s="189"/>
      <c r="N313" s="189"/>
      <c r="O313" s="190"/>
      <c r="P313" s="190"/>
      <c r="Q313" s="190"/>
      <c r="R313" s="190"/>
      <c r="S313" s="190"/>
      <c r="T313" s="190"/>
      <c r="U313" s="190"/>
      <c r="V313" s="191" t="str">
        <f t="shared" si="219"/>
        <v/>
      </c>
      <c r="W313" s="191" t="str">
        <f t="shared" si="220"/>
        <v/>
      </c>
      <c r="X313" s="192"/>
      <c r="Y313" s="192"/>
      <c r="Z313" s="192"/>
      <c r="AA313" s="193"/>
      <c r="AB313" s="189"/>
      <c r="AC313" s="189"/>
      <c r="AD313" s="189"/>
      <c r="AE313" s="189"/>
      <c r="AF313" s="189"/>
      <c r="AG313" s="189"/>
      <c r="AH313" s="189"/>
      <c r="AI313" s="194"/>
      <c r="AJ313" s="194"/>
      <c r="AK313" s="189"/>
      <c r="AL313" s="189"/>
      <c r="AM313" s="189"/>
      <c r="AN313" s="189"/>
      <c r="AO313" s="189"/>
      <c r="AP313" s="196"/>
      <c r="AQ313" s="196"/>
      <c r="AR313" s="194"/>
      <c r="AS313" s="197"/>
      <c r="AT313" s="198"/>
      <c r="AU313" s="189"/>
      <c r="AV313" s="189"/>
      <c r="AW313" s="189"/>
      <c r="AX313" s="361"/>
      <c r="AY313" s="361"/>
      <c r="AZ313" s="361"/>
      <c r="BA313" s="361"/>
      <c r="BB313" s="361"/>
      <c r="BC313" s="373"/>
    </row>
    <row r="314" spans="1:55" ht="14.45">
      <c r="A314" s="232" t="s">
        <v>1499</v>
      </c>
      <c r="B314" s="208">
        <v>44986</v>
      </c>
      <c r="C314" s="209" t="s">
        <v>659</v>
      </c>
      <c r="D314" s="234" t="s">
        <v>128</v>
      </c>
      <c r="E314" s="259"/>
      <c r="F314" s="211"/>
      <c r="G314" s="212" t="s">
        <v>1505</v>
      </c>
      <c r="H314" s="213"/>
      <c r="I314" s="213"/>
      <c r="J314" s="213"/>
      <c r="K314" s="214"/>
      <c r="L314" s="213">
        <v>2</v>
      </c>
      <c r="M314" s="213"/>
      <c r="N314" s="213"/>
      <c r="O314" s="214" t="s">
        <v>71</v>
      </c>
      <c r="P314" s="214" t="s">
        <v>72</v>
      </c>
      <c r="Q314" s="214" t="s">
        <v>661</v>
      </c>
      <c r="R314" s="214">
        <v>1</v>
      </c>
      <c r="S314" s="214">
        <v>1</v>
      </c>
      <c r="T314" s="214">
        <v>1</v>
      </c>
      <c r="U314" s="214" t="s">
        <v>21</v>
      </c>
      <c r="V314" s="191">
        <f t="shared" si="219"/>
        <v>0.01</v>
      </c>
      <c r="W314" s="191">
        <f t="shared" si="220"/>
        <v>1620</v>
      </c>
      <c r="X314" s="216" t="s">
        <v>1506</v>
      </c>
      <c r="Y314" s="216" t="s">
        <v>506</v>
      </c>
      <c r="Z314" s="216"/>
      <c r="AA314" s="217">
        <v>95.6</v>
      </c>
      <c r="AB314" s="213"/>
      <c r="AC314" s="213"/>
      <c r="AD314" s="213"/>
      <c r="AE314" s="213"/>
      <c r="AF314" s="213"/>
      <c r="AG314" s="213"/>
      <c r="AH314" s="213"/>
      <c r="AI314" s="194"/>
      <c r="AJ314" s="194"/>
      <c r="AK314" s="213"/>
      <c r="AL314" s="213"/>
      <c r="AM314" s="213" t="s">
        <v>1507</v>
      </c>
      <c r="AN314" s="213" t="s">
        <v>371</v>
      </c>
      <c r="AO314" s="213" t="s">
        <v>659</v>
      </c>
      <c r="AP314" s="219">
        <v>95.68</v>
      </c>
      <c r="AQ314" s="196">
        <f t="shared" ref="AQ314" si="221">IF(ISBLANK(AP314),,IF(U314="S",AA314-AP314,AP314-AA314))</f>
        <v>8.0000000000012506E-2</v>
      </c>
      <c r="AR314" s="194">
        <f t="shared" ref="AR314" si="222">AS314*R314</f>
        <v>129.60000000002026</v>
      </c>
      <c r="AS314" s="197">
        <f t="shared" ref="AS314" si="223">IF(ISBLANK(AP314),,(AQ314*W314))</f>
        <v>129.60000000002026</v>
      </c>
      <c r="AT314" s="221" t="s">
        <v>72</v>
      </c>
      <c r="AU314" s="213" t="s">
        <v>1508</v>
      </c>
      <c r="AV314" s="213" t="s">
        <v>1509</v>
      </c>
      <c r="AW314" s="213" t="s">
        <v>506</v>
      </c>
      <c r="AX314" s="364"/>
      <c r="AY314" s="364"/>
      <c r="AZ314" s="364"/>
      <c r="BA314" s="364"/>
      <c r="BB314" s="364"/>
      <c r="BC314" s="374"/>
    </row>
    <row r="315" spans="1:55" ht="14.45">
      <c r="A315" s="232" t="s">
        <v>1499</v>
      </c>
      <c r="B315" s="208" t="s">
        <v>1510</v>
      </c>
      <c r="C315" s="209" t="s">
        <v>1511</v>
      </c>
      <c r="D315" s="234" t="s">
        <v>128</v>
      </c>
      <c r="E315" s="259"/>
      <c r="F315" s="211"/>
      <c r="G315" s="188" t="s">
        <v>530</v>
      </c>
      <c r="H315" s="213"/>
      <c r="I315" s="213"/>
      <c r="J315" s="213"/>
      <c r="K315" s="214"/>
      <c r="L315" s="213"/>
      <c r="M315" s="213"/>
      <c r="N315" s="213"/>
      <c r="O315" s="214"/>
      <c r="P315" s="214"/>
      <c r="Q315" s="214"/>
      <c r="R315" s="214"/>
      <c r="S315" s="214"/>
      <c r="T315" s="214"/>
      <c r="U315" s="214"/>
      <c r="V315" s="191"/>
      <c r="W315" s="191"/>
      <c r="X315" s="216"/>
      <c r="Y315" s="328"/>
      <c r="Z315" s="216"/>
      <c r="AA315" s="217"/>
      <c r="AB315" s="213"/>
      <c r="AC315" s="213"/>
      <c r="AD315" s="213"/>
      <c r="AE315" s="213"/>
      <c r="AF315" s="213"/>
      <c r="AG315" s="213"/>
      <c r="AH315" s="213"/>
      <c r="AI315" s="194"/>
      <c r="AJ315" s="194"/>
      <c r="AK315" s="213"/>
      <c r="AL315" s="213"/>
      <c r="AM315" s="213"/>
      <c r="AN315" s="213"/>
      <c r="AO315" s="213"/>
      <c r="AP315" s="219"/>
      <c r="AQ315" s="196"/>
      <c r="AR315" s="194"/>
      <c r="AS315" s="197"/>
      <c r="AT315" s="221"/>
      <c r="AU315" s="213" t="s">
        <v>1491</v>
      </c>
      <c r="AV315" s="213" t="s">
        <v>1512</v>
      </c>
      <c r="AW315" s="213"/>
      <c r="AX315" s="364"/>
      <c r="AY315" s="364"/>
      <c r="AZ315" s="364"/>
      <c r="BA315" s="364"/>
      <c r="BB315" s="364"/>
      <c r="BC315" s="374"/>
    </row>
    <row r="316" spans="1:55" ht="14.45">
      <c r="A316" s="232" t="s">
        <v>1499</v>
      </c>
      <c r="B316" s="208">
        <v>44986</v>
      </c>
      <c r="C316" s="209" t="s">
        <v>659</v>
      </c>
      <c r="D316" s="234" t="s">
        <v>128</v>
      </c>
      <c r="E316" s="259"/>
      <c r="F316" s="211"/>
      <c r="G316" s="350" t="s">
        <v>248</v>
      </c>
      <c r="H316" s="213"/>
      <c r="I316" s="213"/>
      <c r="J316" s="213"/>
      <c r="K316" s="214"/>
      <c r="L316" s="213">
        <v>1</v>
      </c>
      <c r="M316" s="213"/>
      <c r="N316" s="213"/>
      <c r="O316" s="214" t="s">
        <v>71</v>
      </c>
      <c r="P316" s="214" t="s">
        <v>114</v>
      </c>
      <c r="Q316" s="214" t="s">
        <v>73</v>
      </c>
      <c r="R316" s="214">
        <v>7</v>
      </c>
      <c r="S316" s="214">
        <v>7</v>
      </c>
      <c r="T316" s="214">
        <v>7</v>
      </c>
      <c r="U316" s="214" t="s">
        <v>73</v>
      </c>
      <c r="V316" s="191">
        <f t="shared" ref="V316" si="224">IF(ISBLANK(O316),"",(IF(O316=UPPER("IB"),0.005,0.01)))</f>
        <v>0.01</v>
      </c>
      <c r="W316" s="191">
        <f t="shared" ref="W316:W321" si="225">IF(ISBLANK(O316),"",IF(O316=UPPER("IB"),8.63*200,16.1*100))</f>
        <v>1610.0000000000002</v>
      </c>
      <c r="X316" s="216" t="s">
        <v>1513</v>
      </c>
      <c r="Y316" s="216" t="s">
        <v>1514</v>
      </c>
      <c r="Z316" s="216" t="s">
        <v>1515</v>
      </c>
      <c r="AA316" s="217">
        <v>-0.14000000000000001</v>
      </c>
      <c r="AB316" s="213"/>
      <c r="AC316" s="213">
        <v>-10</v>
      </c>
      <c r="AD316" s="213"/>
      <c r="AE316" s="213">
        <v>-15</v>
      </c>
      <c r="AF316" s="213" t="s">
        <v>1516</v>
      </c>
      <c r="AG316" s="213" t="s">
        <v>506</v>
      </c>
      <c r="AH316" s="213"/>
      <c r="AI316" s="194">
        <f>-0.04*W316</f>
        <v>-64.400000000000006</v>
      </c>
      <c r="AJ316" s="194">
        <f t="shared" ref="AJ316:AJ317" si="226">AI316*R316</f>
        <v>-450.80000000000007</v>
      </c>
      <c r="AK316" s="213" t="s">
        <v>1462</v>
      </c>
      <c r="AL316" s="213" t="s">
        <v>1517</v>
      </c>
      <c r="AM316" s="213" t="s">
        <v>566</v>
      </c>
      <c r="AN316" s="213" t="s">
        <v>92</v>
      </c>
      <c r="AO316" s="213" t="s">
        <v>1518</v>
      </c>
      <c r="AP316" s="219">
        <v>-0.1</v>
      </c>
      <c r="AQ316" s="196">
        <f t="shared" ref="AQ316:AQ317" si="227">IF(ISBLANK(AP316),,IF(U316="S",AA316-AP316,AP316-AA316))</f>
        <v>-4.0000000000000008E-2</v>
      </c>
      <c r="AR316" s="194">
        <f t="shared" ref="AR316:AR317" si="228">AS316*R316</f>
        <v>-450.80000000000013</v>
      </c>
      <c r="AS316" s="197">
        <f t="shared" ref="AS316:AS317" si="229">IF(ISBLANK(AP316),,(AQ316*W316))</f>
        <v>-64.40000000000002</v>
      </c>
      <c r="AT316" s="221" t="s">
        <v>206</v>
      </c>
      <c r="AU316" s="213" t="s">
        <v>1519</v>
      </c>
      <c r="AV316" s="213" t="s">
        <v>1520</v>
      </c>
      <c r="AW316" s="213" t="s">
        <v>1521</v>
      </c>
      <c r="AX316" s="364" t="s">
        <v>1522</v>
      </c>
      <c r="AY316" s="364" t="s">
        <v>1523</v>
      </c>
      <c r="AZ316" s="364" t="s">
        <v>1524</v>
      </c>
      <c r="BA316" s="364" t="s">
        <v>1525</v>
      </c>
      <c r="BB316" s="364" t="s">
        <v>1526</v>
      </c>
      <c r="BC316" s="374" t="s">
        <v>1527</v>
      </c>
    </row>
    <row r="317" spans="1:55" ht="14.45">
      <c r="A317" s="232" t="s">
        <v>1499</v>
      </c>
      <c r="B317" s="208">
        <v>44986</v>
      </c>
      <c r="C317" s="209" t="s">
        <v>659</v>
      </c>
      <c r="D317" s="234" t="s">
        <v>128</v>
      </c>
      <c r="E317" s="259"/>
      <c r="F317" s="211"/>
      <c r="G317" s="348" t="s">
        <v>412</v>
      </c>
      <c r="H317" s="213"/>
      <c r="I317" s="213"/>
      <c r="J317" s="213"/>
      <c r="K317" s="214"/>
      <c r="L317" s="213">
        <v>1</v>
      </c>
      <c r="M317" s="213"/>
      <c r="N317" s="213"/>
      <c r="O317" s="214" t="s">
        <v>71</v>
      </c>
      <c r="P317" s="214" t="s">
        <v>72</v>
      </c>
      <c r="Q317" s="214" t="s">
        <v>73</v>
      </c>
      <c r="R317" s="214">
        <v>1</v>
      </c>
      <c r="S317" s="214">
        <v>1</v>
      </c>
      <c r="T317" s="214">
        <v>1</v>
      </c>
      <c r="U317" s="214" t="s">
        <v>21</v>
      </c>
      <c r="V317" s="191">
        <f t="shared" ref="V317" si="230">IF(ISBLANK(O317),"",(IF(O317=UPPER("IB"),0.005,0.01)))</f>
        <v>0.01</v>
      </c>
      <c r="W317" s="191">
        <f t="shared" si="225"/>
        <v>1610.0000000000002</v>
      </c>
      <c r="X317" s="216" t="s">
        <v>1528</v>
      </c>
      <c r="Y317" s="216"/>
      <c r="Z317" s="216"/>
      <c r="AA317" s="217">
        <v>0.49</v>
      </c>
      <c r="AB317" s="213"/>
      <c r="AC317" s="213"/>
      <c r="AD317" s="213"/>
      <c r="AE317" s="213">
        <v>53</v>
      </c>
      <c r="AF317" s="213" t="s">
        <v>1529</v>
      </c>
      <c r="AG317" s="213" t="s">
        <v>506</v>
      </c>
      <c r="AH317" s="213"/>
      <c r="AI317" s="194">
        <f>-0.03*W317</f>
        <v>-48.300000000000004</v>
      </c>
      <c r="AJ317" s="194">
        <f t="shared" si="226"/>
        <v>-48.300000000000004</v>
      </c>
      <c r="AK317" s="213"/>
      <c r="AL317" s="213"/>
      <c r="AM317" s="213" t="s">
        <v>1530</v>
      </c>
      <c r="AN317" s="213" t="s">
        <v>82</v>
      </c>
      <c r="AO317" s="213" t="s">
        <v>1531</v>
      </c>
      <c r="AP317" s="219">
        <v>0.49</v>
      </c>
      <c r="AQ317" s="196">
        <f t="shared" si="227"/>
        <v>0</v>
      </c>
      <c r="AR317" s="194">
        <f t="shared" si="228"/>
        <v>0</v>
      </c>
      <c r="AS317" s="197">
        <f t="shared" si="229"/>
        <v>0</v>
      </c>
      <c r="AT317" s="221" t="s">
        <v>92</v>
      </c>
      <c r="AU317" s="213" t="s">
        <v>1532</v>
      </c>
      <c r="AV317" s="213" t="s">
        <v>1533</v>
      </c>
      <c r="AW317" s="213" t="s">
        <v>1534</v>
      </c>
      <c r="AX317" s="364"/>
      <c r="AY317" s="364"/>
      <c r="AZ317" s="364"/>
      <c r="BA317" s="364"/>
      <c r="BB317" s="364"/>
      <c r="BC317" s="374"/>
    </row>
    <row r="318" spans="1:55" ht="14.45">
      <c r="A318" s="232" t="s">
        <v>1499</v>
      </c>
      <c r="B318" s="208">
        <v>44986</v>
      </c>
      <c r="C318" s="209" t="s">
        <v>1535</v>
      </c>
      <c r="D318" s="209" t="s">
        <v>128</v>
      </c>
      <c r="E318" s="259"/>
      <c r="F318" s="211"/>
      <c r="G318" s="350" t="s">
        <v>257</v>
      </c>
      <c r="H318" s="213"/>
      <c r="I318" s="213"/>
      <c r="J318" s="213"/>
      <c r="K318" s="214"/>
      <c r="L318" s="213">
        <v>1</v>
      </c>
      <c r="M318" s="213"/>
      <c r="N318" s="213"/>
      <c r="O318" s="214" t="s">
        <v>71</v>
      </c>
      <c r="P318" s="214" t="s">
        <v>114</v>
      </c>
      <c r="Q318" s="214" t="s">
        <v>73</v>
      </c>
      <c r="R318" s="214">
        <v>7</v>
      </c>
      <c r="S318" s="214">
        <v>7</v>
      </c>
      <c r="T318" s="214">
        <v>7</v>
      </c>
      <c r="U318" s="214" t="s">
        <v>73</v>
      </c>
      <c r="V318" s="191">
        <f t="shared" ref="V318" si="231">IF(ISBLANK(O318),"",(IF(O318=UPPER("IB"),0.005,0.01)))</f>
        <v>0.01</v>
      </c>
      <c r="W318" s="191">
        <f t="shared" si="225"/>
        <v>1610.0000000000002</v>
      </c>
      <c r="X318" s="216" t="s">
        <v>1536</v>
      </c>
      <c r="Y318" s="216" t="s">
        <v>1514</v>
      </c>
      <c r="Z318" s="216" t="s">
        <v>1537</v>
      </c>
      <c r="AA318" s="217">
        <v>-0.13</v>
      </c>
      <c r="AB318" s="213"/>
      <c r="AC318" s="213">
        <v>-10</v>
      </c>
      <c r="AD318" s="213"/>
      <c r="AE318" s="213">
        <v>-13</v>
      </c>
      <c r="AF318" s="213" t="s">
        <v>1538</v>
      </c>
      <c r="AG318" s="213" t="s">
        <v>506</v>
      </c>
      <c r="AH318" s="213"/>
      <c r="AI318" s="194">
        <f>-0.03*W318</f>
        <v>-48.300000000000004</v>
      </c>
      <c r="AJ318" s="194">
        <f t="shared" ref="AJ318" si="232">AI318*R318</f>
        <v>-338.1</v>
      </c>
      <c r="AK318" s="213" t="s">
        <v>1462</v>
      </c>
      <c r="AL318" s="213" t="s">
        <v>1517</v>
      </c>
      <c r="AM318" s="213" t="s">
        <v>566</v>
      </c>
      <c r="AN318" s="213" t="s">
        <v>92</v>
      </c>
      <c r="AO318" s="213" t="s">
        <v>1539</v>
      </c>
      <c r="AP318" s="219">
        <v>-0.09</v>
      </c>
      <c r="AQ318" s="196">
        <f t="shared" ref="AQ318:AQ321" si="233">IF(ISBLANK(AP318),,IF(U318="S",AA318-AP318,AP318-AA318))</f>
        <v>-4.0000000000000008E-2</v>
      </c>
      <c r="AR318" s="194">
        <f t="shared" ref="AR318:AR321" si="234">AS318*R318</f>
        <v>-450.80000000000013</v>
      </c>
      <c r="AS318" s="197">
        <f t="shared" ref="AS318:AS321" si="235">IF(ISBLANK(AP318),,(AQ318*W318))</f>
        <v>-64.40000000000002</v>
      </c>
      <c r="AT318" s="221" t="s">
        <v>206</v>
      </c>
      <c r="AU318" s="213" t="s">
        <v>1240</v>
      </c>
      <c r="AV318" s="213" t="s">
        <v>1540</v>
      </c>
      <c r="AW318" s="213" t="s">
        <v>1521</v>
      </c>
      <c r="AX318" s="364" t="s">
        <v>1541</v>
      </c>
      <c r="AY318" s="364" t="s">
        <v>1542</v>
      </c>
      <c r="AZ318" s="364" t="s">
        <v>1543</v>
      </c>
      <c r="BA318" s="364" t="s">
        <v>1544</v>
      </c>
      <c r="BB318" s="364" t="s">
        <v>1545</v>
      </c>
      <c r="BC318" s="374" t="s">
        <v>506</v>
      </c>
    </row>
    <row r="319" spans="1:55" ht="13.9">
      <c r="A319" s="232" t="s">
        <v>1499</v>
      </c>
      <c r="B319" s="208">
        <v>44987</v>
      </c>
      <c r="C319" s="185"/>
      <c r="D319" s="185" t="s">
        <v>128</v>
      </c>
      <c r="E319" s="307" t="s">
        <v>1546</v>
      </c>
      <c r="F319" s="187" t="s">
        <v>506</v>
      </c>
      <c r="G319" s="188"/>
      <c r="H319" s="189"/>
      <c r="I319" s="189"/>
      <c r="J319" s="189"/>
      <c r="K319" s="190"/>
      <c r="L319" s="189"/>
      <c r="M319" s="189"/>
      <c r="N319" s="189"/>
      <c r="O319" s="190"/>
      <c r="P319" s="190"/>
      <c r="Q319" s="190"/>
      <c r="R319" s="190"/>
      <c r="S319" s="190"/>
      <c r="T319" s="190"/>
      <c r="U319" s="190"/>
      <c r="V319" s="290"/>
      <c r="W319" s="290"/>
      <c r="X319" s="192"/>
      <c r="Y319" s="192"/>
      <c r="Z319" s="192"/>
      <c r="AA319" s="193"/>
      <c r="AB319" s="189"/>
      <c r="AC319" s="189"/>
      <c r="AD319" s="189"/>
      <c r="AE319" s="189"/>
      <c r="AF319" s="189"/>
      <c r="AG319" s="189"/>
      <c r="AH319" s="189"/>
      <c r="AI319" s="194"/>
      <c r="AJ319" s="194"/>
      <c r="AK319" s="189"/>
      <c r="AL319" s="189"/>
      <c r="AM319" s="189"/>
      <c r="AN319" s="189"/>
      <c r="AO319" s="189"/>
      <c r="AP319" s="196"/>
      <c r="AQ319" s="196"/>
      <c r="AR319" s="194"/>
      <c r="AS319" s="197"/>
      <c r="AT319" s="198"/>
      <c r="AU319" s="189"/>
      <c r="AV319" s="189"/>
      <c r="AW319" s="189"/>
      <c r="AX319" s="361"/>
      <c r="AY319" s="361"/>
      <c r="AZ319" s="361"/>
      <c r="BA319" s="361"/>
      <c r="BB319" s="361"/>
      <c r="BC319" s="373"/>
    </row>
    <row r="320" spans="1:55" ht="14.45">
      <c r="A320" s="232" t="s">
        <v>1499</v>
      </c>
      <c r="B320" s="208">
        <v>44987</v>
      </c>
      <c r="C320" s="209" t="s">
        <v>1547</v>
      </c>
      <c r="D320" s="209" t="s">
        <v>69</v>
      </c>
      <c r="E320" s="259"/>
      <c r="F320" s="211"/>
      <c r="G320" s="350" t="s">
        <v>257</v>
      </c>
      <c r="H320" s="213"/>
      <c r="I320" s="213"/>
      <c r="J320" s="213"/>
      <c r="K320" s="214"/>
      <c r="L320" s="213">
        <v>1</v>
      </c>
      <c r="M320" s="213"/>
      <c r="N320" s="213"/>
      <c r="O320" s="214" t="s">
        <v>71</v>
      </c>
      <c r="P320" s="214" t="s">
        <v>114</v>
      </c>
      <c r="Q320" s="214" t="s">
        <v>73</v>
      </c>
      <c r="R320" s="214">
        <v>10</v>
      </c>
      <c r="S320" s="214">
        <v>10</v>
      </c>
      <c r="T320" s="214">
        <v>10</v>
      </c>
      <c r="U320" s="214" t="s">
        <v>73</v>
      </c>
      <c r="V320" s="191">
        <f t="shared" ref="V320" si="236">IF(ISBLANK(O320),"",(IF(O320=UPPER("IB"),0.005,0.01)))</f>
        <v>0.01</v>
      </c>
      <c r="W320" s="191">
        <f t="shared" si="225"/>
        <v>1610.0000000000002</v>
      </c>
      <c r="X320" s="216" t="s">
        <v>1536</v>
      </c>
      <c r="Y320" s="328" t="s">
        <v>1514</v>
      </c>
      <c r="Z320" s="216" t="s">
        <v>1537</v>
      </c>
      <c r="AA320" s="217">
        <v>-0.12</v>
      </c>
      <c r="AB320" s="213"/>
      <c r="AC320" s="213">
        <v>-9</v>
      </c>
      <c r="AD320" s="213"/>
      <c r="AE320" s="213" t="s">
        <v>1548</v>
      </c>
      <c r="AF320" s="213" t="s">
        <v>1549</v>
      </c>
      <c r="AG320" s="213" t="s">
        <v>506</v>
      </c>
      <c r="AH320" s="213"/>
      <c r="AI320" s="194">
        <f>-0.02*W320</f>
        <v>-32.200000000000003</v>
      </c>
      <c r="AJ320" s="194">
        <f t="shared" ref="AJ320" si="237">AI320*R320</f>
        <v>-322</v>
      </c>
      <c r="AK320" s="213" t="s">
        <v>1462</v>
      </c>
      <c r="AL320" s="213" t="s">
        <v>1517</v>
      </c>
      <c r="AM320" s="213" t="s">
        <v>566</v>
      </c>
      <c r="AN320" s="213" t="s">
        <v>92</v>
      </c>
      <c r="AO320" s="213" t="s">
        <v>1550</v>
      </c>
      <c r="AP320" s="219">
        <v>-0.12</v>
      </c>
      <c r="AQ320" s="196">
        <f t="shared" si="233"/>
        <v>0</v>
      </c>
      <c r="AR320" s="194">
        <f t="shared" si="234"/>
        <v>0</v>
      </c>
      <c r="AS320" s="197">
        <f t="shared" si="235"/>
        <v>0</v>
      </c>
      <c r="AT320" s="221" t="s">
        <v>92</v>
      </c>
      <c r="AU320" s="213" t="s">
        <v>1551</v>
      </c>
      <c r="AV320" s="213"/>
      <c r="AW320" s="213" t="s">
        <v>1534</v>
      </c>
      <c r="AX320" s="364" t="s">
        <v>1552</v>
      </c>
      <c r="AY320" s="364" t="s">
        <v>1553</v>
      </c>
      <c r="AZ320" s="364" t="s">
        <v>506</v>
      </c>
      <c r="BA320" s="364"/>
      <c r="BB320" s="364"/>
      <c r="BC320" s="374"/>
    </row>
    <row r="321" spans="1:55" ht="14.45">
      <c r="A321" s="232" t="s">
        <v>1499</v>
      </c>
      <c r="B321" s="208">
        <v>44987</v>
      </c>
      <c r="C321" s="209" t="s">
        <v>68</v>
      </c>
      <c r="D321" s="209" t="s">
        <v>69</v>
      </c>
      <c r="E321" s="259"/>
      <c r="F321" s="211"/>
      <c r="G321" s="348" t="s">
        <v>110</v>
      </c>
      <c r="H321" s="213"/>
      <c r="I321" s="213"/>
      <c r="J321" s="213"/>
      <c r="K321" s="214"/>
      <c r="L321" s="213">
        <v>1</v>
      </c>
      <c r="M321" s="213"/>
      <c r="N321" s="213"/>
      <c r="O321" s="214" t="s">
        <v>71</v>
      </c>
      <c r="P321" s="214" t="s">
        <v>72</v>
      </c>
      <c r="Q321" s="214" t="s">
        <v>73</v>
      </c>
      <c r="R321" s="214">
        <v>1</v>
      </c>
      <c r="S321" s="214">
        <v>1</v>
      </c>
      <c r="T321" s="214">
        <v>1</v>
      </c>
      <c r="U321" s="214" t="s">
        <v>73</v>
      </c>
      <c r="V321" s="191">
        <f t="shared" ref="V321" si="238">IF(ISBLANK(O321),"",(IF(O321=UPPER("IB"),0.005,0.01)))</f>
        <v>0.01</v>
      </c>
      <c r="W321" s="191">
        <f t="shared" si="225"/>
        <v>1610.0000000000002</v>
      </c>
      <c r="X321" s="216"/>
      <c r="Y321" s="216"/>
      <c r="Z321" s="216" t="s">
        <v>75</v>
      </c>
      <c r="AA321" s="217">
        <v>0.03</v>
      </c>
      <c r="AB321" s="213"/>
      <c r="AC321" s="213"/>
      <c r="AD321" s="213"/>
      <c r="AE321" s="213"/>
      <c r="AF321" s="213"/>
      <c r="AG321" s="213"/>
      <c r="AH321" s="213"/>
      <c r="AI321" s="194">
        <f>-0.03*W321</f>
        <v>-48.300000000000004</v>
      </c>
      <c r="AJ321" s="194">
        <f t="shared" ref="AJ321" si="239">AI321*R321</f>
        <v>-48.300000000000004</v>
      </c>
      <c r="AK321" s="213"/>
      <c r="AL321" s="213"/>
      <c r="AM321" s="213" t="s">
        <v>1554</v>
      </c>
      <c r="AN321" s="213" t="s">
        <v>82</v>
      </c>
      <c r="AO321" s="213" t="s">
        <v>1555</v>
      </c>
      <c r="AP321" s="219">
        <v>0.02</v>
      </c>
      <c r="AQ321" s="196">
        <f t="shared" si="233"/>
        <v>9.9999999999999985E-3</v>
      </c>
      <c r="AR321" s="194">
        <f t="shared" si="234"/>
        <v>16.100000000000001</v>
      </c>
      <c r="AS321" s="197">
        <f t="shared" si="235"/>
        <v>16.100000000000001</v>
      </c>
      <c r="AT321" s="221" t="s">
        <v>72</v>
      </c>
      <c r="AU321" s="213" t="s">
        <v>1556</v>
      </c>
      <c r="AV321" s="213"/>
      <c r="AW321" s="213"/>
      <c r="AX321" s="364"/>
      <c r="AY321" s="364"/>
      <c r="AZ321" s="364"/>
      <c r="BA321" s="364"/>
      <c r="BB321" s="364"/>
      <c r="BC321" s="374"/>
    </row>
    <row r="322" spans="1:55" ht="14.45">
      <c r="A322" s="232" t="s">
        <v>1499</v>
      </c>
      <c r="B322" s="208">
        <v>44987</v>
      </c>
      <c r="C322" s="209" t="s">
        <v>1557</v>
      </c>
      <c r="D322" s="209" t="s">
        <v>69</v>
      </c>
      <c r="E322" s="259"/>
      <c r="F322" s="211"/>
      <c r="G322" s="348" t="s">
        <v>110</v>
      </c>
      <c r="H322" s="213"/>
      <c r="I322" s="213"/>
      <c r="J322" s="213"/>
      <c r="K322" s="214"/>
      <c r="L322" s="213">
        <v>1</v>
      </c>
      <c r="M322" s="213"/>
      <c r="N322" s="213"/>
      <c r="O322" s="214" t="s">
        <v>71</v>
      </c>
      <c r="P322" s="214" t="s">
        <v>72</v>
      </c>
      <c r="Q322" s="214" t="s">
        <v>73</v>
      </c>
      <c r="R322" s="214">
        <v>1</v>
      </c>
      <c r="S322" s="214">
        <v>1</v>
      </c>
      <c r="T322" s="214">
        <v>1</v>
      </c>
      <c r="U322" s="214" t="s">
        <v>73</v>
      </c>
      <c r="V322" s="191">
        <f t="shared" ref="V322" si="240">IF(ISBLANK(O322),"",(IF(O322=UPPER("IB"),0.005,0.01)))</f>
        <v>0.01</v>
      </c>
      <c r="W322" s="191">
        <f>IF(ISBLANK(O322),"",IF(O322=UPPER("IB"),8.63*200,16.1*100))</f>
        <v>1610.0000000000002</v>
      </c>
      <c r="X322" s="216"/>
      <c r="Y322" s="216"/>
      <c r="Z322" s="216" t="s">
        <v>75</v>
      </c>
      <c r="AA322" s="217">
        <v>0.03</v>
      </c>
      <c r="AB322" s="213"/>
      <c r="AC322" s="213"/>
      <c r="AD322" s="213"/>
      <c r="AE322" s="213"/>
      <c r="AF322" s="213"/>
      <c r="AG322" s="213"/>
      <c r="AH322" s="213"/>
      <c r="AI322" s="194">
        <f t="shared" ref="AI322" si="241">-0.03*W322</f>
        <v>-48.300000000000004</v>
      </c>
      <c r="AJ322" s="194">
        <f t="shared" ref="AJ322" si="242">AI322*R322</f>
        <v>-48.300000000000004</v>
      </c>
      <c r="AK322" s="213"/>
      <c r="AL322" s="213"/>
      <c r="AM322" s="213" t="s">
        <v>1530</v>
      </c>
      <c r="AN322" s="213" t="s">
        <v>82</v>
      </c>
      <c r="AO322" s="213" t="s">
        <v>1558</v>
      </c>
      <c r="AP322" s="219">
        <v>0.02</v>
      </c>
      <c r="AQ322" s="196">
        <f t="shared" ref="AQ322" si="243">IF(ISBLANK(AP322),,IF(U322="S",AA322-AP322,AP322-AA322))</f>
        <v>9.9999999999999985E-3</v>
      </c>
      <c r="AR322" s="194">
        <f t="shared" ref="AR322" si="244">AS322*R322</f>
        <v>16.100000000000001</v>
      </c>
      <c r="AS322" s="197">
        <f t="shared" ref="AS322" si="245">IF(ISBLANK(AP322),,(AQ322*W322))</f>
        <v>16.100000000000001</v>
      </c>
      <c r="AT322" s="221" t="s">
        <v>72</v>
      </c>
      <c r="AU322" s="213" t="s">
        <v>1556</v>
      </c>
      <c r="AV322" s="213"/>
      <c r="AW322" s="213"/>
      <c r="AX322" s="364"/>
      <c r="AY322" s="364"/>
      <c r="AZ322" s="364"/>
      <c r="BA322" s="364"/>
      <c r="BB322" s="364"/>
      <c r="BC322" s="374"/>
    </row>
    <row r="323" spans="1:55" ht="14.45">
      <c r="A323" s="232" t="s">
        <v>1499</v>
      </c>
      <c r="B323" s="208">
        <v>44988</v>
      </c>
      <c r="C323" s="209" t="s">
        <v>1559</v>
      </c>
      <c r="D323" s="209" t="s">
        <v>88</v>
      </c>
      <c r="E323" s="259"/>
      <c r="F323" s="211"/>
      <c r="G323" s="351" t="s">
        <v>248</v>
      </c>
      <c r="H323" s="213"/>
      <c r="I323" s="213"/>
      <c r="J323" s="213"/>
      <c r="K323" s="214"/>
      <c r="L323" s="213">
        <v>1</v>
      </c>
      <c r="M323" s="213"/>
      <c r="N323" s="213"/>
      <c r="O323" s="214" t="s">
        <v>71</v>
      </c>
      <c r="P323" s="214" t="s">
        <v>114</v>
      </c>
      <c r="Q323" s="214" t="s">
        <v>73</v>
      </c>
      <c r="R323" s="214">
        <v>10</v>
      </c>
      <c r="S323" s="214">
        <v>10</v>
      </c>
      <c r="T323" s="214">
        <v>10</v>
      </c>
      <c r="U323" s="214" t="s">
        <v>73</v>
      </c>
      <c r="V323" s="191">
        <f t="shared" ref="V323:V324" si="246">IF(ISBLANK(O323),"",(IF(O323=UPPER("IB"),0.005,0.01)))</f>
        <v>0.01</v>
      </c>
      <c r="W323" s="191">
        <f t="shared" ref="W323:W324" si="247">IF(ISBLANK(O323),"",IF(O323=UPPER("IB"),8.63*200,16.1*100))</f>
        <v>1610.0000000000002</v>
      </c>
      <c r="X323" s="216" t="s">
        <v>1560</v>
      </c>
      <c r="Y323" s="216"/>
      <c r="Z323" s="216"/>
      <c r="AA323" s="217">
        <v>-0.11</v>
      </c>
      <c r="AB323" s="213"/>
      <c r="AC323" s="213" t="s">
        <v>1354</v>
      </c>
      <c r="AD323" s="213"/>
      <c r="AE323" s="213">
        <v>-14</v>
      </c>
      <c r="AF323" s="213"/>
      <c r="AG323" s="213"/>
      <c r="AH323" s="213"/>
      <c r="AI323" s="194">
        <f>-0.03*W323</f>
        <v>-48.300000000000004</v>
      </c>
      <c r="AJ323" s="194">
        <f t="shared" ref="AJ323:AJ324" si="248">AI323*R323</f>
        <v>-483.00000000000006</v>
      </c>
      <c r="AK323" s="213" t="s">
        <v>1462</v>
      </c>
      <c r="AL323" s="213" t="s">
        <v>1488</v>
      </c>
      <c r="AM323" s="213" t="s">
        <v>1561</v>
      </c>
      <c r="AN323" s="213" t="s">
        <v>82</v>
      </c>
      <c r="AO323" s="213" t="s">
        <v>1562</v>
      </c>
      <c r="AP323" s="219">
        <v>-0.12</v>
      </c>
      <c r="AQ323" s="196">
        <f t="shared" ref="AQ323" si="249">IF(ISBLANK(AP323),,IF(U323="S",AA323-AP323,AP323-AA323))</f>
        <v>9.999999999999995E-3</v>
      </c>
      <c r="AR323" s="194">
        <f t="shared" ref="AR323" si="250">AS323*R323</f>
        <v>160.99999999999994</v>
      </c>
      <c r="AS323" s="197">
        <f t="shared" ref="AS323" si="251">IF(ISBLANK(AP323),,(AQ323*W323))</f>
        <v>16.099999999999994</v>
      </c>
      <c r="AT323" s="221" t="s">
        <v>72</v>
      </c>
      <c r="AU323" s="213"/>
      <c r="AV323" s="213" t="s">
        <v>1563</v>
      </c>
      <c r="AW323" s="213" t="s">
        <v>1534</v>
      </c>
      <c r="AX323" s="364"/>
      <c r="AY323" s="364"/>
      <c r="AZ323" s="364"/>
      <c r="BA323" s="364"/>
      <c r="BB323" s="364"/>
      <c r="BC323" s="374"/>
    </row>
    <row r="324" spans="1:55" ht="14.45">
      <c r="A324" s="232" t="s">
        <v>1499</v>
      </c>
      <c r="B324" s="208">
        <v>44988</v>
      </c>
      <c r="C324" s="209" t="s">
        <v>1346</v>
      </c>
      <c r="D324" s="209" t="s">
        <v>88</v>
      </c>
      <c r="E324" s="259"/>
      <c r="F324" s="211"/>
      <c r="G324" s="348" t="s">
        <v>110</v>
      </c>
      <c r="H324" s="213"/>
      <c r="I324" s="213"/>
      <c r="J324" s="213"/>
      <c r="K324" s="214"/>
      <c r="L324" s="213">
        <v>1</v>
      </c>
      <c r="M324" s="213"/>
      <c r="N324" s="213"/>
      <c r="O324" s="214" t="s">
        <v>71</v>
      </c>
      <c r="P324" s="214" t="s">
        <v>72</v>
      </c>
      <c r="Q324" s="214" t="s">
        <v>73</v>
      </c>
      <c r="R324" s="214">
        <v>3</v>
      </c>
      <c r="S324" s="214">
        <v>3</v>
      </c>
      <c r="T324" s="214">
        <v>3</v>
      </c>
      <c r="U324" s="214" t="s">
        <v>73</v>
      </c>
      <c r="V324" s="191">
        <f t="shared" si="246"/>
        <v>0.01</v>
      </c>
      <c r="W324" s="191">
        <f t="shared" si="247"/>
        <v>1610.0000000000002</v>
      </c>
      <c r="X324" s="216"/>
      <c r="Y324" s="216"/>
      <c r="Z324" s="216" t="s">
        <v>75</v>
      </c>
      <c r="AA324" s="217">
        <v>0.03</v>
      </c>
      <c r="AB324" s="213"/>
      <c r="AC324" s="213"/>
      <c r="AD324" s="213"/>
      <c r="AE324" s="213"/>
      <c r="AF324" s="213"/>
      <c r="AG324" s="213"/>
      <c r="AH324" s="213"/>
      <c r="AI324" s="194">
        <f t="shared" ref="AI324" si="252">-0.03*W324</f>
        <v>-48.300000000000004</v>
      </c>
      <c r="AJ324" s="194">
        <f t="shared" si="248"/>
        <v>-144.9</v>
      </c>
      <c r="AK324" s="213"/>
      <c r="AL324" s="213"/>
      <c r="AM324" s="213" t="s">
        <v>1564</v>
      </c>
      <c r="AN324" s="213" t="s">
        <v>371</v>
      </c>
      <c r="AO324" s="213" t="s">
        <v>1565</v>
      </c>
      <c r="AP324" s="219">
        <v>0.02</v>
      </c>
      <c r="AQ324" s="196">
        <f t="shared" ref="AQ324" si="253">IF(ISBLANK(AP324),,IF(U324="S",AA324-AP324,AP324-AA324))</f>
        <v>9.9999999999999985E-3</v>
      </c>
      <c r="AR324" s="194">
        <f t="shared" ref="AR324" si="254">AS324*R324</f>
        <v>48.300000000000004</v>
      </c>
      <c r="AS324" s="197">
        <f t="shared" ref="AS324" si="255">IF(ISBLANK(AP324),,(AQ324*W324))</f>
        <v>16.100000000000001</v>
      </c>
      <c r="AT324" s="221" t="s">
        <v>72</v>
      </c>
      <c r="AU324" s="213" t="s">
        <v>917</v>
      </c>
      <c r="AV324" s="213"/>
      <c r="AW324" s="213"/>
      <c r="AX324" s="364"/>
      <c r="AY324" s="364"/>
      <c r="AZ324" s="364"/>
      <c r="BA324" s="364"/>
      <c r="BB324" s="364"/>
      <c r="BC324" s="374"/>
    </row>
    <row r="325" spans="1:55" ht="14.45">
      <c r="A325" s="232" t="s">
        <v>1499</v>
      </c>
      <c r="B325" s="208">
        <v>44988</v>
      </c>
      <c r="C325" s="209" t="s">
        <v>1565</v>
      </c>
      <c r="D325" s="209" t="s">
        <v>88</v>
      </c>
      <c r="E325" s="259"/>
      <c r="F325" s="211"/>
      <c r="G325" s="348" t="s">
        <v>110</v>
      </c>
      <c r="H325" s="213"/>
      <c r="I325" s="213"/>
      <c r="J325" s="213"/>
      <c r="K325" s="214"/>
      <c r="L325" s="213">
        <v>1</v>
      </c>
      <c r="M325" s="213"/>
      <c r="N325" s="213"/>
      <c r="O325" s="214" t="s">
        <v>71</v>
      </c>
      <c r="P325" s="214" t="s">
        <v>72</v>
      </c>
      <c r="Q325" s="214" t="s">
        <v>73</v>
      </c>
      <c r="R325" s="214">
        <v>4</v>
      </c>
      <c r="S325" s="214">
        <v>4</v>
      </c>
      <c r="T325" s="214">
        <v>4</v>
      </c>
      <c r="U325" s="214" t="s">
        <v>73</v>
      </c>
      <c r="V325" s="191">
        <f t="shared" ref="V325" si="256">IF(ISBLANK(O325),"",(IF(O325=UPPER("IB"),0.005,0.01)))</f>
        <v>0.01</v>
      </c>
      <c r="W325" s="191">
        <f>IF(ISBLANK(O325),"",IF(O325=UPPER("IB"),8.63*200,16.2*100))</f>
        <v>1620</v>
      </c>
      <c r="X325" s="216"/>
      <c r="Y325" s="216"/>
      <c r="Z325" s="216" t="s">
        <v>75</v>
      </c>
      <c r="AA325" s="217">
        <v>0.03</v>
      </c>
      <c r="AB325" s="213"/>
      <c r="AC325" s="213"/>
      <c r="AD325" s="213"/>
      <c r="AE325" s="213">
        <v>6</v>
      </c>
      <c r="AF325" s="213"/>
      <c r="AG325" s="213"/>
      <c r="AH325" s="213"/>
      <c r="AI325" s="194">
        <f t="shared" ref="AI325" si="257">-0.03*W325</f>
        <v>-48.6</v>
      </c>
      <c r="AJ325" s="194">
        <f t="shared" ref="AJ325" si="258">AI325*R325</f>
        <v>-194.4</v>
      </c>
      <c r="AK325" s="213"/>
      <c r="AL325" s="213" t="s">
        <v>1566</v>
      </c>
      <c r="AM325" s="213" t="s">
        <v>781</v>
      </c>
      <c r="AN325" s="213" t="s">
        <v>92</v>
      </c>
      <c r="AO325" s="213" t="s">
        <v>1567</v>
      </c>
      <c r="AP325" s="219">
        <v>0.03</v>
      </c>
      <c r="AQ325" s="196">
        <f t="shared" ref="AQ325" si="259">IF(ISBLANK(AP325),,IF(U325="S",AA325-AP325,AP325-AA325))</f>
        <v>0</v>
      </c>
      <c r="AR325" s="194">
        <f t="shared" ref="AR325" si="260">AS325*R325</f>
        <v>0</v>
      </c>
      <c r="AS325" s="197">
        <f t="shared" ref="AS325" si="261">IF(ISBLANK(AP325),,(AQ325*W325))</f>
        <v>0</v>
      </c>
      <c r="AT325" s="221" t="s">
        <v>92</v>
      </c>
      <c r="AU325" s="213"/>
      <c r="AV325" s="213"/>
      <c r="AW325" s="213"/>
      <c r="AX325" s="364"/>
      <c r="AY325" s="364"/>
      <c r="AZ325" s="364"/>
      <c r="BA325" s="364"/>
      <c r="BB325" s="364"/>
      <c r="BC325" s="374"/>
    </row>
    <row r="326" spans="1:55" ht="14.45">
      <c r="A326" s="232" t="s">
        <v>1499</v>
      </c>
      <c r="B326" s="208">
        <v>44988</v>
      </c>
      <c r="C326" s="209" t="s">
        <v>1565</v>
      </c>
      <c r="D326" s="209" t="s">
        <v>88</v>
      </c>
      <c r="E326" s="259"/>
      <c r="F326" s="211"/>
      <c r="G326" s="348" t="s">
        <v>110</v>
      </c>
      <c r="H326" s="213"/>
      <c r="I326" s="213"/>
      <c r="J326" s="213"/>
      <c r="K326" s="214"/>
      <c r="L326" s="213">
        <v>1</v>
      </c>
      <c r="M326" s="213"/>
      <c r="N326" s="213"/>
      <c r="O326" s="214" t="s">
        <v>71</v>
      </c>
      <c r="P326" s="214" t="s">
        <v>72</v>
      </c>
      <c r="Q326" s="214" t="s">
        <v>73</v>
      </c>
      <c r="R326" s="214">
        <v>5</v>
      </c>
      <c r="S326" s="214">
        <v>5</v>
      </c>
      <c r="T326" s="214">
        <v>5</v>
      </c>
      <c r="U326" s="214" t="s">
        <v>73</v>
      </c>
      <c r="V326" s="191">
        <f t="shared" ref="V326" si="262">IF(ISBLANK(O326),"",(IF(O326=UPPER("IB"),0.005,0.01)))</f>
        <v>0.01</v>
      </c>
      <c r="W326" s="191">
        <f>IF(ISBLANK(O326),"",IF(O326=UPPER("IB"),8.63*200,16.2*100))</f>
        <v>1620</v>
      </c>
      <c r="X326" s="216"/>
      <c r="Y326" s="216" t="s">
        <v>1568</v>
      </c>
      <c r="Z326" s="216" t="s">
        <v>506</v>
      </c>
      <c r="AA326" s="217">
        <v>0.04</v>
      </c>
      <c r="AB326" s="213"/>
      <c r="AC326" s="213"/>
      <c r="AD326" s="213"/>
      <c r="AE326" s="213">
        <v>6</v>
      </c>
      <c r="AF326" s="213"/>
      <c r="AG326" s="213"/>
      <c r="AH326" s="213"/>
      <c r="AI326" s="194">
        <f>-0.03*W326</f>
        <v>-48.6</v>
      </c>
      <c r="AJ326" s="194">
        <f t="shared" ref="AJ326" si="263">AI326*R326</f>
        <v>-243</v>
      </c>
      <c r="AK326" s="213"/>
      <c r="AL326" s="213" t="s">
        <v>1569</v>
      </c>
      <c r="AM326" s="213" t="s">
        <v>781</v>
      </c>
      <c r="AN326" s="213" t="s">
        <v>92</v>
      </c>
      <c r="AO326" s="213" t="s">
        <v>1567</v>
      </c>
      <c r="AP326" s="219">
        <v>0.03</v>
      </c>
      <c r="AQ326" s="196">
        <f t="shared" ref="AQ326" si="264">IF(ISBLANK(AP326),,IF(U326="S",AA326-AP326,AP326-AA326))</f>
        <v>1.0000000000000002E-2</v>
      </c>
      <c r="AR326" s="194">
        <f t="shared" ref="AR326" si="265">AS326*R326</f>
        <v>81.000000000000014</v>
      </c>
      <c r="AS326" s="197">
        <f t="shared" ref="AS326" si="266">IF(ISBLANK(AP326),,(AQ326*W326))</f>
        <v>16.200000000000003</v>
      </c>
      <c r="AT326" s="221" t="s">
        <v>72</v>
      </c>
      <c r="AU326" s="213" t="s">
        <v>1114</v>
      </c>
      <c r="AV326" s="213"/>
      <c r="AW326" s="213"/>
      <c r="AX326" s="364" t="s">
        <v>1570</v>
      </c>
      <c r="AY326" s="364" t="s">
        <v>1571</v>
      </c>
      <c r="AZ326" s="364" t="s">
        <v>1572</v>
      </c>
      <c r="BA326" s="364" t="s">
        <v>1573</v>
      </c>
      <c r="BB326" s="364" t="s">
        <v>506</v>
      </c>
      <c r="BC326" s="374"/>
    </row>
    <row r="327" spans="1:55" ht="14.45">
      <c r="A327" s="232" t="s">
        <v>1499</v>
      </c>
      <c r="B327" s="208"/>
      <c r="C327" s="209"/>
      <c r="D327" s="209"/>
      <c r="E327" s="259"/>
      <c r="F327" s="211"/>
      <c r="G327" s="212"/>
      <c r="H327" s="213"/>
      <c r="I327" s="213"/>
      <c r="J327" s="213"/>
      <c r="K327" s="214"/>
      <c r="L327" s="213"/>
      <c r="M327" s="213"/>
      <c r="N327" s="213"/>
      <c r="O327" s="214"/>
      <c r="P327" s="214"/>
      <c r="Q327" s="214"/>
      <c r="R327" s="214"/>
      <c r="S327" s="214"/>
      <c r="T327" s="214"/>
      <c r="U327" s="214"/>
      <c r="V327" s="191"/>
      <c r="W327" s="191"/>
      <c r="X327" s="216"/>
      <c r="Y327" s="216"/>
      <c r="Z327" s="216"/>
      <c r="AA327" s="217"/>
      <c r="AB327" s="213"/>
      <c r="AC327" s="213"/>
      <c r="AD327" s="213"/>
      <c r="AE327" s="213"/>
      <c r="AF327" s="213"/>
      <c r="AG327" s="213"/>
      <c r="AH327" s="213"/>
      <c r="AI327" s="194"/>
      <c r="AJ327" s="194"/>
      <c r="AK327" s="213"/>
      <c r="AL327" s="213"/>
      <c r="AM327" s="213"/>
      <c r="AN327" s="213"/>
      <c r="AO327" s="213"/>
      <c r="AP327" s="219"/>
      <c r="AQ327" s="196"/>
      <c r="AR327" s="194"/>
      <c r="AS327" s="197"/>
      <c r="AT327" s="221"/>
      <c r="AU327" s="213" t="s">
        <v>538</v>
      </c>
      <c r="AV327" s="213" t="s">
        <v>1574</v>
      </c>
      <c r="AW327" s="213" t="s">
        <v>1575</v>
      </c>
      <c r="AX327" s="364" t="s">
        <v>1576</v>
      </c>
      <c r="AY327" s="364" t="s">
        <v>1577</v>
      </c>
      <c r="AZ327" s="364" t="s">
        <v>1578</v>
      </c>
      <c r="BA327" s="364" t="s">
        <v>1579</v>
      </c>
      <c r="BB327" s="364" t="s">
        <v>1580</v>
      </c>
      <c r="BC327" s="374" t="s">
        <v>506</v>
      </c>
    </row>
    <row r="328" spans="1:55" ht="13.9">
      <c r="A328" s="232" t="s">
        <v>1499</v>
      </c>
      <c r="B328" s="208"/>
      <c r="C328" s="209"/>
      <c r="D328" s="209"/>
      <c r="E328" s="259"/>
      <c r="F328" s="211"/>
      <c r="G328" s="212"/>
      <c r="H328" s="213"/>
      <c r="I328" s="213"/>
      <c r="J328" s="213"/>
      <c r="K328" s="214"/>
      <c r="L328" s="213"/>
      <c r="M328" s="213"/>
      <c r="N328" s="213"/>
      <c r="O328" s="214"/>
      <c r="P328" s="214"/>
      <c r="Q328" s="214"/>
      <c r="R328" s="214"/>
      <c r="S328" s="214"/>
      <c r="T328" s="214"/>
      <c r="U328" s="214"/>
      <c r="V328" s="214"/>
      <c r="W328" s="214"/>
      <c r="X328" s="216"/>
      <c r="Y328" s="216"/>
      <c r="Z328" s="216"/>
      <c r="AA328" s="217"/>
      <c r="AB328" s="213"/>
      <c r="AC328" s="213"/>
      <c r="AD328" s="213"/>
      <c r="AE328" s="213"/>
      <c r="AF328" s="213"/>
      <c r="AG328" s="213"/>
      <c r="AH328" s="213"/>
      <c r="AI328" s="218"/>
      <c r="AJ328" s="214"/>
      <c r="AK328" s="213"/>
      <c r="AL328" s="213"/>
      <c r="AM328" s="213"/>
      <c r="AN328" s="213"/>
      <c r="AO328" s="213"/>
      <c r="AP328" s="219"/>
      <c r="AQ328" s="196"/>
      <c r="AR328" s="194"/>
      <c r="AS328" s="197"/>
      <c r="AT328" s="221"/>
      <c r="AU328" s="213" t="s">
        <v>1581</v>
      </c>
      <c r="AV328" s="213" t="s">
        <v>1582</v>
      </c>
      <c r="AW328" s="216" t="s">
        <v>1583</v>
      </c>
      <c r="AX328" s="376" t="s">
        <v>1584</v>
      </c>
      <c r="AY328" s="364" t="s">
        <v>1585</v>
      </c>
      <c r="AZ328" s="364" t="s">
        <v>1586</v>
      </c>
      <c r="BA328" s="364" t="s">
        <v>1587</v>
      </c>
      <c r="BB328" s="364" t="s">
        <v>506</v>
      </c>
      <c r="BC328" s="374"/>
    </row>
    <row r="329" spans="1:55" ht="14.45">
      <c r="A329" s="232" t="s">
        <v>1499</v>
      </c>
      <c r="B329" s="208">
        <v>44992</v>
      </c>
      <c r="C329" s="209" t="s">
        <v>1588</v>
      </c>
      <c r="D329" s="209" t="s">
        <v>123</v>
      </c>
      <c r="E329" s="259"/>
      <c r="F329" s="211"/>
      <c r="G329" s="348" t="s">
        <v>1589</v>
      </c>
      <c r="H329" s="213"/>
      <c r="I329" s="213"/>
      <c r="J329" s="213"/>
      <c r="K329" s="214"/>
      <c r="L329" s="213">
        <v>1</v>
      </c>
      <c r="M329" s="213">
        <v>2</v>
      </c>
      <c r="N329" s="213"/>
      <c r="O329" s="214" t="s">
        <v>71</v>
      </c>
      <c r="P329" s="214" t="s">
        <v>114</v>
      </c>
      <c r="Q329" s="214" t="s">
        <v>233</v>
      </c>
      <c r="R329" s="214">
        <v>10</v>
      </c>
      <c r="S329" s="214">
        <v>10</v>
      </c>
      <c r="T329" s="214">
        <v>10</v>
      </c>
      <c r="U329" s="214" t="s">
        <v>73</v>
      </c>
      <c r="V329" s="191">
        <f t="shared" ref="V329" si="267">IF(ISBLANK(O329),"",(IF(O329=UPPER("IB"),0.005,0.01)))</f>
        <v>0.01</v>
      </c>
      <c r="W329" s="191">
        <f>IF(ISBLANK(O329),"",IF(O329=UPPER("IB"),8.63*200,16.2*100))</f>
        <v>1620</v>
      </c>
      <c r="X329" s="216"/>
      <c r="Y329" s="216"/>
      <c r="Z329" s="216" t="s">
        <v>1590</v>
      </c>
      <c r="AA329" s="217">
        <v>-0.01</v>
      </c>
      <c r="AB329" s="213"/>
      <c r="AC329" s="213"/>
      <c r="AD329" s="213"/>
      <c r="AE329" s="213" t="s">
        <v>1591</v>
      </c>
      <c r="AF329" s="213" t="s">
        <v>1592</v>
      </c>
      <c r="AG329" s="213" t="s">
        <v>1593</v>
      </c>
      <c r="AH329" s="213" t="s">
        <v>506</v>
      </c>
      <c r="AI329" s="194">
        <f>-0.03*W329</f>
        <v>-48.6</v>
      </c>
      <c r="AJ329" s="194">
        <f t="shared" ref="AJ329" si="268">AI329*R329</f>
        <v>-486</v>
      </c>
      <c r="AK329" s="213" t="s">
        <v>1594</v>
      </c>
      <c r="AL329" s="213" t="s">
        <v>1595</v>
      </c>
      <c r="AM329" s="213" t="s">
        <v>506</v>
      </c>
      <c r="AN329" s="213"/>
      <c r="AO329" s="213"/>
      <c r="AP329" s="219"/>
      <c r="AQ329" s="196">
        <f t="shared" ref="AQ329:AQ336" si="269">IF(ISBLANK(AP329),,IF(U329="S",AA329-AP329,AP329-AA329))</f>
        <v>0</v>
      </c>
      <c r="AR329" s="194">
        <f t="shared" ref="AR329:AR336" si="270">AS329*R329</f>
        <v>0</v>
      </c>
      <c r="AS329" s="197">
        <f t="shared" ref="AS329:AS336" si="271">IF(ISBLANK(AP329),,(AQ329*W329))</f>
        <v>0</v>
      </c>
      <c r="AT329" s="221"/>
      <c r="AU329" s="213" t="s">
        <v>1596</v>
      </c>
      <c r="AV329" s="364" t="s">
        <v>1597</v>
      </c>
      <c r="AW329" s="213" t="s">
        <v>1598</v>
      </c>
      <c r="AX329" s="364" t="s">
        <v>1599</v>
      </c>
      <c r="AY329" s="364" t="s">
        <v>506</v>
      </c>
      <c r="AZ329" s="364"/>
      <c r="BA329" s="364"/>
      <c r="BB329" s="364"/>
      <c r="BC329" s="374" t="s">
        <v>506</v>
      </c>
    </row>
    <row r="330" spans="1:55" ht="14.45">
      <c r="A330" s="232" t="s">
        <v>1499</v>
      </c>
      <c r="B330" s="208">
        <v>44992</v>
      </c>
      <c r="C330" s="209" t="s">
        <v>1413</v>
      </c>
      <c r="D330" s="209" t="s">
        <v>123</v>
      </c>
      <c r="E330" s="259" t="s">
        <v>1600</v>
      </c>
      <c r="F330" s="211" t="s">
        <v>1601</v>
      </c>
      <c r="G330" s="212"/>
      <c r="H330" s="213"/>
      <c r="I330" s="213">
        <v>1</v>
      </c>
      <c r="J330" s="213"/>
      <c r="K330" s="214"/>
      <c r="L330" s="213"/>
      <c r="M330" s="213"/>
      <c r="N330" s="213"/>
      <c r="O330" s="214"/>
      <c r="P330" s="214"/>
      <c r="Q330" s="214"/>
      <c r="R330" s="214"/>
      <c r="S330" s="214"/>
      <c r="T330" s="214"/>
      <c r="U330" s="214"/>
      <c r="V330" s="191" t="str">
        <f t="shared" ref="V330:V335" si="272">IF(ISBLANK(O330),"",(IF(O330=UPPER("IB"),0.005,0.01)))</f>
        <v/>
      </c>
      <c r="W330" s="191" t="str">
        <f t="shared" ref="W330:W334" si="273">IF(ISBLANK(O330),"",IF(O330=UPPER("IB"),8.63*200,16.2*100))</f>
        <v/>
      </c>
      <c r="X330" s="216"/>
      <c r="Y330" s="216"/>
      <c r="Z330" s="216"/>
      <c r="AA330" s="217"/>
      <c r="AB330" s="213"/>
      <c r="AC330" s="213"/>
      <c r="AD330" s="213"/>
      <c r="AE330" s="213"/>
      <c r="AF330" s="213"/>
      <c r="AG330" s="213"/>
      <c r="AH330" s="213"/>
      <c r="AI330" s="194"/>
      <c r="AJ330" s="194"/>
      <c r="AK330" s="213"/>
      <c r="AL330" s="213"/>
      <c r="AM330" s="213"/>
      <c r="AN330" s="213"/>
      <c r="AO330" s="213"/>
      <c r="AP330" s="219"/>
      <c r="AQ330" s="196"/>
      <c r="AR330" s="194"/>
      <c r="AS330" s="197"/>
      <c r="AT330" s="221"/>
      <c r="AU330" s="213"/>
      <c r="AV330" s="213"/>
      <c r="AW330" s="213"/>
      <c r="AX330" s="364"/>
      <c r="AY330" s="364"/>
      <c r="AZ330" s="364"/>
      <c r="BA330" s="364"/>
      <c r="BB330" s="364"/>
      <c r="BC330" s="374"/>
    </row>
    <row r="331" spans="1:55" ht="14.45">
      <c r="A331" s="232" t="s">
        <v>1499</v>
      </c>
      <c r="B331" s="208">
        <v>44992</v>
      </c>
      <c r="C331" s="209" t="s">
        <v>1602</v>
      </c>
      <c r="D331" s="209" t="s">
        <v>123</v>
      </c>
      <c r="E331" s="259" t="s">
        <v>1603</v>
      </c>
      <c r="F331" s="211" t="s">
        <v>1604</v>
      </c>
      <c r="G331" s="212"/>
      <c r="H331" s="213"/>
      <c r="I331" s="213">
        <v>1</v>
      </c>
      <c r="J331" s="213"/>
      <c r="K331" s="214" t="s">
        <v>92</v>
      </c>
      <c r="L331" s="213"/>
      <c r="M331" s="213"/>
      <c r="N331" s="213"/>
      <c r="O331" s="214"/>
      <c r="P331" s="214"/>
      <c r="Q331" s="214"/>
      <c r="R331" s="214"/>
      <c r="S331" s="214"/>
      <c r="T331" s="214"/>
      <c r="U331" s="214"/>
      <c r="V331" s="191" t="str">
        <f t="shared" si="272"/>
        <v/>
      </c>
      <c r="W331" s="191" t="str">
        <f t="shared" si="273"/>
        <v/>
      </c>
      <c r="X331" s="216"/>
      <c r="Y331" s="216"/>
      <c r="Z331" s="216"/>
      <c r="AA331" s="217"/>
      <c r="AB331" s="213"/>
      <c r="AC331" s="213"/>
      <c r="AD331" s="213"/>
      <c r="AE331" s="213"/>
      <c r="AF331" s="213"/>
      <c r="AG331" s="213"/>
      <c r="AH331" s="213"/>
      <c r="AI331" s="194"/>
      <c r="AJ331" s="194"/>
      <c r="AK331" s="213"/>
      <c r="AL331" s="213"/>
      <c r="AM331" s="213"/>
      <c r="AN331" s="213"/>
      <c r="AO331" s="213"/>
      <c r="AP331" s="219"/>
      <c r="AQ331" s="196"/>
      <c r="AR331" s="194"/>
      <c r="AS331" s="197"/>
      <c r="AT331" s="221"/>
      <c r="AU331" s="213"/>
      <c r="AV331" s="213"/>
      <c r="AW331" s="213"/>
      <c r="AX331" s="364"/>
      <c r="AY331" s="364"/>
      <c r="AZ331" s="364"/>
      <c r="BA331" s="364"/>
      <c r="BB331" s="364"/>
      <c r="BC331" s="374"/>
    </row>
    <row r="332" spans="1:55" ht="14.45">
      <c r="A332" s="232" t="s">
        <v>1499</v>
      </c>
      <c r="B332" s="208"/>
      <c r="C332" s="209"/>
      <c r="D332" s="209"/>
      <c r="E332" s="259" t="s">
        <v>1605</v>
      </c>
      <c r="F332" s="211"/>
      <c r="G332" s="212"/>
      <c r="H332" s="213"/>
      <c r="I332" s="213"/>
      <c r="J332" s="213"/>
      <c r="K332" s="214"/>
      <c r="L332" s="213"/>
      <c r="M332" s="213"/>
      <c r="N332" s="213"/>
      <c r="O332" s="214"/>
      <c r="P332" s="214"/>
      <c r="Q332" s="214"/>
      <c r="R332" s="214"/>
      <c r="S332" s="214"/>
      <c r="T332" s="214"/>
      <c r="U332" s="214"/>
      <c r="V332" s="191" t="str">
        <f t="shared" si="272"/>
        <v/>
      </c>
      <c r="W332" s="191" t="str">
        <f t="shared" si="273"/>
        <v/>
      </c>
      <c r="X332" s="216"/>
      <c r="Y332" s="216"/>
      <c r="Z332" s="216"/>
      <c r="AA332" s="217"/>
      <c r="AB332" s="213"/>
      <c r="AC332" s="213"/>
      <c r="AD332" s="213"/>
      <c r="AE332" s="213"/>
      <c r="AF332" s="213"/>
      <c r="AG332" s="213"/>
      <c r="AH332" s="213"/>
      <c r="AI332" s="194"/>
      <c r="AJ332" s="194"/>
      <c r="AK332" s="213"/>
      <c r="AL332" s="213"/>
      <c r="AM332" s="213"/>
      <c r="AN332" s="213"/>
      <c r="AO332" s="213"/>
      <c r="AP332" s="219"/>
      <c r="AQ332" s="196"/>
      <c r="AR332" s="194"/>
      <c r="AS332" s="197"/>
      <c r="AT332" s="221"/>
      <c r="AU332" s="213"/>
      <c r="AV332" s="213"/>
      <c r="AW332" s="213"/>
      <c r="AX332" s="364"/>
      <c r="AY332" s="364"/>
      <c r="AZ332" s="364"/>
      <c r="BA332" s="364"/>
      <c r="BB332" s="364"/>
      <c r="BC332" s="374"/>
    </row>
    <row r="333" spans="1:55" ht="14.45">
      <c r="A333" s="232" t="s">
        <v>1499</v>
      </c>
      <c r="B333" s="208">
        <v>44993</v>
      </c>
      <c r="C333" s="209" t="s">
        <v>1606</v>
      </c>
      <c r="D333" s="209" t="s">
        <v>128</v>
      </c>
      <c r="E333" s="259" t="s">
        <v>1607</v>
      </c>
      <c r="F333" s="211"/>
      <c r="G333" s="212"/>
      <c r="H333" s="213"/>
      <c r="I333" s="213"/>
      <c r="J333" s="213"/>
      <c r="K333" s="214"/>
      <c r="L333" s="213"/>
      <c r="M333" s="213"/>
      <c r="N333" s="213"/>
      <c r="O333" s="214"/>
      <c r="P333" s="214"/>
      <c r="Q333" s="214"/>
      <c r="R333" s="214"/>
      <c r="S333" s="214"/>
      <c r="T333" s="214"/>
      <c r="U333" s="214"/>
      <c r="V333" s="191" t="str">
        <f t="shared" si="272"/>
        <v/>
      </c>
      <c r="W333" s="191" t="str">
        <f t="shared" si="273"/>
        <v/>
      </c>
      <c r="X333" s="216"/>
      <c r="Y333" s="216"/>
      <c r="Z333" s="216"/>
      <c r="AA333" s="217"/>
      <c r="AB333" s="213"/>
      <c r="AC333" s="213"/>
      <c r="AD333" s="213"/>
      <c r="AE333" s="213"/>
      <c r="AF333" s="213"/>
      <c r="AG333" s="213"/>
      <c r="AH333" s="213"/>
      <c r="AI333" s="194"/>
      <c r="AJ333" s="194"/>
      <c r="AK333" s="213"/>
      <c r="AL333" s="213"/>
      <c r="AM333" s="213"/>
      <c r="AN333" s="213"/>
      <c r="AO333" s="213"/>
      <c r="AP333" s="219"/>
      <c r="AQ333" s="196"/>
      <c r="AR333" s="194"/>
      <c r="AS333" s="197"/>
      <c r="AT333" s="221"/>
      <c r="AU333" s="213"/>
      <c r="AV333" s="213"/>
      <c r="AW333" s="213"/>
      <c r="AX333" s="364"/>
      <c r="AY333" s="364"/>
      <c r="AZ333" s="364"/>
      <c r="BA333" s="364"/>
      <c r="BB333" s="364"/>
      <c r="BC333" s="374"/>
    </row>
    <row r="334" spans="1:55" ht="14.45">
      <c r="A334" s="232" t="s">
        <v>1499</v>
      </c>
      <c r="B334" s="208">
        <v>44993</v>
      </c>
      <c r="C334" s="209" t="s">
        <v>1608</v>
      </c>
      <c r="D334" s="209" t="s">
        <v>128</v>
      </c>
      <c r="E334" s="259" t="s">
        <v>1609</v>
      </c>
      <c r="F334" s="211" t="s">
        <v>1601</v>
      </c>
      <c r="G334" s="212"/>
      <c r="H334" s="213">
        <v>1</v>
      </c>
      <c r="I334" s="213"/>
      <c r="J334" s="213"/>
      <c r="K334" s="214" t="s">
        <v>82</v>
      </c>
      <c r="L334" s="213"/>
      <c r="M334" s="213"/>
      <c r="N334" s="213"/>
      <c r="O334" s="214"/>
      <c r="P334" s="214"/>
      <c r="Q334" s="214"/>
      <c r="R334" s="214"/>
      <c r="S334" s="214"/>
      <c r="T334" s="214"/>
      <c r="U334" s="214"/>
      <c r="V334" s="191" t="str">
        <f t="shared" si="272"/>
        <v/>
      </c>
      <c r="W334" s="191" t="str">
        <f t="shared" si="273"/>
        <v/>
      </c>
      <c r="X334" s="216"/>
      <c r="Y334" s="216"/>
      <c r="Z334" s="216"/>
      <c r="AA334" s="217"/>
      <c r="AB334" s="213"/>
      <c r="AC334" s="213"/>
      <c r="AD334" s="213"/>
      <c r="AE334" s="213"/>
      <c r="AF334" s="213"/>
      <c r="AG334" s="213"/>
      <c r="AH334" s="213"/>
      <c r="AI334" s="194"/>
      <c r="AJ334" s="194"/>
      <c r="AK334" s="213"/>
      <c r="AL334" s="213"/>
      <c r="AM334" s="213"/>
      <c r="AN334" s="213"/>
      <c r="AO334" s="213"/>
      <c r="AP334" s="219"/>
      <c r="AQ334" s="196"/>
      <c r="AR334" s="194"/>
      <c r="AS334" s="197"/>
      <c r="AT334" s="221"/>
      <c r="AU334" s="213"/>
      <c r="AV334" s="213"/>
      <c r="AW334" s="213"/>
      <c r="AX334" s="364"/>
      <c r="AY334" s="364"/>
      <c r="AZ334" s="364"/>
      <c r="BA334" s="364"/>
      <c r="BB334" s="364"/>
      <c r="BC334" s="374"/>
    </row>
    <row r="335" spans="1:55" ht="14.45">
      <c r="A335" s="232" t="s">
        <v>1499</v>
      </c>
      <c r="B335" s="208">
        <v>44995</v>
      </c>
      <c r="C335" s="185" t="s">
        <v>1610</v>
      </c>
      <c r="D335" s="185" t="s">
        <v>88</v>
      </c>
      <c r="E335" s="238"/>
      <c r="F335" s="187"/>
      <c r="G335" s="299" t="s">
        <v>248</v>
      </c>
      <c r="H335" s="189"/>
      <c r="I335" s="189"/>
      <c r="J335" s="189"/>
      <c r="K335" s="190"/>
      <c r="L335" s="189">
        <v>3</v>
      </c>
      <c r="M335" s="189">
        <v>2</v>
      </c>
      <c r="N335" s="189"/>
      <c r="O335" s="190" t="s">
        <v>71</v>
      </c>
      <c r="P335" s="190" t="s">
        <v>114</v>
      </c>
      <c r="Q335" s="190" t="s">
        <v>73</v>
      </c>
      <c r="R335" s="190">
        <v>7</v>
      </c>
      <c r="S335" s="190">
        <v>7</v>
      </c>
      <c r="T335" s="190">
        <v>7</v>
      </c>
      <c r="U335" s="190" t="s">
        <v>21</v>
      </c>
      <c r="V335" s="191">
        <f t="shared" si="272"/>
        <v>0.01</v>
      </c>
      <c r="W335" s="191">
        <f>IF(ISBLANK(O335),"",IF(O335=UPPER("IB"),8.63*200,15.8*100))</f>
        <v>1580</v>
      </c>
      <c r="X335" s="192"/>
      <c r="Y335" s="192"/>
      <c r="Z335" s="192" t="s">
        <v>75</v>
      </c>
      <c r="AA335" s="193">
        <v>-0.11</v>
      </c>
      <c r="AB335" s="189"/>
      <c r="AC335" s="189">
        <v>-14</v>
      </c>
      <c r="AD335" s="189"/>
      <c r="AE335" s="189">
        <v>-10</v>
      </c>
      <c r="AF335" s="189"/>
      <c r="AG335" s="189" t="s">
        <v>1611</v>
      </c>
      <c r="AH335" s="189" t="s">
        <v>506</v>
      </c>
      <c r="AI335" s="194">
        <f>-0.02*W335</f>
        <v>-31.6</v>
      </c>
      <c r="AJ335" s="194">
        <f t="shared" ref="AJ335" si="274">AI335*R335</f>
        <v>-221.20000000000002</v>
      </c>
      <c r="AK335" s="189"/>
      <c r="AL335" s="189"/>
      <c r="AM335" s="189" t="s">
        <v>1612</v>
      </c>
      <c r="AN335" s="189" t="s">
        <v>82</v>
      </c>
      <c r="AO335" s="189" t="s">
        <v>1613</v>
      </c>
      <c r="AP335" s="196">
        <v>-0.11</v>
      </c>
      <c r="AQ335" s="196">
        <f t="shared" si="269"/>
        <v>0</v>
      </c>
      <c r="AR335" s="194">
        <f t="shared" si="270"/>
        <v>0</v>
      </c>
      <c r="AS335" s="197">
        <f t="shared" si="271"/>
        <v>0</v>
      </c>
      <c r="AT335" s="198" t="s">
        <v>92</v>
      </c>
      <c r="AU335" s="189" t="s">
        <v>1614</v>
      </c>
      <c r="AV335" s="189" t="s">
        <v>1615</v>
      </c>
      <c r="AW335" s="189"/>
      <c r="AX335" s="361"/>
      <c r="AY335" s="361"/>
      <c r="AZ335" s="361"/>
      <c r="BA335" s="361"/>
      <c r="BB335" s="361"/>
      <c r="BC335" s="373"/>
    </row>
    <row r="336" spans="1:55" ht="14.45">
      <c r="A336" s="232" t="s">
        <v>1499</v>
      </c>
      <c r="B336" s="208">
        <v>44995</v>
      </c>
      <c r="C336" s="209" t="s">
        <v>1616</v>
      </c>
      <c r="D336" s="209" t="s">
        <v>88</v>
      </c>
      <c r="E336" s="259"/>
      <c r="F336" s="211"/>
      <c r="G336" s="348" t="s">
        <v>342</v>
      </c>
      <c r="H336" s="213"/>
      <c r="I336" s="213"/>
      <c r="J336" s="213"/>
      <c r="K336" s="214"/>
      <c r="L336" s="213">
        <v>3</v>
      </c>
      <c r="M336" s="213">
        <v>2</v>
      </c>
      <c r="N336" s="213"/>
      <c r="O336" s="214" t="s">
        <v>71</v>
      </c>
      <c r="P336" s="214" t="s">
        <v>72</v>
      </c>
      <c r="Q336" s="214" t="s">
        <v>73</v>
      </c>
      <c r="R336" s="214">
        <v>8</v>
      </c>
      <c r="S336" s="214">
        <v>8</v>
      </c>
      <c r="T336" s="214">
        <v>8</v>
      </c>
      <c r="U336" s="214" t="s">
        <v>21</v>
      </c>
      <c r="V336" s="191">
        <f t="shared" ref="V336" si="275">IF(ISBLANK(O336),"",(IF(O336=UPPER("IB"),0.005,0.01)))</f>
        <v>0.01</v>
      </c>
      <c r="W336" s="191">
        <f>IF(ISBLANK(O336),"",IF(O336=UPPER("IB"),8.63*200,15.8*100))</f>
        <v>1580</v>
      </c>
      <c r="X336" s="216"/>
      <c r="Y336" s="216" t="s">
        <v>1617</v>
      </c>
      <c r="Z336" s="216" t="s">
        <v>75</v>
      </c>
      <c r="AA336" s="217">
        <v>-0.08</v>
      </c>
      <c r="AB336" s="213"/>
      <c r="AC336" s="213"/>
      <c r="AD336" s="213"/>
      <c r="AE336" s="213"/>
      <c r="AF336" s="213"/>
      <c r="AG336" s="213"/>
      <c r="AH336" s="213"/>
      <c r="AI336" s="218"/>
      <c r="AJ336" s="214"/>
      <c r="AK336" s="213"/>
      <c r="AL336" s="213"/>
      <c r="AM336" s="213" t="s">
        <v>1618</v>
      </c>
      <c r="AN336" s="213" t="s">
        <v>371</v>
      </c>
      <c r="AO336" s="213" t="s">
        <v>1619</v>
      </c>
      <c r="AP336" s="219">
        <v>-7.0000000000000007E-2</v>
      </c>
      <c r="AQ336" s="196">
        <f t="shared" si="269"/>
        <v>9.999999999999995E-3</v>
      </c>
      <c r="AR336" s="194">
        <f t="shared" si="270"/>
        <v>126.39999999999993</v>
      </c>
      <c r="AS336" s="197">
        <f t="shared" si="271"/>
        <v>15.799999999999992</v>
      </c>
      <c r="AT336" s="221" t="s">
        <v>72</v>
      </c>
      <c r="AU336" s="213" t="s">
        <v>1114</v>
      </c>
      <c r="AV336" s="213" t="s">
        <v>1620</v>
      </c>
      <c r="AW336" s="213" t="s">
        <v>1621</v>
      </c>
      <c r="AX336" s="364"/>
      <c r="AY336" s="364"/>
      <c r="AZ336" s="364"/>
      <c r="BA336" s="364"/>
      <c r="BB336" s="364"/>
      <c r="BC336" s="374"/>
    </row>
    <row r="337" spans="1:55" ht="15.75" customHeight="1">
      <c r="A337" s="232" t="s">
        <v>1499</v>
      </c>
      <c r="B337" s="208">
        <v>44995</v>
      </c>
      <c r="C337" s="209" t="s">
        <v>1622</v>
      </c>
      <c r="D337" s="209" t="s">
        <v>88</v>
      </c>
      <c r="E337" s="259"/>
      <c r="F337" s="211"/>
      <c r="G337" s="348" t="s">
        <v>342</v>
      </c>
      <c r="H337" s="213"/>
      <c r="I337" s="213"/>
      <c r="J337" s="213"/>
      <c r="K337" s="214"/>
      <c r="L337" s="213">
        <v>3</v>
      </c>
      <c r="M337" s="213">
        <v>2</v>
      </c>
      <c r="N337" s="213"/>
      <c r="O337" s="214" t="s">
        <v>71</v>
      </c>
      <c r="P337" s="214" t="s">
        <v>72</v>
      </c>
      <c r="Q337" s="214" t="s">
        <v>73</v>
      </c>
      <c r="R337" s="214">
        <v>8</v>
      </c>
      <c r="S337" s="214">
        <v>8</v>
      </c>
      <c r="T337" s="214">
        <v>8</v>
      </c>
      <c r="U337" s="214" t="s">
        <v>21</v>
      </c>
      <c r="V337" s="191">
        <f t="shared" ref="V337" si="276">IF(ISBLANK(O337),"",(IF(O337=UPPER("IB"),0.005,0.01)))</f>
        <v>0.01</v>
      </c>
      <c r="W337" s="191">
        <f>IF(ISBLANK(O337),"",IF(O337=UPPER("IB"),8.63*200,15.8*100))</f>
        <v>1580</v>
      </c>
      <c r="X337" s="216"/>
      <c r="Y337" s="216" t="s">
        <v>1617</v>
      </c>
      <c r="Z337" s="216" t="s">
        <v>75</v>
      </c>
      <c r="AA337" s="217">
        <v>-0.08</v>
      </c>
      <c r="AB337" s="213"/>
      <c r="AC337" s="213"/>
      <c r="AD337" s="213"/>
      <c r="AE337" s="213"/>
      <c r="AF337" s="213"/>
      <c r="AG337" s="213" t="s">
        <v>1623</v>
      </c>
      <c r="AH337" s="213"/>
      <c r="AI337" s="218"/>
      <c r="AJ337" s="214"/>
      <c r="AK337" s="213"/>
      <c r="AL337" s="213"/>
      <c r="AM337" s="213" t="s">
        <v>941</v>
      </c>
      <c r="AN337" s="213" t="s">
        <v>82</v>
      </c>
      <c r="AO337" s="213" t="s">
        <v>1624</v>
      </c>
      <c r="AP337" s="219">
        <v>-7.0000000000000007E-2</v>
      </c>
      <c r="AQ337" s="196">
        <f t="shared" ref="AQ337" si="277">IF(ISBLANK(AP337),,IF(U337="S",AA337-AP337,AP337-AA337))</f>
        <v>9.999999999999995E-3</v>
      </c>
      <c r="AR337" s="194">
        <f t="shared" ref="AR337" si="278">AS337*R337</f>
        <v>126.39999999999993</v>
      </c>
      <c r="AS337" s="197">
        <f t="shared" ref="AS337" si="279">IF(ISBLANK(AP337),,(AQ337*W337))</f>
        <v>15.799999999999992</v>
      </c>
      <c r="AT337" s="221" t="s">
        <v>72</v>
      </c>
      <c r="AU337" s="213" t="s">
        <v>1114</v>
      </c>
      <c r="AV337" s="213" t="s">
        <v>1625</v>
      </c>
      <c r="AW337" s="213"/>
      <c r="AX337" s="364"/>
      <c r="AY337" s="364"/>
      <c r="AZ337" s="364"/>
      <c r="BA337" s="364"/>
      <c r="BB337" s="364"/>
      <c r="BC337" s="374"/>
    </row>
    <row r="338" spans="1:55" ht="15.75" customHeight="1">
      <c r="A338" s="232" t="s">
        <v>1499</v>
      </c>
      <c r="B338" s="208"/>
      <c r="C338" s="209"/>
      <c r="D338" s="209"/>
      <c r="E338" s="259"/>
      <c r="F338" s="211"/>
      <c r="G338" s="212"/>
      <c r="H338" s="213"/>
      <c r="I338" s="213"/>
      <c r="J338" s="213"/>
      <c r="K338" s="214"/>
      <c r="L338" s="213"/>
      <c r="M338" s="213"/>
      <c r="N338" s="213"/>
      <c r="O338" s="214"/>
      <c r="P338" s="214"/>
      <c r="Q338" s="214"/>
      <c r="R338" s="214"/>
      <c r="S338" s="214"/>
      <c r="T338" s="214"/>
      <c r="U338" s="214"/>
      <c r="V338" s="214"/>
      <c r="W338" s="214"/>
      <c r="X338" s="216"/>
      <c r="Y338" s="216"/>
      <c r="Z338" s="216"/>
      <c r="AA338" s="217"/>
      <c r="AB338" s="213"/>
      <c r="AC338" s="213"/>
      <c r="AD338" s="213"/>
      <c r="AE338" s="213"/>
      <c r="AF338" s="213"/>
      <c r="AG338" s="213"/>
      <c r="AH338" s="213"/>
      <c r="AI338" s="218"/>
      <c r="AJ338" s="214"/>
      <c r="AK338" s="213"/>
      <c r="AL338" s="213"/>
      <c r="AM338" s="213"/>
      <c r="AN338" s="213"/>
      <c r="AO338" s="213"/>
      <c r="AP338" s="219"/>
      <c r="AQ338" s="213"/>
      <c r="AR338" s="218"/>
      <c r="AS338" s="220"/>
      <c r="AT338" s="221"/>
      <c r="AU338" s="213"/>
      <c r="AV338" s="213"/>
      <c r="AW338" s="213"/>
      <c r="AX338" s="364"/>
      <c r="AY338" s="364"/>
      <c r="AZ338" s="364"/>
      <c r="BA338" s="364"/>
      <c r="BB338" s="364"/>
      <c r="BC338" s="374"/>
    </row>
    <row r="339" spans="1:55" ht="15.75" customHeight="1">
      <c r="A339" s="232" t="s">
        <v>1499</v>
      </c>
      <c r="B339" s="208"/>
      <c r="C339" s="209"/>
      <c r="D339" s="209"/>
      <c r="E339" s="259"/>
      <c r="F339" s="211"/>
      <c r="G339" s="212"/>
      <c r="H339" s="213"/>
      <c r="I339" s="213"/>
      <c r="J339" s="213"/>
      <c r="K339" s="214"/>
      <c r="L339" s="213"/>
      <c r="M339" s="213"/>
      <c r="N339" s="213"/>
      <c r="O339" s="214"/>
      <c r="P339" s="214"/>
      <c r="Q339" s="214"/>
      <c r="R339" s="214"/>
      <c r="S339" s="214"/>
      <c r="T339" s="214"/>
      <c r="U339" s="214"/>
      <c r="V339" s="214"/>
      <c r="W339" s="214"/>
      <c r="X339" s="216"/>
      <c r="Y339" s="216"/>
      <c r="Z339" s="216"/>
      <c r="AA339" s="217"/>
      <c r="AB339" s="213"/>
      <c r="AC339" s="213"/>
      <c r="AD339" s="213"/>
      <c r="AE339" s="213"/>
      <c r="AF339" s="213"/>
      <c r="AG339" s="213"/>
      <c r="AH339" s="213"/>
      <c r="AI339" s="218"/>
      <c r="AJ339" s="214"/>
      <c r="AK339" s="213"/>
      <c r="AL339" s="213"/>
      <c r="AM339" s="213"/>
      <c r="AN339" s="213"/>
      <c r="AO339" s="213"/>
      <c r="AP339" s="219"/>
      <c r="AQ339" s="213"/>
      <c r="AR339" s="218"/>
      <c r="AS339" s="220"/>
      <c r="AT339" s="221"/>
      <c r="AU339" s="213"/>
      <c r="AV339" s="213"/>
      <c r="AW339" s="213"/>
      <c r="AX339" s="364"/>
      <c r="AY339" s="364"/>
      <c r="AZ339" s="364"/>
      <c r="BA339" s="364"/>
      <c r="BB339" s="364"/>
      <c r="BC339" s="374"/>
    </row>
    <row r="340" spans="1:55" ht="15.75" customHeight="1">
      <c r="A340" s="232" t="s">
        <v>1499</v>
      </c>
      <c r="B340" s="208"/>
      <c r="C340" s="209"/>
      <c r="D340" s="209"/>
      <c r="E340" s="259"/>
      <c r="F340" s="211"/>
      <c r="G340" s="212"/>
      <c r="H340" s="213"/>
      <c r="I340" s="213"/>
      <c r="J340" s="213"/>
      <c r="K340" s="214"/>
      <c r="L340" s="213"/>
      <c r="M340" s="213"/>
      <c r="N340" s="213"/>
      <c r="O340" s="214"/>
      <c r="P340" s="214"/>
      <c r="Q340" s="214"/>
      <c r="R340" s="214"/>
      <c r="S340" s="214"/>
      <c r="T340" s="214"/>
      <c r="U340" s="214"/>
      <c r="V340" s="214"/>
      <c r="W340" s="214"/>
      <c r="X340" s="216"/>
      <c r="Y340" s="216"/>
      <c r="Z340" s="216"/>
      <c r="AA340" s="217"/>
      <c r="AB340" s="213"/>
      <c r="AC340" s="213"/>
      <c r="AD340" s="213"/>
      <c r="AE340" s="213"/>
      <c r="AF340" s="213"/>
      <c r="AG340" s="213"/>
      <c r="AH340" s="213"/>
      <c r="AI340" s="218"/>
      <c r="AJ340" s="214"/>
      <c r="AK340" s="213"/>
      <c r="AL340" s="213"/>
      <c r="AM340" s="213"/>
      <c r="AN340" s="213"/>
      <c r="AO340" s="213"/>
      <c r="AP340" s="219"/>
      <c r="AQ340" s="213"/>
      <c r="AR340" s="218"/>
      <c r="AS340" s="220"/>
      <c r="AT340" s="221"/>
      <c r="AU340" s="213"/>
      <c r="AV340" s="213"/>
      <c r="AW340" s="213"/>
      <c r="AX340" s="364"/>
      <c r="AY340" s="364"/>
      <c r="AZ340" s="364"/>
      <c r="BA340" s="364"/>
      <c r="BB340" s="364"/>
      <c r="BC340" s="374"/>
    </row>
    <row r="341" spans="1:55" ht="15.75" customHeight="1">
      <c r="A341" s="232" t="s">
        <v>1499</v>
      </c>
      <c r="B341" s="208"/>
      <c r="C341" s="209"/>
      <c r="D341" s="209"/>
      <c r="E341" s="259"/>
      <c r="F341" s="211"/>
      <c r="G341" s="212"/>
      <c r="H341" s="213"/>
      <c r="I341" s="213"/>
      <c r="J341" s="213"/>
      <c r="K341" s="214"/>
      <c r="L341" s="213"/>
      <c r="M341" s="213"/>
      <c r="N341" s="213"/>
      <c r="O341" s="214"/>
      <c r="P341" s="214"/>
      <c r="Q341" s="214"/>
      <c r="R341" s="214"/>
      <c r="S341" s="214"/>
      <c r="T341" s="214"/>
      <c r="U341" s="214"/>
      <c r="V341" s="214"/>
      <c r="W341" s="214"/>
      <c r="X341" s="216"/>
      <c r="Y341" s="216"/>
      <c r="Z341" s="216"/>
      <c r="AA341" s="217"/>
      <c r="AB341" s="213"/>
      <c r="AC341" s="213"/>
      <c r="AD341" s="213"/>
      <c r="AE341" s="213"/>
      <c r="AF341" s="213"/>
      <c r="AG341" s="213"/>
      <c r="AH341" s="213"/>
      <c r="AI341" s="218"/>
      <c r="AJ341" s="214"/>
      <c r="AK341" s="213"/>
      <c r="AL341" s="213"/>
      <c r="AM341" s="213"/>
      <c r="AN341" s="213"/>
      <c r="AO341" s="213"/>
      <c r="AP341" s="219"/>
      <c r="AQ341" s="213"/>
      <c r="AR341" s="218"/>
      <c r="AS341" s="220"/>
      <c r="AT341" s="221"/>
      <c r="AU341" s="213"/>
      <c r="AV341" s="213"/>
      <c r="AW341" s="213"/>
      <c r="AX341" s="364"/>
      <c r="AY341" s="364"/>
      <c r="AZ341" s="364"/>
      <c r="BA341" s="364"/>
      <c r="BB341" s="364"/>
      <c r="BC341" s="374"/>
    </row>
    <row r="342" spans="1:55" ht="15.75" customHeight="1">
      <c r="A342" s="232" t="s">
        <v>1499</v>
      </c>
      <c r="B342" s="208"/>
      <c r="C342" s="209"/>
      <c r="D342" s="209"/>
      <c r="E342" s="259"/>
      <c r="F342" s="211"/>
      <c r="G342" s="212"/>
      <c r="H342" s="213"/>
      <c r="I342" s="213"/>
      <c r="J342" s="213"/>
      <c r="K342" s="214"/>
      <c r="L342" s="213"/>
      <c r="M342" s="213"/>
      <c r="N342" s="213"/>
      <c r="O342" s="214"/>
      <c r="P342" s="214"/>
      <c r="Q342" s="214"/>
      <c r="R342" s="214"/>
      <c r="S342" s="214"/>
      <c r="T342" s="214"/>
      <c r="U342" s="214"/>
      <c r="V342" s="214"/>
      <c r="W342" s="214"/>
      <c r="X342" s="216"/>
      <c r="Y342" s="216"/>
      <c r="Z342" s="216"/>
      <c r="AA342" s="217"/>
      <c r="AB342" s="213"/>
      <c r="AC342" s="213"/>
      <c r="AD342" s="213"/>
      <c r="AE342" s="213"/>
      <c r="AF342" s="213"/>
      <c r="AG342" s="213"/>
      <c r="AH342" s="213"/>
      <c r="AI342" s="218"/>
      <c r="AJ342" s="214"/>
      <c r="AK342" s="213"/>
      <c r="AL342" s="213"/>
      <c r="AM342" s="213"/>
      <c r="AN342" s="213"/>
      <c r="AO342" s="213"/>
      <c r="AP342" s="219"/>
      <c r="AQ342" s="213"/>
      <c r="AR342" s="218"/>
      <c r="AS342" s="220"/>
      <c r="AT342" s="221"/>
      <c r="AU342" s="213"/>
      <c r="AV342" s="213"/>
      <c r="AW342" s="213"/>
      <c r="AX342" s="364"/>
      <c r="AY342" s="364"/>
      <c r="AZ342" s="364"/>
      <c r="BA342" s="364"/>
      <c r="BB342" s="364"/>
      <c r="BC342" s="374"/>
    </row>
    <row r="343" spans="1:55" ht="15.75" customHeight="1">
      <c r="A343" s="232" t="s">
        <v>1499</v>
      </c>
      <c r="B343" s="208"/>
      <c r="C343" s="209"/>
      <c r="D343" s="209"/>
      <c r="E343" s="259"/>
      <c r="F343" s="211"/>
      <c r="G343" s="212"/>
      <c r="H343" s="213"/>
      <c r="I343" s="213"/>
      <c r="J343" s="213"/>
      <c r="K343" s="214"/>
      <c r="L343" s="213"/>
      <c r="M343" s="213"/>
      <c r="N343" s="213"/>
      <c r="O343" s="214"/>
      <c r="P343" s="214"/>
      <c r="Q343" s="214"/>
      <c r="R343" s="214"/>
      <c r="S343" s="214"/>
      <c r="T343" s="214"/>
      <c r="U343" s="214"/>
      <c r="V343" s="214"/>
      <c r="W343" s="214"/>
      <c r="X343" s="216"/>
      <c r="Y343" s="216"/>
      <c r="Z343" s="216"/>
      <c r="AA343" s="217"/>
      <c r="AB343" s="213"/>
      <c r="AC343" s="213"/>
      <c r="AD343" s="213"/>
      <c r="AE343" s="213"/>
      <c r="AF343" s="213"/>
      <c r="AG343" s="213"/>
      <c r="AH343" s="213"/>
      <c r="AI343" s="218"/>
      <c r="AJ343" s="214"/>
      <c r="AK343" s="213"/>
      <c r="AL343" s="213"/>
      <c r="AM343" s="213"/>
      <c r="AN343" s="213"/>
      <c r="AO343" s="213"/>
      <c r="AP343" s="219"/>
      <c r="AQ343" s="213"/>
      <c r="AR343" s="218"/>
      <c r="AS343" s="220"/>
      <c r="AT343" s="221"/>
      <c r="AU343" s="314" t="s">
        <v>1626</v>
      </c>
      <c r="AV343" s="314" t="s">
        <v>1627</v>
      </c>
      <c r="AW343" s="314" t="s">
        <v>1628</v>
      </c>
      <c r="AX343" s="368" t="s">
        <v>1629</v>
      </c>
      <c r="AY343" s="368" t="s">
        <v>1525</v>
      </c>
      <c r="AZ343" s="368" t="s">
        <v>1526</v>
      </c>
      <c r="BA343" s="368" t="s">
        <v>1527</v>
      </c>
      <c r="BB343" s="368" t="s">
        <v>1586</v>
      </c>
      <c r="BC343" s="368" t="s">
        <v>1587</v>
      </c>
    </row>
    <row r="344" spans="1:55" ht="15.75" customHeight="1">
      <c r="A344" s="184"/>
      <c r="B344" s="208"/>
      <c r="C344" s="185"/>
      <c r="D344" s="185"/>
      <c r="E344" s="238"/>
      <c r="F344" s="187"/>
      <c r="G344" s="188"/>
      <c r="H344" s="189"/>
      <c r="I344" s="189"/>
      <c r="J344" s="189"/>
      <c r="K344" s="190"/>
      <c r="L344" s="189"/>
      <c r="M344" s="189"/>
      <c r="N344" s="189"/>
      <c r="O344" s="190"/>
      <c r="P344" s="190"/>
      <c r="Q344" s="190"/>
      <c r="R344" s="190"/>
      <c r="S344" s="190"/>
      <c r="T344" s="190"/>
      <c r="U344" s="190"/>
      <c r="V344" s="190"/>
      <c r="W344" s="190"/>
      <c r="X344" s="192"/>
      <c r="Y344" s="192"/>
      <c r="Z344" s="192"/>
      <c r="AA344" s="193"/>
      <c r="AB344" s="189"/>
      <c r="AC344" s="189"/>
      <c r="AD344" s="189"/>
      <c r="AE344" s="189"/>
      <c r="AF344" s="189"/>
      <c r="AG344" s="189"/>
      <c r="AH344" s="189"/>
      <c r="AI344" s="194"/>
      <c r="AJ344" s="190"/>
      <c r="AK344" s="189"/>
      <c r="AL344" s="189"/>
      <c r="AM344" s="189"/>
      <c r="AN344" s="189"/>
      <c r="AO344" s="189"/>
      <c r="AP344" s="196"/>
      <c r="AQ344" s="189"/>
      <c r="AR344" s="194"/>
      <c r="AS344" s="197"/>
      <c r="AT344" s="198"/>
      <c r="AU344" s="386" t="s">
        <v>1630</v>
      </c>
      <c r="AV344" s="386" t="s">
        <v>1631</v>
      </c>
      <c r="AW344" s="386" t="s">
        <v>1632</v>
      </c>
      <c r="AX344" s="387"/>
      <c r="AY344" s="387"/>
      <c r="AZ344" s="387"/>
      <c r="BA344" s="387"/>
      <c r="BB344" s="387"/>
      <c r="BC344" s="388"/>
    </row>
    <row r="345" spans="1:55" ht="15.75" customHeight="1">
      <c r="A345" s="288" t="s">
        <v>1633</v>
      </c>
      <c r="B345" s="288"/>
      <c r="C345" s="223"/>
      <c r="D345" s="223"/>
      <c r="E345" s="224"/>
      <c r="F345" s="225"/>
      <c r="G345" s="223"/>
      <c r="H345" s="223"/>
      <c r="I345" s="223"/>
      <c r="J345" s="223"/>
      <c r="K345" s="226"/>
      <c r="L345" s="223"/>
      <c r="M345" s="223"/>
      <c r="N345" s="223"/>
      <c r="O345" s="226"/>
      <c r="P345" s="226"/>
      <c r="Q345" s="226"/>
      <c r="R345" s="226"/>
      <c r="S345" s="226"/>
      <c r="T345" s="226"/>
      <c r="U345" s="226"/>
      <c r="V345" s="227"/>
      <c r="W345" s="227"/>
      <c r="X345" s="227"/>
      <c r="Y345" s="227"/>
      <c r="Z345" s="227"/>
      <c r="AA345" s="228"/>
      <c r="AB345" s="223"/>
      <c r="AC345" s="223"/>
      <c r="AD345" s="223"/>
      <c r="AE345" s="223"/>
      <c r="AF345" s="223"/>
      <c r="AG345" s="223"/>
      <c r="AH345" s="223"/>
      <c r="AI345" s="223"/>
      <c r="AJ345" s="223"/>
      <c r="AK345" s="223"/>
      <c r="AL345" s="223"/>
      <c r="AM345" s="223"/>
      <c r="AN345" s="223"/>
      <c r="AO345" s="223"/>
      <c r="AP345" s="230"/>
      <c r="AQ345" s="230"/>
      <c r="AR345" s="230"/>
      <c r="AS345" s="230"/>
      <c r="AT345" s="231"/>
      <c r="AU345" s="223"/>
      <c r="AV345" s="223"/>
      <c r="AW345" s="223"/>
      <c r="AX345" s="365"/>
      <c r="AY345" s="365"/>
      <c r="AZ345" s="365"/>
      <c r="BA345" s="365"/>
      <c r="BB345" s="365"/>
      <c r="BC345" s="365"/>
    </row>
    <row r="346" spans="1:55" ht="15.75" customHeight="1">
      <c r="A346" s="232" t="s">
        <v>1634</v>
      </c>
      <c r="B346" s="208"/>
      <c r="C346" s="185"/>
      <c r="D346" s="185"/>
      <c r="E346" s="238"/>
      <c r="F346" s="187"/>
      <c r="G346" s="188"/>
      <c r="H346" s="189"/>
      <c r="I346" s="189"/>
      <c r="J346" s="189"/>
      <c r="K346" s="190"/>
      <c r="L346" s="189"/>
      <c r="M346" s="189"/>
      <c r="N346" s="189"/>
      <c r="O346" s="190"/>
      <c r="P346" s="190"/>
      <c r="Q346" s="190"/>
      <c r="R346" s="190"/>
      <c r="S346" s="190"/>
      <c r="T346" s="190"/>
      <c r="U346" s="190"/>
      <c r="V346" s="190"/>
      <c r="W346" s="190"/>
      <c r="X346" s="192"/>
      <c r="Y346" s="192"/>
      <c r="Z346" s="192"/>
      <c r="AA346" s="193"/>
      <c r="AB346" s="189"/>
      <c r="AC346" s="189"/>
      <c r="AD346" s="189"/>
      <c r="AE346" s="189"/>
      <c r="AF346" s="189"/>
      <c r="AG346" s="189"/>
      <c r="AH346" s="189"/>
      <c r="AI346" s="194"/>
      <c r="AJ346" s="190"/>
      <c r="AK346" s="189"/>
      <c r="AL346" s="189"/>
      <c r="AM346" s="189"/>
      <c r="AN346" s="189"/>
      <c r="AO346" s="189"/>
      <c r="AP346" s="196"/>
      <c r="AQ346" s="189"/>
      <c r="AR346" s="194"/>
      <c r="AS346" s="197"/>
      <c r="AT346" s="198"/>
      <c r="AU346" s="189"/>
      <c r="AV346" s="189"/>
      <c r="AW346" s="189"/>
      <c r="AX346" s="361"/>
      <c r="AY346" s="361"/>
      <c r="AZ346" s="361"/>
      <c r="BA346" s="361"/>
      <c r="BB346" s="361"/>
      <c r="BC346" s="373"/>
    </row>
    <row r="347" spans="1:55" ht="15.75" customHeight="1">
      <c r="A347" s="232" t="s">
        <v>1634</v>
      </c>
      <c r="B347" s="208"/>
      <c r="C347" s="185"/>
      <c r="D347" s="185"/>
      <c r="E347" s="238"/>
      <c r="F347" s="187"/>
      <c r="G347" s="188"/>
      <c r="H347" s="189"/>
      <c r="I347" s="189"/>
      <c r="J347" s="189"/>
      <c r="K347" s="190"/>
      <c r="L347" s="189"/>
      <c r="M347" s="189"/>
      <c r="N347" s="189"/>
      <c r="O347" s="190"/>
      <c r="P347" s="190"/>
      <c r="Q347" s="190"/>
      <c r="R347" s="190"/>
      <c r="S347" s="190"/>
      <c r="T347" s="190"/>
      <c r="U347" s="190"/>
      <c r="V347" s="190"/>
      <c r="W347" s="190"/>
      <c r="X347" s="192"/>
      <c r="Y347" s="192"/>
      <c r="Z347" s="192"/>
      <c r="AA347" s="193"/>
      <c r="AB347" s="189"/>
      <c r="AC347" s="189"/>
      <c r="AD347" s="189"/>
      <c r="AE347" s="189"/>
      <c r="AF347" s="189"/>
      <c r="AG347" s="189"/>
      <c r="AH347" s="189"/>
      <c r="AI347" s="194"/>
      <c r="AJ347" s="190"/>
      <c r="AK347" s="189"/>
      <c r="AL347" s="189"/>
      <c r="AM347" s="189"/>
      <c r="AN347" s="189"/>
      <c r="AO347" s="189"/>
      <c r="AP347" s="196"/>
      <c r="AQ347" s="189"/>
      <c r="AR347" s="194"/>
      <c r="AS347" s="197"/>
      <c r="AT347" s="198"/>
      <c r="AU347" s="189"/>
      <c r="AV347" s="189"/>
      <c r="AW347" s="189"/>
      <c r="AX347" s="361"/>
      <c r="AY347" s="361"/>
      <c r="AZ347" s="361"/>
      <c r="BA347" s="361"/>
      <c r="BB347" s="361"/>
      <c r="BC347" s="373"/>
    </row>
    <row r="348" spans="1:55" ht="15.75" customHeight="1">
      <c r="A348" s="232" t="s">
        <v>1634</v>
      </c>
      <c r="B348" s="208"/>
      <c r="C348" s="185"/>
      <c r="D348" s="185"/>
      <c r="E348" s="238"/>
      <c r="F348" s="187"/>
      <c r="G348" s="188"/>
      <c r="H348" s="189"/>
      <c r="I348" s="189"/>
      <c r="J348" s="189"/>
      <c r="K348" s="190"/>
      <c r="L348" s="189"/>
      <c r="M348" s="189"/>
      <c r="N348" s="189"/>
      <c r="O348" s="190"/>
      <c r="P348" s="190"/>
      <c r="Q348" s="190"/>
      <c r="R348" s="190"/>
      <c r="S348" s="190"/>
      <c r="T348" s="190"/>
      <c r="U348" s="190"/>
      <c r="V348" s="190"/>
      <c r="W348" s="190"/>
      <c r="X348" s="192"/>
      <c r="Y348" s="192"/>
      <c r="Z348" s="192"/>
      <c r="AA348" s="193"/>
      <c r="AB348" s="189"/>
      <c r="AC348" s="189"/>
      <c r="AD348" s="189"/>
      <c r="AE348" s="189"/>
      <c r="AF348" s="189"/>
      <c r="AG348" s="189"/>
      <c r="AH348" s="189"/>
      <c r="AI348" s="194"/>
      <c r="AJ348" s="190"/>
      <c r="AK348" s="189"/>
      <c r="AL348" s="189"/>
      <c r="AM348" s="189"/>
      <c r="AN348" s="189"/>
      <c r="AO348" s="189"/>
      <c r="AP348" s="196"/>
      <c r="AQ348" s="189"/>
      <c r="AR348" s="194"/>
      <c r="AS348" s="197"/>
      <c r="AT348" s="198"/>
      <c r="AU348" s="189"/>
      <c r="AV348" s="189"/>
      <c r="AW348" s="189"/>
      <c r="AX348" s="361"/>
      <c r="AY348" s="361"/>
      <c r="AZ348" s="361"/>
      <c r="BA348" s="361"/>
      <c r="BB348" s="361"/>
      <c r="BC348" s="373"/>
    </row>
    <row r="349" spans="1:55" ht="15.75" customHeight="1">
      <c r="A349" s="232" t="s">
        <v>1634</v>
      </c>
      <c r="B349" s="208"/>
      <c r="C349" s="185"/>
      <c r="D349" s="185"/>
      <c r="E349" s="238"/>
      <c r="F349" s="187"/>
      <c r="G349" s="188"/>
      <c r="H349" s="189"/>
      <c r="I349" s="189"/>
      <c r="J349" s="189"/>
      <c r="K349" s="190"/>
      <c r="L349" s="189"/>
      <c r="M349" s="189"/>
      <c r="N349" s="189"/>
      <c r="O349" s="190"/>
      <c r="P349" s="190"/>
      <c r="Q349" s="190"/>
      <c r="R349" s="190"/>
      <c r="S349" s="190"/>
      <c r="T349" s="190"/>
      <c r="U349" s="190"/>
      <c r="V349" s="190"/>
      <c r="W349" s="190"/>
      <c r="X349" s="192"/>
      <c r="Y349" s="192"/>
      <c r="Z349" s="192"/>
      <c r="AA349" s="193"/>
      <c r="AB349" s="189"/>
      <c r="AC349" s="189"/>
      <c r="AD349" s="189"/>
      <c r="AE349" s="189"/>
      <c r="AF349" s="189"/>
      <c r="AG349" s="189"/>
      <c r="AH349" s="189"/>
      <c r="AI349" s="194"/>
      <c r="AJ349" s="190"/>
      <c r="AK349" s="189"/>
      <c r="AL349" s="189" t="s">
        <v>1635</v>
      </c>
      <c r="AM349" s="189"/>
      <c r="AN349" s="189"/>
      <c r="AO349" s="189"/>
      <c r="AP349" s="196"/>
      <c r="AQ349" s="189"/>
      <c r="AR349" s="194"/>
      <c r="AS349" s="197"/>
      <c r="AT349" s="198"/>
      <c r="AU349" s="189"/>
      <c r="AV349" s="189"/>
      <c r="AW349" s="189"/>
      <c r="AX349" s="361"/>
      <c r="AY349" s="361"/>
      <c r="AZ349" s="361"/>
      <c r="BA349" s="361"/>
      <c r="BB349" s="361"/>
      <c r="BC349" s="373"/>
    </row>
    <row r="350" spans="1:55" ht="15.75" customHeight="1">
      <c r="A350" s="232" t="s">
        <v>1634</v>
      </c>
      <c r="B350" s="208"/>
      <c r="C350" s="185"/>
      <c r="D350" s="185"/>
      <c r="E350" s="238"/>
      <c r="F350" s="187"/>
      <c r="G350" s="188"/>
      <c r="H350" s="189"/>
      <c r="I350" s="189"/>
      <c r="J350" s="189"/>
      <c r="K350" s="190"/>
      <c r="L350" s="189"/>
      <c r="M350" s="189"/>
      <c r="N350" s="189"/>
      <c r="O350" s="190"/>
      <c r="P350" s="190"/>
      <c r="Q350" s="190"/>
      <c r="R350" s="190"/>
      <c r="S350" s="190"/>
      <c r="T350" s="190"/>
      <c r="U350" s="190"/>
      <c r="V350" s="190"/>
      <c r="W350" s="190"/>
      <c r="X350" s="192"/>
      <c r="Y350" s="192"/>
      <c r="Z350" s="192"/>
      <c r="AA350" s="193"/>
      <c r="AB350" s="189"/>
      <c r="AC350" s="189"/>
      <c r="AD350" s="189"/>
      <c r="AE350" s="189"/>
      <c r="AF350" s="189"/>
      <c r="AG350" s="189"/>
      <c r="AH350" s="189"/>
      <c r="AI350" s="194"/>
      <c r="AJ350" s="190"/>
      <c r="AK350" s="189"/>
      <c r="AL350" s="189"/>
      <c r="AM350" s="189"/>
      <c r="AN350" s="189"/>
      <c r="AO350" s="189"/>
      <c r="AP350" s="196"/>
      <c r="AQ350" s="189"/>
      <c r="AR350" s="194"/>
      <c r="AS350" s="197"/>
      <c r="AT350" s="198"/>
      <c r="AU350" s="189"/>
      <c r="AV350" s="189"/>
      <c r="AW350" s="189"/>
      <c r="AX350" s="361"/>
      <c r="AY350" s="361"/>
      <c r="AZ350" s="361"/>
      <c r="BA350" s="361"/>
      <c r="BB350" s="361"/>
      <c r="BC350" s="373"/>
    </row>
    <row r="351" spans="1:55" ht="15.75" customHeight="1">
      <c r="A351" s="232" t="s">
        <v>1634</v>
      </c>
      <c r="B351" s="184"/>
      <c r="C351" s="185"/>
      <c r="D351" s="185"/>
      <c r="E351" s="238"/>
      <c r="F351" s="187"/>
      <c r="G351" s="188"/>
      <c r="H351" s="189"/>
      <c r="I351" s="189"/>
      <c r="J351" s="189"/>
      <c r="K351" s="190"/>
      <c r="L351" s="189"/>
      <c r="M351" s="189"/>
      <c r="N351" s="189"/>
      <c r="O351" s="190"/>
      <c r="P351" s="190"/>
      <c r="Q351" s="190"/>
      <c r="R351" s="190"/>
      <c r="S351" s="190"/>
      <c r="T351" s="190"/>
      <c r="U351" s="190"/>
      <c r="V351" s="190"/>
      <c r="W351" s="190"/>
      <c r="X351" s="192"/>
      <c r="Y351" s="192"/>
      <c r="Z351" s="192"/>
      <c r="AA351" s="193"/>
      <c r="AB351" s="189"/>
      <c r="AC351" s="189"/>
      <c r="AD351" s="189"/>
      <c r="AE351" s="189"/>
      <c r="AF351" s="189"/>
      <c r="AG351" s="189"/>
      <c r="AH351" s="189"/>
      <c r="AI351" s="194"/>
      <c r="AJ351" s="190"/>
      <c r="AK351" s="189"/>
      <c r="AL351" s="189"/>
      <c r="AM351" s="189"/>
      <c r="AN351" s="189"/>
      <c r="AO351" s="189"/>
      <c r="AP351" s="196"/>
      <c r="AQ351" s="189">
        <f>COUNTIF(AT307:AT343,"L")</f>
        <v>3</v>
      </c>
      <c r="AR351" s="194">
        <f>SUM(AR307:AR350)</f>
        <v>-423.49999999998005</v>
      </c>
      <c r="AS351" s="377" t="s">
        <v>1636</v>
      </c>
      <c r="AT351" s="198"/>
      <c r="AU351" s="189"/>
      <c r="AV351" s="189"/>
      <c r="AW351" s="189"/>
      <c r="AX351" s="361"/>
      <c r="AY351" s="361"/>
      <c r="AZ351" s="361"/>
      <c r="BA351" s="361"/>
      <c r="BB351" s="361"/>
      <c r="BC351" s="373"/>
    </row>
    <row r="352" spans="1:55" ht="15.75" customHeight="1">
      <c r="A352" s="38"/>
      <c r="B352" s="38"/>
      <c r="C352" s="38"/>
      <c r="D352" s="38"/>
      <c r="E352" s="39"/>
      <c r="F352" s="38"/>
      <c r="G352" s="40"/>
      <c r="H352" s="38"/>
      <c r="I352" s="38"/>
      <c r="J352" s="38"/>
      <c r="K352" s="40"/>
      <c r="L352" s="38"/>
      <c r="M352" s="38"/>
      <c r="N352" s="38"/>
      <c r="O352" s="40"/>
      <c r="P352" s="40"/>
      <c r="Q352" s="40"/>
      <c r="R352" s="40"/>
      <c r="S352" s="40"/>
      <c r="T352" s="40"/>
      <c r="U352" s="40"/>
      <c r="V352" s="40">
        <f>IF(ISBLANK(O352),,(IF(O352=UPPER("IB"),0.005,0.01)))</f>
        <v>0</v>
      </c>
      <c r="W352" s="40">
        <f>IF(ISBLANK(O352),,IF(O352=UPPER("IB"),8.52,16.65))</f>
        <v>0</v>
      </c>
      <c r="X352" s="39"/>
      <c r="Y352" s="39"/>
      <c r="Z352" s="39"/>
      <c r="AA352" s="41"/>
      <c r="AB352" s="38"/>
      <c r="AC352" s="38"/>
      <c r="AD352" s="38"/>
      <c r="AE352" s="38"/>
      <c r="AF352" s="38"/>
      <c r="AG352" s="38"/>
      <c r="AH352" s="38"/>
      <c r="AI352" s="38"/>
      <c r="AJ352" s="38"/>
      <c r="AK352" s="38"/>
      <c r="AL352" s="38"/>
      <c r="AM352" s="38"/>
      <c r="AN352" s="38"/>
      <c r="AO352" s="38"/>
      <c r="AP352" s="42"/>
      <c r="AQ352" s="38"/>
      <c r="AR352" s="340"/>
      <c r="AS352" s="377" t="s">
        <v>1637</v>
      </c>
      <c r="AT352" s="40"/>
      <c r="AU352" s="38"/>
      <c r="AV352" s="38"/>
      <c r="AW352" s="38"/>
      <c r="AX352" s="38"/>
      <c r="AY352" s="38"/>
      <c r="AZ352" s="38"/>
      <c r="BA352" s="38"/>
      <c r="BB352" s="38"/>
      <c r="BC352" s="38"/>
    </row>
    <row r="353" spans="1:55" ht="15.75" customHeight="1">
      <c r="A353" s="38"/>
      <c r="B353" s="38"/>
      <c r="C353" s="38"/>
      <c r="D353" s="38"/>
      <c r="E353" s="39"/>
      <c r="F353" s="38"/>
      <c r="G353" s="40"/>
      <c r="H353" s="38"/>
      <c r="I353" s="38"/>
      <c r="J353" s="38"/>
      <c r="K353" s="40"/>
      <c r="L353" s="38"/>
      <c r="M353" s="38"/>
      <c r="N353" s="38"/>
      <c r="O353" s="40"/>
      <c r="P353" s="40"/>
      <c r="Q353" s="40"/>
      <c r="R353" s="40"/>
      <c r="S353" s="40"/>
      <c r="T353" s="40"/>
      <c r="U353" s="39"/>
      <c r="V353" s="40"/>
      <c r="W353" s="45"/>
      <c r="X353" s="39"/>
      <c r="Y353" s="39"/>
      <c r="Z353" s="39"/>
      <c r="AA353" s="41"/>
      <c r="AB353" s="38"/>
      <c r="AC353" s="38"/>
      <c r="AD353" s="38"/>
      <c r="AE353" s="38"/>
      <c r="AF353" s="38"/>
      <c r="AG353" s="38"/>
      <c r="AH353" s="38"/>
      <c r="AI353" s="38">
        <v>50</v>
      </c>
      <c r="AJ353" s="38"/>
      <c r="AK353" s="38"/>
      <c r="AL353" s="38"/>
      <c r="AM353" s="38"/>
      <c r="AN353" s="38"/>
      <c r="AO353" s="38"/>
      <c r="AP353" s="42"/>
      <c r="AQ353" s="46" t="s">
        <v>1638</v>
      </c>
      <c r="AR353" s="47">
        <f>SUM(AR226:AR351)</f>
        <v>-317.74999999994191</v>
      </c>
      <c r="AS353" s="48"/>
      <c r="AT353" s="40"/>
      <c r="AU353" s="38"/>
      <c r="AV353" s="38"/>
      <c r="AW353" s="38"/>
      <c r="AX353" s="38"/>
      <c r="AY353" s="38"/>
      <c r="AZ353" s="38"/>
      <c r="BA353" s="38"/>
      <c r="BB353" s="38"/>
      <c r="BC353" s="38"/>
    </row>
    <row r="354" spans="1:55" ht="15.75" customHeight="1">
      <c r="A354" s="38"/>
      <c r="B354" s="38"/>
      <c r="C354" s="38"/>
      <c r="E354" s="39"/>
      <c r="F354" s="38"/>
      <c r="G354" s="40"/>
      <c r="H354" s="39"/>
      <c r="I354" s="39"/>
      <c r="J354" s="39"/>
      <c r="K354" s="49"/>
      <c r="L354" s="39"/>
      <c r="M354" s="39"/>
      <c r="N354" s="39"/>
      <c r="O354" s="40"/>
      <c r="P354" s="321"/>
      <c r="Q354" s="321"/>
      <c r="R354" s="321"/>
      <c r="S354" s="40"/>
      <c r="T354" s="40"/>
      <c r="U354" s="39"/>
      <c r="V354" s="40"/>
      <c r="W354" s="45"/>
      <c r="X354" s="39"/>
      <c r="Y354" s="39"/>
      <c r="Z354" s="39"/>
      <c r="AA354" s="41"/>
      <c r="AB354" s="38"/>
      <c r="AC354" s="38"/>
      <c r="AD354" s="38"/>
      <c r="AE354" s="38"/>
      <c r="AF354" s="38"/>
      <c r="AG354" s="38"/>
      <c r="AH354" s="38"/>
      <c r="AI354" s="50" t="s">
        <v>1639</v>
      </c>
      <c r="AJ354" s="50" t="s">
        <v>1640</v>
      </c>
      <c r="AK354" s="38"/>
      <c r="AL354" s="38"/>
      <c r="AM354" s="38"/>
      <c r="AN354" s="38"/>
      <c r="AO354" s="38"/>
      <c r="AP354" s="42"/>
      <c r="AQ354" s="51"/>
      <c r="AR354" s="52"/>
      <c r="AS354" s="44"/>
      <c r="AT354" s="40"/>
      <c r="AU354" s="38"/>
      <c r="AV354" s="38"/>
      <c r="AW354" s="38"/>
      <c r="AX354" s="38"/>
      <c r="AY354" s="38"/>
      <c r="AZ354" s="38"/>
      <c r="BA354" s="38"/>
      <c r="BB354" s="38"/>
      <c r="BC354" s="38"/>
    </row>
    <row r="355" spans="1:55" ht="15.75" customHeight="1">
      <c r="A355" s="38"/>
      <c r="B355" s="38"/>
      <c r="C355" s="38"/>
      <c r="E355" s="39"/>
      <c r="F355" s="38"/>
      <c r="G355" s="40"/>
      <c r="H355" s="39"/>
      <c r="I355" s="39"/>
      <c r="J355" s="39"/>
      <c r="K355" s="49"/>
      <c r="L355" s="39"/>
      <c r="M355" s="39"/>
      <c r="N355" s="39"/>
      <c r="O355" s="40"/>
      <c r="P355" s="321"/>
      <c r="Q355" s="321"/>
      <c r="R355" s="321"/>
      <c r="S355" s="40"/>
      <c r="T355" s="40"/>
      <c r="U355" s="38"/>
      <c r="V355" s="40"/>
      <c r="W355" s="45"/>
      <c r="X355" s="53"/>
      <c r="Y355" s="53"/>
      <c r="Z355" s="53"/>
      <c r="AA355" s="41"/>
      <c r="AB355" s="38"/>
      <c r="AC355" s="38"/>
      <c r="AD355" s="38"/>
      <c r="AE355" s="38"/>
      <c r="AF355" s="38"/>
      <c r="AG355" s="38"/>
      <c r="AH355" s="38"/>
      <c r="AI355" s="54" t="s">
        <v>1641</v>
      </c>
      <c r="AJ355" s="55">
        <f>SUMIFS(AJ226:AJ351,AT226:AT351,"&lt;&gt;W",AT226:AT351,"&lt;&gt;L",AT226:AT351,"&lt;&gt;D")</f>
        <v>-486</v>
      </c>
      <c r="AK355" s="38"/>
      <c r="AL355" s="38"/>
      <c r="AM355" s="38"/>
      <c r="AN355" s="38"/>
      <c r="AO355" s="38"/>
      <c r="AP355" s="42"/>
      <c r="AQ355" s="17"/>
      <c r="AR355" s="56"/>
      <c r="AS355" s="44"/>
      <c r="AT355" s="40"/>
      <c r="AU355" s="38"/>
      <c r="AV355" s="38"/>
      <c r="AW355" s="38"/>
      <c r="AX355" s="38"/>
      <c r="AY355" s="38"/>
      <c r="AZ355" s="38"/>
      <c r="BA355" s="38"/>
      <c r="BB355" s="38"/>
      <c r="BC355" s="38"/>
    </row>
    <row r="356" spans="1:55" ht="15.75" customHeight="1">
      <c r="A356" s="320"/>
      <c r="B356" s="320"/>
      <c r="C356" s="38"/>
      <c r="E356" s="39"/>
      <c r="F356" s="38"/>
      <c r="G356" s="40"/>
      <c r="H356" s="38"/>
      <c r="I356" s="38"/>
      <c r="J356" s="38"/>
      <c r="K356" s="40"/>
      <c r="L356" s="38"/>
      <c r="M356" s="38"/>
      <c r="N356" s="38"/>
      <c r="O356" s="40"/>
      <c r="P356" s="40"/>
      <c r="Q356" s="40"/>
      <c r="R356" s="40"/>
      <c r="S356" s="40"/>
      <c r="T356" s="40"/>
      <c r="U356" s="38"/>
      <c r="V356" s="40"/>
      <c r="W356" s="45"/>
      <c r="X356" s="57"/>
      <c r="Y356" s="57"/>
      <c r="Z356" s="57"/>
      <c r="AA356" s="53"/>
      <c r="AB356" s="38"/>
      <c r="AC356" s="38"/>
      <c r="AD356" s="38"/>
      <c r="AE356" s="38"/>
      <c r="AF356" s="38"/>
      <c r="AG356" s="38"/>
      <c r="AH356" s="38"/>
      <c r="AI356" s="352" t="s">
        <v>1642</v>
      </c>
      <c r="AJ356" s="352">
        <v>1770</v>
      </c>
      <c r="AK356" s="38"/>
      <c r="AL356" s="38"/>
      <c r="AM356" s="38"/>
      <c r="AN356" s="38"/>
      <c r="AO356" s="38"/>
      <c r="AP356" s="42"/>
      <c r="AQ356" s="58"/>
      <c r="AR356" s="47"/>
      <c r="AS356" s="44"/>
      <c r="AT356" s="40"/>
      <c r="AU356" s="38"/>
      <c r="AV356" s="38"/>
      <c r="AW356" s="38"/>
      <c r="AX356" s="38"/>
      <c r="AY356" s="38"/>
      <c r="AZ356" s="38"/>
      <c r="BA356" s="38"/>
      <c r="BB356" s="38"/>
      <c r="BC356" s="38"/>
    </row>
    <row r="357" spans="1:55" ht="15.75" customHeight="1">
      <c r="A357" s="38"/>
      <c r="B357" s="38"/>
      <c r="C357" s="38"/>
      <c r="E357" s="39"/>
      <c r="F357" s="38"/>
      <c r="G357" s="40"/>
      <c r="H357" s="53"/>
      <c r="I357" s="53"/>
      <c r="J357" s="53"/>
      <c r="K357" s="59"/>
      <c r="L357" s="53"/>
      <c r="M357" s="53"/>
      <c r="N357" s="53"/>
      <c r="O357" s="40"/>
      <c r="P357" s="40"/>
      <c r="Q357" s="40"/>
      <c r="R357" s="40"/>
      <c r="S357" s="40"/>
      <c r="T357" s="40"/>
      <c r="U357" s="38"/>
      <c r="V357" s="40"/>
      <c r="W357" s="45"/>
      <c r="X357" s="57"/>
      <c r="Y357" s="57"/>
      <c r="Z357" s="57"/>
      <c r="AA357" s="41"/>
      <c r="AB357" s="38"/>
      <c r="AC357" s="38"/>
      <c r="AD357" s="38"/>
      <c r="AE357" s="38"/>
      <c r="AF357" s="38"/>
      <c r="AG357" s="38"/>
      <c r="AH357" s="38"/>
      <c r="AI357" s="38"/>
      <c r="AJ357" s="38"/>
      <c r="AK357" s="38"/>
      <c r="AL357" s="38"/>
      <c r="AM357" s="38"/>
      <c r="AN357" s="38"/>
      <c r="AP357" s="60"/>
      <c r="AQ357" s="652" t="s">
        <v>1643</v>
      </c>
      <c r="AR357" s="653"/>
      <c r="AS357" s="61">
        <v>44984</v>
      </c>
      <c r="AT357" s="40"/>
      <c r="AU357" s="38"/>
      <c r="AV357" s="38"/>
      <c r="AW357" s="38"/>
      <c r="AX357" s="38"/>
      <c r="AY357" s="38"/>
      <c r="AZ357" s="38"/>
      <c r="BA357" s="38"/>
      <c r="BB357" s="38"/>
      <c r="BC357" s="38"/>
    </row>
    <row r="358" spans="1:55" ht="15.75" customHeight="1">
      <c r="A358" s="38"/>
      <c r="B358" s="38"/>
      <c r="C358" s="38"/>
      <c r="E358" s="39"/>
      <c r="F358" s="38"/>
      <c r="G358" s="40"/>
      <c r="H358" s="39"/>
      <c r="I358" s="39"/>
      <c r="J358" s="39"/>
      <c r="K358" s="49"/>
      <c r="L358" s="39"/>
      <c r="M358" s="39"/>
      <c r="N358" s="39"/>
      <c r="O358" s="40"/>
      <c r="P358" s="49"/>
      <c r="Q358" s="40"/>
      <c r="R358" s="40"/>
      <c r="S358" s="40"/>
      <c r="T358" s="40"/>
      <c r="U358" s="38"/>
      <c r="V358" s="40"/>
      <c r="W358" s="45"/>
      <c r="X358" s="57"/>
      <c r="Y358" s="57"/>
      <c r="Z358" s="57"/>
      <c r="AA358" s="41"/>
      <c r="AB358" s="38"/>
      <c r="AC358" s="38"/>
      <c r="AD358" s="38"/>
      <c r="AE358" s="38"/>
      <c r="AF358" s="38"/>
      <c r="AG358" s="38"/>
      <c r="AH358" s="38"/>
      <c r="AI358" s="352" t="s">
        <v>1644</v>
      </c>
      <c r="AJ358" s="352">
        <f>-0.15*AJ356</f>
        <v>-265.5</v>
      </c>
      <c r="AK358" s="38"/>
      <c r="AL358" s="38"/>
      <c r="AM358" s="38"/>
      <c r="AN358" s="38"/>
      <c r="AO358" s="62"/>
      <c r="AP358" s="60"/>
      <c r="AQ358" s="37" t="s">
        <v>1645</v>
      </c>
      <c r="AR358" s="63">
        <v>160</v>
      </c>
      <c r="AS358" s="64" t="s">
        <v>1646</v>
      </c>
      <c r="AT358" s="40"/>
      <c r="AU358" s="344" t="s">
        <v>1647</v>
      </c>
      <c r="AV358" s="38"/>
      <c r="AW358" s="38"/>
      <c r="AX358" s="38"/>
      <c r="AY358" s="38"/>
      <c r="AZ358" s="38"/>
      <c r="BA358" s="38"/>
      <c r="BB358" s="38"/>
      <c r="BC358" s="38"/>
    </row>
    <row r="359" spans="1:55" ht="15.75" customHeight="1">
      <c r="AP359" s="60"/>
      <c r="AQ359" s="6" t="s">
        <v>1648</v>
      </c>
      <c r="AR359" s="65"/>
      <c r="AS359" s="66" t="s">
        <v>1649</v>
      </c>
    </row>
    <row r="360" spans="1:55" ht="15.75" customHeight="1">
      <c r="AP360" s="60"/>
      <c r="AQ360" s="37" t="s">
        <v>1650</v>
      </c>
      <c r="AR360" s="67">
        <f>SUM(AR305:AR317)-AR359</f>
        <v>-612.79999999996699</v>
      </c>
      <c r="AS360" s="66" t="s">
        <v>1651</v>
      </c>
    </row>
    <row r="361" spans="1:55" ht="15.75" customHeight="1">
      <c r="AP361" s="42"/>
      <c r="AQ361" s="29" t="s">
        <v>1652</v>
      </c>
      <c r="AR361" s="69">
        <f>AR360-AR358</f>
        <v>-772.79999999996699</v>
      </c>
      <c r="AS361" s="44"/>
    </row>
    <row r="362" spans="1:55" ht="15.75" customHeight="1">
      <c r="A362" t="s">
        <v>506</v>
      </c>
      <c r="AP362" s="42"/>
    </row>
    <row r="363" spans="1:55" ht="15.75" customHeight="1">
      <c r="AI363" s="319"/>
      <c r="AP363" s="71" t="s">
        <v>1653</v>
      </c>
      <c r="AQ363" s="72" t="s">
        <v>1654</v>
      </c>
      <c r="AR363" s="73">
        <f>AVERAGE(AS134:AS317)</f>
        <v>11.144215686274533</v>
      </c>
      <c r="AS363" s="74"/>
    </row>
    <row r="364" spans="1:55" ht="15.75" customHeight="1">
      <c r="AI364" s="319"/>
      <c r="AP364" s="71"/>
      <c r="AQ364" s="72" t="s">
        <v>1655</v>
      </c>
      <c r="AR364" s="291">
        <f>SUMIFS(AS134:AS317,AT134:AT317,"W")/COUNTIFS(AT134:AT317,"W")</f>
        <v>37.719791666666893</v>
      </c>
      <c r="AS364" s="74"/>
    </row>
    <row r="365" spans="1:55" ht="15.75" customHeight="1">
      <c r="AP365" s="71"/>
      <c r="AQ365" s="72" t="s">
        <v>1656</v>
      </c>
      <c r="AR365" s="292">
        <f>IFERROR(SUMIFS(AS134:AS317,AT134:AT317,"L")/COUNTIFS(AT134:AT317,"L"),0)</f>
        <v>-42.115000000000521</v>
      </c>
      <c r="AS365" s="74"/>
    </row>
    <row r="366" spans="1:55" ht="15.75" customHeight="1">
      <c r="AP366" s="42"/>
      <c r="AQ366" s="38"/>
      <c r="AR366" s="293"/>
      <c r="AS366" s="44"/>
    </row>
    <row r="367" spans="1:55" ht="15.75" customHeight="1">
      <c r="AP367" s="75" t="s">
        <v>1657</v>
      </c>
      <c r="AQ367" s="51" t="s">
        <v>1658</v>
      </c>
      <c r="AR367" s="51">
        <f>COUNTIFS(AT134:AT317,"W")</f>
        <v>72</v>
      </c>
      <c r="AS367" s="76">
        <f t="shared" ref="AS367:AS369" si="280">AR367/$AR$370</f>
        <v>0.57599999999999996</v>
      </c>
    </row>
    <row r="368" spans="1:55" ht="15.75" customHeight="1">
      <c r="AP368" s="75"/>
      <c r="AQ368" s="51" t="s">
        <v>1659</v>
      </c>
      <c r="AR368" s="51">
        <f>COUNTIFS(AT135:AT352,"L")</f>
        <v>25</v>
      </c>
      <c r="AS368" s="76">
        <f t="shared" si="280"/>
        <v>0.2</v>
      </c>
    </row>
    <row r="369" spans="42:45" ht="15.75" customHeight="1">
      <c r="AP369" s="75"/>
      <c r="AQ369" s="51" t="s">
        <v>1660</v>
      </c>
      <c r="AR369" s="51">
        <f>COUNTIFS(AT136:AT353,"D")</f>
        <v>28</v>
      </c>
      <c r="AS369" s="76">
        <f t="shared" si="280"/>
        <v>0.224</v>
      </c>
    </row>
    <row r="370" spans="42:45" ht="15.75" customHeight="1">
      <c r="AP370" s="75"/>
      <c r="AQ370" s="51"/>
      <c r="AR370" s="51">
        <f>SUM(AR367:AR369)</f>
        <v>125</v>
      </c>
      <c r="AS370" s="76"/>
    </row>
    <row r="376" spans="42:45" ht="15.75" customHeight="1">
      <c r="AR376" s="319"/>
    </row>
  </sheetData>
  <mergeCells count="11">
    <mergeCell ref="AU1:AW1"/>
    <mergeCell ref="AX1:AZ1"/>
    <mergeCell ref="BA1:BC1"/>
    <mergeCell ref="AQ357:AR357"/>
    <mergeCell ref="A1:F1"/>
    <mergeCell ref="H1:J1"/>
    <mergeCell ref="L1:N1"/>
    <mergeCell ref="O1:W1"/>
    <mergeCell ref="X1:Z1"/>
    <mergeCell ref="AA1:AP1"/>
    <mergeCell ref="AQ1:AT1"/>
  </mergeCells>
  <phoneticPr fontId="63" type="noConversion"/>
  <conditionalFormatting sqref="A3:G351">
    <cfRule type="expression" dxfId="275" priority="42">
      <formula>$AT3="D"</formula>
    </cfRule>
  </conditionalFormatting>
  <conditionalFormatting sqref="A3:BC311 A312:AH314 AI312:BC315 X315:X316 Z315:AH316 A315:W321 AI316:AK316 AL316:BC323 X317:AJ317 AK317:AK323 X318:X320 Z318:AJ320 X321:AJ321 A322:AJ322 X323:AJ323 A323:W326 X324:BC326 A327:BC351 D354:D365">
    <cfRule type="expression" dxfId="274" priority="26">
      <formula>$AT3="L"</formula>
    </cfRule>
  </conditionalFormatting>
  <conditionalFormatting sqref="A3:BC311 AI312:BC315 AL316:BC323 X324:BC326 A327:BC351 A312:AH314 A315:W321 A322:AJ322 A323:W326 D354:D365 X315:X316 Z315:AH316 AI316:AK316 X317:AJ317 AK317:AK323 X318:X320 Z318:AJ320 X321:AJ321 X323:AJ323">
    <cfRule type="expression" dxfId="273" priority="24">
      <formula>$AT3="W"</formula>
    </cfRule>
  </conditionalFormatting>
  <conditionalFormatting sqref="A9:BC9">
    <cfRule type="expression" dxfId="272" priority="17">
      <formula>$AW9="W"</formula>
    </cfRule>
    <cfRule type="expression" dxfId="271" priority="18">
      <formula>$AW9="L"</formula>
    </cfRule>
  </conditionalFormatting>
  <conditionalFormatting sqref="E91 A91:D93 D354">
    <cfRule type="expression" dxfId="270" priority="13">
      <formula>$AS91="L"</formula>
    </cfRule>
    <cfRule type="expression" dxfId="269" priority="14">
      <formula>$AS91="W"</formula>
    </cfRule>
  </conditionalFormatting>
  <conditionalFormatting sqref="E261">
    <cfRule type="expression" dxfId="268" priority="12">
      <formula>$AT261="D"</formula>
    </cfRule>
  </conditionalFormatting>
  <conditionalFormatting sqref="F271">
    <cfRule type="expression" dxfId="267" priority="11">
      <formula>$AT271="D"</formula>
    </cfRule>
  </conditionalFormatting>
  <conditionalFormatting sqref="H4:J310 C46:G46 C110:G110 C131:G133 C225:G225 C311:J311 H312:J344 C345:J345 H346:J351">
    <cfRule type="cellIs" dxfId="266" priority="32" operator="equal">
      <formula>1</formula>
    </cfRule>
  </conditionalFormatting>
  <conditionalFormatting sqref="H3:BC311 H312:AH314 AI312:BC315 X315:X316 Z315:AH316 H315:W321 AI316:AK316 AL316:BC323 X317:AJ317 AK317:AK323 X318:X320 Z318:AJ320 X321:AJ321 H322:AJ322 X323:AJ323 H323:W326 X324:BC326 H327:BC351 D354:D365">
    <cfRule type="expression" dxfId="265" priority="25">
      <formula>$AT3="D"</formula>
    </cfRule>
  </conditionalFormatting>
  <conditionalFormatting sqref="K4:K351">
    <cfRule type="containsText" dxfId="264" priority="15" operator="containsText" text="H">
      <formula>NOT(ISERROR(SEARCH(("H"),(K4))))</formula>
    </cfRule>
    <cfRule type="containsText" dxfId="263" priority="16" operator="containsText" text="D">
      <formula>NOT(ISERROR(SEARCH(("D"),(K4))))</formula>
    </cfRule>
  </conditionalFormatting>
  <conditionalFormatting sqref="R3:S351 S224:Z224">
    <cfRule type="cellIs" dxfId="262" priority="29" operator="greaterThanOrEqual">
      <formula>15</formula>
    </cfRule>
  </conditionalFormatting>
  <conditionalFormatting sqref="T3:T351 Q9 W9">
    <cfRule type="cellIs" dxfId="261" priority="33" operator="greaterThan">
      <formula>8</formula>
    </cfRule>
  </conditionalFormatting>
  <conditionalFormatting sqref="U3:U352 R9 X9 U359:U1350">
    <cfRule type="cellIs" dxfId="260" priority="27" operator="equal">
      <formula>"B"</formula>
    </cfRule>
    <cfRule type="cellIs" dxfId="259" priority="28" operator="equal">
      <formula>"S"</formula>
    </cfRule>
  </conditionalFormatting>
  <conditionalFormatting sqref="Y316">
    <cfRule type="expression" dxfId="258" priority="8">
      <formula>$AT316="W"</formula>
    </cfRule>
    <cfRule type="expression" dxfId="257" priority="9">
      <formula>$AT316="D"</formula>
    </cfRule>
    <cfRule type="expression" dxfId="256" priority="10">
      <formula>$AT316="L"</formula>
    </cfRule>
  </conditionalFormatting>
  <conditionalFormatting sqref="Y318:Y319">
    <cfRule type="expression" dxfId="255" priority="5">
      <formula>$AT318="W"</formula>
    </cfRule>
    <cfRule type="expression" dxfId="254" priority="6">
      <formula>$AT318="D"</formula>
    </cfRule>
    <cfRule type="expression" dxfId="253" priority="7">
      <formula>$AT318="L"</formula>
    </cfRule>
  </conditionalFormatting>
  <conditionalFormatting sqref="AI3:AI351 AF9 AL9 AJ46 AJ110 AJ131:AJ133 AJ225">
    <cfRule type="cellIs" dxfId="252" priority="30" operator="lessThanOrEqual">
      <formula>-80</formula>
    </cfRule>
  </conditionalFormatting>
  <conditionalFormatting sqref="AJ3:AJ351 AI46 AI110 AI131:AI133 AI225 AG9 AM9">
    <cfRule type="cellIs" dxfId="251" priority="31" operator="lessThanOrEqual">
      <formula>$AJ$358</formula>
    </cfRule>
  </conditionalFormatting>
  <conditionalFormatting sqref="AR3:AR352 AO9 AU9">
    <cfRule type="cellIs" dxfId="250" priority="36" operator="greaterThan">
      <formula>0</formula>
    </cfRule>
    <cfRule type="cellIs" dxfId="249" priority="37" operator="lessThan">
      <formula>0</formula>
    </cfRule>
  </conditionalFormatting>
  <conditionalFormatting sqref="AR360">
    <cfRule type="cellIs" dxfId="248" priority="40" operator="greaterThanOrEqual">
      <formula>AR358</formula>
    </cfRule>
    <cfRule type="cellIs" dxfId="247" priority="41" operator="lessThan">
      <formula>0</formula>
    </cfRule>
  </conditionalFormatting>
  <conditionalFormatting sqref="AR361">
    <cfRule type="cellIs" dxfId="246" priority="38" operator="lessThan">
      <formula>0</formula>
    </cfRule>
    <cfRule type="cellIs" dxfId="245" priority="39" operator="greaterThanOrEqual">
      <formula>0</formula>
    </cfRule>
  </conditionalFormatting>
  <conditionalFormatting sqref="AS352">
    <cfRule type="expression" dxfId="244" priority="1">
      <formula>$AT352="W"</formula>
    </cfRule>
    <cfRule type="expression" dxfId="243" priority="2">
      <formula>$AT352="D"</formula>
    </cfRule>
    <cfRule type="expression" dxfId="242" priority="3">
      <formula>$AT352="L"</formula>
    </cfRule>
  </conditionalFormatting>
  <conditionalFormatting sqref="AT3:AT351 AQ9 AW9">
    <cfRule type="cellIs" dxfId="241" priority="19" operator="equal">
      <formula>"W"</formula>
    </cfRule>
    <cfRule type="cellIs" dxfId="240" priority="20" operator="equal">
      <formula>"L"</formula>
    </cfRule>
  </conditionalFormatting>
  <dataValidations count="8">
    <dataValidation type="list" allowBlank="1" sqref="AT3" xr:uid="{00000000-0002-0000-0000-000005000000}">
      <formula1>"W,L"</formula1>
    </dataValidation>
    <dataValidation type="list" allowBlank="1" sqref="U3:U223 U225:U351" xr:uid="{00000000-0002-0000-0000-000002000000}">
      <formula1>"B,S"</formula1>
    </dataValidation>
    <dataValidation type="list" allowBlank="1" sqref="Q3:Q351" xr:uid="{00000000-0002-0000-0000-000000000000}">
      <formula1>"O,S,F"</formula1>
    </dataValidation>
    <dataValidation type="list" allowBlank="1" sqref="K4:K351" xr:uid="{00000000-0002-0000-0000-000001000000}">
      <formula1>"D,H"</formula1>
    </dataValidation>
    <dataValidation type="list" allowBlank="1" sqref="P3:P351" xr:uid="{00000000-0002-0000-0000-000003000000}">
      <formula1>"W,R,G"</formula1>
    </dataValidation>
    <dataValidation type="list" allowBlank="1" sqref="AN4:AN351" xr:uid="{00000000-0002-0000-0000-000004000000}">
      <formula1>"M,H,D,W"</formula1>
    </dataValidation>
    <dataValidation type="list" allowBlank="1" sqref="O3:O351" xr:uid="{00000000-0002-0000-0000-000006000000}">
      <formula1>"IB,IR"</formula1>
    </dataValidation>
    <dataValidation type="list" allowBlank="1" sqref="AT4:AT351" xr:uid="{00000000-0002-0000-0000-000007000000}">
      <formula1>"W,L,D"</formula1>
    </dataValidation>
  </dataValidations>
  <hyperlinks>
    <hyperlink ref="E9" r:id="rId1" xr:uid="{00000000-0004-0000-0000-000001000000}"/>
    <hyperlink ref="E164" r:id="rId2" xr:uid="{00000000-0004-0000-0000-000002000000}"/>
    <hyperlink ref="E165" r:id="rId3" xr:uid="{00000000-0004-0000-0000-000003000000}"/>
    <hyperlink ref="E166" r:id="rId4" xr:uid="{00000000-0004-0000-0000-000004000000}"/>
    <hyperlink ref="E167" r:id="rId5" xr:uid="{00000000-0004-0000-0000-000005000000}"/>
    <hyperlink ref="E171" r:id="rId6" xr:uid="{00000000-0004-0000-0000-000006000000}"/>
    <hyperlink ref="E180" r:id="rId7" xr:uid="{00000000-0004-0000-0000-000007000000}"/>
    <hyperlink ref="E181" r:id="rId8" xr:uid="{00000000-0004-0000-0000-000008000000}"/>
    <hyperlink ref="E182" r:id="rId9" xr:uid="{00000000-0004-0000-0000-000009000000}"/>
    <hyperlink ref="E189" r:id="rId10" xr:uid="{00000000-0004-0000-0000-00000A000000}"/>
    <hyperlink ref="E190" r:id="rId11" xr:uid="{00000000-0004-0000-0000-00000B000000}"/>
    <hyperlink ref="E191" r:id="rId12" xr:uid="{00000000-0004-0000-0000-00000C000000}"/>
    <hyperlink ref="E199" r:id="rId13" xr:uid="{00000000-0004-0000-0000-00000D000000}"/>
    <hyperlink ref="E208" r:id="rId14" xr:uid="{00000000-0004-0000-0000-00000E000000}"/>
    <hyperlink ref="E209" r:id="rId15" xr:uid="{00000000-0004-0000-0000-00000F000000}"/>
    <hyperlink ref="E210" r:id="rId16" xr:uid="{00000000-0004-0000-0000-000010000000}"/>
    <hyperlink ref="E221" r:id="rId17" xr:uid="{00000000-0004-0000-0000-000011000000}"/>
    <hyperlink ref="E237" r:id="rId18" xr:uid="{00000000-0004-0000-0000-000012000000}"/>
    <hyperlink ref="E238" r:id="rId19" xr:uid="{00000000-0004-0000-0000-000013000000}"/>
    <hyperlink ref="E245" r:id="rId20" xr:uid="{00000000-0004-0000-0000-000014000000}"/>
    <hyperlink ref="G1" location="'Journal Live'!A335" display="PRESENT   " xr:uid="{00000000-0004-0000-0000-000000000000}"/>
    <hyperlink ref="E268" r:id="rId21" xr:uid="{36484390-B139-4298-ADFF-72AFAC746617}"/>
    <hyperlink ref="E269" r:id="rId22" display="US CPI YOY JAN (" xr:uid="{F463A987-9528-4749-A00A-5D2F80583B86}"/>
    <hyperlink ref="E278" r:id="rId23" display="_x000a_Core Retail Sales (MoM) (Jan)" xr:uid="{8045328C-AB66-4396-B2F5-5D2632505E21}"/>
    <hyperlink ref="E279" r:id="rId24" display="_x000a_Retail Sales (MoM) (Jan)" xr:uid="{4384EE79-362F-414C-995F-973D56EE496C}"/>
    <hyperlink ref="E300" r:id="rId25" display="GDP (QoQ) (Q4)" xr:uid="{3537B656-6E8F-415E-8358-F2EC3B69D300}"/>
    <hyperlink ref="E312" r:id="rId26" display="_x000a_CPI (YoY)" xr:uid="{CB99669F-9BAD-4CFA-8848-5DA998486F8A}"/>
    <hyperlink ref="E313" r:id="rId27" display="GDP (QoQ) (Q4)" xr:uid="{35B7B964-02D0-4E6F-B033-9AEE6A653DC5}"/>
    <hyperlink ref="E334" r:id="rId28" display="_x000a_ADP Nonfarm Employment Change (Feb)" xr:uid="{769294FA-D689-44AD-835C-E379CB5A240C}"/>
  </hyperlinks>
  <pageMargins left="0.7" right="0.7" top="0.75" bottom="0.75" header="0.3" footer="0.3"/>
  <pageSetup paperSize="9" orientation="portrait" r:id="rId29"/>
  <tableParts count="1">
    <tablePart r:id="rId3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7D4D9-A99C-4E98-BC4F-6DBCB8280C93}">
  <dimension ref="A1:P65"/>
  <sheetViews>
    <sheetView showGridLines="0" zoomScale="70" zoomScaleNormal="70" workbookViewId="0">
      <selection activeCell="B65" sqref="B65"/>
    </sheetView>
  </sheetViews>
  <sheetFormatPr defaultColWidth="9.140625" defaultRowHeight="13.9"/>
  <cols>
    <col min="1" max="1" width="20.7109375" style="322" customWidth="1"/>
    <col min="2" max="2" width="27" style="322" customWidth="1"/>
    <col min="3" max="11" width="20.7109375" style="322" customWidth="1"/>
    <col min="12" max="12" width="10.28515625" style="322" customWidth="1"/>
    <col min="13" max="13" width="15.140625" style="322" customWidth="1"/>
    <col min="14" max="14" width="17.28515625" style="322" customWidth="1"/>
    <col min="15" max="15" width="11.5703125" style="322" customWidth="1"/>
    <col min="16" max="16" width="11.85546875" style="322" customWidth="1"/>
    <col min="17" max="16384" width="9.140625" style="322"/>
  </cols>
  <sheetData>
    <row r="1" spans="1:16" s="617" customFormat="1" ht="13.15">
      <c r="A1" s="616" t="s">
        <v>1661</v>
      </c>
      <c r="B1" s="616"/>
      <c r="C1" s="616"/>
      <c r="D1" s="616"/>
      <c r="E1" s="616"/>
      <c r="F1" s="616"/>
      <c r="G1" s="616"/>
      <c r="H1" s="616"/>
      <c r="I1" s="616"/>
      <c r="J1" s="616"/>
      <c r="K1" s="616"/>
    </row>
    <row r="2" spans="1:16" s="619" customFormat="1" thickBot="1">
      <c r="A2" s="618"/>
      <c r="B2" s="618"/>
      <c r="C2" s="618"/>
      <c r="D2" s="618"/>
      <c r="E2" s="618"/>
      <c r="F2" s="618"/>
      <c r="G2" s="618"/>
      <c r="H2" s="618"/>
      <c r="I2" s="618"/>
      <c r="J2" s="618"/>
      <c r="K2" s="618"/>
    </row>
    <row r="3" spans="1:16" ht="16.149999999999999" customHeight="1" thickTop="1">
      <c r="A3" s="620" t="s">
        <v>1499</v>
      </c>
      <c r="B3" s="327"/>
      <c r="C3" s="327"/>
      <c r="D3" s="327"/>
      <c r="E3" s="327"/>
      <c r="F3" s="327"/>
      <c r="G3" s="327"/>
      <c r="H3" s="327"/>
      <c r="I3" s="327"/>
      <c r="J3" s="327"/>
      <c r="K3" s="327"/>
      <c r="L3" s="327"/>
      <c r="M3" s="327"/>
      <c r="N3" s="327"/>
      <c r="O3" s="327"/>
      <c r="P3" s="327"/>
    </row>
    <row r="4" spans="1:16">
      <c r="A4" s="621"/>
      <c r="B4" s="327"/>
      <c r="C4" s="327"/>
      <c r="D4" s="327"/>
      <c r="E4" s="327"/>
      <c r="F4" s="327"/>
      <c r="G4" s="327"/>
      <c r="H4" s="327"/>
      <c r="I4" s="327"/>
      <c r="J4" s="327"/>
      <c r="K4" s="327"/>
      <c r="L4" s="327"/>
      <c r="M4" s="327"/>
      <c r="N4" s="327"/>
      <c r="O4" s="327"/>
      <c r="P4" s="327"/>
    </row>
    <row r="5" spans="1:16">
      <c r="A5" s="353" t="s">
        <v>1662</v>
      </c>
      <c r="B5" s="354" t="s">
        <v>1663</v>
      </c>
      <c r="C5" s="355" t="s">
        <v>1664</v>
      </c>
      <c r="D5" s="355" t="s">
        <v>1665</v>
      </c>
      <c r="E5" s="356" t="s">
        <v>1666</v>
      </c>
      <c r="F5" s="354" t="s">
        <v>1667</v>
      </c>
      <c r="G5" s="355" t="s">
        <v>1668</v>
      </c>
      <c r="H5" s="355" t="s">
        <v>1669</v>
      </c>
      <c r="I5" s="355" t="s">
        <v>1670</v>
      </c>
      <c r="J5" s="355" t="s">
        <v>1671</v>
      </c>
      <c r="K5" s="357" t="s">
        <v>1672</v>
      </c>
      <c r="L5" s="358" t="s">
        <v>1673</v>
      </c>
      <c r="M5" s="358" t="s">
        <v>1674</v>
      </c>
      <c r="N5" s="358" t="s">
        <v>1675</v>
      </c>
      <c r="O5" s="358" t="s">
        <v>1676</v>
      </c>
      <c r="P5" s="358" t="s">
        <v>1677</v>
      </c>
    </row>
    <row r="6" spans="1:16" ht="14.45">
      <c r="A6" s="324" t="s">
        <v>6</v>
      </c>
      <c r="B6" s="330" t="s">
        <v>34</v>
      </c>
      <c r="C6" s="331">
        <f>COUNTIFS(Table1[MONTH],'PERFORMANCE ANALYSIS'!$A$3,Table1[TECHNICAL],"*")</f>
        <v>6</v>
      </c>
      <c r="D6" s="331">
        <f>SUMIFS(Table1[B QTY],Table1[MONTH],'PERFORMANCE ANALYSIS'!$A$3,Table1[TECHNICAL],"*")</f>
        <v>36</v>
      </c>
      <c r="E6" s="342">
        <f>AVERAGEIFS(Table1[PNL ($) SINGLE ORDER],Table1[MONTH],'PERFORMANCE ANALYSIS'!$A$3,Table1[W/L],"W",Table1[TECHNICAL],"*")</f>
        <v>72.850000000010127</v>
      </c>
      <c r="F6" s="342">
        <f>SUMIFS(Table1[TOTAL PROFIT],Table1[MONTH],'PERFORMANCE ANALYSIS'!$A$3,Table1[W/L],"W",Table1[TECHNICAL],"*")</f>
        <v>290.6000000000202</v>
      </c>
      <c r="G6" s="323">
        <f>(COUNTIFS(Table1[W/L],"W",Table1[MONTH],'PERFORMANCE ANALYSIS'!$A$3,Table1[TECHNICAL],"*"))/Table2[[#This Row],['# ORDERS]]</f>
        <v>0.33333333333333331</v>
      </c>
      <c r="H6" s="342">
        <f>ABS(AVERAGEIFS(Table1[PNL ($) SINGLE ORDER],Table1[MONTH],'PERFORMANCE ANALYSIS'!$A$3,Table1[W/L],"L",Table1[TECHNICAL],"*"))</f>
        <v>64.40000000000002</v>
      </c>
      <c r="I6" s="342">
        <f>ABS(SUMIFS(Table1[TOTAL PROFIT],Table1[MONTH],'PERFORMANCE ANALYSIS'!$A$3,Table1[W/L],"L",Table1[TECHNICAL],"*"))</f>
        <v>901.60000000000025</v>
      </c>
      <c r="J6" s="323">
        <f>(COUNTIFS(Table1[W/L],"L",Table1[MONTH],'PERFORMANCE ANALYSIS'!$A$3,Table1[TECHNICAL],"*"))/Table2[[#This Row],['# ORDERS]]</f>
        <v>0.33333333333333331</v>
      </c>
      <c r="K6" s="326">
        <f>IFERROR(Table2[[#This Row],[TOTAL GAINS]]/Table2[[#This Row],[TOTAL LOSS]],1)</f>
        <v>0.32231588287491142</v>
      </c>
      <c r="L6" s="343">
        <f>Table2[[#This Row],[TOTAL GAINS]]-Table2[[#This Row],[TOTAL LOSS]]</f>
        <v>-610.99999999997999</v>
      </c>
      <c r="M6" s="335" cm="1">
        <f t="array" ref="M6">MODE(IF(Table1[MONTH]='PERFORMANCE ANALYSIS'!$A$3,IF(Table1[TECHNICAL]&lt;&gt;"",Table1[B QTY])))</f>
        <v>1</v>
      </c>
      <c r="N6" s="337">
        <f>AVERAGEIFS(Table1[B QTY],Table1[MONTH],'PERFORMANCE ANALYSIS'!$A$3,Table1[TECHNICAL],"*")</f>
        <v>6</v>
      </c>
      <c r="O6" s="349" cm="1">
        <f t="array" ref="O6">MIN(IF(Table1[MONTH]='PERFORMANCE ANALYSIS'!$A$3,IF(Table1[TECHNICAL]&lt;&gt;"",Table1[TOTAL PROFIT])))</f>
        <v>-450.80000000000013</v>
      </c>
      <c r="P6" s="378">
        <f>IFERROR(Table2[[#This Row],[AVG GAINS/LOT]]/Table2[[#This Row],[AVG LOSS/ LOT]],0)</f>
        <v>1.1312111801243805</v>
      </c>
    </row>
    <row r="7" spans="1:16" ht="14.45">
      <c r="A7" s="324"/>
      <c r="B7" s="330" t="s">
        <v>35</v>
      </c>
      <c r="C7" s="331">
        <f>COUNTIFS(Table1[MONTH],'PERFORMANCE ANALYSIS'!$A$3,Table1[FUNDAMENTAL],"*")</f>
        <v>7</v>
      </c>
      <c r="D7" s="331">
        <f>SUMIFS(Table1[B QTY],Table1[MONTH],'PERFORMANCE ANALYSIS'!$A$3,Table1[FUNDAMENTAL],"*")</f>
        <v>46</v>
      </c>
      <c r="E7" s="342">
        <f>AVERAGEIFS(Table1[PNL ($) SINGLE ORDER],Table1[MONTH],'PERFORMANCE ANALYSIS'!$A$3,Table1[W/L],"W",Table1[FUNDAMENTAL],"*")</f>
        <v>44.350000000005053</v>
      </c>
      <c r="F7" s="342">
        <f>SUMIFS(Table1[TOTAL PROFIT],Table1[MONTH],'PERFORMANCE ANALYSIS'!$A$3,Table1[W/L],"W",Table1[FUNDAMENTAL],"*")</f>
        <v>463.4000000000201</v>
      </c>
      <c r="G7" s="323">
        <f>(COUNTIFS(Table1[W/L],"W",Table1[MONTH],'PERFORMANCE ANALYSIS'!$A$3,Table1[FUNDAMENTAL],"*"))/Table2[[#This Row],['# ORDERS]]</f>
        <v>0.5714285714285714</v>
      </c>
      <c r="H7" s="342">
        <f>ABS(AVERAGEIFS(Table1[PNL ($) SINGLE ORDER],Table1[MONTH],'PERFORMANCE ANALYSIS'!$A$3,Table1[W/L],"L",Table1[FUNDAMENTAL],"*"))</f>
        <v>64.40000000000002</v>
      </c>
      <c r="I7" s="342">
        <f>ABS(SUMIFS(Table1[TOTAL PROFIT],Table1[MONTH],'PERFORMANCE ANALYSIS'!$A$3,Table1[W/L],"L",Table1[FUNDAMENTAL],"*"))</f>
        <v>901.60000000000025</v>
      </c>
      <c r="J7" s="323">
        <f>(COUNTIFS(Table1[W/L],"L",Table1[MONTH],'PERFORMANCE ANALYSIS'!$A$3,Table1[FUNDAMENTAL],"*"))/Table2[[#This Row],['# ORDERS]]</f>
        <v>0.2857142857142857</v>
      </c>
      <c r="K7" s="326">
        <f>IFERROR(Table2[[#This Row],[TOTAL GAINS]]/Table2[[#This Row],[TOTAL LOSS]],1)</f>
        <v>0.51397515527952531</v>
      </c>
      <c r="L7" s="343">
        <f>Table2[[#This Row],[TOTAL GAINS]]-Table2[[#This Row],[TOTAL LOSS]]</f>
        <v>-438.19999999998015</v>
      </c>
      <c r="M7" s="336" cm="1">
        <f t="array" ref="M7">MODE(IF(Table1[MONTH]='PERFORMANCE ANALYSIS'!$A$3,IF(Table1[FUNDAMENTAL]&lt;&gt;"",Table1[B QTY])))</f>
        <v>7</v>
      </c>
      <c r="N7" s="338">
        <f>AVERAGEIFS(Table1[B QTY],Table1[MONTH],'PERFORMANCE ANALYSIS'!$A$3,Table1[FUNDAMENTAL],"*")</f>
        <v>6.5714285714285712</v>
      </c>
      <c r="O7" s="349" cm="1">
        <f t="array" ref="O7">MIN(IF(Table1[MONTH]='PERFORMANCE ANALYSIS'!$A$3,IF(Table1[FUNDAMENTAL]&lt;&gt;"",Table1[TOTAL PROFIT])))</f>
        <v>-450.80000000000013</v>
      </c>
      <c r="P7" s="378">
        <f>IFERROR(Table2[[#This Row],[AVG GAINS/LOT]]/Table2[[#This Row],[AVG LOSS/ LOT]],0)</f>
        <v>0.68866459627337018</v>
      </c>
    </row>
    <row r="8" spans="1:16" ht="14.45">
      <c r="A8" s="324"/>
      <c r="B8" s="330" t="s">
        <v>1678</v>
      </c>
      <c r="C8" s="331">
        <f>COUNTIFS(Table1[MONTH],'PERFORMANCE ANALYSIS'!$A$3,Table1[CURVES],"*")</f>
        <v>12</v>
      </c>
      <c r="D8" s="331">
        <f>SUMIFS(Table1[B QTY],Table1[MONTH],'PERFORMANCE ANALYSIS'!$A$3,Table1[CURVES],"*")</f>
        <v>71</v>
      </c>
      <c r="E8" s="342">
        <f>AVERAGEIFS(Table1[PNL ($) SINGLE ORDER],Table1[MONTH],'PERFORMANCE ANALYSIS'!$A$3,Table1[W/L],"W",Table1[CURVES],"*")</f>
        <v>16.016666666666666</v>
      </c>
      <c r="F8" s="342">
        <f>SUMIFS(Table1[TOTAL PROFIT],Table1[MONTH],'PERFORMANCE ANALYSIS'!$A$3,Table1[W/L],"W",Table1[CURVES],"*")</f>
        <v>414.29999999999984</v>
      </c>
      <c r="G8" s="323">
        <f>(COUNTIFS(Table1[W/L],"W",Table1[MONTH],'PERFORMANCE ANALYSIS'!$A$3,Table1[CURVES],"*"))/Table2[[#This Row],['# ORDERS]]</f>
        <v>0.5</v>
      </c>
      <c r="H8" s="342">
        <f>ABS(AVERAGEIFS(Table1[PNL ($) SINGLE ORDER],Table1[MONTH],'PERFORMANCE ANALYSIS'!$A$3,Table1[W/L],"L",Table1[CURVES],"*"))</f>
        <v>64.40000000000002</v>
      </c>
      <c r="I8" s="342">
        <f>ABS(SUMIFS(Table1[TOTAL PROFIT],Table1[MONTH],'PERFORMANCE ANALYSIS'!$A$3,Table1[W/L],"L",Table1[CURVES],"*"))</f>
        <v>901.60000000000025</v>
      </c>
      <c r="J8" s="323">
        <f>(COUNTIFS(Table1[W/L],"L",Table1[MONTH],'PERFORMANCE ANALYSIS'!$A$3,Table1[CURVES],"*"))/Table2[[#This Row],['# ORDERS]]</f>
        <v>0.16666666666666666</v>
      </c>
      <c r="K8" s="326">
        <f>IFERROR(Table2[[#This Row],[TOTAL GAINS]]/Table2[[#This Row],[TOTAL LOSS]],1)</f>
        <v>0.45951641526175657</v>
      </c>
      <c r="L8" s="343">
        <f>Table2[[#This Row],[TOTAL GAINS]]-Table2[[#This Row],[TOTAL LOSS]]</f>
        <v>-487.30000000000041</v>
      </c>
      <c r="M8" s="336" cm="1">
        <f t="array" ref="M8">MODE(IF(Table1[MONTH]='PERFORMANCE ANALYSIS'!$A$3,IF(Table1[CURVES]&lt;&gt;"",Table1[B QTY])))</f>
        <v>7</v>
      </c>
      <c r="N8" s="338">
        <f>AVERAGEIFS(Table1[B QTY],Table1[MONTH],'PERFORMANCE ANALYSIS'!$A$3,Table1[CURVES],"*")</f>
        <v>5.916666666666667</v>
      </c>
      <c r="O8" s="379" cm="1">
        <f t="array" ref="O8">MIN(IF(Table1[MONTH]='PERFORMANCE ANALYSIS'!$A$3,IF(Table1[CURVES]&lt;&gt;"",Table1[TOTAL PROFIT])))</f>
        <v>-450.80000000000013</v>
      </c>
      <c r="P8" s="378">
        <f>IFERROR(Table2[[#This Row],[AVG GAINS/LOT]]/Table2[[#This Row],[AVG LOSS/ LOT]],0)</f>
        <v>0.24870600414078667</v>
      </c>
    </row>
    <row r="9" spans="1:16" ht="14.45">
      <c r="A9" s="325" t="s">
        <v>1679</v>
      </c>
      <c r="B9" s="332" t="s">
        <v>1680</v>
      </c>
      <c r="C9" s="331">
        <f>COUNTIFS(Table1[MONTH],'PERFORMANCE ANALYSIS'!$A$3,Table1[CODE2],"W")</f>
        <v>9</v>
      </c>
      <c r="D9" s="331">
        <f>SUMIFS(Table1[B QTY],Table1[MONTH],'PERFORMANCE ANALYSIS'!$A$3,Table1[CODE2],"W")</f>
        <v>32</v>
      </c>
      <c r="E9" s="342">
        <f>AVERAGEIFS(Table1[PNL ($) SINGLE ORDER],Table1[MONTH],'PERFORMANCE ANALYSIS'!$A$3,Table1[W/L],"W",Table1[CODE2],"W")</f>
        <v>32.242857142860032</v>
      </c>
      <c r="F9" s="342">
        <f>SUMIFS(Table1[TOTAL PROFIT],Table1[MONTH],'PERFORMANCE ANALYSIS'!$A$3,Table1[W/L],"W",Table1[CODE2],"W")</f>
        <v>543.9000000000201</v>
      </c>
      <c r="G9" s="323">
        <f>(COUNTIFS(Table1[W/L],"W",Table1[MONTH],'PERFORMANCE ANALYSIS'!$A$3,Table1[CODE2],"W"))/Table2[[#This Row],['# ORDERS]]</f>
        <v>0.77777777777777779</v>
      </c>
      <c r="H9" s="342" t="e">
        <f>ABS(AVERAGEIFS(Table1[PNL ($) SINGLE ORDER],Table1[MONTH],'PERFORMANCE ANALYSIS'!$A$3,Table1[W/L],"L",Table1[CODE2],"W"))</f>
        <v>#DIV/0!</v>
      </c>
      <c r="I9" s="342">
        <f>ABS(SUMIFS(Table1[TOTAL PROFIT],Table1[MONTH],'PERFORMANCE ANALYSIS'!$A$3,Table1[W/L],"L",Table1[CODE2],"W"))</f>
        <v>0</v>
      </c>
      <c r="J9" s="323">
        <f>(COUNTIFS(Table1[W/L],"L",Table1[MONTH],'PERFORMANCE ANALYSIS'!$A$3,Table1[CODE2],"W"))/Table2[[#This Row],['# ORDERS]]</f>
        <v>0</v>
      </c>
      <c r="K9" s="326">
        <f>IFERROR(Table2[[#This Row],[TOTAL GAINS]]/Table2[[#This Row],[TOTAL LOSS]],1)</f>
        <v>1</v>
      </c>
      <c r="L9" s="343">
        <f>Table2[[#This Row],[TOTAL GAINS]]-Table2[[#This Row],[TOTAL LOSS]]</f>
        <v>543.9000000000201</v>
      </c>
      <c r="M9" s="336" cm="1">
        <f t="array" ref="M9">MODE(IF(Table1[MONTH]='PERFORMANCE ANALYSIS'!$A$3,IF(Table1[CODE2]="W",Table1[B QTY])))</f>
        <v>1</v>
      </c>
      <c r="N9" s="339">
        <f>AVERAGEIFS(Table1[B QTY],Table1[MONTH],'PERFORMANCE ANALYSIS'!$A$3,Table1[CODE2],"W")</f>
        <v>3.5555555555555554</v>
      </c>
      <c r="O9" s="379" cm="1">
        <f t="array" ref="O9">MIN(IF(Table1[MONTH]='PERFORMANCE ANALYSIS'!$A$3,IF(Table1[CODE2]="W",Table1[TOTAL PROFIT])))</f>
        <v>0</v>
      </c>
      <c r="P9" s="378">
        <f>IFERROR(Table2[[#This Row],[AVG GAINS/LOT]]/Table2[[#This Row],[AVG LOSS/ LOT]],0)</f>
        <v>0</v>
      </c>
    </row>
    <row r="10" spans="1:16" ht="14.45">
      <c r="A10" s="325"/>
      <c r="B10" s="332" t="s">
        <v>1681</v>
      </c>
      <c r="C10" s="331">
        <f>COUNTIFS(Table1[MONTH],'PERFORMANCE ANALYSIS'!$A$3,Table1[CODE2],"R")</f>
        <v>6</v>
      </c>
      <c r="D10" s="331">
        <f>SUMIFS(Table1[B QTY],Table1[MONTH],'PERFORMANCE ANALYSIS'!$A$3,Table1[CODE2],"R")</f>
        <v>51</v>
      </c>
      <c r="E10" s="342">
        <f>AVERAGEIFS(Table1[PNL ($) SINGLE ORDER],Table1[MONTH],'PERFORMANCE ANALYSIS'!$A$3,Table1[W/L],"W",Table1[CODE2],"R")</f>
        <v>16.099999999999994</v>
      </c>
      <c r="F10" s="342">
        <f>SUMIFS(Table1[TOTAL PROFIT],Table1[MONTH],'PERFORMANCE ANALYSIS'!$A$3,Table1[W/L],"W",Table1[CODE2],"R")</f>
        <v>160.99999999999994</v>
      </c>
      <c r="G10" s="323">
        <f>(COUNTIFS(Table1[W/L],"W",Table1[MONTH],'PERFORMANCE ANALYSIS'!$A$3,Table1[CODE2],"R"))/Table2[[#This Row],['# ORDERS]]</f>
        <v>0.16666666666666666</v>
      </c>
      <c r="H10" s="342">
        <f>ABS(AVERAGEIFS(Table1[PNL ($) SINGLE ORDER],Table1[MONTH],'PERFORMANCE ANALYSIS'!$A$3,Table1[W/L],"L",Table1[CODE2],"R"))</f>
        <v>64.40000000000002</v>
      </c>
      <c r="I10" s="342">
        <f>ABS(SUMIFS(Table1[TOTAL PROFIT],Table1[MONTH],'PERFORMANCE ANALYSIS'!$A$3,Table1[W/L],"L",Table1[CODE2],"R"))</f>
        <v>901.60000000000025</v>
      </c>
      <c r="J10" s="323">
        <f>(COUNTIFS(Table1[W/L],"L",Table1[MONTH],'PERFORMANCE ANALYSIS'!$A$3,Table1[CODE2],"R"))/Table2[[#This Row],['# ORDERS]]</f>
        <v>0.33333333333333331</v>
      </c>
      <c r="K10" s="326">
        <f>IFERROR(Table2[[#This Row],[TOTAL GAINS]]/Table2[[#This Row],[TOTAL LOSS]],1)</f>
        <v>0.17857142857142846</v>
      </c>
      <c r="L10" s="343">
        <f>Table2[[#This Row],[TOTAL GAINS]]-Table2[[#This Row],[TOTAL LOSS]]</f>
        <v>-740.60000000000036</v>
      </c>
      <c r="M10" s="336" cm="1">
        <f t="array" ref="M10">MODE(IF(Table1[MONTH]='PERFORMANCE ANALYSIS'!$A$3,IF(Table1[CODE2]="R",Table1[B QTY])))</f>
        <v>7</v>
      </c>
      <c r="N10" s="339">
        <f>AVERAGEIFS(Table1[B QTY],Table1[MONTH],'PERFORMANCE ANALYSIS'!$A$3,Table1[CODE2],"R")</f>
        <v>8.5</v>
      </c>
      <c r="O10" s="379" cm="1">
        <f t="array" ref="O10">MIN(IF(Table1[MONTH]='PERFORMANCE ANALYSIS'!$A$3,IF(Table1[CODE2]="R",Table1[TOTAL PROFIT])))</f>
        <v>-450.80000000000013</v>
      </c>
      <c r="P10" s="378">
        <f>IFERROR(Table2[[#This Row],[AVG GAINS/LOT]]/Table2[[#This Row],[AVG LOSS/ LOT]],0)</f>
        <v>0.24999999999999983</v>
      </c>
    </row>
    <row r="11" spans="1:16" ht="14.45">
      <c r="A11" s="324" t="s">
        <v>1682</v>
      </c>
      <c r="B11" s="330" t="s">
        <v>1683</v>
      </c>
      <c r="C11" s="331">
        <f>COUNTIFS(Table1[MONTH],'PERFORMANCE ANALYSIS'!$A$3,Table1[O,S,F],"O")</f>
        <v>1</v>
      </c>
      <c r="D11" s="331">
        <f>SUMIFS(Table1[B QTY],Table1[MONTH],'PERFORMANCE ANALYSIS'!$A$3,Table1[O,S,F],"O")</f>
        <v>1</v>
      </c>
      <c r="E11" s="342">
        <f>AVERAGEIFS(Table1[PNL ($) SINGLE ORDER],Table1[MONTH],'PERFORMANCE ANALYSIS'!$A$3,Table1[W/L],"W",Table1[O,S,F],"O")</f>
        <v>129.60000000002026</v>
      </c>
      <c r="F11" s="342">
        <f>SUMIFS(Table1[TOTAL PROFIT],Table1[MONTH],'PERFORMANCE ANALYSIS'!$A$3,Table1[W/L],"W",Table1[O,S,F],"O")</f>
        <v>129.60000000002026</v>
      </c>
      <c r="G11" s="323">
        <f>(COUNTIFS(Table1[W/L],"W",Table1[MONTH],'PERFORMANCE ANALYSIS'!$A$3,Table1[O,S,F],"O"))/Table2[[#This Row],['# ORDERS]]</f>
        <v>1</v>
      </c>
      <c r="H11" s="342" t="e">
        <f>ABS(AVERAGEIFS(Table1[PNL ($) SINGLE ORDER],Table1[MONTH],'PERFORMANCE ANALYSIS'!$A$3,Table1[W/L],"L",Table1[O,S,F],"O"))</f>
        <v>#DIV/0!</v>
      </c>
      <c r="I11" s="342">
        <f>ABS(SUMIFS(Table1[TOTAL PROFIT],Table1[MONTH],'PERFORMANCE ANALYSIS'!$A$3,Table1[W/L],"L",Table1[O,S,F],"O"))</f>
        <v>0</v>
      </c>
      <c r="J11" s="323">
        <f>(COUNTIFS(Table1[W/L],"L",Table1[MONTH],'PERFORMANCE ANALYSIS'!$A$3,Table1[O,S,F],"O"))/Table2[[#This Row],['# ORDERS]]</f>
        <v>0</v>
      </c>
      <c r="K11" s="326">
        <f>IFERROR(Table2[[#This Row],[TOTAL GAINS]]/Table2[[#This Row],[TOTAL LOSS]],1)</f>
        <v>1</v>
      </c>
      <c r="L11" s="343">
        <f>Table2[[#This Row],[TOTAL GAINS]]-Table2[[#This Row],[TOTAL LOSS]]</f>
        <v>129.60000000002026</v>
      </c>
      <c r="M11" s="336" t="e" cm="1">
        <f t="array" ref="M11">MODE(IF(Table1[MONTH]='PERFORMANCE ANALYSIS'!$A$3,IF(Table1[O,S,F]="O",Table1[B QTY])))</f>
        <v>#N/A</v>
      </c>
      <c r="N11" s="338">
        <f>AVERAGEIFS(Table1[B QTY],Table1[MONTH],'PERFORMANCE ANALYSIS'!$A$3,Table1[O,S,F],"O")</f>
        <v>1</v>
      </c>
      <c r="O11" s="379" cm="1">
        <f t="array" ref="O11">MIN(IF(Table1[MONTH]='PERFORMANCE ANALYSIS'!$A$3,IF(Table1[O,S,F]="O",Table1[TOTAL PROFIT])))</f>
        <v>129.60000000002026</v>
      </c>
      <c r="P11" s="378">
        <f>IFERROR(Table2[[#This Row],[AVG GAINS/LOT]]/Table2[[#This Row],[AVG LOSS/ LOT]],0)</f>
        <v>0</v>
      </c>
    </row>
    <row r="12" spans="1:16" ht="14.45">
      <c r="A12" s="324"/>
      <c r="B12" s="330" t="s">
        <v>1684</v>
      </c>
      <c r="C12" s="331">
        <f>COUNTIFS(Table1[MONTH],'PERFORMANCE ANALYSIS'!$A$3,Table1[O,S,F],"S")</f>
        <v>13</v>
      </c>
      <c r="D12" s="331">
        <f>SUMIFS(Table1[B QTY],Table1[MONTH],'PERFORMANCE ANALYSIS'!$A$3,Table1[O,S,F],"S")</f>
        <v>72</v>
      </c>
      <c r="E12" s="342">
        <f>AVERAGEIFS(Table1[PNL ($) SINGLE ORDER],Table1[MONTH],'PERFORMANCE ANALYSIS'!$A$3,Table1[W/L],"W",Table1[O,S,F],"S")</f>
        <v>16.028571428571428</v>
      </c>
      <c r="F12" s="342">
        <f>SUMIFS(Table1[TOTAL PROFIT],Table1[MONTH],'PERFORMANCE ANALYSIS'!$A$3,Table1[W/L],"W",Table1[O,S,F],"S")</f>
        <v>575.29999999999984</v>
      </c>
      <c r="G12" s="323">
        <f>(COUNTIFS(Table1[W/L],"W",Table1[MONTH],'PERFORMANCE ANALYSIS'!$A$3,Table1[O,S,F],"S"))/Table2[[#This Row],['# ORDERS]]</f>
        <v>0.53846153846153844</v>
      </c>
      <c r="H12" s="342">
        <f>ABS(AVERAGEIFS(Table1[PNL ($) SINGLE ORDER],Table1[MONTH],'PERFORMANCE ANALYSIS'!$A$3,Table1[W/L],"L",Table1[O,S,F],"S"))</f>
        <v>64.40000000000002</v>
      </c>
      <c r="I12" s="342">
        <f>ABS(SUMIFS(Table1[TOTAL PROFIT],Table1[MONTH],'PERFORMANCE ANALYSIS'!$A$3,Table1[W/L],"L",Table1[O,S,F],"S"))</f>
        <v>901.60000000000025</v>
      </c>
      <c r="J12" s="323">
        <f>(COUNTIFS(Table1[W/L],"L",Table1[MONTH],'PERFORMANCE ANALYSIS'!$A$3,Table1[O,S,F],"S"))/Table2[[#This Row],['# ORDERS]]</f>
        <v>0.15384615384615385</v>
      </c>
      <c r="K12" s="326">
        <f>IFERROR(Table2[[#This Row],[TOTAL GAINS]]/Table2[[#This Row],[TOTAL LOSS]],1)</f>
        <v>0.63808784383318506</v>
      </c>
      <c r="L12" s="343">
        <f>Table2[[#This Row],[TOTAL GAINS]]-Table2[[#This Row],[TOTAL LOSS]]</f>
        <v>-326.30000000000041</v>
      </c>
      <c r="M12" s="336" cm="1">
        <f t="array" ref="M12">MODE(IF(Table1[MONTH]='PERFORMANCE ANALYSIS'!$A$3,IF(Table1[O,S,F]="S",Table1[B QTY])))</f>
        <v>7</v>
      </c>
      <c r="N12" s="338">
        <f>AVERAGEIFS(Table1[B QTY],Table1[MONTH],'PERFORMANCE ANALYSIS'!$A$3,Table1[O,S,F],"S")</f>
        <v>5.5384615384615383</v>
      </c>
      <c r="O12" s="379" cm="1">
        <f t="array" ref="O12">MIN(IF(Table1[MONTH]='PERFORMANCE ANALYSIS'!$A$3,IF(Table1[O,S,F]="S",Table1[TOTAL PROFIT])))</f>
        <v>-450.80000000000013</v>
      </c>
      <c r="P12" s="378">
        <f>IFERROR(Table2[[#This Row],[AVG GAINS/LOT]]/Table2[[#This Row],[AVG LOSS/ LOT]],0)</f>
        <v>0.24889086069210284</v>
      </c>
    </row>
    <row r="13" spans="1:16" ht="14.45">
      <c r="A13" s="324"/>
      <c r="B13" s="330" t="s">
        <v>1685</v>
      </c>
      <c r="C13" s="331">
        <f>COUNTIFS(Table1[MONTH],'PERFORMANCE ANALYSIS'!$A$3,Table1[O,S,F],"F")</f>
        <v>1</v>
      </c>
      <c r="D13" s="331">
        <f>SUMIFS(Table1[B QTY],Table1[MONTH],'PERFORMANCE ANALYSIS'!$A$3,Table1[O,S,F],"F")</f>
        <v>10</v>
      </c>
      <c r="E13" s="342" t="str">
        <f>IFERROR(AVERAGEIFS(Table1[PNL ($) SINGLE ORDER],Table1[MONTH],'PERFORMANCE ANALYSIS'!$A$3,Table1[W/L],"W",Table1[O,S,F],"F"),"N/A")</f>
        <v>N/A</v>
      </c>
      <c r="F13" s="342">
        <f>SUMIFS(Table1[TOTAL PROFIT],Table1[MONTH],'PERFORMANCE ANALYSIS'!$A$3,Table1[W/L],"W",Table1[O,S,F],"F")</f>
        <v>0</v>
      </c>
      <c r="G13" s="323">
        <f>IFERROR((COUNTIFS(Table1[W/L],"W",Table1[MONTH],'PERFORMANCE ANALYSIS'!$A$3,Table1[O,S,F],"F"))/Table2[[#This Row],['# ORDERS]],0)</f>
        <v>0</v>
      </c>
      <c r="H13" s="342">
        <f>IFERROR(ABS(AVERAGEIFS(Table1[PNL ($) SINGLE ORDER],Table1[MONTH],'PERFORMANCE ANALYSIS'!$A$3,Table1[W/L],"L",Table1[O,S,F],"F")),0)</f>
        <v>0</v>
      </c>
      <c r="I13" s="342">
        <f>ABS(SUMIFS(Table1[TOTAL PROFIT],Table1[MONTH],'PERFORMANCE ANALYSIS'!$A$3,Table1[W/L],"L",Table1[O,S,F],"F"))</f>
        <v>0</v>
      </c>
      <c r="J13" s="323">
        <f>IFERROR((COUNTIFS(Table1[W/L],"L",Table1[MONTH],'PERFORMANCE ANALYSIS'!$A$3,Table1[O,S,F],"F"))/Table2[[#This Row],['# ORDERS]],0)</f>
        <v>0</v>
      </c>
      <c r="K13" s="326">
        <f>IFERROR(Table2[[#This Row],[TOTAL GAINS]]/Table2[[#This Row],[TOTAL LOSS]],1)</f>
        <v>1</v>
      </c>
      <c r="L13" s="343">
        <f>Table2[[#This Row],[TOTAL GAINS]]-Table2[[#This Row],[TOTAL LOSS]]</f>
        <v>0</v>
      </c>
      <c r="M13" s="336" cm="1">
        <f t="array" ref="M13">IFERROR(MODE(IF(Table1[MONTH]='PERFORMANCE ANALYSIS'!$A$3,IF(Table1[O,S,F]="F",Table1[B QTY]))),0)</f>
        <v>0</v>
      </c>
      <c r="N13" s="338">
        <f>IFERROR(AVERAGEIFS(Table1[B QTY],Table1[MONTH],'PERFORMANCE ANALYSIS'!$A$3,Table1[O,S,F],"F"),0)</f>
        <v>10</v>
      </c>
      <c r="O13" s="379" cm="1">
        <f t="array" ref="O13">MIN(IF(Table1[MONTH]='PERFORMANCE ANALYSIS'!$A$3,IF(Table1[O,S,F]="F",Table1[TOTAL PROFIT])))</f>
        <v>0</v>
      </c>
      <c r="P13" s="378">
        <f>IFERROR(Table2[[#This Row],[AVG GAINS/LOT]]/Table2[[#This Row],[AVG LOSS/ LOT]],0)</f>
        <v>0</v>
      </c>
    </row>
    <row r="14" spans="1:16">
      <c r="A14" s="380"/>
      <c r="B14" s="331"/>
      <c r="C14" s="381"/>
      <c r="D14" s="327"/>
      <c r="E14" s="327"/>
      <c r="F14" s="327"/>
      <c r="G14" s="327"/>
      <c r="H14" s="327"/>
      <c r="I14" s="327"/>
      <c r="J14" s="327"/>
      <c r="K14" s="382"/>
      <c r="L14" s="383"/>
      <c r="M14" s="335"/>
      <c r="N14" s="384"/>
      <c r="O14" s="384"/>
      <c r="P14"/>
    </row>
    <row r="15" spans="1:16">
      <c r="A15" s="380"/>
      <c r="B15" s="331"/>
      <c r="C15" s="381"/>
      <c r="D15" s="327"/>
      <c r="E15" s="327"/>
      <c r="F15" s="327"/>
      <c r="G15" s="327"/>
      <c r="H15" s="327"/>
      <c r="I15" s="327"/>
      <c r="J15" s="327"/>
      <c r="K15" s="382"/>
      <c r="L15" s="383"/>
      <c r="M15" s="335"/>
      <c r="N15" s="384"/>
      <c r="O15" s="384"/>
      <c r="P15" s="327"/>
    </row>
    <row r="20" spans="1:15">
      <c r="A20" s="327"/>
      <c r="B20" s="327"/>
      <c r="C20" s="327"/>
      <c r="D20" s="327"/>
      <c r="E20" s="327"/>
      <c r="F20" s="333"/>
      <c r="G20" s="327"/>
      <c r="H20" s="327"/>
      <c r="I20" s="327"/>
      <c r="J20" s="327"/>
      <c r="K20" s="327"/>
      <c r="L20" s="327"/>
      <c r="M20" s="327"/>
      <c r="N20" s="327"/>
      <c r="O20" s="327"/>
    </row>
    <row r="21" spans="1:15">
      <c r="A21" s="327"/>
      <c r="B21" s="327"/>
      <c r="C21" s="327"/>
      <c r="D21" s="327"/>
      <c r="E21" s="327"/>
      <c r="F21" s="333"/>
      <c r="G21" s="327"/>
      <c r="H21" s="327"/>
      <c r="I21" s="327"/>
      <c r="J21" s="327"/>
      <c r="K21" s="327"/>
      <c r="L21" s="327"/>
      <c r="M21" s="327"/>
      <c r="N21" s="327"/>
      <c r="O21" s="327"/>
    </row>
    <row r="22" spans="1:15">
      <c r="A22" s="327"/>
      <c r="B22" s="327"/>
      <c r="C22" s="327"/>
      <c r="D22" s="327"/>
      <c r="E22" s="327"/>
      <c r="F22" s="333"/>
      <c r="G22" s="327"/>
      <c r="H22" s="327"/>
      <c r="I22" s="327"/>
      <c r="J22" s="327"/>
      <c r="K22" s="327"/>
      <c r="L22" s="327"/>
      <c r="M22" s="327"/>
      <c r="N22" s="327"/>
      <c r="O22" s="327"/>
    </row>
    <row r="33" spans="1:15">
      <c r="A33" s="327"/>
      <c r="B33" s="327"/>
      <c r="C33" s="327"/>
      <c r="D33" s="327"/>
      <c r="E33" s="327"/>
      <c r="F33" s="327"/>
      <c r="G33" s="327"/>
      <c r="H33" s="327"/>
      <c r="I33" s="327"/>
      <c r="J33" s="327"/>
      <c r="K33" s="327"/>
      <c r="L33" s="327"/>
      <c r="M33" s="327"/>
      <c r="N33" s="327"/>
      <c r="O33" s="327"/>
    </row>
    <row r="48" spans="1:15" s="622" customFormat="1">
      <c r="A48" s="622" t="s">
        <v>1686</v>
      </c>
    </row>
    <row r="49" spans="1:15">
      <c r="A49" s="334" t="s">
        <v>762</v>
      </c>
      <c r="B49" s="327"/>
      <c r="C49" s="327"/>
      <c r="D49" s="327"/>
      <c r="E49" s="327"/>
      <c r="F49" s="327"/>
      <c r="G49" s="327"/>
      <c r="H49" s="327"/>
      <c r="I49" s="327"/>
      <c r="J49" s="327"/>
      <c r="K49" s="327"/>
      <c r="L49" s="327"/>
      <c r="M49" s="327"/>
      <c r="N49" s="327"/>
      <c r="O49" s="327"/>
    </row>
    <row r="50" spans="1:15">
      <c r="A50" s="327" t="s">
        <v>1687</v>
      </c>
      <c r="B50" s="327"/>
      <c r="C50" s="327"/>
      <c r="D50" s="327"/>
      <c r="E50" s="327"/>
      <c r="F50" s="327"/>
      <c r="G50" s="327"/>
      <c r="H50" s="327"/>
      <c r="I50" s="327"/>
      <c r="J50" s="327"/>
      <c r="K50" s="327"/>
      <c r="L50" s="327"/>
      <c r="M50" s="327"/>
      <c r="N50" s="327"/>
      <c r="O50" s="327"/>
    </row>
    <row r="51" spans="1:15">
      <c r="A51" s="327"/>
      <c r="B51" s="327"/>
      <c r="C51" s="327"/>
      <c r="D51" s="327"/>
      <c r="E51" s="327"/>
      <c r="F51" s="327"/>
      <c r="G51" s="327"/>
      <c r="H51" s="327"/>
      <c r="I51" s="327"/>
      <c r="J51" s="327"/>
      <c r="K51" s="327"/>
      <c r="L51" s="327"/>
      <c r="M51" s="327"/>
      <c r="N51" s="327"/>
      <c r="O51" s="327"/>
    </row>
    <row r="52" spans="1:15">
      <c r="A52" s="327" t="s">
        <v>1688</v>
      </c>
      <c r="B52" s="327" t="s">
        <v>1689</v>
      </c>
      <c r="C52" s="327" t="s">
        <v>506</v>
      </c>
      <c r="D52" s="327"/>
      <c r="E52" s="327"/>
      <c r="F52" s="327"/>
      <c r="G52" s="327"/>
      <c r="H52" s="327"/>
      <c r="I52" s="327"/>
      <c r="J52" s="327"/>
      <c r="K52" s="327"/>
      <c r="L52" s="327"/>
      <c r="M52" s="327"/>
      <c r="N52" s="327"/>
      <c r="O52" s="327"/>
    </row>
    <row r="54" spans="1:15">
      <c r="A54" s="327" t="s">
        <v>1690</v>
      </c>
      <c r="B54" s="327" t="s">
        <v>1691</v>
      </c>
      <c r="C54" s="327"/>
      <c r="D54" s="327"/>
      <c r="E54" s="327"/>
      <c r="F54" s="327"/>
      <c r="G54" s="327"/>
      <c r="H54" s="327"/>
      <c r="I54" s="327"/>
      <c r="J54" s="327"/>
      <c r="K54" s="327"/>
      <c r="L54" s="327"/>
      <c r="M54" s="327"/>
      <c r="N54" s="327"/>
      <c r="O54" s="327"/>
    </row>
    <row r="55" spans="1:15">
      <c r="A55" s="334" t="s">
        <v>1125</v>
      </c>
      <c r="B55" s="341" t="s">
        <v>1692</v>
      </c>
      <c r="C55" s="327"/>
      <c r="D55" s="327"/>
      <c r="E55" s="327"/>
      <c r="F55" s="327"/>
      <c r="G55" s="327"/>
      <c r="H55" s="327"/>
      <c r="I55" s="327"/>
      <c r="J55" s="327"/>
      <c r="K55" s="327"/>
      <c r="L55" s="327"/>
      <c r="M55" s="327"/>
      <c r="N55" s="327"/>
      <c r="O55" s="327"/>
    </row>
    <row r="56" spans="1:15">
      <c r="A56" s="327" t="s">
        <v>1693</v>
      </c>
      <c r="B56" s="327" t="s">
        <v>506</v>
      </c>
      <c r="C56" s="327"/>
      <c r="D56" s="327"/>
      <c r="E56" s="327"/>
      <c r="F56" s="327"/>
      <c r="G56" s="327"/>
      <c r="H56" s="327"/>
      <c r="I56" s="327"/>
      <c r="J56" s="327"/>
      <c r="K56" s="327"/>
      <c r="L56" s="327"/>
      <c r="M56" s="327"/>
      <c r="N56" s="327"/>
      <c r="O56" s="327"/>
    </row>
    <row r="57" spans="1:15">
      <c r="A57" s="327"/>
      <c r="B57" s="327"/>
      <c r="C57" s="327"/>
      <c r="D57" s="327"/>
      <c r="E57" s="327"/>
      <c r="F57" s="327"/>
      <c r="G57" s="327"/>
      <c r="H57" s="327"/>
      <c r="I57" s="327"/>
      <c r="J57" s="327"/>
      <c r="K57" s="327"/>
      <c r="L57" s="327"/>
      <c r="M57" s="327"/>
      <c r="N57" s="327"/>
      <c r="O57" s="327"/>
    </row>
    <row r="58" spans="1:15">
      <c r="A58" s="327" t="s">
        <v>1694</v>
      </c>
      <c r="B58" s="327" t="s">
        <v>1695</v>
      </c>
      <c r="C58" s="327" t="s">
        <v>1696</v>
      </c>
      <c r="D58" s="327" t="s">
        <v>1697</v>
      </c>
      <c r="E58" s="327" t="s">
        <v>1698</v>
      </c>
      <c r="F58" s="327" t="s">
        <v>506</v>
      </c>
      <c r="G58" s="327"/>
      <c r="H58" s="327"/>
      <c r="I58" s="327"/>
      <c r="J58" s="327"/>
      <c r="K58" s="327"/>
      <c r="L58" s="327"/>
      <c r="M58" s="327"/>
      <c r="N58" s="327"/>
      <c r="O58" s="327"/>
    </row>
    <row r="59" spans="1:15">
      <c r="A59" s="327"/>
      <c r="B59" s="327"/>
      <c r="C59" s="327"/>
      <c r="D59" s="327"/>
      <c r="E59" s="327"/>
      <c r="F59" s="327"/>
      <c r="G59" s="327"/>
      <c r="H59" s="327"/>
      <c r="I59" s="327"/>
      <c r="J59" s="327"/>
      <c r="K59" s="327"/>
      <c r="L59" s="327"/>
      <c r="M59" s="327"/>
      <c r="N59" s="327"/>
      <c r="O59" s="327"/>
    </row>
    <row r="60" spans="1:15">
      <c r="A60" s="327" t="s">
        <v>1492</v>
      </c>
      <c r="B60" s="327" t="s">
        <v>1494</v>
      </c>
      <c r="C60" s="327" t="s">
        <v>1699</v>
      </c>
      <c r="D60" s="327" t="s">
        <v>1700</v>
      </c>
      <c r="E60" s="327" t="s">
        <v>506</v>
      </c>
      <c r="F60" s="327"/>
      <c r="G60" s="327"/>
      <c r="H60" s="327"/>
      <c r="I60" s="327"/>
      <c r="J60" s="327"/>
      <c r="K60" s="327"/>
      <c r="L60" s="327"/>
      <c r="M60" s="327"/>
      <c r="N60" s="327"/>
      <c r="O60" s="327"/>
    </row>
    <row r="61" spans="1:15" ht="14.45">
      <c r="A61" s="327" t="s">
        <v>1700</v>
      </c>
      <c r="B61" s="327" t="s">
        <v>1701</v>
      </c>
      <c r="C61" s="327" t="s">
        <v>1702</v>
      </c>
      <c r="D61" s="328" t="s">
        <v>1703</v>
      </c>
      <c r="E61" s="327" t="s">
        <v>506</v>
      </c>
      <c r="F61" s="327"/>
      <c r="G61" s="327"/>
      <c r="H61" s="327"/>
      <c r="I61" s="327"/>
      <c r="J61" s="327"/>
      <c r="K61" s="327"/>
      <c r="L61" s="327"/>
      <c r="M61" s="327"/>
      <c r="N61" s="327"/>
      <c r="O61" s="327"/>
    </row>
    <row r="62" spans="1:15">
      <c r="A62" s="327" t="s">
        <v>1704</v>
      </c>
      <c r="B62" s="327" t="s">
        <v>506</v>
      </c>
      <c r="C62" s="327"/>
      <c r="D62" s="327"/>
      <c r="E62" s="327"/>
      <c r="F62" s="327"/>
      <c r="G62" s="327"/>
      <c r="H62" s="327"/>
      <c r="I62" s="327"/>
      <c r="J62" s="327"/>
      <c r="K62" s="327"/>
      <c r="L62" s="327"/>
      <c r="M62" s="327"/>
      <c r="N62" s="327"/>
      <c r="O62" s="327"/>
    </row>
    <row r="64" spans="1:15">
      <c r="A64" s="334" t="s">
        <v>1499</v>
      </c>
      <c r="B64" s="327"/>
      <c r="C64" s="327"/>
      <c r="D64" s="327"/>
      <c r="E64" s="327"/>
      <c r="F64" s="327"/>
      <c r="G64" s="327"/>
      <c r="H64" s="327"/>
      <c r="I64" s="327"/>
      <c r="J64" s="327"/>
      <c r="K64" s="327"/>
      <c r="L64" s="327"/>
      <c r="M64" s="327"/>
      <c r="N64" s="327"/>
      <c r="O64" s="327"/>
    </row>
    <row r="65" spans="1:3">
      <c r="A65" s="327" t="s">
        <v>1705</v>
      </c>
      <c r="B65" s="327" t="s">
        <v>1706</v>
      </c>
      <c r="C65" s="327" t="s">
        <v>506</v>
      </c>
    </row>
  </sheetData>
  <sortState xmlns:xlrd2="http://schemas.microsoft.com/office/spreadsheetml/2017/richdata2" ref="A6:J11">
    <sortCondition ref="A6:A11"/>
  </sortState>
  <mergeCells count="3">
    <mergeCell ref="A1:XFD2"/>
    <mergeCell ref="A3:A4"/>
    <mergeCell ref="A48:XFD48"/>
  </mergeCells>
  <conditionalFormatting sqref="G6:G13">
    <cfRule type="cellIs" dxfId="180" priority="14" operator="greaterThan">
      <formula>0.6</formula>
    </cfRule>
  </conditionalFormatting>
  <conditionalFormatting sqref="H6:H13">
    <cfRule type="cellIs" dxfId="179" priority="15" operator="greaterThan">
      <formula>$E6</formula>
    </cfRule>
  </conditionalFormatting>
  <conditionalFormatting sqref="I6:I13">
    <cfRule type="cellIs" dxfId="178" priority="16" operator="greaterThan">
      <formula>$F6</formula>
    </cfRule>
  </conditionalFormatting>
  <conditionalFormatting sqref="J6:J13">
    <cfRule type="cellIs" dxfId="177" priority="7" operator="greaterThan">
      <formula>$G6</formula>
    </cfRule>
  </conditionalFormatting>
  <conditionalFormatting sqref="K6:K13">
    <cfRule type="cellIs" dxfId="176" priority="17" operator="lessThan">
      <formula>1</formula>
    </cfRule>
  </conditionalFormatting>
  <dataValidations count="1">
    <dataValidation type="list" allowBlank="1" showInputMessage="1" showErrorMessage="1" sqref="A3" xr:uid="{2D61D725-0FAF-48A2-93BD-9676D6F1D28B}">
      <formula1>"JAN,FEB,MAR,APR,MAY,JUN,JUL,AUG,SEP,OCT,NOV,DEC"</formula1>
    </dataValidation>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Z336"/>
  <sheetViews>
    <sheetView workbookViewId="0">
      <pane xSplit="6" ySplit="2" topLeftCell="G309" activePane="bottomRight" state="frozen"/>
      <selection pane="bottomRight" activeCell="E309" sqref="E309"/>
      <selection pane="bottomLeft" activeCell="A3" sqref="A3"/>
      <selection pane="topRight" activeCell="G1" sqref="G1"/>
    </sheetView>
  </sheetViews>
  <sheetFormatPr defaultColWidth="12.5703125" defaultRowHeight="15.75" customHeight="1"/>
  <cols>
    <col min="1" max="1" width="11.42578125" customWidth="1"/>
    <col min="2" max="2" width="6.85546875" customWidth="1"/>
    <col min="3" max="3" width="6.5703125" customWidth="1"/>
    <col min="4" max="4" width="15.28515625" customWidth="1"/>
    <col min="5" max="5" width="9.7109375" customWidth="1"/>
    <col min="6" max="6" width="18.85546875" customWidth="1"/>
    <col min="7" max="7" width="4.140625" customWidth="1"/>
    <col min="8" max="8" width="3.85546875" customWidth="1"/>
    <col min="9" max="9" width="4" customWidth="1"/>
    <col min="10" max="11" width="6.42578125" customWidth="1"/>
    <col min="12" max="14" width="4" customWidth="1"/>
    <col min="15" max="15" width="7.85546875" customWidth="1"/>
    <col min="16" max="18" width="4.28515625" customWidth="1"/>
    <col min="19" max="19" width="4.42578125" customWidth="1"/>
    <col min="20" max="20" width="6.5703125" customWidth="1"/>
    <col min="21" max="23" width="6.140625" customWidth="1"/>
    <col min="24" max="24" width="26.5703125" customWidth="1"/>
    <col min="25" max="25" width="28.28515625" customWidth="1"/>
    <col min="26" max="26" width="27.5703125" customWidth="1"/>
    <col min="27" max="27" width="8.7109375" customWidth="1"/>
    <col min="28" max="28" width="20.42578125" customWidth="1"/>
    <col min="30" max="32" width="19.42578125" customWidth="1"/>
    <col min="33" max="33" width="17.7109375" customWidth="1"/>
    <col min="34" max="34" width="25.42578125" customWidth="1"/>
    <col min="35" max="35" width="21.85546875" customWidth="1"/>
    <col min="36" max="36" width="18.42578125" customWidth="1"/>
    <col min="37" max="39" width="19.42578125" customWidth="1"/>
    <col min="40" max="40" width="4.7109375" customWidth="1"/>
    <col min="46" max="46" width="5.7109375" customWidth="1"/>
    <col min="47" max="47" width="37.5703125" customWidth="1"/>
    <col min="48" max="48" width="32.42578125" customWidth="1"/>
    <col min="49" max="49" width="29.5703125" customWidth="1"/>
    <col min="50" max="50" width="43.7109375" customWidth="1"/>
    <col min="51" max="51" width="45.7109375" customWidth="1"/>
    <col min="52" max="52" width="47.140625" customWidth="1"/>
  </cols>
  <sheetData>
    <row r="1" spans="1:52" s="346" customFormat="1" ht="15.75" customHeight="1">
      <c r="A1" s="623" t="s">
        <v>659</v>
      </c>
      <c r="B1" s="624"/>
      <c r="C1" s="624"/>
      <c r="D1" s="624"/>
      <c r="E1" s="624"/>
      <c r="F1" s="347" t="s">
        <v>1707</v>
      </c>
      <c r="G1" s="626" t="s">
        <v>2</v>
      </c>
      <c r="H1" s="654"/>
      <c r="I1" s="655"/>
      <c r="J1" s="345" t="s">
        <v>3</v>
      </c>
      <c r="K1" s="345" t="s">
        <v>1708</v>
      </c>
      <c r="L1" s="625" t="s">
        <v>4</v>
      </c>
      <c r="M1" s="654"/>
      <c r="N1" s="655"/>
      <c r="O1" s="626" t="s">
        <v>5</v>
      </c>
      <c r="P1" s="654"/>
      <c r="Q1" s="654"/>
      <c r="R1" s="654"/>
      <c r="S1" s="654"/>
      <c r="T1" s="654"/>
      <c r="U1" s="654"/>
      <c r="V1" s="654"/>
      <c r="W1" s="655"/>
      <c r="X1" s="626" t="s">
        <v>6</v>
      </c>
      <c r="Y1" s="654"/>
      <c r="Z1" s="655"/>
      <c r="AA1" s="627" t="s">
        <v>7</v>
      </c>
      <c r="AB1" s="654"/>
      <c r="AC1" s="654"/>
      <c r="AD1" s="654"/>
      <c r="AE1" s="654"/>
      <c r="AF1" s="654"/>
      <c r="AG1" s="654"/>
      <c r="AH1" s="654"/>
      <c r="AI1" s="654"/>
      <c r="AJ1" s="654"/>
      <c r="AK1" s="654"/>
      <c r="AL1" s="654"/>
      <c r="AM1" s="654"/>
      <c r="AN1" s="654"/>
      <c r="AO1" s="654"/>
      <c r="AP1" s="655"/>
      <c r="AQ1" s="625" t="s">
        <v>8</v>
      </c>
      <c r="AR1" s="654"/>
      <c r="AS1" s="654"/>
      <c r="AT1" s="655"/>
      <c r="AU1" s="625" t="s">
        <v>9</v>
      </c>
      <c r="AV1" s="654"/>
      <c r="AW1" s="655"/>
      <c r="AX1" s="626" t="s">
        <v>11</v>
      </c>
      <c r="AY1" s="654"/>
      <c r="AZ1" s="655"/>
    </row>
    <row r="2" spans="1:52" ht="13.15">
      <c r="A2" s="1" t="s">
        <v>1709</v>
      </c>
      <c r="B2" s="1" t="s">
        <v>1710</v>
      </c>
      <c r="C2" s="1" t="s">
        <v>15</v>
      </c>
      <c r="D2" s="1" t="s">
        <v>16</v>
      </c>
      <c r="E2" s="1" t="s">
        <v>17</v>
      </c>
      <c r="F2" s="2" t="s">
        <v>18</v>
      </c>
      <c r="G2" s="1" t="s">
        <v>1711</v>
      </c>
      <c r="H2" s="1" t="s">
        <v>1712</v>
      </c>
      <c r="I2" s="1" t="s">
        <v>1713</v>
      </c>
      <c r="J2" s="3" t="s">
        <v>3</v>
      </c>
      <c r="K2" s="3" t="s">
        <v>1714</v>
      </c>
      <c r="L2" s="1" t="s">
        <v>22</v>
      </c>
      <c r="M2" s="1" t="s">
        <v>23</v>
      </c>
      <c r="N2" s="1" t="s">
        <v>24</v>
      </c>
      <c r="O2" s="4" t="s">
        <v>25</v>
      </c>
      <c r="P2" s="4" t="s">
        <v>25</v>
      </c>
      <c r="Q2" s="4" t="s">
        <v>27</v>
      </c>
      <c r="R2" s="4" t="s">
        <v>28</v>
      </c>
      <c r="S2" s="4" t="s">
        <v>29</v>
      </c>
      <c r="T2" s="5" t="s">
        <v>30</v>
      </c>
      <c r="U2" s="4" t="s">
        <v>31</v>
      </c>
      <c r="V2" s="4" t="s">
        <v>32</v>
      </c>
      <c r="W2" s="4" t="s">
        <v>33</v>
      </c>
      <c r="X2" s="1" t="s">
        <v>34</v>
      </c>
      <c r="Y2" s="1" t="s">
        <v>35</v>
      </c>
      <c r="Z2" s="1" t="s">
        <v>36</v>
      </c>
      <c r="AA2" s="7" t="s">
        <v>1715</v>
      </c>
      <c r="AB2" s="1" t="s">
        <v>38</v>
      </c>
      <c r="AC2" s="84" t="s">
        <v>39</v>
      </c>
      <c r="AD2" s="1" t="s">
        <v>40</v>
      </c>
      <c r="AE2" s="1" t="s">
        <v>41</v>
      </c>
      <c r="AF2" s="1" t="s">
        <v>42</v>
      </c>
      <c r="AG2" s="84" t="s">
        <v>43</v>
      </c>
      <c r="AH2" s="85" t="s">
        <v>44</v>
      </c>
      <c r="AI2" s="85" t="s">
        <v>45</v>
      </c>
      <c r="AJ2" s="85" t="s">
        <v>46</v>
      </c>
      <c r="AK2" s="1" t="s">
        <v>47</v>
      </c>
      <c r="AL2" s="1" t="s">
        <v>48</v>
      </c>
      <c r="AM2" s="1" t="s">
        <v>49</v>
      </c>
      <c r="AN2" s="1" t="s">
        <v>50</v>
      </c>
      <c r="AO2" s="1" t="s">
        <v>1716</v>
      </c>
      <c r="AP2" s="7" t="s">
        <v>52</v>
      </c>
      <c r="AQ2" s="1" t="s">
        <v>53</v>
      </c>
      <c r="AR2" s="1" t="s">
        <v>54</v>
      </c>
      <c r="AS2" s="8" t="s">
        <v>55</v>
      </c>
      <c r="AT2" s="9" t="s">
        <v>56</v>
      </c>
      <c r="AU2" s="1" t="s">
        <v>57</v>
      </c>
      <c r="AV2" s="1" t="s">
        <v>58</v>
      </c>
      <c r="AW2" s="1" t="s">
        <v>59</v>
      </c>
      <c r="AX2" s="1" t="s">
        <v>57</v>
      </c>
      <c r="AY2" s="1" t="s">
        <v>58</v>
      </c>
      <c r="AZ2" s="10" t="s">
        <v>59</v>
      </c>
    </row>
    <row r="3" spans="1:52" ht="13.15">
      <c r="A3" s="86">
        <v>44764</v>
      </c>
      <c r="B3" s="87"/>
      <c r="C3" s="87"/>
      <c r="D3" s="87"/>
      <c r="E3" s="87"/>
      <c r="F3" s="88"/>
      <c r="G3" s="87"/>
      <c r="H3" s="87"/>
      <c r="I3" s="87"/>
      <c r="J3" s="88"/>
      <c r="K3" s="88"/>
      <c r="L3" s="87"/>
      <c r="M3" s="87"/>
      <c r="N3" s="87"/>
      <c r="O3" s="88"/>
      <c r="P3" s="88"/>
      <c r="Q3" s="88"/>
      <c r="R3" s="88"/>
      <c r="S3" s="88"/>
      <c r="T3" s="88"/>
      <c r="U3" s="88"/>
      <c r="V3" s="88"/>
      <c r="W3" s="88"/>
      <c r="X3" s="87"/>
      <c r="Y3" s="87"/>
      <c r="Z3" s="87"/>
      <c r="AA3" s="89"/>
      <c r="AB3" s="87"/>
      <c r="AC3" s="87"/>
      <c r="AD3" s="87"/>
      <c r="AE3" s="87"/>
      <c r="AF3" s="87"/>
      <c r="AG3" s="87"/>
      <c r="AH3" s="87"/>
      <c r="AI3" s="90"/>
      <c r="AJ3" s="88"/>
      <c r="AK3" s="87"/>
      <c r="AL3" s="87"/>
      <c r="AM3" s="87"/>
      <c r="AN3" s="87"/>
      <c r="AO3" s="87"/>
      <c r="AP3" s="89"/>
      <c r="AQ3" s="87"/>
      <c r="AR3" s="91"/>
      <c r="AS3" s="92"/>
      <c r="AT3" s="93"/>
      <c r="AU3" s="87"/>
      <c r="AV3" s="87"/>
      <c r="AW3" s="87"/>
      <c r="AX3" s="87"/>
      <c r="AY3" s="87"/>
      <c r="AZ3" s="87"/>
    </row>
    <row r="4" spans="1:52" ht="13.15">
      <c r="A4" s="12">
        <v>44769</v>
      </c>
      <c r="B4" s="13"/>
      <c r="C4" s="13" t="s">
        <v>128</v>
      </c>
      <c r="D4" s="17" t="s">
        <v>1717</v>
      </c>
      <c r="E4" s="13" t="s">
        <v>1718</v>
      </c>
      <c r="F4" s="14" t="s">
        <v>1719</v>
      </c>
      <c r="G4" s="13"/>
      <c r="H4" s="13"/>
      <c r="I4" s="13">
        <v>1</v>
      </c>
      <c r="J4" s="14"/>
      <c r="K4" s="14"/>
      <c r="L4" s="13">
        <v>3</v>
      </c>
      <c r="M4" s="13"/>
      <c r="N4" s="13">
        <v>1</v>
      </c>
      <c r="O4" s="14" t="s">
        <v>71</v>
      </c>
      <c r="P4" s="14" t="s">
        <v>114</v>
      </c>
      <c r="Q4" s="14"/>
      <c r="R4" s="14">
        <v>1</v>
      </c>
      <c r="S4" s="14">
        <v>1</v>
      </c>
      <c r="T4" s="14"/>
      <c r="U4" s="14" t="s">
        <v>73</v>
      </c>
      <c r="V4" s="14">
        <f t="shared" ref="V4:V12" si="0">IF(ISBLANK(O4),,(IF(O4=UPPER("IB"),0.005,0.01)))</f>
        <v>0.01</v>
      </c>
      <c r="W4" s="14">
        <f t="shared" ref="W4:W12" si="1">IF(ISBLANK(O4),,IF(O4=UPPER("IB"),8.63*200,16.65*100))</f>
        <v>1664.9999999999998</v>
      </c>
      <c r="X4" s="13" t="s">
        <v>1720</v>
      </c>
      <c r="Y4" s="17"/>
      <c r="Z4" s="17"/>
      <c r="AA4" s="18">
        <v>96.47</v>
      </c>
      <c r="AB4" s="13"/>
      <c r="AC4" s="13"/>
      <c r="AD4" s="13"/>
      <c r="AE4" s="13" t="s">
        <v>1721</v>
      </c>
      <c r="AF4" s="13"/>
      <c r="AG4" s="13"/>
      <c r="AH4" s="13"/>
      <c r="AI4" s="19"/>
      <c r="AJ4" s="14"/>
      <c r="AK4" s="13"/>
      <c r="AL4" s="13"/>
      <c r="AM4" s="13" t="s">
        <v>149</v>
      </c>
      <c r="AN4" s="13"/>
      <c r="AO4" s="13"/>
      <c r="AP4" s="20">
        <v>96.47</v>
      </c>
      <c r="AQ4" s="20">
        <f t="shared" ref="AQ4:AQ12" si="2">IF(ISBLANK(AP4),,IF(U4="S",AA4-AP4,AP4-AA4))</f>
        <v>0</v>
      </c>
      <c r="AR4" s="82"/>
      <c r="AS4" s="21">
        <f t="shared" ref="AS4:AS12" si="3">IF(ISBLANK(AP4),,(AQ4*W4))</f>
        <v>0</v>
      </c>
      <c r="AT4" s="22"/>
      <c r="AU4" s="13" t="s">
        <v>1722</v>
      </c>
      <c r="AV4" s="13"/>
      <c r="AW4" s="13"/>
      <c r="AX4" s="13"/>
      <c r="AY4" s="13"/>
      <c r="AZ4" s="13"/>
    </row>
    <row r="5" spans="1:52" ht="13.15">
      <c r="A5" s="12">
        <v>44769</v>
      </c>
      <c r="B5" s="13"/>
      <c r="C5" s="13" t="s">
        <v>128</v>
      </c>
      <c r="D5" s="17" t="s">
        <v>1717</v>
      </c>
      <c r="E5" s="13" t="s">
        <v>1718</v>
      </c>
      <c r="F5" s="14" t="s">
        <v>1723</v>
      </c>
      <c r="G5" s="13"/>
      <c r="H5" s="13"/>
      <c r="I5" s="13">
        <v>1</v>
      </c>
      <c r="J5" s="14"/>
      <c r="K5" s="14"/>
      <c r="L5" s="13">
        <v>3</v>
      </c>
      <c r="M5" s="13"/>
      <c r="N5" s="13">
        <v>1</v>
      </c>
      <c r="O5" s="14" t="s">
        <v>71</v>
      </c>
      <c r="P5" s="14" t="s">
        <v>72</v>
      </c>
      <c r="Q5" s="14"/>
      <c r="R5" s="14">
        <v>1</v>
      </c>
      <c r="S5" s="14">
        <v>0</v>
      </c>
      <c r="T5" s="14"/>
      <c r="U5" s="14" t="s">
        <v>21</v>
      </c>
      <c r="V5" s="14">
        <f t="shared" si="0"/>
        <v>0.01</v>
      </c>
      <c r="W5" s="14">
        <f t="shared" si="1"/>
        <v>1664.9999999999998</v>
      </c>
      <c r="X5" s="13" t="s">
        <v>1724</v>
      </c>
      <c r="Y5" s="17"/>
      <c r="Z5" s="17"/>
      <c r="AA5" s="18">
        <v>96.38</v>
      </c>
      <c r="AB5" s="13"/>
      <c r="AC5" s="13"/>
      <c r="AD5" s="13"/>
      <c r="AE5" s="13"/>
      <c r="AF5" s="13"/>
      <c r="AG5" s="13"/>
      <c r="AH5" s="13"/>
      <c r="AI5" s="19"/>
      <c r="AJ5" s="14"/>
      <c r="AK5" s="13"/>
      <c r="AL5" s="13"/>
      <c r="AM5" s="13"/>
      <c r="AN5" s="13"/>
      <c r="AO5" s="13"/>
      <c r="AP5" s="20"/>
      <c r="AQ5" s="13">
        <f t="shared" si="2"/>
        <v>0</v>
      </c>
      <c r="AR5" s="82"/>
      <c r="AS5" s="21">
        <f t="shared" si="3"/>
        <v>0</v>
      </c>
      <c r="AT5" s="22"/>
      <c r="AU5" s="13" t="s">
        <v>1725</v>
      </c>
      <c r="AV5" s="13"/>
      <c r="AW5" s="13"/>
      <c r="AX5" s="13"/>
      <c r="AY5" s="13"/>
      <c r="AZ5" s="13"/>
    </row>
    <row r="6" spans="1:52" ht="13.15">
      <c r="A6" s="12">
        <v>44769</v>
      </c>
      <c r="B6" s="13"/>
      <c r="C6" s="13" t="s">
        <v>128</v>
      </c>
      <c r="D6" s="17" t="s">
        <v>1717</v>
      </c>
      <c r="E6" s="13" t="s">
        <v>1718</v>
      </c>
      <c r="F6" s="14" t="s">
        <v>1726</v>
      </c>
      <c r="G6" s="13"/>
      <c r="H6" s="13"/>
      <c r="I6" s="13">
        <v>1</v>
      </c>
      <c r="J6" s="14"/>
      <c r="K6" s="14"/>
      <c r="L6" s="13">
        <v>3</v>
      </c>
      <c r="M6" s="13"/>
      <c r="N6" s="13">
        <v>1</v>
      </c>
      <c r="O6" s="14" t="s">
        <v>71</v>
      </c>
      <c r="P6" s="14" t="s">
        <v>72</v>
      </c>
      <c r="Q6" s="14"/>
      <c r="R6" s="14">
        <v>2</v>
      </c>
      <c r="S6" s="14">
        <v>0</v>
      </c>
      <c r="T6" s="14"/>
      <c r="U6" s="14" t="s">
        <v>21</v>
      </c>
      <c r="V6" s="14">
        <f t="shared" si="0"/>
        <v>0.01</v>
      </c>
      <c r="W6" s="14">
        <f t="shared" si="1"/>
        <v>1664.9999999999998</v>
      </c>
      <c r="X6" s="13" t="s">
        <v>1727</v>
      </c>
      <c r="Y6" s="17"/>
      <c r="Z6" s="17"/>
      <c r="AA6" s="18">
        <v>96.32</v>
      </c>
      <c r="AB6" s="13"/>
      <c r="AC6" s="13"/>
      <c r="AD6" s="13"/>
      <c r="AE6" s="13"/>
      <c r="AF6" s="13"/>
      <c r="AG6" s="13"/>
      <c r="AH6" s="13"/>
      <c r="AI6" s="19"/>
      <c r="AJ6" s="14"/>
      <c r="AK6" s="13"/>
      <c r="AL6" s="13"/>
      <c r="AM6" s="13"/>
      <c r="AN6" s="13"/>
      <c r="AO6" s="13"/>
      <c r="AP6" s="20"/>
      <c r="AQ6" s="13">
        <f t="shared" si="2"/>
        <v>0</v>
      </c>
      <c r="AR6" s="82"/>
      <c r="AS6" s="21">
        <f t="shared" si="3"/>
        <v>0</v>
      </c>
      <c r="AT6" s="22"/>
      <c r="AU6" s="13"/>
      <c r="AV6" s="13"/>
      <c r="AW6" s="13"/>
      <c r="AX6" s="13"/>
      <c r="AY6" s="13"/>
      <c r="AZ6" s="13"/>
    </row>
    <row r="7" spans="1:52" ht="13.15">
      <c r="A7" s="12">
        <v>44769</v>
      </c>
      <c r="B7" s="13"/>
      <c r="C7" s="13" t="s">
        <v>128</v>
      </c>
      <c r="D7" s="17" t="s">
        <v>1717</v>
      </c>
      <c r="E7" s="13" t="s">
        <v>1718</v>
      </c>
      <c r="F7" s="14" t="s">
        <v>1728</v>
      </c>
      <c r="G7" s="13"/>
      <c r="H7" s="13"/>
      <c r="I7" s="13">
        <v>1</v>
      </c>
      <c r="J7" s="14"/>
      <c r="K7" s="14"/>
      <c r="L7" s="13">
        <v>3</v>
      </c>
      <c r="M7" s="13"/>
      <c r="N7" s="13">
        <v>1</v>
      </c>
      <c r="O7" s="14" t="s">
        <v>71</v>
      </c>
      <c r="P7" s="14" t="s">
        <v>72</v>
      </c>
      <c r="Q7" s="14"/>
      <c r="R7" s="14">
        <v>5</v>
      </c>
      <c r="S7" s="14">
        <v>2</v>
      </c>
      <c r="T7" s="14"/>
      <c r="U7" s="14" t="s">
        <v>21</v>
      </c>
      <c r="V7" s="14">
        <f t="shared" si="0"/>
        <v>0.01</v>
      </c>
      <c r="W7" s="14">
        <f t="shared" si="1"/>
        <v>1664.9999999999998</v>
      </c>
      <c r="X7" s="13" t="s">
        <v>1727</v>
      </c>
      <c r="Y7" s="17"/>
      <c r="Z7" s="17"/>
      <c r="AA7" s="18">
        <v>96.424000000000007</v>
      </c>
      <c r="AB7" s="13"/>
      <c r="AC7" s="13"/>
      <c r="AD7" s="13"/>
      <c r="AE7" s="13"/>
      <c r="AF7" s="13"/>
      <c r="AG7" s="13"/>
      <c r="AH7" s="13"/>
      <c r="AI7" s="19"/>
      <c r="AJ7" s="14"/>
      <c r="AK7" s="13"/>
      <c r="AL7" s="13"/>
      <c r="AM7" s="13"/>
      <c r="AN7" s="13"/>
      <c r="AO7" s="13"/>
      <c r="AP7" s="20"/>
      <c r="AQ7" s="13">
        <f t="shared" si="2"/>
        <v>0</v>
      </c>
      <c r="AR7" s="82"/>
      <c r="AS7" s="21">
        <f t="shared" si="3"/>
        <v>0</v>
      </c>
      <c r="AT7" s="22"/>
      <c r="AU7" s="13"/>
      <c r="AV7" s="13"/>
      <c r="AW7" s="13"/>
      <c r="AX7" s="13"/>
      <c r="AY7" s="13"/>
      <c r="AZ7" s="13"/>
    </row>
    <row r="8" spans="1:52" ht="13.15">
      <c r="A8" s="12">
        <v>44769</v>
      </c>
      <c r="B8" s="13"/>
      <c r="C8" s="13" t="s">
        <v>128</v>
      </c>
      <c r="D8" s="17" t="s">
        <v>1717</v>
      </c>
      <c r="E8" s="13" t="s">
        <v>1718</v>
      </c>
      <c r="F8" s="14" t="s">
        <v>1729</v>
      </c>
      <c r="G8" s="13"/>
      <c r="H8" s="13"/>
      <c r="I8" s="13">
        <v>1</v>
      </c>
      <c r="J8" s="14"/>
      <c r="K8" s="14"/>
      <c r="L8" s="13">
        <v>3</v>
      </c>
      <c r="M8" s="13"/>
      <c r="N8" s="13">
        <v>1</v>
      </c>
      <c r="O8" s="14" t="s">
        <v>71</v>
      </c>
      <c r="P8" s="14" t="s">
        <v>72</v>
      </c>
      <c r="Q8" s="14"/>
      <c r="R8" s="14">
        <v>6</v>
      </c>
      <c r="S8" s="14">
        <v>3</v>
      </c>
      <c r="T8" s="14"/>
      <c r="U8" s="14" t="s">
        <v>21</v>
      </c>
      <c r="V8" s="14">
        <f t="shared" si="0"/>
        <v>0.01</v>
      </c>
      <c r="W8" s="14">
        <f t="shared" si="1"/>
        <v>1664.9999999999998</v>
      </c>
      <c r="X8" s="13" t="s">
        <v>1727</v>
      </c>
      <c r="Y8" s="17"/>
      <c r="Z8" s="17"/>
      <c r="AA8" s="18">
        <v>97.143000000000001</v>
      </c>
      <c r="AB8" s="13"/>
      <c r="AC8" s="13"/>
      <c r="AD8" s="13"/>
      <c r="AE8" s="13"/>
      <c r="AF8" s="13"/>
      <c r="AG8" s="13"/>
      <c r="AH8" s="13"/>
      <c r="AI8" s="19"/>
      <c r="AJ8" s="14"/>
      <c r="AK8" s="13"/>
      <c r="AL8" s="13"/>
      <c r="AM8" s="13"/>
      <c r="AN8" s="13"/>
      <c r="AO8" s="13"/>
      <c r="AP8" s="20"/>
      <c r="AQ8" s="13">
        <f t="shared" si="2"/>
        <v>0</v>
      </c>
      <c r="AR8" s="82"/>
      <c r="AS8" s="21">
        <f t="shared" si="3"/>
        <v>0</v>
      </c>
      <c r="AT8" s="22"/>
      <c r="AU8" s="13"/>
      <c r="AV8" s="13"/>
      <c r="AW8" s="13"/>
      <c r="AX8" s="13"/>
      <c r="AY8" s="13"/>
      <c r="AZ8" s="13"/>
    </row>
    <row r="9" spans="1:52" ht="13.15">
      <c r="A9" s="12">
        <v>44769</v>
      </c>
      <c r="B9" s="13"/>
      <c r="C9" s="13" t="s">
        <v>128</v>
      </c>
      <c r="D9" s="17" t="s">
        <v>1717</v>
      </c>
      <c r="E9" s="13" t="s">
        <v>1718</v>
      </c>
      <c r="F9" s="14" t="s">
        <v>1730</v>
      </c>
      <c r="G9" s="13"/>
      <c r="H9" s="13"/>
      <c r="I9" s="13">
        <v>1</v>
      </c>
      <c r="J9" s="14"/>
      <c r="K9" s="14"/>
      <c r="L9" s="13">
        <v>3</v>
      </c>
      <c r="M9" s="13"/>
      <c r="N9" s="13">
        <v>1</v>
      </c>
      <c r="O9" s="14" t="s">
        <v>71</v>
      </c>
      <c r="P9" s="14" t="s">
        <v>114</v>
      </c>
      <c r="Q9" s="14"/>
      <c r="R9" s="14">
        <v>1</v>
      </c>
      <c r="S9" s="14">
        <v>1</v>
      </c>
      <c r="T9" s="14"/>
      <c r="U9" s="14" t="s">
        <v>21</v>
      </c>
      <c r="V9" s="14">
        <f t="shared" si="0"/>
        <v>0.01</v>
      </c>
      <c r="W9" s="14">
        <f t="shared" si="1"/>
        <v>1664.9999999999998</v>
      </c>
      <c r="X9" s="17" t="s">
        <v>1731</v>
      </c>
      <c r="Y9" s="17"/>
      <c r="Z9" s="17"/>
      <c r="AA9" s="18">
        <v>96.56</v>
      </c>
      <c r="AB9" s="13"/>
      <c r="AC9" s="13"/>
      <c r="AD9" s="13"/>
      <c r="AE9" s="13" t="s">
        <v>1732</v>
      </c>
      <c r="AF9" s="13"/>
      <c r="AG9" s="13"/>
      <c r="AH9" s="13"/>
      <c r="AI9" s="19"/>
      <c r="AJ9" s="14"/>
      <c r="AK9" s="13"/>
      <c r="AL9" s="13"/>
      <c r="AM9" s="13" t="s">
        <v>1733</v>
      </c>
      <c r="AN9" s="12"/>
      <c r="AO9" s="12">
        <v>44769</v>
      </c>
      <c r="AP9" s="20">
        <v>96.58</v>
      </c>
      <c r="AQ9" s="20">
        <f t="shared" si="2"/>
        <v>1.9999999999996021E-2</v>
      </c>
      <c r="AR9" s="82"/>
      <c r="AS9" s="21">
        <f t="shared" si="3"/>
        <v>33.299999999993368</v>
      </c>
      <c r="AT9" s="22"/>
      <c r="AU9" s="13" t="s">
        <v>1734</v>
      </c>
      <c r="AV9" s="13"/>
      <c r="AW9" s="13"/>
      <c r="AX9" s="13"/>
      <c r="AY9" s="13"/>
      <c r="AZ9" s="13"/>
    </row>
    <row r="10" spans="1:52" ht="13.15">
      <c r="A10" s="12">
        <v>44770</v>
      </c>
      <c r="B10" s="13"/>
      <c r="C10" s="13" t="s">
        <v>69</v>
      </c>
      <c r="D10" s="17" t="s">
        <v>1735</v>
      </c>
      <c r="E10" s="13" t="s">
        <v>1718</v>
      </c>
      <c r="F10" s="14"/>
      <c r="G10" s="13"/>
      <c r="H10" s="13"/>
      <c r="I10" s="13">
        <v>1</v>
      </c>
      <c r="J10" s="14"/>
      <c r="K10" s="14"/>
      <c r="L10" s="13">
        <v>3</v>
      </c>
      <c r="M10" s="13"/>
      <c r="N10" s="13">
        <v>1</v>
      </c>
      <c r="O10" s="14"/>
      <c r="P10" s="14"/>
      <c r="Q10" s="14"/>
      <c r="R10" s="14"/>
      <c r="S10" s="14"/>
      <c r="T10" s="14"/>
      <c r="U10" s="14"/>
      <c r="V10" s="14">
        <f t="shared" si="0"/>
        <v>0</v>
      </c>
      <c r="W10" s="14">
        <f t="shared" si="1"/>
        <v>0</v>
      </c>
      <c r="X10" s="17" t="s">
        <v>1736</v>
      </c>
      <c r="Y10" s="17"/>
      <c r="Z10" s="17"/>
      <c r="AA10" s="18"/>
      <c r="AB10" s="13"/>
      <c r="AC10" s="13"/>
      <c r="AD10" s="13"/>
      <c r="AE10" s="13"/>
      <c r="AF10" s="13"/>
      <c r="AG10" s="13"/>
      <c r="AH10" s="13"/>
      <c r="AI10" s="19"/>
      <c r="AJ10" s="14"/>
      <c r="AK10" s="13"/>
      <c r="AL10" s="13"/>
      <c r="AM10" s="13"/>
      <c r="AN10" s="13"/>
      <c r="AO10" s="13"/>
      <c r="AP10" s="20"/>
      <c r="AQ10" s="13">
        <f t="shared" si="2"/>
        <v>0</v>
      </c>
      <c r="AR10" s="82"/>
      <c r="AS10" s="21">
        <f t="shared" si="3"/>
        <v>0</v>
      </c>
      <c r="AT10" s="22"/>
      <c r="AU10" s="13"/>
      <c r="AV10" s="13" t="s">
        <v>1737</v>
      </c>
      <c r="AW10" s="13" t="s">
        <v>1738</v>
      </c>
      <c r="AX10" s="13"/>
      <c r="AY10" s="13"/>
      <c r="AZ10" s="13"/>
    </row>
    <row r="11" spans="1:52" ht="13.15">
      <c r="A11" s="12">
        <v>44771</v>
      </c>
      <c r="B11" s="13"/>
      <c r="C11" s="13" t="s">
        <v>88</v>
      </c>
      <c r="D11" s="17" t="s">
        <v>1739</v>
      </c>
      <c r="E11" s="13" t="s">
        <v>1740</v>
      </c>
      <c r="F11" s="14"/>
      <c r="G11" s="13"/>
      <c r="H11" s="13">
        <v>1</v>
      </c>
      <c r="I11" s="13"/>
      <c r="J11" s="14"/>
      <c r="K11" s="14"/>
      <c r="L11" s="13"/>
      <c r="M11" s="13"/>
      <c r="N11" s="13"/>
      <c r="O11" s="14"/>
      <c r="P11" s="14"/>
      <c r="Q11" s="14"/>
      <c r="R11" s="14"/>
      <c r="S11" s="14"/>
      <c r="T11" s="14"/>
      <c r="U11" s="14"/>
      <c r="V11" s="14">
        <f t="shared" si="0"/>
        <v>0</v>
      </c>
      <c r="W11" s="14">
        <f t="shared" si="1"/>
        <v>0</v>
      </c>
      <c r="X11" s="13" t="s">
        <v>1741</v>
      </c>
      <c r="Y11" s="17"/>
      <c r="Z11" s="17"/>
      <c r="AA11" s="18"/>
      <c r="AB11" s="13"/>
      <c r="AC11" s="13"/>
      <c r="AD11" s="13"/>
      <c r="AE11" s="13"/>
      <c r="AF11" s="13"/>
      <c r="AG11" s="13"/>
      <c r="AH11" s="13"/>
      <c r="AI11" s="19"/>
      <c r="AJ11" s="14"/>
      <c r="AK11" s="13"/>
      <c r="AL11" s="13"/>
      <c r="AM11" s="13"/>
      <c r="AN11" s="13"/>
      <c r="AO11" s="13"/>
      <c r="AP11" s="20"/>
      <c r="AQ11" s="13">
        <f t="shared" si="2"/>
        <v>0</v>
      </c>
      <c r="AR11" s="82"/>
      <c r="AS11" s="21">
        <f t="shared" si="3"/>
        <v>0</v>
      </c>
      <c r="AT11" s="22"/>
      <c r="AU11" s="13"/>
      <c r="AV11" s="13"/>
      <c r="AW11" s="13"/>
      <c r="AX11" s="13"/>
      <c r="AY11" s="13"/>
      <c r="AZ11" s="13"/>
    </row>
    <row r="12" spans="1:52" ht="13.15">
      <c r="A12" s="12">
        <v>44771</v>
      </c>
      <c r="B12" s="13"/>
      <c r="C12" s="13" t="s">
        <v>88</v>
      </c>
      <c r="D12" s="17" t="s">
        <v>1742</v>
      </c>
      <c r="E12" s="13" t="s">
        <v>1740</v>
      </c>
      <c r="F12" s="14"/>
      <c r="G12" s="13"/>
      <c r="H12" s="13"/>
      <c r="I12" s="13"/>
      <c r="J12" s="14"/>
      <c r="K12" s="14"/>
      <c r="L12" s="13"/>
      <c r="M12" s="13"/>
      <c r="N12" s="13"/>
      <c r="O12" s="14"/>
      <c r="P12" s="14"/>
      <c r="Q12" s="14"/>
      <c r="R12" s="14"/>
      <c r="S12" s="14"/>
      <c r="T12" s="14"/>
      <c r="U12" s="14"/>
      <c r="V12" s="14">
        <f t="shared" si="0"/>
        <v>0</v>
      </c>
      <c r="W12" s="14">
        <f t="shared" si="1"/>
        <v>0</v>
      </c>
      <c r="X12" s="17"/>
      <c r="Y12" s="17"/>
      <c r="Z12" s="17"/>
      <c r="AA12" s="18"/>
      <c r="AB12" s="13"/>
      <c r="AC12" s="13"/>
      <c r="AD12" s="13"/>
      <c r="AE12" s="13"/>
      <c r="AF12" s="13"/>
      <c r="AG12" s="13"/>
      <c r="AH12" s="13"/>
      <c r="AI12" s="19"/>
      <c r="AJ12" s="14"/>
      <c r="AK12" s="13"/>
      <c r="AL12" s="13"/>
      <c r="AM12" s="13"/>
      <c r="AN12" s="13"/>
      <c r="AO12" s="13"/>
      <c r="AP12" s="20"/>
      <c r="AQ12" s="13">
        <f t="shared" si="2"/>
        <v>0</v>
      </c>
      <c r="AR12" s="82"/>
      <c r="AS12" s="21">
        <f t="shared" si="3"/>
        <v>0</v>
      </c>
      <c r="AT12" s="22"/>
      <c r="AU12" s="13"/>
      <c r="AV12" s="13"/>
      <c r="AW12" s="13"/>
      <c r="AX12" s="13"/>
      <c r="AY12" s="13"/>
      <c r="AZ12" s="13"/>
    </row>
    <row r="13" spans="1:52" ht="13.15">
      <c r="A13" s="12"/>
      <c r="B13" s="13"/>
      <c r="C13" s="13"/>
      <c r="D13" s="17"/>
      <c r="E13" s="13"/>
      <c r="F13" s="14"/>
      <c r="G13" s="13"/>
      <c r="H13" s="13"/>
      <c r="I13" s="13"/>
      <c r="J13" s="14"/>
      <c r="K13" s="14"/>
      <c r="L13" s="13"/>
      <c r="M13" s="13"/>
      <c r="N13" s="13"/>
      <c r="O13" s="14"/>
      <c r="P13" s="14"/>
      <c r="Q13" s="14"/>
      <c r="R13" s="14"/>
      <c r="S13" s="14"/>
      <c r="T13" s="14"/>
      <c r="U13" s="14"/>
      <c r="V13" s="14"/>
      <c r="W13" s="14"/>
      <c r="X13" s="17"/>
      <c r="Y13" s="17"/>
      <c r="Z13" s="17"/>
      <c r="AA13" s="18"/>
      <c r="AB13" s="13"/>
      <c r="AC13" s="13"/>
      <c r="AD13" s="13"/>
      <c r="AE13" s="13"/>
      <c r="AF13" s="13"/>
      <c r="AG13" s="13"/>
      <c r="AH13" s="13"/>
      <c r="AI13" s="19"/>
      <c r="AJ13" s="14"/>
      <c r="AK13" s="13"/>
      <c r="AL13" s="13"/>
      <c r="AM13" s="13"/>
      <c r="AN13" s="13"/>
      <c r="AO13" s="13"/>
      <c r="AP13" s="20"/>
      <c r="AQ13" s="13"/>
      <c r="AR13" s="94"/>
      <c r="AS13" s="21"/>
      <c r="AT13" s="22"/>
      <c r="AU13" s="13"/>
      <c r="AV13" s="13"/>
      <c r="AW13" s="13"/>
      <c r="AX13" s="13"/>
      <c r="AY13" s="13"/>
      <c r="AZ13" s="13"/>
    </row>
    <row r="14" spans="1:52" ht="13.15">
      <c r="A14" s="86">
        <v>44795</v>
      </c>
      <c r="B14" s="87"/>
      <c r="C14" s="87"/>
      <c r="D14" s="87"/>
      <c r="E14" s="87"/>
      <c r="F14" s="88"/>
      <c r="G14" s="87"/>
      <c r="H14" s="87"/>
      <c r="I14" s="87"/>
      <c r="J14" s="87"/>
      <c r="K14" s="87"/>
      <c r="L14" s="87"/>
      <c r="M14" s="87"/>
      <c r="N14" s="87"/>
      <c r="O14" s="88"/>
      <c r="P14" s="88"/>
      <c r="Q14" s="88"/>
      <c r="R14" s="88"/>
      <c r="S14" s="88"/>
      <c r="T14" s="88"/>
      <c r="U14" s="88"/>
      <c r="V14" s="88"/>
      <c r="W14" s="88"/>
      <c r="X14" s="87"/>
      <c r="Y14" s="87"/>
      <c r="Z14" s="87"/>
      <c r="AA14" s="89"/>
      <c r="AB14" s="87"/>
      <c r="AC14" s="87"/>
      <c r="AD14" s="87"/>
      <c r="AE14" s="87"/>
      <c r="AF14" s="87"/>
      <c r="AG14" s="87"/>
      <c r="AH14" s="87"/>
      <c r="AI14" s="90"/>
      <c r="AJ14" s="88"/>
      <c r="AK14" s="87"/>
      <c r="AL14" s="87"/>
      <c r="AM14" s="87"/>
      <c r="AN14" s="87"/>
      <c r="AO14" s="87"/>
      <c r="AP14" s="89"/>
      <c r="AQ14" s="87"/>
      <c r="AR14" s="91"/>
      <c r="AS14" s="95"/>
      <c r="AT14" s="96"/>
      <c r="AU14" s="87"/>
      <c r="AV14" s="87"/>
      <c r="AW14" s="87"/>
      <c r="AX14" s="87"/>
      <c r="AY14" s="87"/>
      <c r="AZ14" s="87"/>
    </row>
    <row r="15" spans="1:52" ht="13.15">
      <c r="A15" s="12">
        <v>44774</v>
      </c>
      <c r="B15" s="13"/>
      <c r="C15" s="13" t="s">
        <v>109</v>
      </c>
      <c r="D15" s="17"/>
      <c r="E15" s="13"/>
      <c r="F15" s="14" t="s">
        <v>1743</v>
      </c>
      <c r="G15" s="13"/>
      <c r="H15" s="13"/>
      <c r="I15" s="13"/>
      <c r="J15" s="14"/>
      <c r="K15" s="14"/>
      <c r="L15" s="13">
        <v>3</v>
      </c>
      <c r="M15" s="13"/>
      <c r="N15" s="13"/>
      <c r="O15" s="14" t="s">
        <v>71</v>
      </c>
      <c r="P15" s="14" t="s">
        <v>72</v>
      </c>
      <c r="Q15" s="14" t="s">
        <v>661</v>
      </c>
      <c r="R15" s="14">
        <v>4</v>
      </c>
      <c r="S15" s="14">
        <v>4</v>
      </c>
      <c r="T15" s="14"/>
      <c r="U15" s="14" t="s">
        <v>21</v>
      </c>
      <c r="V15" s="14">
        <f t="shared" ref="V15:V45" si="4">IF(ISBLANK(O15),,(IF(O15=UPPER("IB"),0.005,0.01)))</f>
        <v>0.01</v>
      </c>
      <c r="W15" s="14">
        <f t="shared" ref="W15:W45" si="5">IF(ISBLANK(O15),,IF(O15=UPPER("IB"),8.63*200,16.65*100))</f>
        <v>1664.9999999999998</v>
      </c>
      <c r="X15" s="13" t="s">
        <v>1744</v>
      </c>
      <c r="Y15" s="17"/>
      <c r="Z15" s="17"/>
      <c r="AA15" s="18">
        <v>96.438000000000002</v>
      </c>
      <c r="AB15" s="13"/>
      <c r="AC15" s="13" t="s">
        <v>1745</v>
      </c>
      <c r="AD15" s="13"/>
      <c r="AE15" s="13" t="s">
        <v>1746</v>
      </c>
      <c r="AF15" s="13"/>
      <c r="AG15" s="13"/>
      <c r="AH15" s="13"/>
      <c r="AI15" s="19"/>
      <c r="AJ15" s="14"/>
      <c r="AK15" s="13"/>
      <c r="AL15" s="13"/>
      <c r="AM15" s="13" t="s">
        <v>1747</v>
      </c>
      <c r="AN15" s="13" t="s">
        <v>92</v>
      </c>
      <c r="AO15" s="26">
        <v>44774</v>
      </c>
      <c r="AP15" s="20">
        <v>96.626999999999995</v>
      </c>
      <c r="AQ15" s="20">
        <f t="shared" ref="AQ15:AQ22" si="6">IF(ISBLANK(AP15),,IF(U15="S",AA15-AP15,AP15-AA15))</f>
        <v>0.18899999999999295</v>
      </c>
      <c r="AR15" s="97">
        <f t="shared" ref="AR15:AR22" si="7">AS15*R15</f>
        <v>1258.7399999999529</v>
      </c>
      <c r="AS15" s="21">
        <f t="shared" ref="AS15:AS22" si="8">IF(ISBLANK(AP15),,(AQ15*W15))</f>
        <v>314.68499999998824</v>
      </c>
      <c r="AT15" s="22" t="s">
        <v>72</v>
      </c>
      <c r="AU15" s="13" t="s">
        <v>1734</v>
      </c>
      <c r="AV15" s="13" t="s">
        <v>1748</v>
      </c>
      <c r="AW15" s="13" t="s">
        <v>1749</v>
      </c>
      <c r="AX15" s="13"/>
      <c r="AY15" s="13"/>
      <c r="AZ15" s="13"/>
    </row>
    <row r="16" spans="1:52" ht="13.15">
      <c r="A16" s="12">
        <v>44774</v>
      </c>
      <c r="B16" s="13"/>
      <c r="C16" s="13" t="s">
        <v>109</v>
      </c>
      <c r="D16" s="17"/>
      <c r="E16" s="13"/>
      <c r="F16" s="14" t="s">
        <v>1750</v>
      </c>
      <c r="G16" s="13"/>
      <c r="H16" s="13"/>
      <c r="I16" s="13"/>
      <c r="J16" s="14"/>
      <c r="K16" s="14"/>
      <c r="L16" s="13">
        <v>3</v>
      </c>
      <c r="M16" s="13"/>
      <c r="N16" s="13"/>
      <c r="O16" s="14" t="s">
        <v>71</v>
      </c>
      <c r="P16" s="14" t="s">
        <v>72</v>
      </c>
      <c r="Q16" s="14" t="s">
        <v>661</v>
      </c>
      <c r="R16" s="14">
        <v>3</v>
      </c>
      <c r="S16" s="14">
        <v>3</v>
      </c>
      <c r="T16" s="14"/>
      <c r="U16" s="14" t="s">
        <v>21</v>
      </c>
      <c r="V16" s="14">
        <f t="shared" si="4"/>
        <v>0.01</v>
      </c>
      <c r="W16" s="14">
        <f t="shared" si="5"/>
        <v>1664.9999999999998</v>
      </c>
      <c r="X16" s="13" t="s">
        <v>1744</v>
      </c>
      <c r="Y16" s="17"/>
      <c r="Z16" s="17"/>
      <c r="AA16" s="18">
        <v>97.156999999999996</v>
      </c>
      <c r="AB16" s="13"/>
      <c r="AC16" s="13" t="s">
        <v>1745</v>
      </c>
      <c r="AD16" s="13"/>
      <c r="AE16" s="13" t="s">
        <v>1746</v>
      </c>
      <c r="AF16" s="13"/>
      <c r="AG16" s="13"/>
      <c r="AH16" s="13"/>
      <c r="AI16" s="19"/>
      <c r="AJ16" s="14"/>
      <c r="AK16" s="13"/>
      <c r="AL16" s="13"/>
      <c r="AM16" s="13" t="s">
        <v>1747</v>
      </c>
      <c r="AN16" s="13" t="s">
        <v>92</v>
      </c>
      <c r="AO16" s="26">
        <v>44774</v>
      </c>
      <c r="AP16" s="20">
        <v>97.313000000000002</v>
      </c>
      <c r="AQ16" s="20">
        <f t="shared" si="6"/>
        <v>0.15600000000000591</v>
      </c>
      <c r="AR16" s="97">
        <f t="shared" si="7"/>
        <v>779.22000000002936</v>
      </c>
      <c r="AS16" s="21">
        <f t="shared" si="8"/>
        <v>259.74000000000979</v>
      </c>
      <c r="AT16" s="22" t="s">
        <v>72</v>
      </c>
      <c r="AU16" s="13" t="s">
        <v>1734</v>
      </c>
      <c r="AV16" s="13" t="s">
        <v>1748</v>
      </c>
      <c r="AW16" s="17" t="s">
        <v>1751</v>
      </c>
      <c r="AX16" s="13"/>
      <c r="AY16" s="13"/>
      <c r="AZ16" s="13"/>
    </row>
    <row r="17" spans="1:52" ht="13.15">
      <c r="A17" s="12">
        <v>44774</v>
      </c>
      <c r="B17" s="13"/>
      <c r="C17" s="13" t="s">
        <v>109</v>
      </c>
      <c r="D17" s="17"/>
      <c r="E17" s="13"/>
      <c r="F17" s="14" t="s">
        <v>1752</v>
      </c>
      <c r="G17" s="13"/>
      <c r="H17" s="13"/>
      <c r="I17" s="13"/>
      <c r="J17" s="14"/>
      <c r="K17" s="14"/>
      <c r="L17" s="13">
        <v>3</v>
      </c>
      <c r="M17" s="13"/>
      <c r="N17" s="13"/>
      <c r="O17" s="14" t="s">
        <v>71</v>
      </c>
      <c r="P17" s="14" t="s">
        <v>72</v>
      </c>
      <c r="Q17" s="14" t="s">
        <v>661</v>
      </c>
      <c r="R17" s="14">
        <v>2</v>
      </c>
      <c r="S17" s="14">
        <v>2</v>
      </c>
      <c r="T17" s="14"/>
      <c r="U17" s="14" t="s">
        <v>21</v>
      </c>
      <c r="V17" s="14">
        <f t="shared" si="4"/>
        <v>0.01</v>
      </c>
      <c r="W17" s="14">
        <f t="shared" si="5"/>
        <v>1664.9999999999998</v>
      </c>
      <c r="X17" s="13" t="s">
        <v>1744</v>
      </c>
      <c r="Y17" s="17"/>
      <c r="Z17" s="17"/>
      <c r="AA17" s="18">
        <v>96.322999999999993</v>
      </c>
      <c r="AB17" s="13"/>
      <c r="AC17" s="13" t="s">
        <v>1745</v>
      </c>
      <c r="AD17" s="13"/>
      <c r="AE17" s="13" t="s">
        <v>1746</v>
      </c>
      <c r="AF17" s="13"/>
      <c r="AG17" s="13"/>
      <c r="AH17" s="13"/>
      <c r="AI17" s="19"/>
      <c r="AJ17" s="14"/>
      <c r="AK17" s="13"/>
      <c r="AL17" s="13"/>
      <c r="AM17" s="13" t="s">
        <v>1747</v>
      </c>
      <c r="AN17" s="13" t="s">
        <v>92</v>
      </c>
      <c r="AO17" s="26">
        <v>44774</v>
      </c>
      <c r="AP17" s="20">
        <v>96.54</v>
      </c>
      <c r="AQ17" s="20">
        <f t="shared" si="6"/>
        <v>0.21700000000001296</v>
      </c>
      <c r="AR17" s="97">
        <f t="shared" si="7"/>
        <v>722.6100000000431</v>
      </c>
      <c r="AS17" s="21">
        <f t="shared" si="8"/>
        <v>361.30500000002155</v>
      </c>
      <c r="AT17" s="22" t="s">
        <v>72</v>
      </c>
      <c r="AU17" s="13" t="s">
        <v>1734</v>
      </c>
      <c r="AV17" s="13" t="s">
        <v>1748</v>
      </c>
      <c r="AW17" s="17" t="s">
        <v>1751</v>
      </c>
      <c r="AX17" s="13"/>
      <c r="AY17" s="13"/>
      <c r="AZ17" s="13"/>
    </row>
    <row r="18" spans="1:52" ht="13.15">
      <c r="A18" s="12">
        <v>44774</v>
      </c>
      <c r="B18" s="13"/>
      <c r="C18" s="13" t="s">
        <v>109</v>
      </c>
      <c r="D18" s="17"/>
      <c r="E18" s="13"/>
      <c r="F18" s="14" t="s">
        <v>1753</v>
      </c>
      <c r="G18" s="13"/>
      <c r="H18" s="13"/>
      <c r="I18" s="13"/>
      <c r="J18" s="14"/>
      <c r="K18" s="14"/>
      <c r="L18" s="13">
        <v>3</v>
      </c>
      <c r="M18" s="13"/>
      <c r="N18" s="13"/>
      <c r="O18" s="14" t="s">
        <v>71</v>
      </c>
      <c r="P18" s="14" t="s">
        <v>72</v>
      </c>
      <c r="Q18" s="14" t="s">
        <v>661</v>
      </c>
      <c r="R18" s="14">
        <v>1</v>
      </c>
      <c r="S18" s="14">
        <v>1</v>
      </c>
      <c r="T18" s="14"/>
      <c r="U18" s="14" t="s">
        <v>21</v>
      </c>
      <c r="V18" s="14">
        <f t="shared" si="4"/>
        <v>0.01</v>
      </c>
      <c r="W18" s="14">
        <f t="shared" si="5"/>
        <v>1664.9999999999998</v>
      </c>
      <c r="X18" s="13" t="s">
        <v>1744</v>
      </c>
      <c r="Y18" s="17"/>
      <c r="Z18" s="17"/>
      <c r="AA18" s="18">
        <v>96.38</v>
      </c>
      <c r="AB18" s="13"/>
      <c r="AC18" s="13" t="s">
        <v>1745</v>
      </c>
      <c r="AD18" s="13"/>
      <c r="AE18" s="13" t="s">
        <v>1746</v>
      </c>
      <c r="AF18" s="13"/>
      <c r="AG18" s="13"/>
      <c r="AH18" s="13"/>
      <c r="AI18" s="19"/>
      <c r="AJ18" s="14"/>
      <c r="AK18" s="13"/>
      <c r="AL18" s="13"/>
      <c r="AM18" s="13" t="s">
        <v>1747</v>
      </c>
      <c r="AN18" s="13" t="s">
        <v>92</v>
      </c>
      <c r="AO18" s="26">
        <v>44774</v>
      </c>
      <c r="AP18" s="20">
        <v>96.61</v>
      </c>
      <c r="AQ18" s="20">
        <f t="shared" si="6"/>
        <v>0.23000000000000398</v>
      </c>
      <c r="AR18" s="97">
        <f t="shared" si="7"/>
        <v>382.95000000000658</v>
      </c>
      <c r="AS18" s="21">
        <f t="shared" si="8"/>
        <v>382.95000000000658</v>
      </c>
      <c r="AT18" s="22" t="s">
        <v>72</v>
      </c>
      <c r="AU18" s="13" t="s">
        <v>1734</v>
      </c>
      <c r="AV18" s="13" t="s">
        <v>1748</v>
      </c>
      <c r="AW18" s="17" t="s">
        <v>1751</v>
      </c>
      <c r="AX18" s="13"/>
      <c r="AY18" s="13"/>
      <c r="AZ18" s="13"/>
    </row>
    <row r="19" spans="1:52" ht="13.15">
      <c r="A19" s="12">
        <v>44774</v>
      </c>
      <c r="B19" s="13"/>
      <c r="C19" s="13" t="s">
        <v>109</v>
      </c>
      <c r="D19" s="17"/>
      <c r="E19" s="13"/>
      <c r="F19" s="14" t="s">
        <v>1719</v>
      </c>
      <c r="G19" s="13"/>
      <c r="H19" s="13"/>
      <c r="I19" s="13"/>
      <c r="J19" s="14"/>
      <c r="K19" s="14"/>
      <c r="L19" s="13"/>
      <c r="M19" s="13"/>
      <c r="N19" s="13">
        <v>3</v>
      </c>
      <c r="O19" s="14" t="s">
        <v>71</v>
      </c>
      <c r="P19" s="14" t="s">
        <v>114</v>
      </c>
      <c r="Q19" s="14" t="s">
        <v>661</v>
      </c>
      <c r="R19" s="14">
        <v>2</v>
      </c>
      <c r="S19" s="14">
        <v>2</v>
      </c>
      <c r="T19" s="14"/>
      <c r="U19" s="14" t="s">
        <v>73</v>
      </c>
      <c r="V19" s="14">
        <f t="shared" si="4"/>
        <v>0.01</v>
      </c>
      <c r="W19" s="14">
        <f t="shared" si="5"/>
        <v>1664.9999999999998</v>
      </c>
      <c r="X19" s="13" t="s">
        <v>1754</v>
      </c>
      <c r="Y19" s="17" t="s">
        <v>1755</v>
      </c>
      <c r="Z19" s="17"/>
      <c r="AA19" s="18">
        <v>96.775000000000006</v>
      </c>
      <c r="AB19" s="13"/>
      <c r="AC19" s="13"/>
      <c r="AD19" s="13"/>
      <c r="AE19" s="13" t="s">
        <v>506</v>
      </c>
      <c r="AF19" s="13"/>
      <c r="AG19" s="13"/>
      <c r="AH19" s="13"/>
      <c r="AI19" s="19"/>
      <c r="AJ19" s="14"/>
      <c r="AK19" s="13"/>
      <c r="AL19" s="13"/>
      <c r="AM19" s="13">
        <v>1</v>
      </c>
      <c r="AN19" s="13" t="s">
        <v>92</v>
      </c>
      <c r="AO19" s="13"/>
      <c r="AP19" s="20">
        <v>96.7</v>
      </c>
      <c r="AQ19" s="20">
        <f t="shared" si="6"/>
        <v>7.5000000000002842E-2</v>
      </c>
      <c r="AR19" s="97">
        <f t="shared" si="7"/>
        <v>249.75000000000944</v>
      </c>
      <c r="AS19" s="21">
        <f t="shared" si="8"/>
        <v>124.87500000000472</v>
      </c>
      <c r="AT19" s="22" t="s">
        <v>72</v>
      </c>
      <c r="AU19" s="13" t="s">
        <v>1756</v>
      </c>
      <c r="AV19" s="13" t="s">
        <v>1757</v>
      </c>
      <c r="AW19" s="13" t="s">
        <v>1758</v>
      </c>
      <c r="AX19" s="13" t="s">
        <v>1759</v>
      </c>
      <c r="AY19" s="17" t="s">
        <v>917</v>
      </c>
      <c r="AZ19" s="13"/>
    </row>
    <row r="20" spans="1:52" ht="13.15">
      <c r="A20" s="12">
        <v>44774</v>
      </c>
      <c r="B20" s="13"/>
      <c r="C20" s="13" t="s">
        <v>109</v>
      </c>
      <c r="D20" s="17"/>
      <c r="E20" s="13"/>
      <c r="F20" s="14" t="s">
        <v>1753</v>
      </c>
      <c r="G20" s="13"/>
      <c r="H20" s="13"/>
      <c r="I20" s="13"/>
      <c r="J20" s="14"/>
      <c r="K20" s="14"/>
      <c r="L20" s="13"/>
      <c r="M20" s="13"/>
      <c r="N20" s="13">
        <v>3</v>
      </c>
      <c r="O20" s="14" t="s">
        <v>71</v>
      </c>
      <c r="P20" s="14" t="s">
        <v>72</v>
      </c>
      <c r="Q20" s="14"/>
      <c r="R20" s="14">
        <v>2</v>
      </c>
      <c r="S20" s="14">
        <v>2</v>
      </c>
      <c r="T20" s="14"/>
      <c r="U20" s="14" t="s">
        <v>73</v>
      </c>
      <c r="V20" s="14">
        <f t="shared" si="4"/>
        <v>0.01</v>
      </c>
      <c r="W20" s="14">
        <f t="shared" si="5"/>
        <v>1664.9999999999998</v>
      </c>
      <c r="X20" s="13" t="s">
        <v>1754</v>
      </c>
      <c r="Y20" s="17" t="s">
        <v>1755</v>
      </c>
      <c r="Z20" s="17"/>
      <c r="AA20" s="18">
        <v>96.65</v>
      </c>
      <c r="AB20" s="13"/>
      <c r="AC20" s="13"/>
      <c r="AD20" s="13"/>
      <c r="AE20" s="13" t="s">
        <v>1760</v>
      </c>
      <c r="AF20" s="13"/>
      <c r="AG20" s="13"/>
      <c r="AH20" s="13"/>
      <c r="AI20" s="19"/>
      <c r="AJ20" s="14"/>
      <c r="AK20" s="13"/>
      <c r="AL20" s="13"/>
      <c r="AM20" s="13">
        <v>1</v>
      </c>
      <c r="AN20" s="13"/>
      <c r="AO20" s="13"/>
      <c r="AP20" s="20">
        <v>96.65</v>
      </c>
      <c r="AQ20" s="20">
        <f t="shared" si="6"/>
        <v>0</v>
      </c>
      <c r="AR20" s="97">
        <f t="shared" si="7"/>
        <v>0</v>
      </c>
      <c r="AS20" s="21">
        <f t="shared" si="8"/>
        <v>0</v>
      </c>
      <c r="AT20" s="22"/>
      <c r="AU20" s="13" t="s">
        <v>1761</v>
      </c>
      <c r="AV20" s="13"/>
      <c r="AW20" s="13" t="s">
        <v>1758</v>
      </c>
      <c r="AX20" s="13" t="s">
        <v>1762</v>
      </c>
      <c r="AY20" s="17" t="s">
        <v>917</v>
      </c>
      <c r="AZ20" s="13"/>
    </row>
    <row r="21" spans="1:52" ht="13.15">
      <c r="A21" s="12">
        <v>44775</v>
      </c>
      <c r="B21" s="13"/>
      <c r="C21" s="13" t="s">
        <v>123</v>
      </c>
      <c r="D21" s="17" t="s">
        <v>1763</v>
      </c>
      <c r="E21" s="13" t="s">
        <v>1764</v>
      </c>
      <c r="F21" s="14" t="s">
        <v>1750</v>
      </c>
      <c r="G21" s="13"/>
      <c r="H21" s="13">
        <v>1</v>
      </c>
      <c r="I21" s="13"/>
      <c r="J21" s="14"/>
      <c r="K21" s="14"/>
      <c r="L21" s="13"/>
      <c r="M21" s="13">
        <v>3</v>
      </c>
      <c r="N21" s="13"/>
      <c r="O21" s="14" t="s">
        <v>71</v>
      </c>
      <c r="P21" s="14" t="s">
        <v>72</v>
      </c>
      <c r="Q21" s="14" t="s">
        <v>661</v>
      </c>
      <c r="R21" s="14">
        <v>2</v>
      </c>
      <c r="S21" s="14">
        <v>2</v>
      </c>
      <c r="T21" s="14"/>
      <c r="U21" s="14" t="s">
        <v>21</v>
      </c>
      <c r="V21" s="14">
        <f t="shared" si="4"/>
        <v>0.01</v>
      </c>
      <c r="W21" s="14">
        <f t="shared" si="5"/>
        <v>1664.9999999999998</v>
      </c>
      <c r="X21" s="17"/>
      <c r="Y21" s="17" t="s">
        <v>1765</v>
      </c>
      <c r="Z21" s="17"/>
      <c r="AA21" s="18">
        <v>97.33</v>
      </c>
      <c r="AB21" s="98"/>
      <c r="AC21" s="98" t="s">
        <v>1766</v>
      </c>
      <c r="AD21" s="13"/>
      <c r="AE21" s="13" t="s">
        <v>1767</v>
      </c>
      <c r="AF21" s="13"/>
      <c r="AG21" s="13"/>
      <c r="AH21" s="13"/>
      <c r="AI21" s="19"/>
      <c r="AJ21" s="14"/>
      <c r="AK21" s="13"/>
      <c r="AL21" s="13"/>
      <c r="AM21" s="13">
        <v>1</v>
      </c>
      <c r="AN21" s="13" t="s">
        <v>92</v>
      </c>
      <c r="AO21" s="13"/>
      <c r="AP21" s="20">
        <v>97.3</v>
      </c>
      <c r="AQ21" s="20">
        <f t="shared" si="6"/>
        <v>-3.0000000000001137E-2</v>
      </c>
      <c r="AR21" s="97">
        <f t="shared" si="7"/>
        <v>-99.900000000003772</v>
      </c>
      <c r="AS21" s="21">
        <f t="shared" si="8"/>
        <v>-49.950000000001886</v>
      </c>
      <c r="AT21" s="22" t="s">
        <v>206</v>
      </c>
      <c r="AU21" s="17" t="s">
        <v>1768</v>
      </c>
      <c r="AV21" s="17" t="s">
        <v>1769</v>
      </c>
      <c r="AW21" s="17" t="s">
        <v>1770</v>
      </c>
      <c r="AX21" s="17" t="s">
        <v>1771</v>
      </c>
      <c r="AY21" s="13" t="s">
        <v>1772</v>
      </c>
      <c r="AZ21" s="17" t="s">
        <v>1773</v>
      </c>
    </row>
    <row r="22" spans="1:52" ht="13.15">
      <c r="A22" s="12">
        <v>44781</v>
      </c>
      <c r="B22" s="13"/>
      <c r="C22" s="13" t="s">
        <v>109</v>
      </c>
      <c r="D22" s="17"/>
      <c r="E22" s="13"/>
      <c r="F22" s="14" t="s">
        <v>1743</v>
      </c>
      <c r="G22" s="13"/>
      <c r="H22" s="13"/>
      <c r="I22" s="13"/>
      <c r="J22" s="14"/>
      <c r="K22" s="14"/>
      <c r="L22" s="13">
        <v>2</v>
      </c>
      <c r="M22" s="13"/>
      <c r="N22" s="13">
        <v>3</v>
      </c>
      <c r="O22" s="14" t="s">
        <v>71</v>
      </c>
      <c r="P22" s="14" t="s">
        <v>72</v>
      </c>
      <c r="Q22" s="14" t="s">
        <v>661</v>
      </c>
      <c r="R22" s="14">
        <v>6</v>
      </c>
      <c r="S22" s="14">
        <v>6</v>
      </c>
      <c r="T22" s="14"/>
      <c r="U22" s="14" t="s">
        <v>73</v>
      </c>
      <c r="V22" s="14">
        <f t="shared" si="4"/>
        <v>0.01</v>
      </c>
      <c r="W22" s="14">
        <f t="shared" si="5"/>
        <v>1664.9999999999998</v>
      </c>
      <c r="X22" s="13" t="s">
        <v>1774</v>
      </c>
      <c r="Y22" s="17"/>
      <c r="Z22" s="17"/>
      <c r="AA22" s="18">
        <v>96.433000000000007</v>
      </c>
      <c r="AB22" s="13"/>
      <c r="AC22" s="13" t="s">
        <v>1775</v>
      </c>
      <c r="AD22" s="13" t="s">
        <v>1776</v>
      </c>
      <c r="AE22" s="13" t="s">
        <v>1777</v>
      </c>
      <c r="AF22" s="13"/>
      <c r="AG22" s="13"/>
      <c r="AH22" s="13"/>
      <c r="AI22" s="19"/>
      <c r="AJ22" s="14"/>
      <c r="AK22" s="13"/>
      <c r="AL22" s="13"/>
      <c r="AM22" s="13"/>
      <c r="AN22" s="13" t="s">
        <v>92</v>
      </c>
      <c r="AO22" s="13"/>
      <c r="AP22" s="20">
        <v>96.47</v>
      </c>
      <c r="AQ22" s="20">
        <f t="shared" si="6"/>
        <v>-3.6999999999991928E-2</v>
      </c>
      <c r="AR22" s="97">
        <f t="shared" si="7"/>
        <v>-369.62999999991933</v>
      </c>
      <c r="AS22" s="21">
        <f t="shared" si="8"/>
        <v>-61.604999999986553</v>
      </c>
      <c r="AT22" s="22" t="s">
        <v>206</v>
      </c>
      <c r="AU22" s="17" t="s">
        <v>1778</v>
      </c>
      <c r="AV22" s="13" t="s">
        <v>1779</v>
      </c>
      <c r="AW22" s="17" t="s">
        <v>1780</v>
      </c>
      <c r="AX22" s="17" t="s">
        <v>1771</v>
      </c>
      <c r="AY22" s="17" t="s">
        <v>1781</v>
      </c>
      <c r="AZ22" s="13"/>
    </row>
    <row r="23" spans="1:52" ht="13.15">
      <c r="A23" s="12">
        <v>44782</v>
      </c>
      <c r="B23" s="13"/>
      <c r="C23" s="13" t="s">
        <v>123</v>
      </c>
      <c r="D23" s="17" t="s">
        <v>1782</v>
      </c>
      <c r="E23" s="13" t="s">
        <v>1783</v>
      </c>
      <c r="F23" s="14"/>
      <c r="G23" s="13"/>
      <c r="H23" s="13">
        <v>1</v>
      </c>
      <c r="I23" s="13"/>
      <c r="J23" s="14"/>
      <c r="K23" s="14"/>
      <c r="L23" s="13"/>
      <c r="M23" s="13"/>
      <c r="N23" s="13"/>
      <c r="O23" s="14"/>
      <c r="P23" s="14"/>
      <c r="Q23" s="14"/>
      <c r="R23" s="14"/>
      <c r="S23" s="14"/>
      <c r="T23" s="14"/>
      <c r="U23" s="14"/>
      <c r="V23" s="14">
        <f t="shared" si="4"/>
        <v>0</v>
      </c>
      <c r="W23" s="14">
        <f t="shared" si="5"/>
        <v>0</v>
      </c>
      <c r="X23" s="17"/>
      <c r="Y23" s="17"/>
      <c r="Z23" s="17"/>
      <c r="AA23" s="18"/>
      <c r="AB23" s="13"/>
      <c r="AC23" s="13"/>
      <c r="AD23" s="13"/>
      <c r="AE23" s="13"/>
      <c r="AF23" s="13"/>
      <c r="AG23" s="13"/>
      <c r="AH23" s="13"/>
      <c r="AI23" s="19"/>
      <c r="AJ23" s="14"/>
      <c r="AK23" s="13"/>
      <c r="AL23" s="13"/>
      <c r="AM23" s="13"/>
      <c r="AN23" s="13"/>
      <c r="AO23" s="13"/>
      <c r="AP23" s="20"/>
      <c r="AQ23" s="13"/>
      <c r="AR23" s="97"/>
      <c r="AS23" s="21"/>
      <c r="AT23" s="22"/>
      <c r="AU23" s="13"/>
      <c r="AV23" s="13"/>
      <c r="AW23" s="13"/>
      <c r="AX23" s="13"/>
      <c r="AY23" s="13"/>
      <c r="AZ23" s="13"/>
    </row>
    <row r="24" spans="1:52" ht="13.15">
      <c r="A24" s="12">
        <v>44783</v>
      </c>
      <c r="B24" s="13"/>
      <c r="C24" s="13" t="s">
        <v>128</v>
      </c>
      <c r="D24" s="17"/>
      <c r="E24" s="13"/>
      <c r="F24" s="14" t="s">
        <v>1753</v>
      </c>
      <c r="G24" s="13"/>
      <c r="H24" s="13"/>
      <c r="I24" s="13"/>
      <c r="J24" s="14"/>
      <c r="K24" s="14"/>
      <c r="L24" s="13"/>
      <c r="M24" s="13">
        <v>3</v>
      </c>
      <c r="N24" s="13"/>
      <c r="O24" s="14" t="s">
        <v>71</v>
      </c>
      <c r="P24" s="14" t="s">
        <v>72</v>
      </c>
      <c r="Q24" s="14" t="s">
        <v>661</v>
      </c>
      <c r="R24" s="14">
        <v>2</v>
      </c>
      <c r="S24" s="14">
        <v>2</v>
      </c>
      <c r="T24" s="14"/>
      <c r="U24" s="14" t="s">
        <v>21</v>
      </c>
      <c r="V24" s="14">
        <f t="shared" si="4"/>
        <v>0.01</v>
      </c>
      <c r="W24" s="14">
        <f t="shared" si="5"/>
        <v>1664.9999999999998</v>
      </c>
      <c r="X24" s="17"/>
      <c r="Y24" s="17" t="s">
        <v>1784</v>
      </c>
      <c r="Z24" s="17"/>
      <c r="AA24" s="18">
        <v>96.265000000000001</v>
      </c>
      <c r="AB24" s="98"/>
      <c r="AC24" s="98" t="s">
        <v>1785</v>
      </c>
      <c r="AD24" s="13" t="s">
        <v>1786</v>
      </c>
      <c r="AE24" s="13" t="s">
        <v>1787</v>
      </c>
      <c r="AF24" s="13"/>
      <c r="AG24" s="13"/>
      <c r="AH24" s="13"/>
      <c r="AI24" s="19"/>
      <c r="AJ24" s="14"/>
      <c r="AK24" s="13"/>
      <c r="AL24" s="13"/>
      <c r="AM24" s="13"/>
      <c r="AN24" s="13" t="s">
        <v>92</v>
      </c>
      <c r="AO24" s="13"/>
      <c r="AP24" s="20">
        <v>96.21</v>
      </c>
      <c r="AQ24" s="20">
        <f>IF(ISBLANK(AP24),,IF(U24="S",AA24-AP24,AP24-AA24))</f>
        <v>-5.5000000000006821E-2</v>
      </c>
      <c r="AR24" s="97">
        <f>AS24*R24</f>
        <v>-183.15000000002269</v>
      </c>
      <c r="AS24" s="21">
        <f>IF(ISBLANK(AP24),,(AQ24*W24))</f>
        <v>-91.575000000011343</v>
      </c>
      <c r="AT24" s="22" t="s">
        <v>206</v>
      </c>
      <c r="AU24" s="13" t="s">
        <v>1788</v>
      </c>
      <c r="AV24" s="13" t="s">
        <v>1789</v>
      </c>
      <c r="AW24" s="17" t="s">
        <v>1790</v>
      </c>
      <c r="AX24" s="13"/>
      <c r="AY24" s="13"/>
      <c r="AZ24" s="13"/>
    </row>
    <row r="25" spans="1:52" ht="13.15">
      <c r="A25" s="12">
        <v>44783</v>
      </c>
      <c r="B25" s="13"/>
      <c r="C25" s="13" t="s">
        <v>128</v>
      </c>
      <c r="D25" s="17"/>
      <c r="E25" s="13"/>
      <c r="F25" s="14" t="s">
        <v>1750</v>
      </c>
      <c r="G25" s="13"/>
      <c r="H25" s="13"/>
      <c r="I25" s="13"/>
      <c r="J25" s="14"/>
      <c r="K25" s="14"/>
      <c r="L25" s="13"/>
      <c r="M25" s="13">
        <v>2</v>
      </c>
      <c r="N25" s="13"/>
      <c r="O25" s="14" t="s">
        <v>71</v>
      </c>
      <c r="P25" s="14" t="s">
        <v>72</v>
      </c>
      <c r="Q25" s="14"/>
      <c r="R25" s="14">
        <v>1</v>
      </c>
      <c r="S25" s="14"/>
      <c r="T25" s="14"/>
      <c r="U25" s="14" t="s">
        <v>21</v>
      </c>
      <c r="V25" s="14">
        <f t="shared" si="4"/>
        <v>0.01</v>
      </c>
      <c r="W25" s="14">
        <f t="shared" si="5"/>
        <v>1664.9999999999998</v>
      </c>
      <c r="X25" s="17"/>
      <c r="Y25" s="17" t="s">
        <v>1791</v>
      </c>
      <c r="Z25" s="17"/>
      <c r="AA25" s="18">
        <v>96.31</v>
      </c>
      <c r="AB25" s="13"/>
      <c r="AC25" s="13" t="s">
        <v>1792</v>
      </c>
      <c r="AD25" s="13" t="s">
        <v>1793</v>
      </c>
      <c r="AE25" s="13" t="s">
        <v>1794</v>
      </c>
      <c r="AF25" s="13" t="s">
        <v>1795</v>
      </c>
      <c r="AG25" s="13"/>
      <c r="AH25" s="13"/>
      <c r="AI25" s="19"/>
      <c r="AJ25" s="14"/>
      <c r="AK25" s="13"/>
      <c r="AL25" s="13"/>
      <c r="AM25" s="13"/>
      <c r="AN25" s="13"/>
      <c r="AO25" s="13"/>
      <c r="AP25" s="20"/>
      <c r="AQ25" s="13"/>
      <c r="AR25" s="97"/>
      <c r="AS25" s="21"/>
      <c r="AT25" s="22"/>
      <c r="AU25" s="62"/>
      <c r="AV25" s="13"/>
      <c r="AW25" s="13"/>
      <c r="AX25" s="13"/>
      <c r="AY25" s="13"/>
      <c r="AZ25" s="13"/>
    </row>
    <row r="26" spans="1:52" ht="13.15">
      <c r="A26" s="12">
        <v>44783</v>
      </c>
      <c r="B26" s="13"/>
      <c r="C26" s="13" t="s">
        <v>128</v>
      </c>
      <c r="D26" s="17"/>
      <c r="E26" s="13"/>
      <c r="F26" s="14" t="s">
        <v>1743</v>
      </c>
      <c r="G26" s="13"/>
      <c r="H26" s="13"/>
      <c r="I26" s="13"/>
      <c r="J26" s="14"/>
      <c r="K26" s="14"/>
      <c r="L26" s="13"/>
      <c r="M26" s="13">
        <v>2</v>
      </c>
      <c r="N26" s="13"/>
      <c r="O26" s="14" t="s">
        <v>71</v>
      </c>
      <c r="P26" s="14" t="s">
        <v>72</v>
      </c>
      <c r="Q26" s="14"/>
      <c r="R26" s="14"/>
      <c r="S26" s="14">
        <v>1</v>
      </c>
      <c r="T26" s="14"/>
      <c r="U26" s="14" t="s">
        <v>73</v>
      </c>
      <c r="V26" s="14">
        <f t="shared" si="4"/>
        <v>0.01</v>
      </c>
      <c r="W26" s="14">
        <f t="shared" si="5"/>
        <v>1664.9999999999998</v>
      </c>
      <c r="X26" s="17"/>
      <c r="Y26" s="17" t="s">
        <v>1796</v>
      </c>
      <c r="Z26" s="17"/>
      <c r="AA26" s="18">
        <v>96.41</v>
      </c>
      <c r="AB26" s="13"/>
      <c r="AC26" s="13" t="s">
        <v>1797</v>
      </c>
      <c r="AD26" s="17" t="s">
        <v>1798</v>
      </c>
      <c r="AE26" s="13" t="s">
        <v>1799</v>
      </c>
      <c r="AF26" s="13" t="s">
        <v>1800</v>
      </c>
      <c r="AG26" s="13"/>
      <c r="AH26" s="13"/>
      <c r="AI26" s="19"/>
      <c r="AJ26" s="14"/>
      <c r="AK26" s="13"/>
      <c r="AL26" s="13"/>
      <c r="AM26" s="13"/>
      <c r="AN26" s="13"/>
      <c r="AO26" s="13"/>
      <c r="AP26" s="20"/>
      <c r="AQ26" s="13"/>
      <c r="AR26" s="97"/>
      <c r="AS26" s="21"/>
      <c r="AT26" s="22"/>
      <c r="AU26" s="17" t="s">
        <v>1801</v>
      </c>
      <c r="AV26" s="13"/>
      <c r="AW26" s="13"/>
      <c r="AX26" s="13"/>
      <c r="AY26" s="13"/>
      <c r="AZ26" s="13"/>
    </row>
    <row r="27" spans="1:52" ht="13.15">
      <c r="A27" s="12">
        <v>44783</v>
      </c>
      <c r="B27" s="13"/>
      <c r="C27" s="13" t="s">
        <v>128</v>
      </c>
      <c r="D27" s="17"/>
      <c r="E27" s="13"/>
      <c r="F27" s="14" t="s">
        <v>1752</v>
      </c>
      <c r="G27" s="13"/>
      <c r="H27" s="13"/>
      <c r="I27" s="13"/>
      <c r="J27" s="14"/>
      <c r="K27" s="14"/>
      <c r="L27" s="13"/>
      <c r="M27" s="13">
        <v>2</v>
      </c>
      <c r="N27" s="13"/>
      <c r="O27" s="14" t="s">
        <v>71</v>
      </c>
      <c r="P27" s="14" t="s">
        <v>72</v>
      </c>
      <c r="Q27" s="14"/>
      <c r="R27" s="14"/>
      <c r="S27" s="14">
        <v>1</v>
      </c>
      <c r="T27" s="14"/>
      <c r="U27" s="14" t="s">
        <v>73</v>
      </c>
      <c r="V27" s="14">
        <f t="shared" si="4"/>
        <v>0.01</v>
      </c>
      <c r="W27" s="14">
        <f t="shared" si="5"/>
        <v>1664.9999999999998</v>
      </c>
      <c r="X27" s="17"/>
      <c r="Y27" s="17" t="s">
        <v>1802</v>
      </c>
      <c r="Z27" s="17"/>
      <c r="AA27" s="18">
        <v>96.21</v>
      </c>
      <c r="AB27" s="13"/>
      <c r="AC27" s="13" t="s">
        <v>1803</v>
      </c>
      <c r="AD27" s="13" t="s">
        <v>1804</v>
      </c>
      <c r="AE27" s="13" t="s">
        <v>1805</v>
      </c>
      <c r="AF27" s="13" t="s">
        <v>1806</v>
      </c>
      <c r="AG27" s="13"/>
      <c r="AH27" s="13"/>
      <c r="AI27" s="19"/>
      <c r="AJ27" s="14"/>
      <c r="AK27" s="13"/>
      <c r="AL27" s="13"/>
      <c r="AM27" s="13"/>
      <c r="AN27" s="13"/>
      <c r="AO27" s="13"/>
      <c r="AP27" s="20"/>
      <c r="AQ27" s="13"/>
      <c r="AR27" s="97"/>
      <c r="AS27" s="21"/>
      <c r="AT27" s="22"/>
      <c r="AU27" s="13" t="s">
        <v>1807</v>
      </c>
      <c r="AV27" s="13"/>
      <c r="AW27" s="13"/>
      <c r="AX27" s="13"/>
      <c r="AY27" s="13"/>
      <c r="AZ27" s="13"/>
    </row>
    <row r="28" spans="1:52" ht="13.15">
      <c r="A28" s="12">
        <v>44783</v>
      </c>
      <c r="B28" s="13"/>
      <c r="C28" s="13" t="s">
        <v>128</v>
      </c>
      <c r="D28" s="17"/>
      <c r="E28" s="13"/>
      <c r="F28" s="14" t="s">
        <v>1750</v>
      </c>
      <c r="G28" s="13"/>
      <c r="H28" s="13"/>
      <c r="I28" s="13"/>
      <c r="J28" s="14"/>
      <c r="K28" s="14"/>
      <c r="L28" s="13"/>
      <c r="M28" s="13">
        <v>2</v>
      </c>
      <c r="N28" s="13"/>
      <c r="O28" s="14" t="s">
        <v>71</v>
      </c>
      <c r="P28" s="14" t="s">
        <v>72</v>
      </c>
      <c r="Q28" s="14"/>
      <c r="R28" s="14">
        <v>1</v>
      </c>
      <c r="S28" s="14"/>
      <c r="T28" s="14"/>
      <c r="U28" s="14" t="s">
        <v>21</v>
      </c>
      <c r="V28" s="14">
        <f t="shared" si="4"/>
        <v>0.01</v>
      </c>
      <c r="W28" s="14">
        <f t="shared" si="5"/>
        <v>1664.9999999999998</v>
      </c>
      <c r="X28" s="17"/>
      <c r="Y28" s="17" t="s">
        <v>1808</v>
      </c>
      <c r="Z28" s="17"/>
      <c r="AA28" s="18">
        <v>96.3</v>
      </c>
      <c r="AB28" s="13"/>
      <c r="AC28" s="13" t="s">
        <v>1809</v>
      </c>
      <c r="AD28" s="13" t="s">
        <v>1810</v>
      </c>
      <c r="AE28" s="13" t="s">
        <v>1811</v>
      </c>
      <c r="AF28" s="13" t="s">
        <v>1795</v>
      </c>
      <c r="AG28" s="13"/>
      <c r="AH28" s="13"/>
      <c r="AI28" s="19"/>
      <c r="AJ28" s="14"/>
      <c r="AK28" s="13"/>
      <c r="AL28" s="13"/>
      <c r="AM28" s="13"/>
      <c r="AN28" s="13"/>
      <c r="AO28" s="13"/>
      <c r="AP28" s="20"/>
      <c r="AQ28" s="13"/>
      <c r="AR28" s="97"/>
      <c r="AS28" s="21"/>
      <c r="AT28" s="22"/>
      <c r="AU28" s="13"/>
      <c r="AV28" s="13"/>
      <c r="AW28" s="13"/>
      <c r="AX28" s="13"/>
      <c r="AY28" s="13"/>
      <c r="AZ28" s="13"/>
    </row>
    <row r="29" spans="1:52" ht="13.15">
      <c r="A29" s="12">
        <v>44783</v>
      </c>
      <c r="B29" s="13"/>
      <c r="C29" s="13" t="s">
        <v>128</v>
      </c>
      <c r="D29" s="17" t="s">
        <v>1812</v>
      </c>
      <c r="E29" s="13" t="s">
        <v>1813</v>
      </c>
      <c r="F29" s="14" t="s">
        <v>1750</v>
      </c>
      <c r="G29" s="13"/>
      <c r="H29" s="13"/>
      <c r="I29" s="13">
        <v>1</v>
      </c>
      <c r="J29" s="14"/>
      <c r="K29" s="14"/>
      <c r="L29" s="13">
        <v>3</v>
      </c>
      <c r="M29" s="13"/>
      <c r="N29" s="13"/>
      <c r="O29" s="14" t="s">
        <v>71</v>
      </c>
      <c r="P29" s="14" t="s">
        <v>72</v>
      </c>
      <c r="Q29" s="14" t="s">
        <v>661</v>
      </c>
      <c r="R29" s="14">
        <v>8</v>
      </c>
      <c r="S29" s="14">
        <v>8</v>
      </c>
      <c r="T29" s="34">
        <v>5</v>
      </c>
      <c r="U29" s="14" t="s">
        <v>21</v>
      </c>
      <c r="V29" s="14">
        <f t="shared" si="4"/>
        <v>0.01</v>
      </c>
      <c r="W29" s="14">
        <f t="shared" si="5"/>
        <v>1664.9999999999998</v>
      </c>
      <c r="X29" s="17" t="s">
        <v>1731</v>
      </c>
      <c r="Y29" s="17"/>
      <c r="Z29" s="17"/>
      <c r="AA29" s="18">
        <v>97.373000000000005</v>
      </c>
      <c r="AB29" s="13"/>
      <c r="AC29" s="13"/>
      <c r="AD29" s="13"/>
      <c r="AE29" s="13"/>
      <c r="AF29" s="13"/>
      <c r="AG29" s="13"/>
      <c r="AH29" s="13"/>
      <c r="AI29" s="19"/>
      <c r="AJ29" s="14"/>
      <c r="AK29" s="13"/>
      <c r="AL29" s="37"/>
      <c r="AM29" s="37" t="s">
        <v>1814</v>
      </c>
      <c r="AN29" s="13" t="s">
        <v>371</v>
      </c>
      <c r="AO29" s="35">
        <v>44783</v>
      </c>
      <c r="AP29" s="20">
        <v>97.394000000000005</v>
      </c>
      <c r="AQ29" s="20">
        <f t="shared" ref="AQ29:AQ42" si="9">IF(ISBLANK(AP29),,IF(U29="S",AA29-AP29,AP29-AA29))</f>
        <v>2.1000000000000796E-2</v>
      </c>
      <c r="AR29" s="97">
        <f t="shared" ref="AR29:AR42" si="10">AS29*R29</f>
        <v>279.72000000001054</v>
      </c>
      <c r="AS29" s="21">
        <f t="shared" ref="AS29:AS42" si="11">IF(ISBLANK(AP29),,(AQ29*W29))</f>
        <v>34.965000000001318</v>
      </c>
      <c r="AT29" s="22" t="s">
        <v>72</v>
      </c>
      <c r="AU29" s="17" t="s">
        <v>1815</v>
      </c>
      <c r="AV29" s="99" t="s">
        <v>1816</v>
      </c>
      <c r="AW29" s="62" t="s">
        <v>1817</v>
      </c>
      <c r="AX29" s="13" t="s">
        <v>1818</v>
      </c>
      <c r="AY29" s="13"/>
      <c r="AZ29" s="13"/>
    </row>
    <row r="30" spans="1:52" ht="13.15">
      <c r="A30" s="12">
        <v>44783</v>
      </c>
      <c r="B30" s="13"/>
      <c r="C30" s="13" t="s">
        <v>128</v>
      </c>
      <c r="D30" s="17" t="s">
        <v>1812</v>
      </c>
      <c r="E30" s="13" t="s">
        <v>1813</v>
      </c>
      <c r="F30" s="14" t="s">
        <v>1743</v>
      </c>
      <c r="G30" s="13"/>
      <c r="H30" s="13"/>
      <c r="I30" s="13">
        <v>1</v>
      </c>
      <c r="J30" s="14"/>
      <c r="K30" s="14"/>
      <c r="L30" s="13">
        <v>3</v>
      </c>
      <c r="M30" s="13"/>
      <c r="N30" s="13"/>
      <c r="O30" s="14" t="s">
        <v>71</v>
      </c>
      <c r="P30" s="14" t="s">
        <v>72</v>
      </c>
      <c r="Q30" s="14" t="s">
        <v>661</v>
      </c>
      <c r="R30" s="14">
        <v>9</v>
      </c>
      <c r="S30" s="14">
        <v>9</v>
      </c>
      <c r="T30" s="34">
        <v>5</v>
      </c>
      <c r="U30" s="14" t="s">
        <v>21</v>
      </c>
      <c r="V30" s="14">
        <f t="shared" si="4"/>
        <v>0.01</v>
      </c>
      <c r="W30" s="14">
        <f t="shared" si="5"/>
        <v>1664.9999999999998</v>
      </c>
      <c r="X30" s="17" t="s">
        <v>1731</v>
      </c>
      <c r="Y30" s="17"/>
      <c r="Z30" s="17"/>
      <c r="AA30" s="18">
        <v>96.521000000000001</v>
      </c>
      <c r="AB30" s="13"/>
      <c r="AC30" s="13"/>
      <c r="AD30" s="13"/>
      <c r="AE30" s="13"/>
      <c r="AF30" s="13"/>
      <c r="AG30" s="13"/>
      <c r="AH30" s="13"/>
      <c r="AI30" s="19"/>
      <c r="AJ30" s="14"/>
      <c r="AK30" s="13"/>
      <c r="AL30" s="37"/>
      <c r="AM30" s="37" t="s">
        <v>1814</v>
      </c>
      <c r="AN30" s="13" t="s">
        <v>371</v>
      </c>
      <c r="AO30" s="35">
        <v>44783</v>
      </c>
      <c r="AP30" s="20">
        <v>96.546000000000006</v>
      </c>
      <c r="AQ30" s="20">
        <f t="shared" si="9"/>
        <v>2.5000000000005684E-2</v>
      </c>
      <c r="AR30" s="97">
        <f t="shared" si="10"/>
        <v>374.62500000008509</v>
      </c>
      <c r="AS30" s="21">
        <f t="shared" si="11"/>
        <v>41.625000000009457</v>
      </c>
      <c r="AT30" s="22" t="s">
        <v>72</v>
      </c>
      <c r="AU30" s="17" t="s">
        <v>1815</v>
      </c>
      <c r="AV30" s="17" t="s">
        <v>1819</v>
      </c>
      <c r="AW30" s="13"/>
      <c r="AX30" s="13"/>
      <c r="AY30" s="13"/>
      <c r="AZ30" s="13"/>
    </row>
    <row r="31" spans="1:52" ht="13.15">
      <c r="A31" s="12">
        <v>44783</v>
      </c>
      <c r="B31" s="13"/>
      <c r="C31" s="13" t="s">
        <v>128</v>
      </c>
      <c r="D31" s="17" t="s">
        <v>1812</v>
      </c>
      <c r="E31" s="13" t="s">
        <v>1813</v>
      </c>
      <c r="F31" s="14" t="s">
        <v>1752</v>
      </c>
      <c r="G31" s="13"/>
      <c r="H31" s="13"/>
      <c r="I31" s="13">
        <v>1</v>
      </c>
      <c r="J31" s="14"/>
      <c r="K31" s="14"/>
      <c r="L31" s="13">
        <v>3</v>
      </c>
      <c r="M31" s="13"/>
      <c r="N31" s="13"/>
      <c r="O31" s="14" t="s">
        <v>71</v>
      </c>
      <c r="P31" s="14" t="s">
        <v>72</v>
      </c>
      <c r="Q31" s="14" t="s">
        <v>661</v>
      </c>
      <c r="R31" s="14">
        <v>8</v>
      </c>
      <c r="S31" s="14">
        <v>8</v>
      </c>
      <c r="T31" s="34">
        <v>5</v>
      </c>
      <c r="U31" s="14" t="s">
        <v>21</v>
      </c>
      <c r="V31" s="14">
        <f t="shared" si="4"/>
        <v>0.01</v>
      </c>
      <c r="W31" s="14">
        <f t="shared" si="5"/>
        <v>1664.9999999999998</v>
      </c>
      <c r="X31" s="17" t="s">
        <v>1731</v>
      </c>
      <c r="Y31" s="17"/>
      <c r="Z31" s="17"/>
      <c r="AA31" s="18">
        <v>96.325999999999993</v>
      </c>
      <c r="AB31" s="13"/>
      <c r="AC31" s="13"/>
      <c r="AD31" s="13"/>
      <c r="AE31" s="13"/>
      <c r="AF31" s="13"/>
      <c r="AG31" s="13"/>
      <c r="AH31" s="13"/>
      <c r="AI31" s="19"/>
      <c r="AJ31" s="14"/>
      <c r="AK31" s="13"/>
      <c r="AL31" s="37"/>
      <c r="AM31" s="37" t="s">
        <v>1814</v>
      </c>
      <c r="AN31" s="13" t="s">
        <v>371</v>
      </c>
      <c r="AO31" s="35">
        <v>44783</v>
      </c>
      <c r="AP31" s="20">
        <v>96.334999999999994</v>
      </c>
      <c r="AQ31" s="20">
        <f t="shared" si="9"/>
        <v>9.0000000000003411E-3</v>
      </c>
      <c r="AR31" s="97">
        <f t="shared" si="10"/>
        <v>119.88000000000453</v>
      </c>
      <c r="AS31" s="21">
        <f t="shared" si="11"/>
        <v>14.985000000000566</v>
      </c>
      <c r="AT31" s="22" t="s">
        <v>72</v>
      </c>
      <c r="AU31" s="17" t="s">
        <v>1815</v>
      </c>
      <c r="AV31" s="17" t="s">
        <v>1819</v>
      </c>
      <c r="AW31" s="13"/>
      <c r="AX31" s="13"/>
      <c r="AY31" s="13"/>
      <c r="AZ31" s="13"/>
    </row>
    <row r="32" spans="1:52" ht="13.15">
      <c r="A32" s="12">
        <v>44783</v>
      </c>
      <c r="B32" s="13"/>
      <c r="C32" s="13" t="s">
        <v>128</v>
      </c>
      <c r="D32" s="17" t="s">
        <v>1812</v>
      </c>
      <c r="E32" s="13" t="s">
        <v>1813</v>
      </c>
      <c r="F32" s="14" t="s">
        <v>1753</v>
      </c>
      <c r="G32" s="13"/>
      <c r="H32" s="13"/>
      <c r="I32" s="13">
        <v>1</v>
      </c>
      <c r="J32" s="14"/>
      <c r="K32" s="14"/>
      <c r="L32" s="13">
        <v>3</v>
      </c>
      <c r="M32" s="13"/>
      <c r="N32" s="13"/>
      <c r="O32" s="14" t="s">
        <v>71</v>
      </c>
      <c r="P32" s="14" t="s">
        <v>72</v>
      </c>
      <c r="Q32" s="14" t="s">
        <v>661</v>
      </c>
      <c r="R32" s="14">
        <v>3</v>
      </c>
      <c r="S32" s="14">
        <v>3</v>
      </c>
      <c r="T32" s="34">
        <v>1</v>
      </c>
      <c r="U32" s="14" t="s">
        <v>21</v>
      </c>
      <c r="V32" s="14">
        <f t="shared" si="4"/>
        <v>0.01</v>
      </c>
      <c r="W32" s="14">
        <f t="shared" si="5"/>
        <v>1664.9999999999998</v>
      </c>
      <c r="X32" s="17" t="s">
        <v>1731</v>
      </c>
      <c r="Y32" s="17"/>
      <c r="Z32" s="17"/>
      <c r="AA32" s="18">
        <v>96.29</v>
      </c>
      <c r="AB32" s="13"/>
      <c r="AC32" s="13"/>
      <c r="AD32" s="13"/>
      <c r="AE32" s="13"/>
      <c r="AF32" s="13"/>
      <c r="AG32" s="13"/>
      <c r="AH32" s="13"/>
      <c r="AI32" s="19"/>
      <c r="AJ32" s="14"/>
      <c r="AK32" s="13"/>
      <c r="AL32" s="37"/>
      <c r="AM32" s="37" t="s">
        <v>1814</v>
      </c>
      <c r="AN32" s="13" t="s">
        <v>371</v>
      </c>
      <c r="AO32" s="35">
        <v>44783</v>
      </c>
      <c r="AP32" s="20">
        <v>96.272000000000006</v>
      </c>
      <c r="AQ32" s="20">
        <f t="shared" si="9"/>
        <v>-1.8000000000000682E-2</v>
      </c>
      <c r="AR32" s="97">
        <f t="shared" si="10"/>
        <v>-89.910000000003393</v>
      </c>
      <c r="AS32" s="21">
        <f t="shared" si="11"/>
        <v>-29.970000000001132</v>
      </c>
      <c r="AT32" s="22" t="s">
        <v>206</v>
      </c>
      <c r="AU32" s="17" t="s">
        <v>1815</v>
      </c>
      <c r="AV32" s="13" t="s">
        <v>1820</v>
      </c>
      <c r="AW32" s="13"/>
      <c r="AX32" s="13"/>
      <c r="AY32" s="13"/>
      <c r="AZ32" s="13"/>
    </row>
    <row r="33" spans="1:52" ht="13.15">
      <c r="A33" s="12">
        <v>44783</v>
      </c>
      <c r="B33" s="13"/>
      <c r="C33" s="13" t="s">
        <v>128</v>
      </c>
      <c r="D33" s="17" t="s">
        <v>1812</v>
      </c>
      <c r="E33" s="13" t="s">
        <v>1813</v>
      </c>
      <c r="F33" s="14" t="s">
        <v>1821</v>
      </c>
      <c r="G33" s="13"/>
      <c r="H33" s="13"/>
      <c r="I33" s="13">
        <v>1</v>
      </c>
      <c r="J33" s="14"/>
      <c r="K33" s="14"/>
      <c r="L33" s="13">
        <v>3</v>
      </c>
      <c r="M33" s="13"/>
      <c r="N33" s="13"/>
      <c r="O33" s="14" t="s">
        <v>71</v>
      </c>
      <c r="P33" s="14" t="s">
        <v>114</v>
      </c>
      <c r="Q33" s="14" t="s">
        <v>661</v>
      </c>
      <c r="R33" s="14">
        <v>4</v>
      </c>
      <c r="S33" s="14">
        <v>4</v>
      </c>
      <c r="T33" s="34">
        <v>2</v>
      </c>
      <c r="U33" s="14" t="s">
        <v>21</v>
      </c>
      <c r="V33" s="14">
        <f t="shared" si="4"/>
        <v>0.01</v>
      </c>
      <c r="W33" s="14">
        <f t="shared" si="5"/>
        <v>1664.9999999999998</v>
      </c>
      <c r="X33" s="17" t="s">
        <v>1731</v>
      </c>
      <c r="Y33" s="17"/>
      <c r="Z33" s="17"/>
      <c r="AA33" s="18">
        <v>96.41</v>
      </c>
      <c r="AB33" s="13"/>
      <c r="AC33" s="13"/>
      <c r="AD33" s="13"/>
      <c r="AE33" s="13"/>
      <c r="AF33" s="13"/>
      <c r="AG33" s="13"/>
      <c r="AH33" s="13"/>
      <c r="AI33" s="19"/>
      <c r="AJ33" s="14"/>
      <c r="AK33" s="13"/>
      <c r="AL33" s="37"/>
      <c r="AM33" s="37" t="s">
        <v>1814</v>
      </c>
      <c r="AN33" s="13" t="s">
        <v>371</v>
      </c>
      <c r="AO33" s="35">
        <v>44783</v>
      </c>
      <c r="AP33" s="20">
        <v>96.421999999999997</v>
      </c>
      <c r="AQ33" s="20">
        <f t="shared" si="9"/>
        <v>1.2000000000000455E-2</v>
      </c>
      <c r="AR33" s="97">
        <f t="shared" si="10"/>
        <v>79.920000000003014</v>
      </c>
      <c r="AS33" s="21">
        <f t="shared" si="11"/>
        <v>19.980000000000754</v>
      </c>
      <c r="AT33" s="22" t="s">
        <v>72</v>
      </c>
      <c r="AU33" s="17" t="s">
        <v>1815</v>
      </c>
      <c r="AV33" s="13"/>
      <c r="AW33" s="13"/>
      <c r="AX33" s="13"/>
      <c r="AY33" s="13"/>
      <c r="AZ33" s="13"/>
    </row>
    <row r="34" spans="1:52" ht="13.15">
      <c r="A34" s="12">
        <v>44784</v>
      </c>
      <c r="B34" s="13"/>
      <c r="C34" s="13" t="s">
        <v>69</v>
      </c>
      <c r="D34" s="17"/>
      <c r="E34" s="13"/>
      <c r="F34" s="14" t="s">
        <v>1752</v>
      </c>
      <c r="G34" s="13"/>
      <c r="H34" s="13"/>
      <c r="I34" s="13"/>
      <c r="J34" s="14"/>
      <c r="K34" s="14"/>
      <c r="L34" s="13"/>
      <c r="M34" s="13">
        <v>3</v>
      </c>
      <c r="N34" s="13"/>
      <c r="O34" s="14" t="s">
        <v>71</v>
      </c>
      <c r="P34" s="14" t="s">
        <v>72</v>
      </c>
      <c r="Q34" s="14" t="s">
        <v>661</v>
      </c>
      <c r="R34" s="14">
        <v>10</v>
      </c>
      <c r="S34" s="14">
        <v>10</v>
      </c>
      <c r="T34" s="34">
        <v>4</v>
      </c>
      <c r="U34" s="14" t="s">
        <v>21</v>
      </c>
      <c r="V34" s="14">
        <f t="shared" si="4"/>
        <v>0.01</v>
      </c>
      <c r="W34" s="14">
        <f t="shared" si="5"/>
        <v>1664.9999999999998</v>
      </c>
      <c r="X34" s="13" t="s">
        <v>1822</v>
      </c>
      <c r="Y34" s="17"/>
      <c r="Z34" s="17"/>
      <c r="AA34" s="18">
        <v>96.299000000000007</v>
      </c>
      <c r="AB34" s="13"/>
      <c r="AC34" s="13"/>
      <c r="AD34" s="13"/>
      <c r="AE34" s="13"/>
      <c r="AF34" s="13" t="s">
        <v>1823</v>
      </c>
      <c r="AG34" s="13"/>
      <c r="AH34" s="13"/>
      <c r="AI34" s="19"/>
      <c r="AJ34" s="14"/>
      <c r="AK34" s="13" t="s">
        <v>1824</v>
      </c>
      <c r="AL34" s="13"/>
      <c r="AM34" s="13" t="s">
        <v>1825</v>
      </c>
      <c r="AN34" s="13" t="s">
        <v>82</v>
      </c>
      <c r="AO34" s="13"/>
      <c r="AP34" s="20">
        <v>96.24</v>
      </c>
      <c r="AQ34" s="20">
        <f t="shared" si="9"/>
        <v>-5.900000000001171E-2</v>
      </c>
      <c r="AR34" s="97">
        <f t="shared" si="10"/>
        <v>-982.35000000019477</v>
      </c>
      <c r="AS34" s="21">
        <f t="shared" si="11"/>
        <v>-98.235000000019483</v>
      </c>
      <c r="AT34" s="22" t="s">
        <v>206</v>
      </c>
      <c r="AU34" s="17" t="s">
        <v>1826</v>
      </c>
      <c r="AV34" s="17" t="s">
        <v>1827</v>
      </c>
      <c r="AW34" s="99" t="s">
        <v>1828</v>
      </c>
      <c r="AX34" s="13"/>
      <c r="AY34" s="13"/>
      <c r="AZ34" s="13"/>
    </row>
    <row r="35" spans="1:52" ht="13.15">
      <c r="A35" s="12">
        <v>44784</v>
      </c>
      <c r="B35" s="13"/>
      <c r="C35" s="13" t="s">
        <v>69</v>
      </c>
      <c r="D35" s="17"/>
      <c r="E35" s="13"/>
      <c r="F35" s="14" t="s">
        <v>1750</v>
      </c>
      <c r="G35" s="13"/>
      <c r="H35" s="13"/>
      <c r="I35" s="13"/>
      <c r="J35" s="14"/>
      <c r="K35" s="14"/>
      <c r="L35" s="13"/>
      <c r="M35" s="13">
        <v>3</v>
      </c>
      <c r="N35" s="13"/>
      <c r="O35" s="14" t="s">
        <v>71</v>
      </c>
      <c r="P35" s="14" t="s">
        <v>72</v>
      </c>
      <c r="Q35" s="14" t="s">
        <v>661</v>
      </c>
      <c r="R35" s="14">
        <v>2</v>
      </c>
      <c r="S35" s="14">
        <v>2</v>
      </c>
      <c r="T35" s="34">
        <v>1</v>
      </c>
      <c r="U35" s="14" t="s">
        <v>21</v>
      </c>
      <c r="V35" s="14">
        <f t="shared" si="4"/>
        <v>0.01</v>
      </c>
      <c r="W35" s="14">
        <f t="shared" si="5"/>
        <v>1664.9999999999998</v>
      </c>
      <c r="X35" s="13" t="s">
        <v>1822</v>
      </c>
      <c r="Y35" s="17"/>
      <c r="Z35" s="17"/>
      <c r="AA35" s="18">
        <v>97.38</v>
      </c>
      <c r="AB35" s="13"/>
      <c r="AC35" s="13"/>
      <c r="AD35" s="13"/>
      <c r="AE35" s="13"/>
      <c r="AF35" s="13" t="s">
        <v>1823</v>
      </c>
      <c r="AG35" s="13"/>
      <c r="AH35" s="13"/>
      <c r="AI35" s="19"/>
      <c r="AJ35" s="14"/>
      <c r="AK35" s="13" t="s">
        <v>1829</v>
      </c>
      <c r="AL35" s="13"/>
      <c r="AM35" s="13" t="s">
        <v>1825</v>
      </c>
      <c r="AN35" s="13" t="s">
        <v>82</v>
      </c>
      <c r="AO35" s="13"/>
      <c r="AP35" s="20">
        <v>97.33</v>
      </c>
      <c r="AQ35" s="20">
        <f t="shared" si="9"/>
        <v>-4.9999999999997158E-2</v>
      </c>
      <c r="AR35" s="97">
        <f t="shared" si="10"/>
        <v>-166.49999999999051</v>
      </c>
      <c r="AS35" s="21">
        <f t="shared" si="11"/>
        <v>-83.249999999995254</v>
      </c>
      <c r="AT35" s="22" t="s">
        <v>206</v>
      </c>
      <c r="AU35" s="17" t="s">
        <v>1830</v>
      </c>
      <c r="AV35" s="17" t="s">
        <v>1827</v>
      </c>
      <c r="AW35" s="13" t="s">
        <v>1831</v>
      </c>
      <c r="AX35" s="13"/>
      <c r="AY35" s="13"/>
      <c r="AZ35" s="13"/>
    </row>
    <row r="36" spans="1:52" ht="13.15">
      <c r="A36" s="12">
        <v>44784</v>
      </c>
      <c r="B36" s="13"/>
      <c r="C36" s="13" t="s">
        <v>69</v>
      </c>
      <c r="D36" s="17"/>
      <c r="E36" s="13"/>
      <c r="F36" s="14" t="s">
        <v>1753</v>
      </c>
      <c r="G36" s="13"/>
      <c r="H36" s="13"/>
      <c r="I36" s="13"/>
      <c r="J36" s="14"/>
      <c r="K36" s="14"/>
      <c r="L36" s="13"/>
      <c r="M36" s="13">
        <v>3</v>
      </c>
      <c r="N36" s="13"/>
      <c r="O36" s="14" t="s">
        <v>71</v>
      </c>
      <c r="P36" s="14" t="s">
        <v>72</v>
      </c>
      <c r="Q36" s="14" t="s">
        <v>661</v>
      </c>
      <c r="R36" s="14">
        <v>10</v>
      </c>
      <c r="S36" s="14">
        <v>10</v>
      </c>
      <c r="T36" s="34">
        <v>3</v>
      </c>
      <c r="U36" s="14" t="s">
        <v>21</v>
      </c>
      <c r="V36" s="14">
        <f t="shared" si="4"/>
        <v>0.01</v>
      </c>
      <c r="W36" s="14">
        <f t="shared" si="5"/>
        <v>1664.9999999999998</v>
      </c>
      <c r="X36" s="13" t="s">
        <v>1822</v>
      </c>
      <c r="Y36" s="17"/>
      <c r="Z36" s="17"/>
      <c r="AA36" s="18">
        <v>96.284999999999997</v>
      </c>
      <c r="AB36" s="13"/>
      <c r="AC36" s="13"/>
      <c r="AD36" s="13"/>
      <c r="AE36" s="13"/>
      <c r="AF36" s="13">
        <v>96.33</v>
      </c>
      <c r="AG36" s="13"/>
      <c r="AH36" s="13"/>
      <c r="AI36" s="19"/>
      <c r="AJ36" s="14"/>
      <c r="AK36" s="13" t="s">
        <v>1832</v>
      </c>
      <c r="AL36" s="13"/>
      <c r="AM36" s="13" t="s">
        <v>1825</v>
      </c>
      <c r="AN36" s="13" t="s">
        <v>82</v>
      </c>
      <c r="AO36" s="13"/>
      <c r="AP36" s="20">
        <v>96.21</v>
      </c>
      <c r="AQ36" s="20">
        <f t="shared" si="9"/>
        <v>-7.5000000000002842E-2</v>
      </c>
      <c r="AR36" s="97">
        <f t="shared" si="10"/>
        <v>-1248.7500000000473</v>
      </c>
      <c r="AS36" s="21">
        <f t="shared" si="11"/>
        <v>-124.87500000000472</v>
      </c>
      <c r="AT36" s="22" t="s">
        <v>206</v>
      </c>
      <c r="AU36" s="17" t="s">
        <v>1833</v>
      </c>
      <c r="AV36" s="98" t="s">
        <v>1827</v>
      </c>
      <c r="AW36" s="13"/>
      <c r="AX36" s="13"/>
      <c r="AY36" s="13"/>
      <c r="AZ36" s="13"/>
    </row>
    <row r="37" spans="1:52" ht="13.15">
      <c r="A37" s="12">
        <v>44784</v>
      </c>
      <c r="B37" s="13"/>
      <c r="C37" s="13" t="s">
        <v>69</v>
      </c>
      <c r="D37" s="17"/>
      <c r="E37" s="13"/>
      <c r="F37" s="14" t="s">
        <v>1743</v>
      </c>
      <c r="G37" s="13"/>
      <c r="H37" s="13"/>
      <c r="I37" s="13"/>
      <c r="J37" s="14"/>
      <c r="K37" s="14"/>
      <c r="L37" s="13"/>
      <c r="M37" s="13">
        <v>3</v>
      </c>
      <c r="N37" s="13"/>
      <c r="O37" s="14" t="s">
        <v>71</v>
      </c>
      <c r="P37" s="14" t="s">
        <v>72</v>
      </c>
      <c r="Q37" s="14" t="s">
        <v>661</v>
      </c>
      <c r="R37" s="14">
        <v>3</v>
      </c>
      <c r="S37" s="14">
        <v>3</v>
      </c>
      <c r="T37" s="34">
        <v>1</v>
      </c>
      <c r="U37" s="14" t="s">
        <v>21</v>
      </c>
      <c r="V37" s="14">
        <f t="shared" si="4"/>
        <v>0.01</v>
      </c>
      <c r="W37" s="14">
        <f t="shared" si="5"/>
        <v>1664.9999999999998</v>
      </c>
      <c r="X37" s="13" t="s">
        <v>1822</v>
      </c>
      <c r="Y37" s="17"/>
      <c r="Z37" s="17"/>
      <c r="AA37" s="18">
        <v>96.53</v>
      </c>
      <c r="AB37" s="13"/>
      <c r="AC37" s="13"/>
      <c r="AD37" s="13"/>
      <c r="AE37" s="13"/>
      <c r="AF37" s="13" t="s">
        <v>1823</v>
      </c>
      <c r="AG37" s="13"/>
      <c r="AH37" s="13"/>
      <c r="AI37" s="19"/>
      <c r="AJ37" s="14"/>
      <c r="AK37" s="13" t="s">
        <v>1834</v>
      </c>
      <c r="AL37" s="13"/>
      <c r="AM37" s="13" t="s">
        <v>1825</v>
      </c>
      <c r="AN37" s="13" t="s">
        <v>82</v>
      </c>
      <c r="AO37" s="13"/>
      <c r="AP37" s="20">
        <v>96.44</v>
      </c>
      <c r="AQ37" s="20">
        <f t="shared" si="9"/>
        <v>-9.0000000000003411E-2</v>
      </c>
      <c r="AR37" s="97">
        <f t="shared" si="10"/>
        <v>-449.55000000001695</v>
      </c>
      <c r="AS37" s="21">
        <f t="shared" si="11"/>
        <v>-149.85000000000565</v>
      </c>
      <c r="AT37" s="22" t="s">
        <v>206</v>
      </c>
      <c r="AU37" s="17" t="s">
        <v>1833</v>
      </c>
      <c r="AV37" s="98" t="s">
        <v>1827</v>
      </c>
      <c r="AW37" s="13"/>
      <c r="AX37" s="13"/>
      <c r="AY37" s="13"/>
      <c r="AZ37" s="13"/>
    </row>
    <row r="38" spans="1:52" ht="13.15">
      <c r="A38" s="12">
        <v>44784</v>
      </c>
      <c r="B38" s="13"/>
      <c r="C38" s="13" t="s">
        <v>69</v>
      </c>
      <c r="D38" s="17"/>
      <c r="E38" s="13"/>
      <c r="F38" s="14" t="s">
        <v>1752</v>
      </c>
      <c r="G38" s="13"/>
      <c r="H38" s="13"/>
      <c r="I38" s="13"/>
      <c r="J38" s="14"/>
      <c r="K38" s="14"/>
      <c r="L38" s="13"/>
      <c r="M38" s="13"/>
      <c r="N38" s="13"/>
      <c r="O38" s="14" t="s">
        <v>71</v>
      </c>
      <c r="P38" s="14" t="s">
        <v>72</v>
      </c>
      <c r="Q38" s="14" t="s">
        <v>661</v>
      </c>
      <c r="R38" s="14">
        <v>10</v>
      </c>
      <c r="S38" s="14">
        <v>10</v>
      </c>
      <c r="T38" s="14">
        <v>10</v>
      </c>
      <c r="U38" s="14" t="s">
        <v>21</v>
      </c>
      <c r="V38" s="14">
        <f t="shared" si="4"/>
        <v>0.01</v>
      </c>
      <c r="W38" s="14">
        <f t="shared" si="5"/>
        <v>1664.9999999999998</v>
      </c>
      <c r="X38" s="17"/>
      <c r="Y38" s="17" t="s">
        <v>1835</v>
      </c>
      <c r="Z38" s="17"/>
      <c r="AA38" s="18">
        <v>96.24</v>
      </c>
      <c r="AB38" s="98"/>
      <c r="AC38" s="98" t="s">
        <v>1836</v>
      </c>
      <c r="AD38" s="13"/>
      <c r="AE38" s="13"/>
      <c r="AF38" s="13">
        <v>96.3</v>
      </c>
      <c r="AG38" s="13"/>
      <c r="AH38" s="13"/>
      <c r="AI38" s="19"/>
      <c r="AJ38" s="14"/>
      <c r="AK38" s="13"/>
      <c r="AL38" s="13"/>
      <c r="AM38" s="13"/>
      <c r="AN38" s="13"/>
      <c r="AO38" s="13"/>
      <c r="AP38" s="20">
        <v>96.19</v>
      </c>
      <c r="AQ38" s="20">
        <f t="shared" si="9"/>
        <v>-4.9999999999997158E-2</v>
      </c>
      <c r="AR38" s="97">
        <f t="shared" si="10"/>
        <v>-832.49999999995248</v>
      </c>
      <c r="AS38" s="21">
        <f t="shared" si="11"/>
        <v>-83.249999999995254</v>
      </c>
      <c r="AT38" s="22" t="s">
        <v>206</v>
      </c>
      <c r="AU38" s="17" t="s">
        <v>1790</v>
      </c>
      <c r="AV38" s="13"/>
      <c r="AW38" s="13"/>
      <c r="AX38" s="13"/>
      <c r="AY38" s="13"/>
      <c r="AZ38" s="13"/>
    </row>
    <row r="39" spans="1:52" ht="13.15">
      <c r="A39" s="12">
        <v>44784</v>
      </c>
      <c r="B39" s="13"/>
      <c r="C39" s="13" t="s">
        <v>69</v>
      </c>
      <c r="D39" s="17"/>
      <c r="E39" s="13"/>
      <c r="F39" s="14" t="s">
        <v>1753</v>
      </c>
      <c r="G39" s="13"/>
      <c r="H39" s="13"/>
      <c r="I39" s="13"/>
      <c r="J39" s="14"/>
      <c r="K39" s="14"/>
      <c r="L39" s="13"/>
      <c r="M39" s="13">
        <v>2</v>
      </c>
      <c r="N39" s="13"/>
      <c r="O39" s="14" t="s">
        <v>71</v>
      </c>
      <c r="P39" s="14" t="s">
        <v>72</v>
      </c>
      <c r="Q39" s="14" t="s">
        <v>661</v>
      </c>
      <c r="R39" s="14">
        <v>10</v>
      </c>
      <c r="S39" s="14"/>
      <c r="T39" s="14">
        <v>10</v>
      </c>
      <c r="U39" s="14" t="s">
        <v>21</v>
      </c>
      <c r="V39" s="14">
        <f t="shared" si="4"/>
        <v>0.01</v>
      </c>
      <c r="W39" s="14">
        <f t="shared" si="5"/>
        <v>1664.9999999999998</v>
      </c>
      <c r="X39" s="17"/>
      <c r="Y39" s="17" t="s">
        <v>1835</v>
      </c>
      <c r="Z39" s="17"/>
      <c r="AA39" s="18">
        <v>96.21</v>
      </c>
      <c r="AB39" s="13"/>
      <c r="AC39" s="13" t="s">
        <v>1837</v>
      </c>
      <c r="AD39" s="13"/>
      <c r="AE39" s="13">
        <v>96.45</v>
      </c>
      <c r="AF39" s="13">
        <v>96.33</v>
      </c>
      <c r="AG39" s="13"/>
      <c r="AH39" s="13"/>
      <c r="AI39" s="19"/>
      <c r="AJ39" s="14"/>
      <c r="AK39" s="13"/>
      <c r="AL39" s="13"/>
      <c r="AM39" s="13"/>
      <c r="AN39" s="13"/>
      <c r="AO39" s="13"/>
      <c r="AP39" s="20">
        <v>96.15</v>
      </c>
      <c r="AQ39" s="20">
        <f t="shared" si="9"/>
        <v>-5.9999999999988063E-2</v>
      </c>
      <c r="AR39" s="97">
        <f t="shared" si="10"/>
        <v>-998.99999999980105</v>
      </c>
      <c r="AS39" s="21">
        <f t="shared" si="11"/>
        <v>-99.89999999998011</v>
      </c>
      <c r="AT39" s="22" t="s">
        <v>206</v>
      </c>
      <c r="AU39" s="17" t="s">
        <v>1790</v>
      </c>
      <c r="AV39" s="17" t="s">
        <v>1838</v>
      </c>
      <c r="AW39" s="13"/>
      <c r="AX39" s="13"/>
      <c r="AY39" s="13"/>
      <c r="AZ39" s="13"/>
    </row>
    <row r="40" spans="1:52" ht="13.15">
      <c r="A40" s="12">
        <v>44784</v>
      </c>
      <c r="B40" s="13"/>
      <c r="C40" s="13" t="s">
        <v>69</v>
      </c>
      <c r="D40" s="17"/>
      <c r="E40" s="13"/>
      <c r="F40" s="14" t="s">
        <v>1752</v>
      </c>
      <c r="G40" s="13"/>
      <c r="H40" s="13"/>
      <c r="I40" s="13"/>
      <c r="J40" s="14"/>
      <c r="K40" s="14"/>
      <c r="L40" s="13"/>
      <c r="M40" s="13"/>
      <c r="N40" s="13">
        <v>2</v>
      </c>
      <c r="O40" s="14" t="s">
        <v>71</v>
      </c>
      <c r="P40" s="14" t="s">
        <v>72</v>
      </c>
      <c r="Q40" s="14" t="s">
        <v>661</v>
      </c>
      <c r="R40" s="14">
        <v>1</v>
      </c>
      <c r="S40" s="14">
        <v>1</v>
      </c>
      <c r="T40" s="14">
        <v>1</v>
      </c>
      <c r="U40" s="14" t="s">
        <v>73</v>
      </c>
      <c r="V40" s="14">
        <f t="shared" si="4"/>
        <v>0.01</v>
      </c>
      <c r="W40" s="14">
        <f t="shared" si="5"/>
        <v>1664.9999999999998</v>
      </c>
      <c r="X40" s="13" t="s">
        <v>1839</v>
      </c>
      <c r="Y40" s="17"/>
      <c r="Z40" s="17"/>
      <c r="AA40" s="18">
        <v>96.22</v>
      </c>
      <c r="AB40" s="98"/>
      <c r="AC40" s="98" t="s">
        <v>1840</v>
      </c>
      <c r="AD40" s="13"/>
      <c r="AE40" s="13">
        <v>96.2</v>
      </c>
      <c r="AF40" s="13" t="s">
        <v>1841</v>
      </c>
      <c r="AG40" s="13"/>
      <c r="AH40" s="13"/>
      <c r="AI40" s="19"/>
      <c r="AJ40" s="14"/>
      <c r="AK40" s="13"/>
      <c r="AL40" s="13"/>
      <c r="AM40" s="13" t="s">
        <v>1842</v>
      </c>
      <c r="AN40" s="13" t="s">
        <v>82</v>
      </c>
      <c r="AO40" s="13"/>
      <c r="AP40" s="20">
        <v>96.24</v>
      </c>
      <c r="AQ40" s="20">
        <f t="shared" si="9"/>
        <v>-1.9999999999996021E-2</v>
      </c>
      <c r="AR40" s="97">
        <f t="shared" si="10"/>
        <v>-33.299999999993368</v>
      </c>
      <c r="AS40" s="21">
        <f t="shared" si="11"/>
        <v>-33.299999999993368</v>
      </c>
      <c r="AT40" s="22" t="s">
        <v>206</v>
      </c>
      <c r="AU40" s="17" t="s">
        <v>1843</v>
      </c>
      <c r="AV40" s="17" t="s">
        <v>1844</v>
      </c>
      <c r="AW40" s="13"/>
      <c r="AX40" s="13"/>
      <c r="AY40" s="13"/>
      <c r="AZ40" s="13"/>
    </row>
    <row r="41" spans="1:52" ht="13.15">
      <c r="A41" s="12">
        <v>44784</v>
      </c>
      <c r="B41" s="13"/>
      <c r="C41" s="13" t="s">
        <v>69</v>
      </c>
      <c r="D41" s="17"/>
      <c r="E41" s="13"/>
      <c r="F41" s="34" t="s">
        <v>1845</v>
      </c>
      <c r="G41" s="13"/>
      <c r="H41" s="13"/>
      <c r="I41" s="13"/>
      <c r="J41" s="14"/>
      <c r="K41" s="14"/>
      <c r="L41" s="13"/>
      <c r="M41" s="13">
        <v>2</v>
      </c>
      <c r="N41" s="13"/>
      <c r="O41" s="14" t="s">
        <v>71</v>
      </c>
      <c r="P41" s="14"/>
      <c r="Q41" s="14"/>
      <c r="R41" s="14">
        <v>4</v>
      </c>
      <c r="S41" s="14">
        <v>4</v>
      </c>
      <c r="T41" s="14"/>
      <c r="U41" s="14" t="s">
        <v>73</v>
      </c>
      <c r="V41" s="14">
        <f t="shared" si="4"/>
        <v>0.01</v>
      </c>
      <c r="W41" s="14">
        <f t="shared" si="5"/>
        <v>1664.9999999999998</v>
      </c>
      <c r="X41" s="17" t="s">
        <v>1846</v>
      </c>
      <c r="Y41" s="17"/>
      <c r="Z41" s="17"/>
      <c r="AA41" s="18">
        <v>-0.05</v>
      </c>
      <c r="AB41" s="13"/>
      <c r="AC41" s="13"/>
      <c r="AD41" s="13"/>
      <c r="AE41" s="13" t="s">
        <v>1847</v>
      </c>
      <c r="AF41" s="13"/>
      <c r="AG41" s="13"/>
      <c r="AH41" s="13"/>
      <c r="AI41" s="19"/>
      <c r="AJ41" s="14"/>
      <c r="AK41" s="13" t="s">
        <v>1848</v>
      </c>
      <c r="AL41" s="13"/>
      <c r="AM41" s="13"/>
      <c r="AN41" s="13"/>
      <c r="AO41" s="13"/>
      <c r="AP41" s="20"/>
      <c r="AQ41" s="13">
        <f t="shared" si="9"/>
        <v>0</v>
      </c>
      <c r="AR41" s="97">
        <f t="shared" si="10"/>
        <v>0</v>
      </c>
      <c r="AS41" s="21">
        <f t="shared" si="11"/>
        <v>0</v>
      </c>
      <c r="AT41" s="22"/>
      <c r="AU41" s="13" t="s">
        <v>1849</v>
      </c>
      <c r="AV41" s="13"/>
      <c r="AW41" s="13"/>
      <c r="AX41" s="13"/>
      <c r="AY41" s="13"/>
      <c r="AZ41" s="13"/>
    </row>
    <row r="42" spans="1:52" ht="13.15">
      <c r="A42" s="12"/>
      <c r="B42" s="13"/>
      <c r="C42" s="13"/>
      <c r="D42" s="17"/>
      <c r="E42" s="13"/>
      <c r="F42" s="100">
        <v>44643</v>
      </c>
      <c r="G42" s="13"/>
      <c r="H42" s="13"/>
      <c r="I42" s="13"/>
      <c r="J42" s="14"/>
      <c r="K42" s="14"/>
      <c r="L42" s="13"/>
      <c r="M42" s="13"/>
      <c r="N42" s="13"/>
      <c r="O42" s="14" t="s">
        <v>71</v>
      </c>
      <c r="P42" s="14" t="s">
        <v>72</v>
      </c>
      <c r="Q42" s="14" t="s">
        <v>661</v>
      </c>
      <c r="R42" s="14">
        <v>2</v>
      </c>
      <c r="S42" s="14">
        <v>2</v>
      </c>
      <c r="T42" s="14"/>
      <c r="U42" s="14" t="s">
        <v>73</v>
      </c>
      <c r="V42" s="14">
        <f t="shared" si="4"/>
        <v>0.01</v>
      </c>
      <c r="W42" s="14">
        <f t="shared" si="5"/>
        <v>1664.9999999999998</v>
      </c>
      <c r="X42" s="17"/>
      <c r="Y42" s="17"/>
      <c r="Z42" s="17"/>
      <c r="AA42" s="18">
        <v>96.24</v>
      </c>
      <c r="AB42" s="13"/>
      <c r="AC42" s="13" t="s">
        <v>1850</v>
      </c>
      <c r="AD42" s="13"/>
      <c r="AE42" s="13"/>
      <c r="AF42" s="13"/>
      <c r="AG42" s="13"/>
      <c r="AH42" s="13"/>
      <c r="AI42" s="19"/>
      <c r="AJ42" s="14"/>
      <c r="AK42" s="13"/>
      <c r="AL42" s="13"/>
      <c r="AM42" s="13" t="s">
        <v>1851</v>
      </c>
      <c r="AN42" s="13" t="s">
        <v>72</v>
      </c>
      <c r="AO42" s="35">
        <v>44790</v>
      </c>
      <c r="AP42" s="20">
        <v>96.29</v>
      </c>
      <c r="AQ42" s="20">
        <f t="shared" si="9"/>
        <v>-5.0000000000011369E-2</v>
      </c>
      <c r="AR42" s="97">
        <f t="shared" si="10"/>
        <v>-166.50000000003783</v>
      </c>
      <c r="AS42" s="21">
        <f t="shared" si="11"/>
        <v>-83.250000000018915</v>
      </c>
      <c r="AT42" s="22" t="s">
        <v>206</v>
      </c>
      <c r="AU42" s="13"/>
      <c r="AV42" s="13"/>
      <c r="AW42" s="13"/>
      <c r="AX42" s="13"/>
      <c r="AY42" s="13"/>
      <c r="AZ42" s="13"/>
    </row>
    <row r="43" spans="1:52" ht="13.15">
      <c r="A43" s="12"/>
      <c r="B43" s="13"/>
      <c r="C43" s="13"/>
      <c r="D43" s="17"/>
      <c r="E43" s="13"/>
      <c r="F43" s="100">
        <v>44827</v>
      </c>
      <c r="G43" s="13"/>
      <c r="H43" s="13"/>
      <c r="I43" s="13"/>
      <c r="J43" s="14"/>
      <c r="K43" s="14"/>
      <c r="L43" s="13"/>
      <c r="M43" s="13"/>
      <c r="N43" s="13"/>
      <c r="O43" s="14" t="s">
        <v>71</v>
      </c>
      <c r="P43" s="14"/>
      <c r="Q43" s="14"/>
      <c r="R43" s="14">
        <v>2</v>
      </c>
      <c r="S43" s="14">
        <v>2</v>
      </c>
      <c r="T43" s="14"/>
      <c r="U43" s="14"/>
      <c r="V43" s="14">
        <f t="shared" si="4"/>
        <v>0.01</v>
      </c>
      <c r="W43" s="14">
        <f t="shared" si="5"/>
        <v>1664.9999999999998</v>
      </c>
      <c r="X43" s="17"/>
      <c r="Y43" s="17"/>
      <c r="Z43" s="17"/>
      <c r="AA43" s="18">
        <v>96.29</v>
      </c>
      <c r="AB43" s="13"/>
      <c r="AC43" s="13"/>
      <c r="AD43" s="13"/>
      <c r="AE43" s="13"/>
      <c r="AF43" s="13"/>
      <c r="AG43" s="13"/>
      <c r="AH43" s="13"/>
      <c r="AI43" s="19"/>
      <c r="AJ43" s="14"/>
      <c r="AK43" s="13"/>
      <c r="AL43" s="13"/>
      <c r="AM43" s="13"/>
      <c r="AN43" s="13"/>
      <c r="AO43" s="13"/>
      <c r="AP43" s="20"/>
      <c r="AQ43" s="13"/>
      <c r="AR43" s="97"/>
      <c r="AS43" s="21"/>
      <c r="AT43" s="22"/>
      <c r="AU43" s="13"/>
      <c r="AV43" s="13"/>
      <c r="AW43" s="13"/>
      <c r="AX43" s="13"/>
      <c r="AY43" s="13"/>
      <c r="AZ43" s="13"/>
    </row>
    <row r="44" spans="1:52" ht="13.15">
      <c r="A44" s="12">
        <v>44785</v>
      </c>
      <c r="B44" s="13"/>
      <c r="C44" s="13" t="s">
        <v>88</v>
      </c>
      <c r="D44" s="17"/>
      <c r="E44" s="13"/>
      <c r="F44" s="14" t="s">
        <v>1852</v>
      </c>
      <c r="G44" s="13"/>
      <c r="H44" s="13"/>
      <c r="I44" s="13"/>
      <c r="J44" s="14"/>
      <c r="K44" s="14"/>
      <c r="L44" s="13">
        <v>1</v>
      </c>
      <c r="M44" s="13"/>
      <c r="N44" s="13">
        <v>3</v>
      </c>
      <c r="O44" s="14" t="s">
        <v>71</v>
      </c>
      <c r="P44" s="14" t="s">
        <v>114</v>
      </c>
      <c r="Q44" s="14" t="s">
        <v>661</v>
      </c>
      <c r="R44" s="14">
        <v>3</v>
      </c>
      <c r="S44" s="14">
        <v>3</v>
      </c>
      <c r="T44" s="14">
        <v>2</v>
      </c>
      <c r="U44" s="14" t="s">
        <v>73</v>
      </c>
      <c r="V44" s="14">
        <f t="shared" si="4"/>
        <v>0.01</v>
      </c>
      <c r="W44" s="14">
        <f t="shared" si="5"/>
        <v>1664.9999999999998</v>
      </c>
      <c r="X44" s="13" t="s">
        <v>1853</v>
      </c>
      <c r="Y44" s="17"/>
      <c r="Z44" s="17"/>
      <c r="AA44" s="18">
        <v>96.3</v>
      </c>
      <c r="AB44" s="13"/>
      <c r="AC44" s="13" t="s">
        <v>1854</v>
      </c>
      <c r="AD44" s="13"/>
      <c r="AE44" s="13">
        <v>96.25</v>
      </c>
      <c r="AF44" s="13"/>
      <c r="AG44" s="13"/>
      <c r="AH44" s="13"/>
      <c r="AI44" s="19"/>
      <c r="AJ44" s="14"/>
      <c r="AK44" s="13" t="s">
        <v>1825</v>
      </c>
      <c r="AL44" s="13"/>
      <c r="AM44" s="13"/>
      <c r="AN44" s="13" t="s">
        <v>82</v>
      </c>
      <c r="AO44" s="13"/>
      <c r="AP44" s="20">
        <v>96.32</v>
      </c>
      <c r="AQ44" s="20">
        <f t="shared" ref="AQ44:AQ45" si="12">IF(ISBLANK(AP44),,IF(U44="S",AA44-AP44,AP44-AA44))</f>
        <v>-1.9999999999996021E-2</v>
      </c>
      <c r="AR44" s="97">
        <f t="shared" ref="AR44:AR45" si="13">AS44*R44</f>
        <v>-99.89999999998011</v>
      </c>
      <c r="AS44" s="21">
        <f t="shared" ref="AS44:AS45" si="14">IF(ISBLANK(AP44),,(AQ44*W44))</f>
        <v>-33.299999999993368</v>
      </c>
      <c r="AT44" s="22" t="s">
        <v>206</v>
      </c>
      <c r="AU44" s="13" t="s">
        <v>1855</v>
      </c>
      <c r="AV44" s="13" t="s">
        <v>1856</v>
      </c>
      <c r="AW44" s="13" t="s">
        <v>1857</v>
      </c>
      <c r="AX44" s="13"/>
      <c r="AY44" s="13"/>
      <c r="AZ44" s="13"/>
    </row>
    <row r="45" spans="1:52" ht="13.15">
      <c r="A45" s="12">
        <v>44785</v>
      </c>
      <c r="B45" s="13"/>
      <c r="C45" s="13" t="s">
        <v>88</v>
      </c>
      <c r="D45" s="17"/>
      <c r="E45" s="13"/>
      <c r="F45" s="14" t="s">
        <v>1753</v>
      </c>
      <c r="G45" s="13"/>
      <c r="H45" s="13"/>
      <c r="I45" s="13"/>
      <c r="J45" s="14"/>
      <c r="K45" s="14"/>
      <c r="L45" s="13">
        <v>1</v>
      </c>
      <c r="M45" s="13"/>
      <c r="N45" s="13">
        <v>3</v>
      </c>
      <c r="O45" s="14" t="s">
        <v>71</v>
      </c>
      <c r="P45" s="14" t="s">
        <v>72</v>
      </c>
      <c r="Q45" s="14" t="s">
        <v>661</v>
      </c>
      <c r="R45" s="14">
        <v>3</v>
      </c>
      <c r="S45" s="14">
        <v>3</v>
      </c>
      <c r="T45" s="14">
        <v>1</v>
      </c>
      <c r="U45" s="14" t="s">
        <v>73</v>
      </c>
      <c r="V45" s="14">
        <f t="shared" si="4"/>
        <v>0.01</v>
      </c>
      <c r="W45" s="14">
        <f t="shared" si="5"/>
        <v>1664.9999999999998</v>
      </c>
      <c r="X45" s="13" t="s">
        <v>1853</v>
      </c>
      <c r="Y45" s="17"/>
      <c r="Z45" s="17"/>
      <c r="AA45" s="18">
        <v>96.12</v>
      </c>
      <c r="AB45" s="13"/>
      <c r="AC45" s="13" t="s">
        <v>1858</v>
      </c>
      <c r="AD45" s="13"/>
      <c r="AE45" s="13">
        <v>96.09</v>
      </c>
      <c r="AF45" s="13"/>
      <c r="AG45" s="13"/>
      <c r="AH45" s="13"/>
      <c r="AI45" s="19"/>
      <c r="AJ45" s="14"/>
      <c r="AK45" s="13" t="s">
        <v>1825</v>
      </c>
      <c r="AL45" s="13"/>
      <c r="AM45" s="13"/>
      <c r="AN45" s="13" t="s">
        <v>82</v>
      </c>
      <c r="AO45" s="13"/>
      <c r="AP45" s="20">
        <v>96.16</v>
      </c>
      <c r="AQ45" s="20">
        <f t="shared" si="12"/>
        <v>-3.9999999999992042E-2</v>
      </c>
      <c r="AR45" s="97">
        <f t="shared" si="13"/>
        <v>-199.79999999996022</v>
      </c>
      <c r="AS45" s="21">
        <f t="shared" si="14"/>
        <v>-66.599999999986736</v>
      </c>
      <c r="AT45" s="22" t="s">
        <v>206</v>
      </c>
      <c r="AU45" s="13" t="s">
        <v>1855</v>
      </c>
      <c r="AV45" s="13" t="s">
        <v>1790</v>
      </c>
      <c r="AW45" s="13" t="s">
        <v>1857</v>
      </c>
      <c r="AX45" s="13"/>
      <c r="AY45" s="13"/>
      <c r="AZ45" s="13"/>
    </row>
    <row r="46" spans="1:52" ht="13.15">
      <c r="A46" s="12">
        <v>44785</v>
      </c>
      <c r="B46" s="13"/>
      <c r="C46" s="13" t="s">
        <v>88</v>
      </c>
      <c r="D46" s="17"/>
      <c r="E46" s="13"/>
      <c r="F46" s="14"/>
      <c r="G46" s="13"/>
      <c r="H46" s="13"/>
      <c r="I46" s="13"/>
      <c r="J46" s="13"/>
      <c r="K46" s="13"/>
      <c r="L46" s="13"/>
      <c r="M46" s="13"/>
      <c r="N46" s="13"/>
      <c r="O46" s="14"/>
      <c r="P46" s="14"/>
      <c r="Q46" s="14"/>
      <c r="R46" s="14"/>
      <c r="S46" s="14"/>
      <c r="T46" s="14"/>
      <c r="U46" s="14"/>
      <c r="V46" s="14"/>
      <c r="W46" s="14"/>
      <c r="X46" s="17"/>
      <c r="Y46" s="17"/>
      <c r="Z46" s="17"/>
      <c r="AA46" s="18"/>
      <c r="AB46" s="13"/>
      <c r="AC46" s="13"/>
      <c r="AD46" s="13"/>
      <c r="AE46" s="13"/>
      <c r="AF46" s="13"/>
      <c r="AG46" s="13"/>
      <c r="AH46" s="13"/>
      <c r="AI46" s="19"/>
      <c r="AJ46" s="14"/>
      <c r="AK46" s="13"/>
      <c r="AL46" s="13"/>
      <c r="AM46" s="13"/>
      <c r="AN46" s="13"/>
      <c r="AO46" s="13"/>
      <c r="AP46" s="20"/>
      <c r="AQ46" s="13"/>
      <c r="AR46" s="13"/>
      <c r="AS46" s="21"/>
      <c r="AT46" s="22"/>
      <c r="AU46" s="13" t="s">
        <v>1859</v>
      </c>
      <c r="AV46" s="13"/>
      <c r="AW46" s="13"/>
      <c r="AX46" s="13"/>
      <c r="AY46" s="13"/>
      <c r="AZ46" s="13"/>
    </row>
    <row r="47" spans="1:52" ht="13.15">
      <c r="A47" s="12">
        <v>44785</v>
      </c>
      <c r="B47" s="13"/>
      <c r="C47" s="13" t="s">
        <v>88</v>
      </c>
      <c r="D47" s="17"/>
      <c r="E47" s="13"/>
      <c r="F47" s="34" t="s">
        <v>1860</v>
      </c>
      <c r="G47" s="13"/>
      <c r="H47" s="13"/>
      <c r="I47" s="13"/>
      <c r="J47" s="14"/>
      <c r="K47" s="14"/>
      <c r="L47" s="13"/>
      <c r="M47" s="13"/>
      <c r="N47" s="13"/>
      <c r="O47" s="14"/>
      <c r="P47" s="14"/>
      <c r="Q47" s="14"/>
      <c r="R47" s="14">
        <v>4</v>
      </c>
      <c r="S47" s="14"/>
      <c r="T47" s="14"/>
      <c r="U47" s="14"/>
      <c r="V47" s="14">
        <f t="shared" ref="V47:V58" si="15">IF(ISBLANK(O47),,(IF(O47=UPPER("IB"),0.005,0.01)))</f>
        <v>0</v>
      </c>
      <c r="W47" s="14">
        <f t="shared" ref="W47:W58" si="16">IF(ISBLANK(O47),,IF(O47=UPPER("IB"),8.63*200,16.65*100))</f>
        <v>0</v>
      </c>
      <c r="X47" s="17" t="s">
        <v>1846</v>
      </c>
      <c r="Y47" s="17"/>
      <c r="Z47" s="17" t="s">
        <v>1846</v>
      </c>
      <c r="AA47" s="18">
        <v>0.5</v>
      </c>
      <c r="AB47" s="13"/>
      <c r="AC47" s="13"/>
      <c r="AD47" s="13"/>
      <c r="AE47" s="17">
        <v>0.6</v>
      </c>
      <c r="AF47" s="13"/>
      <c r="AG47" s="13"/>
      <c r="AH47" s="13"/>
      <c r="AI47" s="19"/>
      <c r="AJ47" s="14"/>
      <c r="AK47" s="13" t="s">
        <v>405</v>
      </c>
      <c r="AL47" s="13"/>
      <c r="AM47" s="13"/>
      <c r="AN47" s="13"/>
      <c r="AO47" s="13"/>
      <c r="AP47" s="20"/>
      <c r="AQ47" s="13"/>
      <c r="AR47" s="13"/>
      <c r="AS47" s="21"/>
      <c r="AT47" s="22"/>
      <c r="AU47" s="62"/>
      <c r="AV47" s="13"/>
      <c r="AW47" s="13"/>
      <c r="AX47" s="13"/>
      <c r="AY47" s="13"/>
      <c r="AZ47" s="13"/>
    </row>
    <row r="48" spans="1:52" ht="13.15">
      <c r="A48" s="12">
        <v>44785</v>
      </c>
      <c r="B48" s="13"/>
      <c r="C48" s="13" t="s">
        <v>88</v>
      </c>
      <c r="D48" s="17"/>
      <c r="E48" s="13"/>
      <c r="F48" s="100">
        <v>44917</v>
      </c>
      <c r="G48" s="13"/>
      <c r="H48" s="13"/>
      <c r="I48" s="13"/>
      <c r="J48" s="14"/>
      <c r="K48" s="14"/>
      <c r="L48" s="13">
        <v>3</v>
      </c>
      <c r="M48" s="13"/>
      <c r="N48" s="13"/>
      <c r="O48" s="14" t="s">
        <v>71</v>
      </c>
      <c r="P48" s="14" t="s">
        <v>72</v>
      </c>
      <c r="Q48" s="14" t="s">
        <v>661</v>
      </c>
      <c r="R48" s="14">
        <v>1</v>
      </c>
      <c r="S48" s="14">
        <v>1</v>
      </c>
      <c r="T48" s="14"/>
      <c r="U48" s="14" t="s">
        <v>21</v>
      </c>
      <c r="V48" s="14">
        <f t="shared" si="15"/>
        <v>0.01</v>
      </c>
      <c r="W48" s="14">
        <f t="shared" si="16"/>
        <v>1664.9999999999998</v>
      </c>
      <c r="X48" s="17" t="s">
        <v>1731</v>
      </c>
      <c r="Y48" s="17"/>
      <c r="Z48" s="17"/>
      <c r="AA48" s="18">
        <v>96.43</v>
      </c>
      <c r="AB48" s="13"/>
      <c r="AC48" s="13"/>
      <c r="AD48" s="13"/>
      <c r="AE48" s="13"/>
      <c r="AF48" s="13"/>
      <c r="AG48" s="13"/>
      <c r="AH48" s="13"/>
      <c r="AI48" s="19"/>
      <c r="AJ48" s="14"/>
      <c r="AK48" s="13"/>
      <c r="AL48" s="13"/>
      <c r="AM48" s="13" t="s">
        <v>1747</v>
      </c>
      <c r="AN48" s="13" t="s">
        <v>92</v>
      </c>
      <c r="AO48" s="35">
        <v>44790</v>
      </c>
      <c r="AP48" s="62">
        <v>96.64</v>
      </c>
      <c r="AQ48" s="20">
        <f t="shared" ref="AQ48:AQ58" si="17">IF(ISBLANK(AP48),,IF(U48="S",AA48-AP48,AP48-AA48))</f>
        <v>0.20999999999999375</v>
      </c>
      <c r="AR48" s="97">
        <f t="shared" ref="AR48:AR50" si="18">AS48*R48</f>
        <v>349.64999999998952</v>
      </c>
      <c r="AS48" s="21">
        <f t="shared" ref="AS48:AS58" si="19">IF(ISBLANK(AP48),,(AQ48*W48))</f>
        <v>349.64999999998952</v>
      </c>
      <c r="AT48" s="22" t="s">
        <v>72</v>
      </c>
      <c r="AU48" s="13" t="s">
        <v>1861</v>
      </c>
      <c r="AV48" s="13"/>
      <c r="AW48" s="13"/>
      <c r="AX48" s="13"/>
      <c r="AY48" s="13"/>
      <c r="AZ48" s="13"/>
    </row>
    <row r="49" spans="1:52" ht="13.15">
      <c r="A49" s="12"/>
      <c r="B49" s="13"/>
      <c r="C49" s="13"/>
      <c r="D49" s="17"/>
      <c r="E49" s="13"/>
      <c r="F49" s="100">
        <v>44735</v>
      </c>
      <c r="G49" s="13"/>
      <c r="H49" s="13"/>
      <c r="I49" s="13"/>
      <c r="J49" s="14"/>
      <c r="K49" s="14"/>
      <c r="L49" s="13">
        <v>3</v>
      </c>
      <c r="M49" s="13"/>
      <c r="N49" s="13"/>
      <c r="O49" s="14" t="s">
        <v>71</v>
      </c>
      <c r="P49" s="14" t="s">
        <v>72</v>
      </c>
      <c r="Q49" s="14" t="s">
        <v>661</v>
      </c>
      <c r="R49" s="14">
        <v>2</v>
      </c>
      <c r="S49" s="14">
        <v>2</v>
      </c>
      <c r="T49" s="14"/>
      <c r="U49" s="14" t="s">
        <v>73</v>
      </c>
      <c r="V49" s="14">
        <f t="shared" si="15"/>
        <v>0.01</v>
      </c>
      <c r="W49" s="14">
        <f t="shared" si="16"/>
        <v>1664.9999999999998</v>
      </c>
      <c r="X49" s="17" t="s">
        <v>1731</v>
      </c>
      <c r="Y49" s="17"/>
      <c r="Z49" s="17"/>
      <c r="AA49" s="18">
        <v>96.12</v>
      </c>
      <c r="AB49" s="13"/>
      <c r="AC49" s="13"/>
      <c r="AD49" s="13"/>
      <c r="AE49" s="13"/>
      <c r="AF49" s="13"/>
      <c r="AG49" s="13"/>
      <c r="AH49" s="13"/>
      <c r="AI49" s="19"/>
      <c r="AJ49" s="14"/>
      <c r="AK49" s="13"/>
      <c r="AL49" s="13"/>
      <c r="AM49" s="13"/>
      <c r="AN49" s="13" t="s">
        <v>92</v>
      </c>
      <c r="AO49" s="35">
        <v>44790</v>
      </c>
      <c r="AP49" s="20">
        <v>96.29</v>
      </c>
      <c r="AQ49" s="20">
        <f t="shared" si="17"/>
        <v>-0.17000000000000171</v>
      </c>
      <c r="AR49" s="97">
        <f t="shared" si="18"/>
        <v>-566.10000000000559</v>
      </c>
      <c r="AS49" s="21">
        <f t="shared" si="19"/>
        <v>-283.0500000000028</v>
      </c>
      <c r="AT49" s="22" t="s">
        <v>206</v>
      </c>
      <c r="AU49" s="13" t="s">
        <v>1861</v>
      </c>
      <c r="AV49" s="13"/>
      <c r="AW49" s="13"/>
      <c r="AX49" s="13"/>
      <c r="AY49" s="13"/>
      <c r="AZ49" s="13"/>
    </row>
    <row r="50" spans="1:52" ht="13.15">
      <c r="A50" s="12">
        <v>44785</v>
      </c>
      <c r="B50" s="13"/>
      <c r="C50" s="13" t="s">
        <v>88</v>
      </c>
      <c r="D50" s="17"/>
      <c r="E50" s="13"/>
      <c r="F50" s="100">
        <v>44918</v>
      </c>
      <c r="G50" s="13"/>
      <c r="H50" s="13"/>
      <c r="I50" s="13"/>
      <c r="J50" s="14"/>
      <c r="K50" s="14"/>
      <c r="L50" s="13">
        <v>3</v>
      </c>
      <c r="M50" s="13"/>
      <c r="N50" s="13"/>
      <c r="O50" s="14" t="s">
        <v>71</v>
      </c>
      <c r="P50" s="14" t="s">
        <v>114</v>
      </c>
      <c r="Q50" s="14" t="s">
        <v>661</v>
      </c>
      <c r="R50" s="14">
        <v>1</v>
      </c>
      <c r="S50" s="14">
        <v>1</v>
      </c>
      <c r="T50" s="14"/>
      <c r="U50" s="14" t="s">
        <v>21</v>
      </c>
      <c r="V50" s="14">
        <f t="shared" si="15"/>
        <v>0.01</v>
      </c>
      <c r="W50" s="14">
        <f t="shared" si="16"/>
        <v>1664.9999999999998</v>
      </c>
      <c r="X50" s="17" t="s">
        <v>1731</v>
      </c>
      <c r="Y50" s="17"/>
      <c r="Z50" s="17"/>
      <c r="AA50" s="18">
        <v>96.31</v>
      </c>
      <c r="AB50" s="13"/>
      <c r="AC50" s="13"/>
      <c r="AD50" s="13"/>
      <c r="AE50" s="13"/>
      <c r="AF50" s="13"/>
      <c r="AG50" s="13"/>
      <c r="AH50" s="13"/>
      <c r="AI50" s="19"/>
      <c r="AJ50" s="14"/>
      <c r="AK50" s="13"/>
      <c r="AL50" s="13"/>
      <c r="AM50" s="13"/>
      <c r="AN50" s="13" t="s">
        <v>92</v>
      </c>
      <c r="AO50" s="35">
        <v>44790</v>
      </c>
      <c r="AP50" s="20">
        <v>96.45</v>
      </c>
      <c r="AQ50" s="20">
        <f t="shared" si="17"/>
        <v>0.14000000000000057</v>
      </c>
      <c r="AR50" s="97">
        <f t="shared" si="18"/>
        <v>233.1000000000009</v>
      </c>
      <c r="AS50" s="21">
        <f t="shared" si="19"/>
        <v>233.1000000000009</v>
      </c>
      <c r="AT50" s="22" t="s">
        <v>72</v>
      </c>
      <c r="AU50" s="13" t="s">
        <v>1861</v>
      </c>
      <c r="AV50" s="13"/>
      <c r="AW50" s="13"/>
      <c r="AX50" s="13"/>
      <c r="AY50" s="13"/>
      <c r="AZ50" s="13"/>
    </row>
    <row r="51" spans="1:52" ht="13.15">
      <c r="A51" s="12"/>
      <c r="B51" s="13"/>
      <c r="C51" s="13"/>
      <c r="D51" s="17"/>
      <c r="E51" s="13"/>
      <c r="F51" s="34" t="s">
        <v>1862</v>
      </c>
      <c r="G51" s="13"/>
      <c r="H51" s="13"/>
      <c r="I51" s="13"/>
      <c r="J51" s="14"/>
      <c r="K51" s="14"/>
      <c r="L51" s="13"/>
      <c r="M51" s="13">
        <v>3</v>
      </c>
      <c r="N51" s="13"/>
      <c r="O51" s="14" t="s">
        <v>71</v>
      </c>
      <c r="P51" s="14"/>
      <c r="Q51" s="14"/>
      <c r="R51" s="14">
        <v>8</v>
      </c>
      <c r="S51" s="14">
        <v>8</v>
      </c>
      <c r="T51" s="14"/>
      <c r="U51" s="14"/>
      <c r="V51" s="14">
        <f t="shared" si="15"/>
        <v>0.01</v>
      </c>
      <c r="W51" s="14">
        <f t="shared" si="16"/>
        <v>1664.9999999999998</v>
      </c>
      <c r="X51" s="17"/>
      <c r="Y51" s="17"/>
      <c r="Z51" s="17"/>
      <c r="AA51" s="18">
        <f>AA52-AA53</f>
        <v>0.84000000000000341</v>
      </c>
      <c r="AB51" s="13"/>
      <c r="AC51" s="13"/>
      <c r="AD51" s="13"/>
      <c r="AE51" s="13" t="s">
        <v>1863</v>
      </c>
      <c r="AF51" s="13"/>
      <c r="AG51" s="13"/>
      <c r="AH51" s="13"/>
      <c r="AI51" s="19"/>
      <c r="AJ51" s="14"/>
      <c r="AK51" s="13" t="s">
        <v>425</v>
      </c>
      <c r="AL51" s="13"/>
      <c r="AM51" s="13"/>
      <c r="AN51" s="13"/>
      <c r="AO51" s="13"/>
      <c r="AP51" s="20"/>
      <c r="AQ51" s="13">
        <f t="shared" si="17"/>
        <v>0</v>
      </c>
      <c r="AR51" s="97"/>
      <c r="AS51" s="21">
        <f t="shared" si="19"/>
        <v>0</v>
      </c>
      <c r="AT51" s="22"/>
      <c r="AU51" s="13" t="s">
        <v>1864</v>
      </c>
      <c r="AV51" s="13"/>
      <c r="AW51" s="13"/>
      <c r="AX51" s="13"/>
      <c r="AY51" s="13"/>
      <c r="AZ51" s="13"/>
    </row>
    <row r="52" spans="1:52" ht="14.45">
      <c r="A52" s="12">
        <v>44789</v>
      </c>
      <c r="B52" s="13"/>
      <c r="C52" s="13" t="s">
        <v>123</v>
      </c>
      <c r="D52" s="17"/>
      <c r="E52" s="13"/>
      <c r="F52" s="34" t="s">
        <v>1750</v>
      </c>
      <c r="G52" s="13"/>
      <c r="H52" s="13"/>
      <c r="I52" s="13"/>
      <c r="J52" s="14" t="s">
        <v>82</v>
      </c>
      <c r="K52" s="14"/>
      <c r="L52" s="13"/>
      <c r="M52" s="13"/>
      <c r="N52" s="13"/>
      <c r="O52" s="14" t="s">
        <v>71</v>
      </c>
      <c r="P52" s="14" t="s">
        <v>72</v>
      </c>
      <c r="Q52" s="14" t="s">
        <v>661</v>
      </c>
      <c r="R52" s="14">
        <v>4</v>
      </c>
      <c r="S52" s="14">
        <v>4</v>
      </c>
      <c r="T52" s="14">
        <v>2</v>
      </c>
      <c r="U52" s="14" t="s">
        <v>73</v>
      </c>
      <c r="V52" s="14">
        <f t="shared" si="15"/>
        <v>0.01</v>
      </c>
      <c r="W52" s="14">
        <f t="shared" si="16"/>
        <v>1664.9999999999998</v>
      </c>
      <c r="X52" s="17" t="s">
        <v>1865</v>
      </c>
      <c r="Y52" s="17" t="s">
        <v>1866</v>
      </c>
      <c r="Z52" s="101" t="s">
        <v>1867</v>
      </c>
      <c r="AA52" s="18">
        <v>97.41</v>
      </c>
      <c r="AB52" s="13"/>
      <c r="AC52" s="13">
        <v>97.43</v>
      </c>
      <c r="AD52" s="13" t="s">
        <v>1868</v>
      </c>
      <c r="AE52" s="13">
        <v>97.37</v>
      </c>
      <c r="AF52" s="13" t="s">
        <v>1869</v>
      </c>
      <c r="AG52" s="13"/>
      <c r="AH52" s="13"/>
      <c r="AI52" s="19"/>
      <c r="AJ52" s="14"/>
      <c r="AK52" s="13"/>
      <c r="AL52" s="13"/>
      <c r="AM52" s="13"/>
      <c r="AN52" s="13"/>
      <c r="AO52" s="13"/>
      <c r="AP52" s="20">
        <v>97.37</v>
      </c>
      <c r="AQ52" s="20">
        <f t="shared" si="17"/>
        <v>3.9999999999992042E-2</v>
      </c>
      <c r="AR52" s="97">
        <f t="shared" ref="AR52:AR58" si="20">AS52*R52</f>
        <v>266.39999999994694</v>
      </c>
      <c r="AS52" s="21">
        <f t="shared" si="19"/>
        <v>66.599999999986736</v>
      </c>
      <c r="AT52" s="22" t="s">
        <v>72</v>
      </c>
      <c r="AU52" s="13" t="s">
        <v>1870</v>
      </c>
      <c r="AV52" s="13"/>
      <c r="AW52" s="13"/>
      <c r="AX52" s="13"/>
      <c r="AY52" s="13"/>
      <c r="AZ52" s="13"/>
    </row>
    <row r="53" spans="1:52" ht="13.15">
      <c r="A53" s="12">
        <v>44790</v>
      </c>
      <c r="B53" s="13"/>
      <c r="C53" s="13" t="s">
        <v>128</v>
      </c>
      <c r="D53" s="17"/>
      <c r="E53" s="13"/>
      <c r="F53" s="34" t="s">
        <v>1871</v>
      </c>
      <c r="G53" s="13"/>
      <c r="H53" s="13"/>
      <c r="I53" s="13"/>
      <c r="J53" s="14"/>
      <c r="K53" s="14"/>
      <c r="L53" s="13"/>
      <c r="M53" s="13">
        <v>3</v>
      </c>
      <c r="N53" s="13"/>
      <c r="O53" s="14" t="s">
        <v>71</v>
      </c>
      <c r="P53" s="14" t="s">
        <v>1872</v>
      </c>
      <c r="Q53" s="14" t="s">
        <v>661</v>
      </c>
      <c r="R53" s="14">
        <v>4</v>
      </c>
      <c r="S53" s="14">
        <v>4</v>
      </c>
      <c r="T53" s="14">
        <v>4</v>
      </c>
      <c r="U53" s="14" t="s">
        <v>21</v>
      </c>
      <c r="V53" s="14">
        <f t="shared" si="15"/>
        <v>0.01</v>
      </c>
      <c r="W53" s="14">
        <f t="shared" si="16"/>
        <v>1664.9999999999998</v>
      </c>
      <c r="X53" s="17" t="s">
        <v>1873</v>
      </c>
      <c r="Y53" s="17"/>
      <c r="Z53" s="17"/>
      <c r="AA53" s="18">
        <v>96.57</v>
      </c>
      <c r="AB53" s="13"/>
      <c r="AC53" s="13"/>
      <c r="AD53" s="13"/>
      <c r="AE53" s="13"/>
      <c r="AF53" s="13"/>
      <c r="AG53" s="13"/>
      <c r="AH53" s="13"/>
      <c r="AI53" s="19"/>
      <c r="AJ53" s="14"/>
      <c r="AK53" s="13"/>
      <c r="AL53" s="13"/>
      <c r="AM53" s="13"/>
      <c r="AN53" s="13" t="s">
        <v>82</v>
      </c>
      <c r="AO53" s="13"/>
      <c r="AP53" s="20">
        <v>96.47</v>
      </c>
      <c r="AQ53" s="20">
        <f t="shared" si="17"/>
        <v>-9.9999999999994316E-2</v>
      </c>
      <c r="AR53" s="97">
        <f t="shared" si="20"/>
        <v>-665.99999999996203</v>
      </c>
      <c r="AS53" s="21">
        <f t="shared" si="19"/>
        <v>-166.49999999999051</v>
      </c>
      <c r="AT53" s="22" t="s">
        <v>206</v>
      </c>
      <c r="AU53" s="13" t="s">
        <v>1874</v>
      </c>
      <c r="AV53" s="13"/>
      <c r="AW53" s="13"/>
      <c r="AX53" s="13"/>
      <c r="AY53" s="13"/>
      <c r="AZ53" s="13"/>
    </row>
    <row r="54" spans="1:52" ht="13.15">
      <c r="A54" s="12">
        <v>44790</v>
      </c>
      <c r="B54" s="13"/>
      <c r="C54" s="13" t="s">
        <v>128</v>
      </c>
      <c r="D54" s="17" t="s">
        <v>1875</v>
      </c>
      <c r="E54" s="13" t="s">
        <v>1876</v>
      </c>
      <c r="F54" s="34" t="s">
        <v>1752</v>
      </c>
      <c r="G54" s="13"/>
      <c r="H54" s="13">
        <v>1</v>
      </c>
      <c r="I54" s="13">
        <v>1</v>
      </c>
      <c r="J54" s="14"/>
      <c r="K54" s="14"/>
      <c r="L54" s="13">
        <v>3</v>
      </c>
      <c r="M54" s="13"/>
      <c r="N54" s="13"/>
      <c r="O54" s="14" t="s">
        <v>71</v>
      </c>
      <c r="P54" s="14" t="s">
        <v>72</v>
      </c>
      <c r="Q54" s="14" t="s">
        <v>661</v>
      </c>
      <c r="R54" s="14">
        <v>8</v>
      </c>
      <c r="S54" s="14">
        <v>8</v>
      </c>
      <c r="T54" s="14">
        <v>5</v>
      </c>
      <c r="U54" s="14" t="s">
        <v>21</v>
      </c>
      <c r="V54" s="14">
        <f t="shared" si="15"/>
        <v>0.01</v>
      </c>
      <c r="W54" s="14">
        <f t="shared" si="16"/>
        <v>1664.9999999999998</v>
      </c>
      <c r="X54" s="17" t="s">
        <v>1731</v>
      </c>
      <c r="Y54" s="17"/>
      <c r="Z54" s="17"/>
      <c r="AA54" s="18">
        <v>96.37</v>
      </c>
      <c r="AB54" s="13"/>
      <c r="AC54" s="13">
        <v>96.3</v>
      </c>
      <c r="AD54" s="13"/>
      <c r="AE54" s="13" t="s">
        <v>1877</v>
      </c>
      <c r="AF54" s="13"/>
      <c r="AG54" s="13"/>
      <c r="AH54" s="13"/>
      <c r="AI54" s="19"/>
      <c r="AJ54" s="14"/>
      <c r="AK54" s="13" t="s">
        <v>1878</v>
      </c>
      <c r="AL54" s="13"/>
      <c r="AM54" s="13"/>
      <c r="AN54" s="13" t="s">
        <v>82</v>
      </c>
      <c r="AO54" s="35">
        <v>44790</v>
      </c>
      <c r="AP54" s="20">
        <v>96.34</v>
      </c>
      <c r="AQ54" s="20">
        <f t="shared" si="17"/>
        <v>-3.0000000000001137E-2</v>
      </c>
      <c r="AR54" s="97">
        <f t="shared" si="20"/>
        <v>-399.60000000001509</v>
      </c>
      <c r="AS54" s="21">
        <f t="shared" si="19"/>
        <v>-49.950000000001886</v>
      </c>
      <c r="AT54" s="22" t="s">
        <v>206</v>
      </c>
      <c r="AU54" s="13" t="s">
        <v>1879</v>
      </c>
      <c r="AV54" s="13" t="s">
        <v>1880</v>
      </c>
      <c r="AW54" s="13"/>
      <c r="AX54" s="13"/>
      <c r="AY54" s="13"/>
      <c r="AZ54" s="13"/>
    </row>
    <row r="55" spans="1:52" ht="13.15">
      <c r="A55" s="12">
        <v>44790</v>
      </c>
      <c r="B55" s="13"/>
      <c r="C55" s="13" t="s">
        <v>128</v>
      </c>
      <c r="D55" s="17" t="s">
        <v>1875</v>
      </c>
      <c r="E55" s="13" t="s">
        <v>1876</v>
      </c>
      <c r="F55" s="14" t="s">
        <v>1821</v>
      </c>
      <c r="G55" s="13"/>
      <c r="H55" s="13">
        <v>1</v>
      </c>
      <c r="I55" s="13">
        <v>1</v>
      </c>
      <c r="J55" s="14"/>
      <c r="K55" s="14"/>
      <c r="L55" s="13">
        <v>3</v>
      </c>
      <c r="M55" s="13"/>
      <c r="N55" s="13"/>
      <c r="O55" s="14" t="s">
        <v>71</v>
      </c>
      <c r="P55" s="14" t="s">
        <v>114</v>
      </c>
      <c r="Q55" s="14" t="s">
        <v>661</v>
      </c>
      <c r="R55" s="14">
        <v>4</v>
      </c>
      <c r="S55" s="14">
        <v>4</v>
      </c>
      <c r="T55" s="14">
        <v>4</v>
      </c>
      <c r="U55" s="14" t="s">
        <v>21</v>
      </c>
      <c r="V55" s="14">
        <f t="shared" si="15"/>
        <v>0.01</v>
      </c>
      <c r="W55" s="14">
        <f t="shared" si="16"/>
        <v>1664.9999999999998</v>
      </c>
      <c r="X55" s="17" t="s">
        <v>1731</v>
      </c>
      <c r="Y55" s="17"/>
      <c r="Z55" s="17"/>
      <c r="AA55" s="18">
        <v>96.29</v>
      </c>
      <c r="AB55" s="13"/>
      <c r="AC55" s="13"/>
      <c r="AD55" s="13"/>
      <c r="AE55" s="13"/>
      <c r="AF55" s="13"/>
      <c r="AG55" s="13"/>
      <c r="AH55" s="13"/>
      <c r="AI55" s="19"/>
      <c r="AJ55" s="14"/>
      <c r="AK55" s="13" t="s">
        <v>1878</v>
      </c>
      <c r="AL55" s="13"/>
      <c r="AM55" s="13"/>
      <c r="AN55" s="13" t="s">
        <v>82</v>
      </c>
      <c r="AO55" s="35">
        <v>44790</v>
      </c>
      <c r="AP55" s="20">
        <v>96.36</v>
      </c>
      <c r="AQ55" s="20">
        <f t="shared" si="17"/>
        <v>6.9999999999993179E-2</v>
      </c>
      <c r="AR55" s="97">
        <f t="shared" si="20"/>
        <v>466.19999999995451</v>
      </c>
      <c r="AS55" s="21">
        <f t="shared" si="19"/>
        <v>116.54999999998863</v>
      </c>
      <c r="AT55" s="22" t="s">
        <v>72</v>
      </c>
      <c r="AU55" s="13" t="s">
        <v>1861</v>
      </c>
      <c r="AV55" s="13" t="s">
        <v>1880</v>
      </c>
      <c r="AW55" s="13"/>
      <c r="AX55" s="13"/>
      <c r="AY55" s="13"/>
      <c r="AZ55" s="13"/>
    </row>
    <row r="56" spans="1:52" ht="13.15">
      <c r="A56" s="12">
        <v>44790</v>
      </c>
      <c r="B56" s="13"/>
      <c r="C56" s="13" t="s">
        <v>128</v>
      </c>
      <c r="D56" s="17"/>
      <c r="E56" s="13"/>
      <c r="F56" s="14" t="s">
        <v>1752</v>
      </c>
      <c r="G56" s="13"/>
      <c r="H56" s="13"/>
      <c r="I56" s="13"/>
      <c r="J56" s="14"/>
      <c r="K56" s="14"/>
      <c r="L56" s="13">
        <v>1</v>
      </c>
      <c r="M56" s="13"/>
      <c r="N56" s="13"/>
      <c r="O56" s="14" t="s">
        <v>71</v>
      </c>
      <c r="P56" s="14" t="s">
        <v>72</v>
      </c>
      <c r="Q56" s="14" t="s">
        <v>661</v>
      </c>
      <c r="R56" s="14">
        <v>1</v>
      </c>
      <c r="S56" s="14">
        <v>1</v>
      </c>
      <c r="T56" s="14">
        <v>1</v>
      </c>
      <c r="U56" s="14" t="s">
        <v>21</v>
      </c>
      <c r="V56" s="14">
        <f t="shared" si="15"/>
        <v>0.01</v>
      </c>
      <c r="W56" s="14">
        <f t="shared" si="16"/>
        <v>1664.9999999999998</v>
      </c>
      <c r="X56" s="17" t="s">
        <v>1881</v>
      </c>
      <c r="Y56" s="17"/>
      <c r="Z56" s="17"/>
      <c r="AA56" s="18">
        <v>96.25</v>
      </c>
      <c r="AB56" s="13"/>
      <c r="AC56" s="13">
        <v>96.22</v>
      </c>
      <c r="AD56" s="13" t="s">
        <v>1882</v>
      </c>
      <c r="AE56" s="13"/>
      <c r="AF56" s="13"/>
      <c r="AG56" s="13"/>
      <c r="AH56" s="13"/>
      <c r="AI56" s="19"/>
      <c r="AJ56" s="14"/>
      <c r="AK56" s="13" t="s">
        <v>1883</v>
      </c>
      <c r="AL56" s="13"/>
      <c r="AM56" s="13"/>
      <c r="AN56" s="13" t="s">
        <v>82</v>
      </c>
      <c r="AO56" s="35">
        <v>44790</v>
      </c>
      <c r="AP56" s="20">
        <v>96.22</v>
      </c>
      <c r="AQ56" s="20">
        <f t="shared" si="17"/>
        <v>-3.0000000000001137E-2</v>
      </c>
      <c r="AR56" s="97">
        <f t="shared" si="20"/>
        <v>-49.950000000001886</v>
      </c>
      <c r="AS56" s="21">
        <f t="shared" si="19"/>
        <v>-49.950000000001886</v>
      </c>
      <c r="AT56" s="22" t="s">
        <v>206</v>
      </c>
      <c r="AU56" s="13"/>
      <c r="AV56" s="13"/>
      <c r="AW56" s="13"/>
      <c r="AX56" s="13"/>
      <c r="AY56" s="13"/>
      <c r="AZ56" s="13"/>
    </row>
    <row r="57" spans="1:52" ht="13.15">
      <c r="A57" s="12">
        <v>44790</v>
      </c>
      <c r="B57" s="13"/>
      <c r="C57" s="13" t="s">
        <v>128</v>
      </c>
      <c r="D57" s="17"/>
      <c r="E57" s="13"/>
      <c r="F57" s="14" t="s">
        <v>1821</v>
      </c>
      <c r="G57" s="13"/>
      <c r="H57" s="13"/>
      <c r="I57" s="13"/>
      <c r="J57" s="14"/>
      <c r="K57" s="14"/>
      <c r="L57" s="13">
        <v>1</v>
      </c>
      <c r="M57" s="13"/>
      <c r="N57" s="13"/>
      <c r="O57" s="14" t="s">
        <v>71</v>
      </c>
      <c r="P57" s="14" t="s">
        <v>114</v>
      </c>
      <c r="Q57" s="14" t="s">
        <v>661</v>
      </c>
      <c r="R57" s="14">
        <v>1</v>
      </c>
      <c r="S57" s="14">
        <v>1</v>
      </c>
      <c r="T57" s="14">
        <v>1</v>
      </c>
      <c r="U57" s="14" t="s">
        <v>21</v>
      </c>
      <c r="V57" s="14">
        <f t="shared" si="15"/>
        <v>0.01</v>
      </c>
      <c r="W57" s="14">
        <f t="shared" si="16"/>
        <v>1664.9999999999998</v>
      </c>
      <c r="X57" s="17" t="s">
        <v>1881</v>
      </c>
      <c r="Y57" s="17"/>
      <c r="Z57" s="17"/>
      <c r="AA57" s="18">
        <v>96.26</v>
      </c>
      <c r="AB57" s="13"/>
      <c r="AC57" s="13">
        <v>96.23</v>
      </c>
      <c r="AD57" s="13" t="s">
        <v>1882</v>
      </c>
      <c r="AE57" s="13"/>
      <c r="AF57" s="13"/>
      <c r="AG57" s="13"/>
      <c r="AH57" s="13"/>
      <c r="AI57" s="19"/>
      <c r="AJ57" s="14"/>
      <c r="AK57" s="13" t="s">
        <v>1883</v>
      </c>
      <c r="AL57" s="13"/>
      <c r="AM57" s="13"/>
      <c r="AN57" s="13" t="s">
        <v>82</v>
      </c>
      <c r="AO57" s="35">
        <v>44790</v>
      </c>
      <c r="AP57" s="20">
        <v>96.23</v>
      </c>
      <c r="AQ57" s="20">
        <f t="shared" si="17"/>
        <v>-3.0000000000001137E-2</v>
      </c>
      <c r="AR57" s="97">
        <f t="shared" si="20"/>
        <v>-49.950000000001886</v>
      </c>
      <c r="AS57" s="21">
        <f t="shared" si="19"/>
        <v>-49.950000000001886</v>
      </c>
      <c r="AT57" s="22" t="s">
        <v>206</v>
      </c>
      <c r="AU57" s="13" t="s">
        <v>1884</v>
      </c>
      <c r="AV57" s="13" t="s">
        <v>1885</v>
      </c>
      <c r="AW57" s="13"/>
      <c r="AX57" s="13"/>
      <c r="AY57" s="13"/>
      <c r="AZ57" s="13"/>
    </row>
    <row r="58" spans="1:52" ht="13.15">
      <c r="A58" s="12">
        <v>44790</v>
      </c>
      <c r="B58" s="13"/>
      <c r="C58" s="13" t="s">
        <v>128</v>
      </c>
      <c r="D58" s="17"/>
      <c r="E58" s="13"/>
      <c r="F58" s="14" t="s">
        <v>1750</v>
      </c>
      <c r="G58" s="13"/>
      <c r="H58" s="13"/>
      <c r="I58" s="13"/>
      <c r="J58" s="14"/>
      <c r="K58" s="14"/>
      <c r="L58" s="13"/>
      <c r="M58" s="13">
        <v>1</v>
      </c>
      <c r="N58" s="13"/>
      <c r="O58" s="14" t="s">
        <v>71</v>
      </c>
      <c r="P58" s="14" t="s">
        <v>72</v>
      </c>
      <c r="Q58" s="14" t="s">
        <v>661</v>
      </c>
      <c r="R58" s="14">
        <v>1</v>
      </c>
      <c r="S58" s="14">
        <v>1</v>
      </c>
      <c r="T58" s="14">
        <v>1</v>
      </c>
      <c r="U58" s="14" t="s">
        <v>73</v>
      </c>
      <c r="V58" s="14">
        <f t="shared" si="15"/>
        <v>0.01</v>
      </c>
      <c r="W58" s="14">
        <f t="shared" si="16"/>
        <v>1664.9999999999998</v>
      </c>
      <c r="X58" s="17"/>
      <c r="Y58" s="17" t="s">
        <v>1886</v>
      </c>
      <c r="Z58" s="17"/>
      <c r="AA58" s="18">
        <v>97.38</v>
      </c>
      <c r="AB58" s="13"/>
      <c r="AC58" s="13">
        <v>97.42</v>
      </c>
      <c r="AD58" s="13" t="s">
        <v>1887</v>
      </c>
      <c r="AE58" s="13">
        <v>97.37</v>
      </c>
      <c r="AF58" s="13" t="s">
        <v>1888</v>
      </c>
      <c r="AG58" s="13"/>
      <c r="AH58" s="13"/>
      <c r="AI58" s="19"/>
      <c r="AJ58" s="14"/>
      <c r="AK58" s="13"/>
      <c r="AL58" s="13"/>
      <c r="AM58" s="13"/>
      <c r="AN58" s="13" t="s">
        <v>82</v>
      </c>
      <c r="AO58" s="35">
        <v>44790</v>
      </c>
      <c r="AP58" s="20">
        <v>97.39</v>
      </c>
      <c r="AQ58" s="20">
        <f t="shared" si="17"/>
        <v>-1.0000000000005116E-2</v>
      </c>
      <c r="AR58" s="97">
        <f t="shared" si="20"/>
        <v>-16.650000000008514</v>
      </c>
      <c r="AS58" s="21">
        <f t="shared" si="19"/>
        <v>-16.650000000008514</v>
      </c>
      <c r="AT58" s="22" t="s">
        <v>206</v>
      </c>
      <c r="AU58" s="13"/>
      <c r="AV58" s="13"/>
      <c r="AW58" s="13"/>
      <c r="AX58" s="13"/>
      <c r="AY58" s="13"/>
      <c r="AZ58" s="13"/>
    </row>
    <row r="59" spans="1:52" ht="13.15">
      <c r="A59" s="12"/>
      <c r="B59" s="13"/>
      <c r="C59" s="13"/>
      <c r="D59" s="17"/>
      <c r="E59" s="13"/>
      <c r="F59" s="34" t="s">
        <v>1889</v>
      </c>
      <c r="G59" s="13"/>
      <c r="H59" s="13"/>
      <c r="I59" s="13"/>
      <c r="J59" s="14"/>
      <c r="K59" s="14"/>
      <c r="L59" s="13"/>
      <c r="M59" s="13"/>
      <c r="N59" s="13"/>
      <c r="O59" s="14"/>
      <c r="P59" s="14"/>
      <c r="Q59" s="14"/>
      <c r="R59" s="14"/>
      <c r="S59" s="14"/>
      <c r="T59" s="14"/>
      <c r="U59" s="14"/>
      <c r="V59" s="14"/>
      <c r="W59" s="14"/>
      <c r="X59" s="17"/>
      <c r="Y59" s="17"/>
      <c r="Z59" s="17"/>
      <c r="AA59" s="18"/>
      <c r="AB59" s="13"/>
      <c r="AC59" s="13"/>
      <c r="AD59" s="13"/>
      <c r="AE59" s="13"/>
      <c r="AF59" s="13"/>
      <c r="AG59" s="13"/>
      <c r="AH59" s="13"/>
      <c r="AI59" s="19"/>
      <c r="AJ59" s="14"/>
      <c r="AK59" s="13"/>
      <c r="AL59" s="13"/>
      <c r="AM59" s="13"/>
      <c r="AN59" s="13"/>
      <c r="AO59" s="13"/>
      <c r="AP59" s="20"/>
      <c r="AQ59" s="20"/>
      <c r="AR59" s="20"/>
      <c r="AS59" s="21"/>
      <c r="AT59" s="22"/>
      <c r="AU59" s="13"/>
      <c r="AV59" s="13"/>
      <c r="AW59" s="13"/>
      <c r="AX59" s="13"/>
      <c r="AY59" s="13"/>
      <c r="AZ59" s="13"/>
    </row>
    <row r="60" spans="1:52" ht="13.15">
      <c r="A60" s="12"/>
      <c r="B60" s="13"/>
      <c r="C60" s="13"/>
      <c r="D60" s="17"/>
      <c r="E60" s="13"/>
      <c r="F60" s="34" t="s">
        <v>1890</v>
      </c>
      <c r="G60" s="13"/>
      <c r="H60" s="13"/>
      <c r="I60" s="13"/>
      <c r="J60" s="14"/>
      <c r="K60" s="14"/>
      <c r="L60" s="13"/>
      <c r="M60" s="13"/>
      <c r="N60" s="13"/>
      <c r="O60" s="14"/>
      <c r="P60" s="14"/>
      <c r="Q60" s="14"/>
      <c r="R60" s="14"/>
      <c r="S60" s="14"/>
      <c r="T60" s="14"/>
      <c r="U60" s="14"/>
      <c r="V60" s="14"/>
      <c r="W60" s="14"/>
      <c r="X60" s="17"/>
      <c r="Y60" s="17"/>
      <c r="Z60" s="17"/>
      <c r="AA60" s="18"/>
      <c r="AB60" s="13"/>
      <c r="AC60" s="13"/>
      <c r="AD60" s="13"/>
      <c r="AE60" s="13"/>
      <c r="AF60" s="13"/>
      <c r="AG60" s="13"/>
      <c r="AH60" s="13"/>
      <c r="AI60" s="19"/>
      <c r="AJ60" s="14"/>
      <c r="AK60" s="13"/>
      <c r="AL60" s="13"/>
      <c r="AM60" s="13"/>
      <c r="AN60" s="13"/>
      <c r="AO60" s="13"/>
      <c r="AP60" s="20"/>
      <c r="AQ60" s="20"/>
      <c r="AR60" s="20"/>
      <c r="AS60" s="21"/>
      <c r="AT60" s="22"/>
      <c r="AU60" s="13"/>
      <c r="AV60" s="13"/>
      <c r="AW60" s="13"/>
      <c r="AX60" s="13"/>
      <c r="AY60" s="13"/>
      <c r="AZ60" s="13"/>
    </row>
    <row r="61" spans="1:52" ht="13.15">
      <c r="A61" s="12">
        <v>44790</v>
      </c>
      <c r="B61" s="13"/>
      <c r="C61" s="13" t="s">
        <v>128</v>
      </c>
      <c r="D61" s="17"/>
      <c r="E61" s="13"/>
      <c r="F61" s="14" t="s">
        <v>1821</v>
      </c>
      <c r="G61" s="13"/>
      <c r="H61" s="13"/>
      <c r="I61" s="13"/>
      <c r="J61" s="14"/>
      <c r="K61" s="14"/>
      <c r="L61" s="13">
        <v>1</v>
      </c>
      <c r="M61" s="13"/>
      <c r="N61" s="13"/>
      <c r="O61" s="14" t="s">
        <v>71</v>
      </c>
      <c r="P61" s="14" t="s">
        <v>114</v>
      </c>
      <c r="Q61" s="14" t="s">
        <v>661</v>
      </c>
      <c r="R61" s="14">
        <v>1</v>
      </c>
      <c r="S61" s="14">
        <v>1</v>
      </c>
      <c r="T61" s="14">
        <v>1</v>
      </c>
      <c r="U61" s="14" t="s">
        <v>21</v>
      </c>
      <c r="V61" s="14">
        <f t="shared" ref="V61:V105" si="21">IF(ISBLANK(O61),,(IF(O61=UPPER("IB"),0.005,0.01)))</f>
        <v>0.01</v>
      </c>
      <c r="W61" s="14">
        <f t="shared" ref="W61:W105" si="22">IF(ISBLANK(O61),,IF(O61=UPPER("IB"),8.63*200,16.65*100))</f>
        <v>1664.9999999999998</v>
      </c>
      <c r="X61" s="17" t="s">
        <v>1881</v>
      </c>
      <c r="Y61" s="17"/>
      <c r="Z61" s="17"/>
      <c r="AA61" s="18">
        <v>96.26</v>
      </c>
      <c r="AB61" s="13"/>
      <c r="AC61" s="13">
        <v>96.22</v>
      </c>
      <c r="AD61" s="13" t="s">
        <v>1891</v>
      </c>
      <c r="AE61" s="13"/>
      <c r="AF61" s="13"/>
      <c r="AG61" s="13"/>
      <c r="AH61" s="13"/>
      <c r="AI61" s="19"/>
      <c r="AJ61" s="14"/>
      <c r="AK61" s="13" t="s">
        <v>1883</v>
      </c>
      <c r="AL61" s="13"/>
      <c r="AM61" s="13"/>
      <c r="AN61" s="13" t="s">
        <v>82</v>
      </c>
      <c r="AO61" s="35">
        <v>44790</v>
      </c>
      <c r="AP61" s="20">
        <v>96.24</v>
      </c>
      <c r="AQ61" s="20">
        <f t="shared" ref="AQ61:AQ62" si="23">IF(ISBLANK(AP61),,IF(U61="S",AA61-AP61,AP61-AA61))</f>
        <v>-2.0000000000010232E-2</v>
      </c>
      <c r="AR61" s="97">
        <f t="shared" ref="AR61:AR62" si="24">AS61*R61</f>
        <v>-33.300000000017029</v>
      </c>
      <c r="AS61" s="21">
        <f t="shared" ref="AS61:AS62" si="25">IF(ISBLANK(AP61),,(AQ61*W61))</f>
        <v>-33.300000000017029</v>
      </c>
      <c r="AT61" s="22" t="s">
        <v>206</v>
      </c>
      <c r="AU61" s="13" t="s">
        <v>1892</v>
      </c>
      <c r="AV61" s="13"/>
      <c r="AW61" s="13"/>
      <c r="AX61" s="13"/>
      <c r="AY61" s="13"/>
      <c r="AZ61" s="13"/>
    </row>
    <row r="62" spans="1:52" ht="13.15">
      <c r="A62" s="12">
        <v>44790</v>
      </c>
      <c r="B62" s="13"/>
      <c r="C62" s="13" t="s">
        <v>128</v>
      </c>
      <c r="D62" s="17"/>
      <c r="E62" s="13"/>
      <c r="F62" s="14" t="s">
        <v>1871</v>
      </c>
      <c r="G62" s="13"/>
      <c r="H62" s="13"/>
      <c r="I62" s="13"/>
      <c r="J62" s="14"/>
      <c r="K62" s="14"/>
      <c r="L62" s="13"/>
      <c r="M62" s="13">
        <v>1</v>
      </c>
      <c r="N62" s="13"/>
      <c r="O62" s="14" t="s">
        <v>71</v>
      </c>
      <c r="P62" s="14" t="s">
        <v>1872</v>
      </c>
      <c r="Q62" s="14" t="s">
        <v>661</v>
      </c>
      <c r="R62" s="14">
        <v>1</v>
      </c>
      <c r="S62" s="14">
        <v>1</v>
      </c>
      <c r="T62" s="14">
        <v>1</v>
      </c>
      <c r="U62" s="14" t="s">
        <v>73</v>
      </c>
      <c r="V62" s="14">
        <f t="shared" si="21"/>
        <v>0.01</v>
      </c>
      <c r="W62" s="14">
        <f t="shared" si="22"/>
        <v>1664.9999999999998</v>
      </c>
      <c r="X62" s="17" t="s">
        <v>1893</v>
      </c>
      <c r="Y62" s="17"/>
      <c r="Z62" s="17"/>
      <c r="AA62" s="18">
        <v>96.44</v>
      </c>
      <c r="AB62" s="13"/>
      <c r="AC62" s="13">
        <v>96.47</v>
      </c>
      <c r="AD62" s="13" t="s">
        <v>1894</v>
      </c>
      <c r="AE62" s="13">
        <v>96.42</v>
      </c>
      <c r="AF62" s="13" t="s">
        <v>1895</v>
      </c>
      <c r="AG62" s="13"/>
      <c r="AH62" s="13"/>
      <c r="AI62" s="19"/>
      <c r="AJ62" s="14"/>
      <c r="AK62" s="13" t="s">
        <v>1883</v>
      </c>
      <c r="AL62" s="13"/>
      <c r="AM62" s="13"/>
      <c r="AN62" s="13" t="s">
        <v>82</v>
      </c>
      <c r="AO62" s="13"/>
      <c r="AP62" s="20">
        <v>96.47</v>
      </c>
      <c r="AQ62" s="20">
        <f t="shared" si="23"/>
        <v>-3.0000000000001137E-2</v>
      </c>
      <c r="AR62" s="97">
        <f t="shared" si="24"/>
        <v>-49.950000000001886</v>
      </c>
      <c r="AS62" s="21">
        <f t="shared" si="25"/>
        <v>-49.950000000001886</v>
      </c>
      <c r="AT62" s="22" t="s">
        <v>206</v>
      </c>
      <c r="AU62" s="13" t="s">
        <v>1896</v>
      </c>
      <c r="AV62" s="13"/>
      <c r="AW62" s="13"/>
      <c r="AX62" s="13"/>
      <c r="AY62" s="13"/>
      <c r="AZ62" s="13"/>
    </row>
    <row r="63" spans="1:52" ht="13.15">
      <c r="A63" s="12">
        <v>44791</v>
      </c>
      <c r="B63" s="13"/>
      <c r="C63" s="13" t="s">
        <v>69</v>
      </c>
      <c r="D63" s="17" t="s">
        <v>1897</v>
      </c>
      <c r="E63" s="13" t="s">
        <v>1898</v>
      </c>
      <c r="F63" s="14"/>
      <c r="G63" s="13"/>
      <c r="H63" s="13"/>
      <c r="I63" s="13">
        <v>1</v>
      </c>
      <c r="J63" s="14"/>
      <c r="K63" s="14"/>
      <c r="L63" s="13"/>
      <c r="M63" s="13"/>
      <c r="N63" s="13"/>
      <c r="O63" s="14"/>
      <c r="P63" s="14"/>
      <c r="Q63" s="14"/>
      <c r="R63" s="14"/>
      <c r="S63" s="14"/>
      <c r="T63" s="14"/>
      <c r="U63" s="14"/>
      <c r="V63" s="14">
        <f t="shared" si="21"/>
        <v>0</v>
      </c>
      <c r="W63" s="14">
        <f t="shared" si="22"/>
        <v>0</v>
      </c>
      <c r="X63" s="17"/>
      <c r="Y63" s="17"/>
      <c r="Z63" s="17"/>
      <c r="AA63" s="18"/>
      <c r="AB63" s="13"/>
      <c r="AC63" s="13"/>
      <c r="AD63" s="13"/>
      <c r="AE63" s="13"/>
      <c r="AF63" s="13"/>
      <c r="AG63" s="13"/>
      <c r="AH63" s="13"/>
      <c r="AI63" s="19"/>
      <c r="AJ63" s="14"/>
      <c r="AK63" s="13"/>
      <c r="AL63" s="13"/>
      <c r="AM63" s="13"/>
      <c r="AN63" s="13"/>
      <c r="AO63" s="13"/>
      <c r="AP63" s="20"/>
      <c r="AQ63" s="20"/>
      <c r="AR63" s="20"/>
      <c r="AS63" s="21"/>
      <c r="AT63" s="22"/>
      <c r="AU63" s="17" t="s">
        <v>1899</v>
      </c>
      <c r="AV63" s="17" t="s">
        <v>1900</v>
      </c>
      <c r="AW63" s="17" t="s">
        <v>1901</v>
      </c>
      <c r="AX63" s="13"/>
      <c r="AY63" s="13"/>
      <c r="AZ63" s="13"/>
    </row>
    <row r="64" spans="1:52" ht="13.15">
      <c r="A64" s="12">
        <v>44791</v>
      </c>
      <c r="B64" s="13"/>
      <c r="C64" s="13" t="s">
        <v>69</v>
      </c>
      <c r="D64" s="17" t="s">
        <v>1902</v>
      </c>
      <c r="E64" s="17" t="s">
        <v>1903</v>
      </c>
      <c r="F64" s="14"/>
      <c r="G64" s="13">
        <v>1</v>
      </c>
      <c r="H64" s="13"/>
      <c r="I64" s="13"/>
      <c r="J64" s="14"/>
      <c r="K64" s="14"/>
      <c r="L64" s="13"/>
      <c r="M64" s="13"/>
      <c r="N64" s="13"/>
      <c r="O64" s="14"/>
      <c r="P64" s="14"/>
      <c r="Q64" s="14"/>
      <c r="R64" s="14"/>
      <c r="S64" s="14"/>
      <c r="T64" s="14"/>
      <c r="U64" s="14"/>
      <c r="V64" s="14">
        <f t="shared" si="21"/>
        <v>0</v>
      </c>
      <c r="W64" s="14">
        <f t="shared" si="22"/>
        <v>0</v>
      </c>
      <c r="X64" s="17"/>
      <c r="Y64" s="17"/>
      <c r="Z64" s="17"/>
      <c r="AA64" s="18"/>
      <c r="AB64" s="13"/>
      <c r="AC64" s="13"/>
      <c r="AD64" s="13"/>
      <c r="AE64" s="13"/>
      <c r="AF64" s="13"/>
      <c r="AG64" s="13"/>
      <c r="AH64" s="13"/>
      <c r="AI64" s="19"/>
      <c r="AJ64" s="14"/>
      <c r="AK64" s="13"/>
      <c r="AL64" s="13"/>
      <c r="AM64" s="13"/>
      <c r="AN64" s="13"/>
      <c r="AO64" s="13"/>
      <c r="AP64" s="20"/>
      <c r="AQ64" s="20"/>
      <c r="AR64" s="20"/>
      <c r="AS64" s="21"/>
      <c r="AT64" s="22"/>
      <c r="AU64" s="13" t="s">
        <v>1904</v>
      </c>
      <c r="AV64" s="13"/>
      <c r="AW64" s="13"/>
      <c r="AX64" s="13"/>
      <c r="AY64" s="13"/>
      <c r="AZ64" s="13"/>
    </row>
    <row r="65" spans="1:52" ht="13.15">
      <c r="A65" s="12">
        <v>44791</v>
      </c>
      <c r="B65" s="13"/>
      <c r="C65" s="13" t="s">
        <v>69</v>
      </c>
      <c r="D65" s="17"/>
      <c r="E65" s="13"/>
      <c r="F65" s="14"/>
      <c r="G65" s="13"/>
      <c r="H65" s="13"/>
      <c r="I65" s="13"/>
      <c r="J65" s="14" t="s">
        <v>92</v>
      </c>
      <c r="K65" s="14"/>
      <c r="L65" s="13"/>
      <c r="M65" s="13"/>
      <c r="N65" s="13"/>
      <c r="O65" s="14"/>
      <c r="P65" s="14"/>
      <c r="Q65" s="14"/>
      <c r="R65" s="14"/>
      <c r="S65" s="14"/>
      <c r="T65" s="14"/>
      <c r="U65" s="14"/>
      <c r="V65" s="14">
        <f t="shared" si="21"/>
        <v>0</v>
      </c>
      <c r="W65" s="14">
        <f t="shared" si="22"/>
        <v>0</v>
      </c>
      <c r="X65" s="17"/>
      <c r="Y65" s="17"/>
      <c r="Z65" s="17"/>
      <c r="AA65" s="18"/>
      <c r="AB65" s="13"/>
      <c r="AC65" s="13"/>
      <c r="AD65" s="13"/>
      <c r="AE65" s="13"/>
      <c r="AF65" s="13"/>
      <c r="AG65" s="13"/>
      <c r="AH65" s="13"/>
      <c r="AI65" s="19"/>
      <c r="AJ65" s="14"/>
      <c r="AK65" s="13"/>
      <c r="AL65" s="13"/>
      <c r="AM65" s="13"/>
      <c r="AN65" s="13"/>
      <c r="AO65" s="13"/>
      <c r="AP65" s="20"/>
      <c r="AQ65" s="20"/>
      <c r="AR65" s="20"/>
      <c r="AS65" s="21"/>
      <c r="AT65" s="22"/>
      <c r="AU65" s="17" t="s">
        <v>1905</v>
      </c>
      <c r="AV65" s="17" t="s">
        <v>1906</v>
      </c>
      <c r="AW65" s="17" t="s">
        <v>1907</v>
      </c>
      <c r="AX65" s="13"/>
      <c r="AY65" s="13"/>
      <c r="AZ65" s="13"/>
    </row>
    <row r="66" spans="1:52" ht="13.15">
      <c r="A66" s="12">
        <v>44792</v>
      </c>
      <c r="B66" s="13"/>
      <c r="C66" s="13" t="s">
        <v>88</v>
      </c>
      <c r="D66" s="17"/>
      <c r="E66" s="13"/>
      <c r="F66" s="80" t="s">
        <v>1908</v>
      </c>
      <c r="G66" s="13"/>
      <c r="H66" s="13"/>
      <c r="I66" s="13"/>
      <c r="J66" s="14" t="s">
        <v>92</v>
      </c>
      <c r="K66" s="14"/>
      <c r="L66" s="13">
        <v>1</v>
      </c>
      <c r="M66" s="13">
        <v>2</v>
      </c>
      <c r="N66" s="13"/>
      <c r="O66" s="14" t="s">
        <v>71</v>
      </c>
      <c r="P66" s="14" t="s">
        <v>72</v>
      </c>
      <c r="Q66" s="14" t="s">
        <v>73</v>
      </c>
      <c r="R66" s="14">
        <v>1</v>
      </c>
      <c r="S66" s="14">
        <v>1</v>
      </c>
      <c r="T66" s="14">
        <v>1</v>
      </c>
      <c r="U66" s="14" t="s">
        <v>21</v>
      </c>
      <c r="V66" s="14">
        <f t="shared" si="21"/>
        <v>0.01</v>
      </c>
      <c r="W66" s="14">
        <f t="shared" si="22"/>
        <v>1664.9999999999998</v>
      </c>
      <c r="X66" s="17"/>
      <c r="Y66" s="17" t="s">
        <v>1909</v>
      </c>
      <c r="Z66" s="17" t="s">
        <v>1910</v>
      </c>
      <c r="AA66" s="18">
        <v>0.08</v>
      </c>
      <c r="AB66" s="13" t="s">
        <v>1911</v>
      </c>
      <c r="AC66" s="13" t="s">
        <v>1912</v>
      </c>
      <c r="AD66" s="13"/>
      <c r="AE66" s="83">
        <v>0.1</v>
      </c>
      <c r="AF66" s="13"/>
      <c r="AG66" s="13"/>
      <c r="AH66" s="13"/>
      <c r="AI66" s="19"/>
      <c r="AJ66" s="14"/>
      <c r="AK66" s="13" t="s">
        <v>1913</v>
      </c>
      <c r="AL66" s="13"/>
      <c r="AM66" s="13" t="s">
        <v>1914</v>
      </c>
      <c r="AN66" s="13" t="s">
        <v>92</v>
      </c>
      <c r="AO66" s="102">
        <v>44792</v>
      </c>
      <c r="AP66" s="20">
        <v>0.1</v>
      </c>
      <c r="AQ66" s="20">
        <f>IF(ISBLANK(AP66),,IF(U66="S",AA66-AP66,AP66-AA66))</f>
        <v>2.0000000000000004E-2</v>
      </c>
      <c r="AR66" s="97">
        <f>AS66*R66</f>
        <v>33.300000000000004</v>
      </c>
      <c r="AS66" s="21">
        <f>IF(ISBLANK(AP66),,(AQ66*W66))</f>
        <v>33.300000000000004</v>
      </c>
      <c r="AT66" s="22" t="s">
        <v>72</v>
      </c>
      <c r="AU66" s="13" t="s">
        <v>1915</v>
      </c>
      <c r="AV66" s="13" t="s">
        <v>1916</v>
      </c>
      <c r="AW66" s="13" t="s">
        <v>1917</v>
      </c>
      <c r="AX66" s="13" t="s">
        <v>1918</v>
      </c>
      <c r="AY66" s="62" t="s">
        <v>1919</v>
      </c>
      <c r="AZ66" s="13" t="s">
        <v>1920</v>
      </c>
    </row>
    <row r="67" spans="1:52" ht="13.15">
      <c r="A67" s="12"/>
      <c r="B67" s="13"/>
      <c r="C67" s="13"/>
      <c r="D67" s="17"/>
      <c r="E67" s="13"/>
      <c r="F67" s="14"/>
      <c r="G67" s="13"/>
      <c r="H67" s="13"/>
      <c r="I67" s="13"/>
      <c r="J67" s="14" t="s">
        <v>92</v>
      </c>
      <c r="K67" s="14"/>
      <c r="L67" s="13"/>
      <c r="M67" s="13"/>
      <c r="N67" s="13"/>
      <c r="O67" s="14"/>
      <c r="P67" s="14" t="s">
        <v>72</v>
      </c>
      <c r="Q67" s="14"/>
      <c r="R67" s="14">
        <v>1</v>
      </c>
      <c r="S67" s="14">
        <v>1</v>
      </c>
      <c r="T67" s="14"/>
      <c r="U67" s="14"/>
      <c r="V67" s="14">
        <f t="shared" si="21"/>
        <v>0</v>
      </c>
      <c r="W67" s="14">
        <f t="shared" si="22"/>
        <v>0</v>
      </c>
      <c r="X67" s="17"/>
      <c r="Y67" s="17"/>
      <c r="Z67" s="17"/>
      <c r="AA67" s="18">
        <v>96.35</v>
      </c>
      <c r="AB67" s="13"/>
      <c r="AC67" s="13"/>
      <c r="AD67" s="13"/>
      <c r="AE67" s="13"/>
      <c r="AF67" s="13"/>
      <c r="AG67" s="13"/>
      <c r="AH67" s="13"/>
      <c r="AI67" s="19"/>
      <c r="AJ67" s="14"/>
      <c r="AK67" s="13"/>
      <c r="AL67" s="13"/>
      <c r="AM67" s="13"/>
      <c r="AN67" s="13"/>
      <c r="AO67" s="13"/>
      <c r="AP67" s="20">
        <v>96.29</v>
      </c>
      <c r="AQ67" s="13"/>
      <c r="AR67" s="97"/>
      <c r="AS67" s="21"/>
      <c r="AT67" s="22"/>
      <c r="AU67" s="13"/>
      <c r="AV67" s="13"/>
      <c r="AW67" s="13"/>
      <c r="AX67" s="13"/>
      <c r="AY67" s="13"/>
      <c r="AZ67" s="13"/>
    </row>
    <row r="68" spans="1:52" ht="13.15">
      <c r="A68" s="12"/>
      <c r="B68" s="13"/>
      <c r="C68" s="13"/>
      <c r="D68" s="17"/>
      <c r="E68" s="13"/>
      <c r="F68" s="14"/>
      <c r="G68" s="13"/>
      <c r="H68" s="13"/>
      <c r="I68" s="13"/>
      <c r="J68" s="14"/>
      <c r="K68" s="14"/>
      <c r="L68" s="13"/>
      <c r="M68" s="13"/>
      <c r="N68" s="13"/>
      <c r="O68" s="14"/>
      <c r="P68" s="14" t="s">
        <v>72</v>
      </c>
      <c r="Q68" s="14"/>
      <c r="R68" s="14">
        <v>1</v>
      </c>
      <c r="S68" s="14">
        <v>1</v>
      </c>
      <c r="T68" s="14"/>
      <c r="U68" s="14"/>
      <c r="V68" s="14">
        <f t="shared" si="21"/>
        <v>0</v>
      </c>
      <c r="W68" s="14">
        <f t="shared" si="22"/>
        <v>0</v>
      </c>
      <c r="X68" s="17"/>
      <c r="Y68" s="17"/>
      <c r="Z68" s="17"/>
      <c r="AA68" s="18">
        <v>96.27</v>
      </c>
      <c r="AB68" s="13"/>
      <c r="AC68" s="13"/>
      <c r="AD68" s="13"/>
      <c r="AE68" s="13"/>
      <c r="AF68" s="13"/>
      <c r="AG68" s="13"/>
      <c r="AH68" s="13"/>
      <c r="AI68" s="19"/>
      <c r="AJ68" s="14"/>
      <c r="AK68" s="13"/>
      <c r="AL68" s="13"/>
      <c r="AM68" s="13"/>
      <c r="AN68" s="13"/>
      <c r="AO68" s="13"/>
      <c r="AP68" s="20">
        <v>96.19</v>
      </c>
      <c r="AQ68" s="13"/>
      <c r="AR68" s="97"/>
      <c r="AS68" s="21"/>
      <c r="AT68" s="22"/>
      <c r="AU68" s="13"/>
      <c r="AV68" s="13"/>
      <c r="AW68" s="13"/>
      <c r="AX68" s="13"/>
      <c r="AY68" s="13"/>
      <c r="AZ68" s="13"/>
    </row>
    <row r="69" spans="1:52" ht="13.15">
      <c r="A69" s="12">
        <v>44795</v>
      </c>
      <c r="B69" s="13"/>
      <c r="C69" s="13" t="s">
        <v>109</v>
      </c>
      <c r="D69" s="17"/>
      <c r="E69" s="13"/>
      <c r="F69" s="14" t="s">
        <v>553</v>
      </c>
      <c r="G69" s="13"/>
      <c r="H69" s="13"/>
      <c r="I69" s="13"/>
      <c r="J69" s="14"/>
      <c r="K69" s="14"/>
      <c r="L69" s="13">
        <v>1</v>
      </c>
      <c r="M69" s="13">
        <v>2</v>
      </c>
      <c r="N69" s="13"/>
      <c r="O69" s="14" t="s">
        <v>71</v>
      </c>
      <c r="P69" s="14" t="s">
        <v>72</v>
      </c>
      <c r="Q69" s="14"/>
      <c r="R69" s="14">
        <v>2</v>
      </c>
      <c r="S69" s="14">
        <v>2</v>
      </c>
      <c r="T69" s="14">
        <v>1</v>
      </c>
      <c r="U69" s="14"/>
      <c r="V69" s="14">
        <f t="shared" si="21"/>
        <v>0.01</v>
      </c>
      <c r="W69" s="14">
        <f t="shared" si="22"/>
        <v>1664.9999999999998</v>
      </c>
      <c r="X69" s="17"/>
      <c r="Y69" s="17" t="s">
        <v>1921</v>
      </c>
      <c r="Z69" s="17" t="s">
        <v>1910</v>
      </c>
      <c r="AA69" s="18">
        <v>5.0000000000000001E-3</v>
      </c>
      <c r="AB69" s="13"/>
      <c r="AC69" s="13">
        <v>-0.01</v>
      </c>
      <c r="AD69" s="13"/>
      <c r="AE69" s="13" t="s">
        <v>1922</v>
      </c>
      <c r="AF69" s="13"/>
      <c r="AG69" s="13"/>
      <c r="AH69" s="13"/>
      <c r="AI69" s="19"/>
      <c r="AJ69" s="14"/>
      <c r="AK69" s="13" t="s">
        <v>1923</v>
      </c>
      <c r="AL69" s="13"/>
      <c r="AM69" s="13"/>
      <c r="AN69" s="13"/>
      <c r="AO69" s="13"/>
      <c r="AP69" s="20"/>
      <c r="AQ69" s="13"/>
      <c r="AR69" s="97"/>
      <c r="AS69" s="21"/>
      <c r="AT69" s="22"/>
      <c r="AU69" s="103" t="s">
        <v>1924</v>
      </c>
      <c r="AV69" s="13" t="s">
        <v>1925</v>
      </c>
      <c r="AW69" s="13" t="s">
        <v>1926</v>
      </c>
      <c r="AX69" s="13" t="s">
        <v>1927</v>
      </c>
      <c r="AY69" s="13"/>
      <c r="AZ69" s="13"/>
    </row>
    <row r="70" spans="1:52" ht="13.15">
      <c r="A70" s="12"/>
      <c r="B70" s="13"/>
      <c r="C70" s="13"/>
      <c r="D70" s="17"/>
      <c r="E70" s="13"/>
      <c r="F70" s="14"/>
      <c r="G70" s="13"/>
      <c r="H70" s="13"/>
      <c r="I70" s="13"/>
      <c r="J70" s="14"/>
      <c r="K70" s="14"/>
      <c r="L70" s="13"/>
      <c r="M70" s="13"/>
      <c r="N70" s="13"/>
      <c r="O70" s="14" t="s">
        <v>71</v>
      </c>
      <c r="P70" s="14" t="s">
        <v>72</v>
      </c>
      <c r="Q70" s="14"/>
      <c r="R70" s="14">
        <v>2</v>
      </c>
      <c r="S70" s="14">
        <v>2</v>
      </c>
      <c r="T70" s="14">
        <v>1</v>
      </c>
      <c r="U70" s="14" t="s">
        <v>21</v>
      </c>
      <c r="V70" s="14">
        <f t="shared" si="21"/>
        <v>0.01</v>
      </c>
      <c r="W70" s="14">
        <f t="shared" si="22"/>
        <v>1664.9999999999998</v>
      </c>
      <c r="X70" s="17"/>
      <c r="Y70" s="17"/>
      <c r="Z70" s="17"/>
      <c r="AA70" s="18"/>
      <c r="AB70" s="13"/>
      <c r="AC70" s="13"/>
      <c r="AD70" s="13"/>
      <c r="AE70" s="13"/>
      <c r="AF70" s="13"/>
      <c r="AG70" s="13"/>
      <c r="AH70" s="13"/>
      <c r="AI70" s="19"/>
      <c r="AJ70" s="14"/>
      <c r="AK70" s="13"/>
      <c r="AL70" s="13"/>
      <c r="AM70" s="13"/>
      <c r="AN70" s="13"/>
      <c r="AO70" s="13"/>
      <c r="AP70" s="20"/>
      <c r="AQ70" s="13"/>
      <c r="AR70" s="97"/>
      <c r="AS70" s="21"/>
      <c r="AT70" s="22"/>
      <c r="AU70" s="13"/>
      <c r="AV70" s="62"/>
      <c r="AW70" s="13"/>
      <c r="AX70" s="13"/>
      <c r="AY70" s="13"/>
      <c r="AZ70" s="13"/>
    </row>
    <row r="71" spans="1:52" ht="13.15">
      <c r="A71" s="12">
        <v>44795</v>
      </c>
      <c r="B71" s="13"/>
      <c r="C71" s="13" t="s">
        <v>109</v>
      </c>
      <c r="D71" s="17"/>
      <c r="E71" s="13"/>
      <c r="F71" s="14" t="s">
        <v>1821</v>
      </c>
      <c r="G71" s="13"/>
      <c r="H71" s="13"/>
      <c r="I71" s="13"/>
      <c r="J71" s="14"/>
      <c r="K71" s="14"/>
      <c r="L71" s="13"/>
      <c r="M71" s="13"/>
      <c r="N71" s="13"/>
      <c r="O71" s="14" t="s">
        <v>71</v>
      </c>
      <c r="P71" s="14" t="s">
        <v>114</v>
      </c>
      <c r="Q71" s="14" t="s">
        <v>661</v>
      </c>
      <c r="R71" s="14">
        <v>2</v>
      </c>
      <c r="S71" s="14">
        <v>2</v>
      </c>
      <c r="T71" s="14">
        <v>1</v>
      </c>
      <c r="U71" s="14" t="s">
        <v>73</v>
      </c>
      <c r="V71" s="14">
        <f t="shared" si="21"/>
        <v>0.01</v>
      </c>
      <c r="W71" s="14">
        <f t="shared" si="22"/>
        <v>1664.9999999999998</v>
      </c>
      <c r="X71" s="17"/>
      <c r="Y71" s="17"/>
      <c r="Z71" s="17"/>
      <c r="AA71" s="18">
        <v>96.034999999999997</v>
      </c>
      <c r="AB71" s="13"/>
      <c r="AC71" s="13"/>
      <c r="AD71" s="13"/>
      <c r="AE71" s="13"/>
      <c r="AF71" s="13"/>
      <c r="AG71" s="13"/>
      <c r="AH71" s="13"/>
      <c r="AI71" s="19"/>
      <c r="AJ71" s="14"/>
      <c r="AK71" s="13"/>
      <c r="AL71" s="13"/>
      <c r="AM71" s="13" t="s">
        <v>135</v>
      </c>
      <c r="AN71" s="13" t="s">
        <v>82</v>
      </c>
      <c r="AO71" s="13"/>
      <c r="AP71" s="20">
        <v>96.04</v>
      </c>
      <c r="AQ71" s="20">
        <f>IF(ISBLANK(AP71),,IF(U71="S",AA71-AP71,AP71-AA71))</f>
        <v>-5.0000000000096634E-3</v>
      </c>
      <c r="AR71" s="97">
        <f>AS71*R71</f>
        <v>-16.650000000032176</v>
      </c>
      <c r="AS71" s="21">
        <f>IF(ISBLANK(AP71),,(AQ71*W71))</f>
        <v>-8.3250000000160878</v>
      </c>
      <c r="AT71" s="22" t="s">
        <v>206</v>
      </c>
      <c r="AU71" s="13" t="s">
        <v>1928</v>
      </c>
      <c r="AV71" s="13" t="s">
        <v>1929</v>
      </c>
      <c r="AW71" s="13"/>
      <c r="AX71" s="13"/>
      <c r="AY71" s="13"/>
      <c r="AZ71" s="13"/>
    </row>
    <row r="72" spans="1:52" ht="13.15">
      <c r="A72" s="12">
        <v>44795</v>
      </c>
      <c r="B72" s="13"/>
      <c r="C72" s="13" t="s">
        <v>109</v>
      </c>
      <c r="D72" s="17"/>
      <c r="E72" s="13"/>
      <c r="F72" s="14" t="s">
        <v>1752</v>
      </c>
      <c r="G72" s="13"/>
      <c r="H72" s="13"/>
      <c r="I72" s="13"/>
      <c r="J72" s="14"/>
      <c r="K72" s="14"/>
      <c r="L72" s="13"/>
      <c r="M72" s="13">
        <v>3</v>
      </c>
      <c r="N72" s="13">
        <v>3</v>
      </c>
      <c r="O72" s="14" t="s">
        <v>71</v>
      </c>
      <c r="P72" s="14" t="s">
        <v>72</v>
      </c>
      <c r="Q72" s="14"/>
      <c r="R72" s="14">
        <v>2</v>
      </c>
      <c r="S72" s="14">
        <v>2</v>
      </c>
      <c r="T72" s="14">
        <v>2</v>
      </c>
      <c r="U72" s="14" t="s">
        <v>73</v>
      </c>
      <c r="V72" s="14">
        <f t="shared" si="21"/>
        <v>0.01</v>
      </c>
      <c r="W72" s="14">
        <f t="shared" si="22"/>
        <v>1664.9999999999998</v>
      </c>
      <c r="X72" s="17"/>
      <c r="Y72" s="17"/>
      <c r="Z72" s="17"/>
      <c r="AA72" s="18"/>
      <c r="AB72" s="13"/>
      <c r="AC72" s="13"/>
      <c r="AD72" s="13"/>
      <c r="AE72" s="13"/>
      <c r="AF72" s="13"/>
      <c r="AG72" s="13"/>
      <c r="AH72" s="13"/>
      <c r="AI72" s="19"/>
      <c r="AJ72" s="14"/>
      <c r="AK72" s="13"/>
      <c r="AL72" s="13"/>
      <c r="AM72" s="13"/>
      <c r="AN72" s="13"/>
      <c r="AO72" s="13"/>
      <c r="AP72" s="20"/>
      <c r="AQ72" s="13"/>
      <c r="AR72" s="97"/>
      <c r="AS72" s="21"/>
      <c r="AT72" s="22"/>
      <c r="AU72" s="13"/>
      <c r="AV72" s="13"/>
      <c r="AW72" s="13"/>
      <c r="AX72" s="13"/>
      <c r="AY72" s="13"/>
      <c r="AZ72" s="13"/>
    </row>
    <row r="73" spans="1:52" ht="13.15">
      <c r="A73" s="12"/>
      <c r="B73" s="13"/>
      <c r="C73" s="13"/>
      <c r="D73" s="17"/>
      <c r="E73" s="13"/>
      <c r="F73" s="14" t="s">
        <v>1908</v>
      </c>
      <c r="G73" s="13"/>
      <c r="H73" s="13"/>
      <c r="I73" s="13"/>
      <c r="J73" s="14"/>
      <c r="K73" s="14"/>
      <c r="L73" s="13"/>
      <c r="M73" s="13"/>
      <c r="N73" s="13"/>
      <c r="O73" s="14" t="s">
        <v>71</v>
      </c>
      <c r="P73" s="14" t="s">
        <v>72</v>
      </c>
      <c r="Q73" s="14"/>
      <c r="R73" s="14">
        <v>2</v>
      </c>
      <c r="S73" s="14">
        <v>2</v>
      </c>
      <c r="T73" s="14">
        <v>2</v>
      </c>
      <c r="U73" s="14" t="s">
        <v>73</v>
      </c>
      <c r="V73" s="14">
        <f t="shared" si="21"/>
        <v>0.01</v>
      </c>
      <c r="W73" s="14">
        <f t="shared" si="22"/>
        <v>1664.9999999999998</v>
      </c>
      <c r="X73" s="17" t="s">
        <v>1930</v>
      </c>
      <c r="Y73" s="17" t="s">
        <v>1931</v>
      </c>
      <c r="Z73" s="17"/>
      <c r="AA73" s="18">
        <v>0.1</v>
      </c>
      <c r="AB73" s="13" t="s">
        <v>1932</v>
      </c>
      <c r="AC73" s="13"/>
      <c r="AD73" s="13"/>
      <c r="AE73" s="13" t="s">
        <v>1933</v>
      </c>
      <c r="AF73" s="13"/>
      <c r="AG73" s="13"/>
      <c r="AH73" s="13"/>
      <c r="AI73" s="19"/>
      <c r="AJ73" s="14"/>
      <c r="AK73" s="13" t="s">
        <v>1934</v>
      </c>
      <c r="AL73" s="13"/>
      <c r="AM73" s="13"/>
      <c r="AN73" s="13"/>
      <c r="AO73" s="13"/>
      <c r="AP73" s="20"/>
      <c r="AQ73" s="13"/>
      <c r="AR73" s="97"/>
      <c r="AS73" s="21"/>
      <c r="AT73" s="22"/>
      <c r="AU73" s="13"/>
      <c r="AV73" s="13"/>
      <c r="AW73" s="13"/>
      <c r="AX73" s="13"/>
      <c r="AY73" s="13"/>
      <c r="AZ73" s="13"/>
    </row>
    <row r="74" spans="1:52" ht="13.15">
      <c r="A74" s="12">
        <v>44796</v>
      </c>
      <c r="B74" s="13"/>
      <c r="C74" s="13" t="s">
        <v>123</v>
      </c>
      <c r="D74" s="17"/>
      <c r="E74" s="13"/>
      <c r="F74" s="14" t="s">
        <v>1908</v>
      </c>
      <c r="G74" s="13"/>
      <c r="H74" s="13"/>
      <c r="I74" s="13"/>
      <c r="J74" s="14"/>
      <c r="K74" s="14"/>
      <c r="L74" s="13"/>
      <c r="M74" s="13">
        <v>3</v>
      </c>
      <c r="N74" s="13">
        <v>2</v>
      </c>
      <c r="O74" s="14" t="s">
        <v>71</v>
      </c>
      <c r="P74" s="14" t="s">
        <v>72</v>
      </c>
      <c r="Q74" s="14"/>
      <c r="R74" s="14">
        <v>4</v>
      </c>
      <c r="S74" s="14">
        <v>4</v>
      </c>
      <c r="T74" s="14">
        <v>2</v>
      </c>
      <c r="U74" s="14" t="s">
        <v>73</v>
      </c>
      <c r="V74" s="14">
        <f t="shared" si="21"/>
        <v>0.01</v>
      </c>
      <c r="W74" s="14">
        <f t="shared" si="22"/>
        <v>1664.9999999999998</v>
      </c>
      <c r="X74" s="17" t="s">
        <v>1935</v>
      </c>
      <c r="Y74" s="17" t="s">
        <v>1936</v>
      </c>
      <c r="Z74" s="17"/>
      <c r="AA74" s="18">
        <v>0.12</v>
      </c>
      <c r="AB74" s="13" t="s">
        <v>1937</v>
      </c>
      <c r="AC74" s="13">
        <v>0.14000000000000001</v>
      </c>
      <c r="AD74" s="13"/>
      <c r="AE74" s="13" t="s">
        <v>1938</v>
      </c>
      <c r="AF74" s="13" t="s">
        <v>1939</v>
      </c>
      <c r="AG74" s="13"/>
      <c r="AH74" s="13"/>
      <c r="AI74" s="19"/>
      <c r="AJ74" s="14"/>
      <c r="AK74" s="13" t="s">
        <v>1940</v>
      </c>
      <c r="AL74" s="13" t="s">
        <v>1941</v>
      </c>
      <c r="AM74" s="13"/>
      <c r="AN74" s="13"/>
      <c r="AO74" s="13"/>
      <c r="AP74" s="20"/>
      <c r="AQ74" s="13"/>
      <c r="AR74" s="97"/>
      <c r="AS74" s="21"/>
      <c r="AT74" s="22"/>
      <c r="AU74" s="13" t="s">
        <v>1942</v>
      </c>
      <c r="AV74" s="13" t="s">
        <v>1943</v>
      </c>
      <c r="AW74" s="13" t="s">
        <v>1944</v>
      </c>
      <c r="AX74" s="13" t="s">
        <v>1945</v>
      </c>
      <c r="AY74" s="13"/>
      <c r="AZ74" s="13"/>
    </row>
    <row r="75" spans="1:52" ht="13.15">
      <c r="A75" s="12">
        <v>44796</v>
      </c>
      <c r="B75" s="13"/>
      <c r="C75" s="13" t="s">
        <v>123</v>
      </c>
      <c r="D75" s="17"/>
      <c r="E75" s="13"/>
      <c r="F75" s="14" t="s">
        <v>1908</v>
      </c>
      <c r="G75" s="13"/>
      <c r="H75" s="13"/>
      <c r="I75" s="13"/>
      <c r="J75" s="14"/>
      <c r="K75" s="14"/>
      <c r="L75" s="13"/>
      <c r="M75" s="13">
        <v>3</v>
      </c>
      <c r="N75" s="13">
        <v>2</v>
      </c>
      <c r="O75" s="14" t="s">
        <v>71</v>
      </c>
      <c r="P75" s="14" t="s">
        <v>72</v>
      </c>
      <c r="Q75" s="14"/>
      <c r="R75" s="14">
        <v>2</v>
      </c>
      <c r="S75" s="14">
        <v>2</v>
      </c>
      <c r="T75" s="14">
        <v>2</v>
      </c>
      <c r="U75" s="14" t="s">
        <v>73</v>
      </c>
      <c r="V75" s="14">
        <f t="shared" si="21"/>
        <v>0.01</v>
      </c>
      <c r="W75" s="14">
        <f t="shared" si="22"/>
        <v>1664.9999999999998</v>
      </c>
      <c r="X75" s="17" t="s">
        <v>1935</v>
      </c>
      <c r="Y75" s="17" t="s">
        <v>1936</v>
      </c>
      <c r="Z75" s="17"/>
      <c r="AA75" s="18">
        <v>0.14000000000000001</v>
      </c>
      <c r="AB75" s="13"/>
      <c r="AC75" s="13">
        <v>0.18</v>
      </c>
      <c r="AD75" s="13"/>
      <c r="AE75" s="13" t="s">
        <v>1946</v>
      </c>
      <c r="AF75" s="13" t="s">
        <v>1947</v>
      </c>
      <c r="AG75" s="13"/>
      <c r="AH75" s="13">
        <f>4/4</f>
        <v>1</v>
      </c>
      <c r="AI75" s="19"/>
      <c r="AJ75" s="14"/>
      <c r="AK75" s="13" t="s">
        <v>425</v>
      </c>
      <c r="AL75" s="13"/>
      <c r="AM75" s="13"/>
      <c r="AN75" s="13"/>
      <c r="AO75" s="13"/>
      <c r="AP75" s="20"/>
      <c r="AQ75" s="13"/>
      <c r="AR75" s="97"/>
      <c r="AS75" s="21"/>
      <c r="AT75" s="22"/>
      <c r="AU75" s="13" t="s">
        <v>1948</v>
      </c>
      <c r="AV75" s="13" t="s">
        <v>1949</v>
      </c>
      <c r="AW75" s="13" t="s">
        <v>1950</v>
      </c>
      <c r="AX75" s="13" t="s">
        <v>1951</v>
      </c>
      <c r="AY75" s="13"/>
      <c r="AZ75" s="13"/>
    </row>
    <row r="76" spans="1:52" ht="13.15">
      <c r="A76" s="12">
        <v>44797</v>
      </c>
      <c r="B76" s="13"/>
      <c r="C76" s="13" t="s">
        <v>128</v>
      </c>
      <c r="D76" s="17"/>
      <c r="E76" s="13"/>
      <c r="F76" s="14" t="s">
        <v>1908</v>
      </c>
      <c r="G76" s="13"/>
      <c r="H76" s="13"/>
      <c r="I76" s="13"/>
      <c r="J76" s="14"/>
      <c r="K76" s="14"/>
      <c r="L76" s="13"/>
      <c r="M76" s="13">
        <v>3</v>
      </c>
      <c r="N76" s="13">
        <v>2</v>
      </c>
      <c r="O76" s="14" t="s">
        <v>71</v>
      </c>
      <c r="P76" s="14" t="s">
        <v>72</v>
      </c>
      <c r="Q76" s="14" t="s">
        <v>73</v>
      </c>
      <c r="R76" s="14">
        <v>6</v>
      </c>
      <c r="S76" s="14">
        <v>6</v>
      </c>
      <c r="T76" s="14">
        <v>2</v>
      </c>
      <c r="U76" s="14" t="s">
        <v>73</v>
      </c>
      <c r="V76" s="14">
        <f t="shared" si="21"/>
        <v>0.01</v>
      </c>
      <c r="W76" s="14">
        <f t="shared" si="22"/>
        <v>1664.9999999999998</v>
      </c>
      <c r="X76" s="17" t="s">
        <v>1935</v>
      </c>
      <c r="Y76" s="17" t="s">
        <v>1936</v>
      </c>
      <c r="Z76" s="17"/>
      <c r="AA76" s="18">
        <v>0.12667</v>
      </c>
      <c r="AB76" s="13"/>
      <c r="AC76" s="13">
        <v>0.16</v>
      </c>
      <c r="AD76" s="13"/>
      <c r="AE76" s="13" t="s">
        <v>1952</v>
      </c>
      <c r="AF76" s="13" t="s">
        <v>1947</v>
      </c>
      <c r="AG76" s="13"/>
      <c r="AH76" s="13">
        <v>1</v>
      </c>
      <c r="AI76" s="19"/>
      <c r="AJ76" s="14"/>
      <c r="AK76" s="13" t="s">
        <v>425</v>
      </c>
      <c r="AL76" s="13"/>
      <c r="AM76" s="13" t="s">
        <v>1953</v>
      </c>
      <c r="AN76" s="13" t="s">
        <v>82</v>
      </c>
      <c r="AO76" s="13"/>
      <c r="AP76" s="20">
        <v>0.16</v>
      </c>
      <c r="AQ76" s="20">
        <f>IF(ISBLANK(AP76),,IF(U76="S",AA76-AP76,AP76-AA76))</f>
        <v>-3.3329999999999999E-2</v>
      </c>
      <c r="AR76" s="97">
        <f>AS76*R76</f>
        <v>-332.96669999999995</v>
      </c>
      <c r="AS76" s="21">
        <f>IF(ISBLANK(AP76),,(AQ76*W76))</f>
        <v>-55.494449999999993</v>
      </c>
      <c r="AT76" s="22" t="s">
        <v>206</v>
      </c>
      <c r="AU76" s="13" t="s">
        <v>1954</v>
      </c>
      <c r="AV76" s="13" t="s">
        <v>1955</v>
      </c>
      <c r="AW76" s="13"/>
      <c r="AX76" s="13" t="s">
        <v>1956</v>
      </c>
      <c r="AY76" s="103" t="s">
        <v>1957</v>
      </c>
      <c r="AZ76" s="13"/>
    </row>
    <row r="77" spans="1:52" ht="13.15">
      <c r="A77" s="12">
        <v>44797</v>
      </c>
      <c r="B77" s="13"/>
      <c r="C77" s="13" t="s">
        <v>128</v>
      </c>
      <c r="D77" s="17"/>
      <c r="E77" s="13"/>
      <c r="F77" s="14" t="s">
        <v>1908</v>
      </c>
      <c r="G77" s="13"/>
      <c r="H77" s="13"/>
      <c r="I77" s="13"/>
      <c r="J77" s="14"/>
      <c r="K77" s="14"/>
      <c r="L77" s="13"/>
      <c r="M77" s="13"/>
      <c r="N77" s="13"/>
      <c r="O77" s="14"/>
      <c r="P77" s="14"/>
      <c r="Q77" s="14"/>
      <c r="R77" s="14"/>
      <c r="S77" s="14"/>
      <c r="T77" s="14"/>
      <c r="U77" s="14"/>
      <c r="V77" s="14">
        <f t="shared" si="21"/>
        <v>0</v>
      </c>
      <c r="W77" s="14">
        <f t="shared" si="22"/>
        <v>0</v>
      </c>
      <c r="X77" s="17"/>
      <c r="Y77" s="17"/>
      <c r="Z77" s="17"/>
      <c r="AA77" s="18">
        <v>0.15</v>
      </c>
      <c r="AB77" s="13"/>
      <c r="AC77" s="13"/>
      <c r="AD77" s="13"/>
      <c r="AE77" s="13"/>
      <c r="AF77" s="13"/>
      <c r="AG77" s="13"/>
      <c r="AH77" s="13"/>
      <c r="AI77" s="19"/>
      <c r="AJ77" s="14"/>
      <c r="AK77" s="13"/>
      <c r="AL77" s="13"/>
      <c r="AM77" s="13"/>
      <c r="AN77" s="13"/>
      <c r="AO77" s="13"/>
      <c r="AP77" s="20">
        <v>0.14000000000000001</v>
      </c>
      <c r="AQ77" s="13"/>
      <c r="AR77" s="97"/>
      <c r="AS77" s="21"/>
      <c r="AT77" s="22"/>
      <c r="AU77" s="13" t="s">
        <v>1958</v>
      </c>
      <c r="AV77" s="13" t="s">
        <v>1959</v>
      </c>
      <c r="AW77" s="13" t="s">
        <v>1960</v>
      </c>
      <c r="AX77" s="13" t="s">
        <v>1961</v>
      </c>
      <c r="AY77" s="13"/>
      <c r="AZ77" s="13"/>
    </row>
    <row r="78" spans="1:52" ht="13.15">
      <c r="A78" s="12"/>
      <c r="B78" s="13"/>
      <c r="C78" s="13"/>
      <c r="D78" s="17"/>
      <c r="E78" s="13"/>
      <c r="F78" s="14"/>
      <c r="G78" s="13"/>
      <c r="H78" s="13"/>
      <c r="I78" s="13"/>
      <c r="J78" s="14"/>
      <c r="K78" s="14"/>
      <c r="L78" s="13"/>
      <c r="M78" s="13"/>
      <c r="N78" s="13"/>
      <c r="O78" s="14"/>
      <c r="P78" s="14"/>
      <c r="Q78" s="14"/>
      <c r="R78" s="14"/>
      <c r="S78" s="14"/>
      <c r="T78" s="14"/>
      <c r="U78" s="14"/>
      <c r="V78" s="14">
        <f t="shared" si="21"/>
        <v>0</v>
      </c>
      <c r="W78" s="14">
        <f t="shared" si="22"/>
        <v>0</v>
      </c>
      <c r="X78" s="17"/>
      <c r="Y78" s="17"/>
      <c r="Z78" s="17"/>
      <c r="AA78" s="18"/>
      <c r="AB78" s="13"/>
      <c r="AC78" s="13"/>
      <c r="AD78" s="13"/>
      <c r="AE78" s="13"/>
      <c r="AF78" s="13"/>
      <c r="AG78" s="13"/>
      <c r="AH78" s="13"/>
      <c r="AI78" s="19"/>
      <c r="AJ78" s="14"/>
      <c r="AK78" s="13"/>
      <c r="AL78" s="13"/>
      <c r="AM78" s="13"/>
      <c r="AN78" s="13"/>
      <c r="AO78" s="13"/>
      <c r="AP78" s="20"/>
      <c r="AQ78" s="13"/>
      <c r="AR78" s="97"/>
      <c r="AS78" s="21"/>
      <c r="AT78" s="22"/>
      <c r="AU78" s="17" t="s">
        <v>1962</v>
      </c>
      <c r="AV78" s="13"/>
      <c r="AW78" s="13"/>
      <c r="AX78" s="13"/>
      <c r="AY78" s="13"/>
      <c r="AZ78" s="13"/>
    </row>
    <row r="79" spans="1:52" ht="13.15">
      <c r="A79" s="12">
        <v>44797</v>
      </c>
      <c r="B79" s="13"/>
      <c r="C79" s="13" t="s">
        <v>128</v>
      </c>
      <c r="D79" s="17"/>
      <c r="E79" s="13"/>
      <c r="F79" s="14" t="s">
        <v>1908</v>
      </c>
      <c r="G79" s="13"/>
      <c r="H79" s="13"/>
      <c r="I79" s="13"/>
      <c r="J79" s="14"/>
      <c r="K79" s="14"/>
      <c r="L79" s="13">
        <v>1</v>
      </c>
      <c r="M79" s="13">
        <v>3</v>
      </c>
      <c r="N79" s="13">
        <v>1</v>
      </c>
      <c r="O79" s="14" t="s">
        <v>71</v>
      </c>
      <c r="P79" s="14" t="s">
        <v>72</v>
      </c>
      <c r="Q79" s="14" t="s">
        <v>73</v>
      </c>
      <c r="R79" s="14">
        <v>3</v>
      </c>
      <c r="S79" s="14">
        <v>3</v>
      </c>
      <c r="T79" s="14">
        <v>1</v>
      </c>
      <c r="U79" s="14" t="s">
        <v>73</v>
      </c>
      <c r="V79" s="14">
        <f t="shared" si="21"/>
        <v>0.01</v>
      </c>
      <c r="W79" s="14">
        <f t="shared" si="22"/>
        <v>1664.9999999999998</v>
      </c>
      <c r="X79" s="17" t="s">
        <v>1963</v>
      </c>
      <c r="Y79" s="17" t="s">
        <v>1936</v>
      </c>
      <c r="Z79" s="17"/>
      <c r="AA79" s="18">
        <v>0.14499999999999999</v>
      </c>
      <c r="AB79" s="13" t="s">
        <v>1964</v>
      </c>
      <c r="AC79" s="13" t="s">
        <v>1965</v>
      </c>
      <c r="AD79" s="13" t="s">
        <v>1966</v>
      </c>
      <c r="AE79" s="13">
        <v>0.04</v>
      </c>
      <c r="AF79" s="13" t="s">
        <v>1967</v>
      </c>
      <c r="AG79" s="13"/>
      <c r="AH79" s="13">
        <f>10/4</f>
        <v>2.5</v>
      </c>
      <c r="AI79" s="19"/>
      <c r="AJ79" s="14"/>
      <c r="AK79" s="13" t="s">
        <v>1968</v>
      </c>
      <c r="AL79" s="13" t="s">
        <v>1969</v>
      </c>
      <c r="AM79" s="13" t="s">
        <v>1747</v>
      </c>
      <c r="AN79" s="13" t="s">
        <v>92</v>
      </c>
      <c r="AO79" s="35">
        <v>44802</v>
      </c>
      <c r="AP79" s="20">
        <v>0.2</v>
      </c>
      <c r="AQ79" s="20">
        <f t="shared" ref="AQ79:AQ82" si="26">IF(ISBLANK(AP79),,IF(U79="S",AA79-AP79,AP79-AA79))</f>
        <v>-5.5000000000000021E-2</v>
      </c>
      <c r="AR79" s="97">
        <f t="shared" ref="AR79:AR82" si="27">AS79*R79</f>
        <v>-274.72500000000002</v>
      </c>
      <c r="AS79" s="21">
        <f t="shared" ref="AS79:AS82" si="28">IF(ISBLANK(AP79),,(AQ79*W79))</f>
        <v>-91.575000000000017</v>
      </c>
      <c r="AT79" s="22" t="s">
        <v>206</v>
      </c>
      <c r="AU79" s="13" t="s">
        <v>1970</v>
      </c>
      <c r="AV79" s="13" t="s">
        <v>1971</v>
      </c>
      <c r="AW79" s="13" t="s">
        <v>1972</v>
      </c>
      <c r="AX79" s="13" t="s">
        <v>1973</v>
      </c>
      <c r="AY79" s="13" t="s">
        <v>1974</v>
      </c>
      <c r="AZ79" s="13"/>
    </row>
    <row r="80" spans="1:52" ht="13.15">
      <c r="A80" s="12">
        <v>44798</v>
      </c>
      <c r="B80" s="13"/>
      <c r="C80" s="13" t="s">
        <v>69</v>
      </c>
      <c r="D80" s="17"/>
      <c r="E80" s="13"/>
      <c r="F80" s="14" t="s">
        <v>70</v>
      </c>
      <c r="G80" s="13"/>
      <c r="H80" s="13"/>
      <c r="I80" s="13"/>
      <c r="J80" s="14"/>
      <c r="K80" s="14"/>
      <c r="L80" s="13">
        <v>1</v>
      </c>
      <c r="M80" s="13"/>
      <c r="N80" s="13"/>
      <c r="O80" s="14" t="s">
        <v>71</v>
      </c>
      <c r="P80" s="14" t="s">
        <v>114</v>
      </c>
      <c r="Q80" s="14" t="s">
        <v>73</v>
      </c>
      <c r="R80" s="14">
        <v>1</v>
      </c>
      <c r="S80" s="14">
        <v>1</v>
      </c>
      <c r="T80" s="14">
        <v>1</v>
      </c>
      <c r="U80" s="14" t="s">
        <v>21</v>
      </c>
      <c r="V80" s="14">
        <f t="shared" si="21"/>
        <v>0.01</v>
      </c>
      <c r="W80" s="14">
        <f t="shared" si="22"/>
        <v>1664.9999999999998</v>
      </c>
      <c r="X80" s="17"/>
      <c r="Y80" s="17"/>
      <c r="Z80" s="17" t="s">
        <v>1975</v>
      </c>
      <c r="AA80" s="18">
        <v>-7.0000000000000007E-2</v>
      </c>
      <c r="AB80" s="13" t="s">
        <v>75</v>
      </c>
      <c r="AC80" s="13"/>
      <c r="AD80" s="13"/>
      <c r="AE80" s="13">
        <v>-0.06</v>
      </c>
      <c r="AF80" s="13" t="s">
        <v>75</v>
      </c>
      <c r="AG80" s="13"/>
      <c r="AH80" s="13"/>
      <c r="AI80" s="19"/>
      <c r="AJ80" s="14"/>
      <c r="AK80" s="13" t="s">
        <v>1825</v>
      </c>
      <c r="AL80" s="13"/>
      <c r="AM80" s="13"/>
      <c r="AN80" s="13" t="s">
        <v>82</v>
      </c>
      <c r="AO80" s="13"/>
      <c r="AP80" s="20">
        <v>-0.08</v>
      </c>
      <c r="AQ80" s="20">
        <f t="shared" si="26"/>
        <v>-9.999999999999995E-3</v>
      </c>
      <c r="AR80" s="97">
        <f t="shared" si="27"/>
        <v>-16.649999999999988</v>
      </c>
      <c r="AS80" s="21">
        <f t="shared" si="28"/>
        <v>-16.649999999999988</v>
      </c>
      <c r="AT80" s="22" t="s">
        <v>206</v>
      </c>
      <c r="AU80" s="13" t="s">
        <v>1976</v>
      </c>
      <c r="AV80" s="13" t="s">
        <v>1977</v>
      </c>
      <c r="AW80" s="13" t="s">
        <v>1978</v>
      </c>
      <c r="AX80" s="13" t="s">
        <v>1979</v>
      </c>
      <c r="AY80" s="13"/>
      <c r="AZ80" s="13"/>
    </row>
    <row r="81" spans="1:52" ht="13.15">
      <c r="A81" s="12">
        <v>44799</v>
      </c>
      <c r="B81" s="13"/>
      <c r="C81" s="13" t="s">
        <v>88</v>
      </c>
      <c r="D81" s="17"/>
      <c r="E81" s="13"/>
      <c r="F81" s="14" t="s">
        <v>70</v>
      </c>
      <c r="G81" s="13"/>
      <c r="H81" s="13"/>
      <c r="I81" s="13"/>
      <c r="J81" s="14" t="s">
        <v>92</v>
      </c>
      <c r="K81" s="14"/>
      <c r="L81" s="13">
        <v>1</v>
      </c>
      <c r="M81" s="13"/>
      <c r="N81" s="13"/>
      <c r="O81" s="14" t="s">
        <v>71</v>
      </c>
      <c r="P81" s="14" t="s">
        <v>114</v>
      </c>
      <c r="Q81" s="14" t="s">
        <v>73</v>
      </c>
      <c r="R81" s="14">
        <v>1</v>
      </c>
      <c r="S81" s="14">
        <v>1</v>
      </c>
      <c r="T81" s="14">
        <v>1</v>
      </c>
      <c r="U81" s="14" t="s">
        <v>73</v>
      </c>
      <c r="V81" s="14">
        <f t="shared" si="21"/>
        <v>0.01</v>
      </c>
      <c r="W81" s="14">
        <f t="shared" si="22"/>
        <v>1664.9999999999998</v>
      </c>
      <c r="X81" s="17"/>
      <c r="Y81" s="17"/>
      <c r="Z81" s="17" t="s">
        <v>1975</v>
      </c>
      <c r="AA81" s="18">
        <v>-0.06</v>
      </c>
      <c r="AB81" s="13" t="s">
        <v>75</v>
      </c>
      <c r="AC81" s="13"/>
      <c r="AD81" s="13"/>
      <c r="AE81" s="13"/>
      <c r="AF81" s="13" t="s">
        <v>75</v>
      </c>
      <c r="AG81" s="13"/>
      <c r="AH81" s="13"/>
      <c r="AI81" s="19"/>
      <c r="AJ81" s="14"/>
      <c r="AK81" s="13" t="s">
        <v>1980</v>
      </c>
      <c r="AL81" s="13"/>
      <c r="AM81" s="13"/>
      <c r="AN81" s="13" t="s">
        <v>82</v>
      </c>
      <c r="AO81" s="13"/>
      <c r="AP81" s="20">
        <v>-7.0000000000000007E-2</v>
      </c>
      <c r="AQ81" s="20">
        <f t="shared" si="26"/>
        <v>1.0000000000000009E-2</v>
      </c>
      <c r="AR81" s="97">
        <f t="shared" si="27"/>
        <v>16.650000000000013</v>
      </c>
      <c r="AS81" s="21">
        <f t="shared" si="28"/>
        <v>16.650000000000013</v>
      </c>
      <c r="AT81" s="22" t="s">
        <v>72</v>
      </c>
      <c r="AU81" s="13" t="s">
        <v>1981</v>
      </c>
      <c r="AV81" s="13" t="s">
        <v>1982</v>
      </c>
      <c r="AW81" s="13" t="s">
        <v>1983</v>
      </c>
      <c r="AX81" s="13" t="s">
        <v>1984</v>
      </c>
      <c r="AY81" s="13" t="s">
        <v>1985</v>
      </c>
      <c r="AZ81" s="13" t="s">
        <v>1986</v>
      </c>
    </row>
    <row r="82" spans="1:52" ht="13.15">
      <c r="A82" s="12">
        <v>44799</v>
      </c>
      <c r="B82" s="13"/>
      <c r="C82" s="13" t="s">
        <v>88</v>
      </c>
      <c r="D82" s="17"/>
      <c r="E82" s="13"/>
      <c r="F82" s="14" t="s">
        <v>70</v>
      </c>
      <c r="G82" s="13"/>
      <c r="H82" s="13"/>
      <c r="I82" s="13"/>
      <c r="J82" s="14" t="s">
        <v>82</v>
      </c>
      <c r="K82" s="14"/>
      <c r="L82" s="13">
        <v>1</v>
      </c>
      <c r="M82" s="13"/>
      <c r="N82" s="13"/>
      <c r="O82" s="14" t="s">
        <v>71</v>
      </c>
      <c r="P82" s="14" t="s">
        <v>114</v>
      </c>
      <c r="Q82" s="14" t="s">
        <v>73</v>
      </c>
      <c r="R82" s="14">
        <v>1</v>
      </c>
      <c r="S82" s="14">
        <v>1</v>
      </c>
      <c r="T82" s="14">
        <v>1</v>
      </c>
      <c r="U82" s="14" t="s">
        <v>73</v>
      </c>
      <c r="V82" s="14">
        <f t="shared" si="21"/>
        <v>0.01</v>
      </c>
      <c r="W82" s="14">
        <f t="shared" si="22"/>
        <v>1664.9999999999998</v>
      </c>
      <c r="X82" s="17"/>
      <c r="Y82" s="17"/>
      <c r="Z82" s="17" t="s">
        <v>1975</v>
      </c>
      <c r="AA82" s="18">
        <v>-0.06</v>
      </c>
      <c r="AB82" s="13" t="s">
        <v>75</v>
      </c>
      <c r="AC82" s="13"/>
      <c r="AD82" s="13"/>
      <c r="AE82" s="13"/>
      <c r="AF82" s="13" t="s">
        <v>75</v>
      </c>
      <c r="AG82" s="13"/>
      <c r="AH82" s="13"/>
      <c r="AI82" s="19"/>
      <c r="AJ82" s="14"/>
      <c r="AK82" s="13" t="s">
        <v>1980</v>
      </c>
      <c r="AL82" s="13"/>
      <c r="AM82" s="13"/>
      <c r="AN82" s="13" t="s">
        <v>82</v>
      </c>
      <c r="AO82" s="13"/>
      <c r="AP82" s="20">
        <v>-7.0000000000000007E-2</v>
      </c>
      <c r="AQ82" s="20">
        <f t="shared" si="26"/>
        <v>1.0000000000000009E-2</v>
      </c>
      <c r="AR82" s="97">
        <f t="shared" si="27"/>
        <v>16.650000000000013</v>
      </c>
      <c r="AS82" s="21">
        <f t="shared" si="28"/>
        <v>16.650000000000013</v>
      </c>
      <c r="AT82" s="22" t="s">
        <v>72</v>
      </c>
      <c r="AU82" s="13" t="s">
        <v>1981</v>
      </c>
      <c r="AV82" s="13" t="s">
        <v>1987</v>
      </c>
      <c r="AW82" s="13" t="s">
        <v>1988</v>
      </c>
      <c r="AX82" s="13" t="s">
        <v>1984</v>
      </c>
      <c r="AY82" s="13" t="s">
        <v>1985</v>
      </c>
      <c r="AZ82" s="13" t="s">
        <v>1986</v>
      </c>
    </row>
    <row r="83" spans="1:52" ht="13.15">
      <c r="A83" s="12">
        <v>44799</v>
      </c>
      <c r="B83" s="13"/>
      <c r="C83" s="13" t="s">
        <v>88</v>
      </c>
      <c r="D83" s="17"/>
      <c r="E83" s="13"/>
      <c r="F83" s="14" t="s">
        <v>1989</v>
      </c>
      <c r="G83" s="13"/>
      <c r="H83" s="13"/>
      <c r="I83" s="13"/>
      <c r="J83" s="14"/>
      <c r="K83" s="14"/>
      <c r="L83" s="13">
        <v>1</v>
      </c>
      <c r="M83" s="13">
        <v>2</v>
      </c>
      <c r="N83" s="13"/>
      <c r="O83" s="14" t="s">
        <v>71</v>
      </c>
      <c r="P83" s="14" t="s">
        <v>72</v>
      </c>
      <c r="Q83" s="14"/>
      <c r="R83" s="14">
        <v>1</v>
      </c>
      <c r="S83" s="14">
        <v>1</v>
      </c>
      <c r="T83" s="14">
        <v>1</v>
      </c>
      <c r="U83" s="14" t="s">
        <v>21</v>
      </c>
      <c r="V83" s="14">
        <f t="shared" si="21"/>
        <v>0.01</v>
      </c>
      <c r="W83" s="14">
        <f t="shared" si="22"/>
        <v>1664.9999999999998</v>
      </c>
      <c r="X83" s="17"/>
      <c r="Y83" s="17"/>
      <c r="Z83" s="17" t="s">
        <v>1990</v>
      </c>
      <c r="AA83" s="18">
        <v>0.25</v>
      </c>
      <c r="AB83" s="13"/>
      <c r="AC83" s="13"/>
      <c r="AD83" s="13"/>
      <c r="AE83" s="13"/>
      <c r="AF83" s="13"/>
      <c r="AG83" s="13"/>
      <c r="AH83" s="13"/>
      <c r="AI83" s="19"/>
      <c r="AJ83" s="14"/>
      <c r="AK83" s="13"/>
      <c r="AL83" s="13"/>
      <c r="AM83" s="13"/>
      <c r="AN83" s="13"/>
      <c r="AO83" s="13"/>
      <c r="AP83" s="20"/>
      <c r="AQ83" s="13"/>
      <c r="AR83" s="97"/>
      <c r="AS83" s="21"/>
      <c r="AT83" s="22"/>
      <c r="AU83" s="13"/>
      <c r="AV83" s="13"/>
      <c r="AW83" s="13"/>
      <c r="AX83" s="13"/>
      <c r="AY83" s="13"/>
      <c r="AZ83" s="13"/>
    </row>
    <row r="84" spans="1:52" ht="13.15">
      <c r="A84" s="12">
        <v>44799</v>
      </c>
      <c r="B84" s="13"/>
      <c r="C84" s="13" t="s">
        <v>88</v>
      </c>
      <c r="D84" s="17"/>
      <c r="E84" s="13"/>
      <c r="F84" s="14" t="s">
        <v>1908</v>
      </c>
      <c r="G84" s="13"/>
      <c r="H84" s="13"/>
      <c r="I84" s="13"/>
      <c r="J84" s="14"/>
      <c r="K84" s="14"/>
      <c r="L84" s="13">
        <v>1</v>
      </c>
      <c r="M84" s="13">
        <v>2</v>
      </c>
      <c r="N84" s="13">
        <v>2</v>
      </c>
      <c r="O84" s="14" t="s">
        <v>71</v>
      </c>
      <c r="P84" s="14" t="s">
        <v>72</v>
      </c>
      <c r="Q84" s="14"/>
      <c r="R84" s="14">
        <v>2</v>
      </c>
      <c r="S84" s="14">
        <v>2</v>
      </c>
      <c r="T84" s="14">
        <v>1</v>
      </c>
      <c r="U84" s="14" t="s">
        <v>73</v>
      </c>
      <c r="V84" s="14">
        <f t="shared" si="21"/>
        <v>0.01</v>
      </c>
      <c r="W84" s="14">
        <f t="shared" si="22"/>
        <v>1664.9999999999998</v>
      </c>
      <c r="X84" s="17" t="s">
        <v>1991</v>
      </c>
      <c r="Y84" s="17"/>
      <c r="Z84" s="17"/>
      <c r="AA84" s="18">
        <v>0.16</v>
      </c>
      <c r="AB84" s="13"/>
      <c r="AC84" s="13"/>
      <c r="AD84" s="13"/>
      <c r="AE84" s="13"/>
      <c r="AF84" s="13"/>
      <c r="AG84" s="13"/>
      <c r="AH84" s="13"/>
      <c r="AI84" s="19"/>
      <c r="AJ84" s="14"/>
      <c r="AK84" s="13"/>
      <c r="AL84" s="13"/>
      <c r="AM84" s="13"/>
      <c r="AN84" s="13"/>
      <c r="AO84" s="13"/>
      <c r="AP84" s="20"/>
      <c r="AQ84" s="13"/>
      <c r="AR84" s="97"/>
      <c r="AS84" s="21"/>
      <c r="AT84" s="22"/>
      <c r="AU84" s="13"/>
      <c r="AV84" s="13"/>
      <c r="AW84" s="13"/>
      <c r="AX84" s="13"/>
      <c r="AY84" s="13"/>
      <c r="AZ84" s="13"/>
    </row>
    <row r="85" spans="1:52" ht="13.15">
      <c r="A85" s="12">
        <v>44799</v>
      </c>
      <c r="B85" s="13"/>
      <c r="C85" s="13" t="s">
        <v>88</v>
      </c>
      <c r="D85" s="17"/>
      <c r="E85" s="13"/>
      <c r="F85" s="14" t="s">
        <v>1908</v>
      </c>
      <c r="G85" s="13"/>
      <c r="H85" s="13"/>
      <c r="I85" s="13"/>
      <c r="J85" s="14" t="s">
        <v>82</v>
      </c>
      <c r="K85" s="14"/>
      <c r="L85" s="13">
        <v>1</v>
      </c>
      <c r="M85" s="13">
        <v>2</v>
      </c>
      <c r="N85" s="13">
        <v>3</v>
      </c>
      <c r="O85" s="14" t="s">
        <v>71</v>
      </c>
      <c r="P85" s="14" t="s">
        <v>72</v>
      </c>
      <c r="Q85" s="14"/>
      <c r="R85" s="14">
        <v>2</v>
      </c>
      <c r="S85" s="14">
        <v>2</v>
      </c>
      <c r="T85" s="14">
        <v>2</v>
      </c>
      <c r="U85" s="14" t="s">
        <v>73</v>
      </c>
      <c r="V85" s="14">
        <f t="shared" si="21"/>
        <v>0.01</v>
      </c>
      <c r="W85" s="14">
        <f t="shared" si="22"/>
        <v>1664.9999999999998</v>
      </c>
      <c r="X85" s="17" t="s">
        <v>1992</v>
      </c>
      <c r="Y85" s="17" t="s">
        <v>1993</v>
      </c>
      <c r="Z85" s="17"/>
      <c r="AA85" s="18">
        <v>0.17</v>
      </c>
      <c r="AB85" s="13"/>
      <c r="AC85" s="13"/>
      <c r="AD85" s="13"/>
      <c r="AE85" s="13"/>
      <c r="AF85" s="13"/>
      <c r="AG85" s="13"/>
      <c r="AH85" s="13"/>
      <c r="AI85" s="19"/>
      <c r="AJ85" s="14"/>
      <c r="AK85" s="13"/>
      <c r="AL85" s="13"/>
      <c r="AM85" s="13"/>
      <c r="AN85" s="13"/>
      <c r="AO85" s="13"/>
      <c r="AP85" s="20"/>
      <c r="AQ85" s="13"/>
      <c r="AR85" s="97"/>
      <c r="AS85" s="21"/>
      <c r="AT85" s="22"/>
      <c r="AU85" s="13"/>
      <c r="AV85" s="13"/>
      <c r="AW85" s="13"/>
      <c r="AX85" s="13"/>
      <c r="AY85" s="13"/>
      <c r="AZ85" s="13"/>
    </row>
    <row r="86" spans="1:52" ht="13.15">
      <c r="A86" s="12">
        <v>44799</v>
      </c>
      <c r="B86" s="13"/>
      <c r="C86" s="13" t="s">
        <v>88</v>
      </c>
      <c r="D86" s="17"/>
      <c r="E86" s="13"/>
      <c r="F86" s="14"/>
      <c r="G86" s="13"/>
      <c r="H86" s="13"/>
      <c r="I86" s="13"/>
      <c r="J86" s="14" t="s">
        <v>82</v>
      </c>
      <c r="K86" s="14"/>
      <c r="L86" s="13"/>
      <c r="M86" s="13"/>
      <c r="N86" s="13"/>
      <c r="O86" s="14"/>
      <c r="P86" s="14"/>
      <c r="Q86" s="14"/>
      <c r="R86" s="14"/>
      <c r="S86" s="14"/>
      <c r="T86" s="14"/>
      <c r="U86" s="14"/>
      <c r="V86" s="14">
        <f t="shared" si="21"/>
        <v>0</v>
      </c>
      <c r="W86" s="14">
        <f t="shared" si="22"/>
        <v>0</v>
      </c>
      <c r="X86" s="17"/>
      <c r="Y86" s="17"/>
      <c r="Z86" s="17"/>
      <c r="AA86" s="18"/>
      <c r="AB86" s="13"/>
      <c r="AC86" s="13"/>
      <c r="AD86" s="13"/>
      <c r="AE86" s="13"/>
      <c r="AF86" s="13"/>
      <c r="AG86" s="13"/>
      <c r="AH86" s="13"/>
      <c r="AI86" s="19"/>
      <c r="AJ86" s="14"/>
      <c r="AK86" s="13"/>
      <c r="AL86" s="13"/>
      <c r="AM86" s="13"/>
      <c r="AN86" s="13"/>
      <c r="AO86" s="13"/>
      <c r="AP86" s="20"/>
      <c r="AQ86" s="13"/>
      <c r="AR86" s="97"/>
      <c r="AS86" s="21"/>
      <c r="AT86" s="22"/>
      <c r="AU86" s="13" t="s">
        <v>1994</v>
      </c>
      <c r="AV86" s="13"/>
      <c r="AW86" s="13"/>
      <c r="AX86" s="13"/>
      <c r="AY86" s="13"/>
      <c r="AZ86" s="13"/>
    </row>
    <row r="87" spans="1:52" ht="13.15">
      <c r="A87" s="12">
        <v>44802</v>
      </c>
      <c r="B87" s="13"/>
      <c r="C87" s="13" t="s">
        <v>109</v>
      </c>
      <c r="D87" s="17"/>
      <c r="E87" s="13"/>
      <c r="F87" s="14" t="s">
        <v>1908</v>
      </c>
      <c r="G87" s="13"/>
      <c r="H87" s="13"/>
      <c r="I87" s="13"/>
      <c r="J87" s="14"/>
      <c r="K87" s="14"/>
      <c r="L87" s="13">
        <v>1</v>
      </c>
      <c r="M87" s="13"/>
      <c r="N87" s="13">
        <v>1</v>
      </c>
      <c r="O87" s="14" t="s">
        <v>71</v>
      </c>
      <c r="P87" s="14" t="s">
        <v>72</v>
      </c>
      <c r="Q87" s="14"/>
      <c r="R87" s="14">
        <v>1</v>
      </c>
      <c r="S87" s="14">
        <v>1</v>
      </c>
      <c r="T87" s="14">
        <v>1</v>
      </c>
      <c r="U87" s="14" t="s">
        <v>73</v>
      </c>
      <c r="V87" s="14">
        <f t="shared" si="21"/>
        <v>0.01</v>
      </c>
      <c r="W87" s="14">
        <f t="shared" si="22"/>
        <v>1664.9999999999998</v>
      </c>
      <c r="X87" s="17" t="s">
        <v>1992</v>
      </c>
      <c r="Y87" s="17"/>
      <c r="Z87" s="17"/>
      <c r="AA87" s="18">
        <v>0.19</v>
      </c>
      <c r="AB87" s="13"/>
      <c r="AC87" s="13"/>
      <c r="AD87" s="13"/>
      <c r="AE87" s="13"/>
      <c r="AF87" s="13"/>
      <c r="AG87" s="13"/>
      <c r="AH87" s="13"/>
      <c r="AI87" s="19"/>
      <c r="AJ87" s="14"/>
      <c r="AK87" s="13"/>
      <c r="AL87" s="13"/>
      <c r="AM87" s="13"/>
      <c r="AN87" s="13"/>
      <c r="AO87" s="13"/>
      <c r="AP87" s="20"/>
      <c r="AQ87" s="13"/>
      <c r="AR87" s="97"/>
      <c r="AS87" s="21"/>
      <c r="AT87" s="22"/>
      <c r="AU87" s="13"/>
      <c r="AV87" s="13"/>
      <c r="AW87" s="13"/>
      <c r="AX87" s="13"/>
      <c r="AY87" s="13"/>
      <c r="AZ87" s="13"/>
    </row>
    <row r="88" spans="1:52" ht="13.15">
      <c r="A88" s="12">
        <v>44802</v>
      </c>
      <c r="B88" s="13"/>
      <c r="C88" s="13" t="s">
        <v>109</v>
      </c>
      <c r="D88" s="17"/>
      <c r="E88" s="13"/>
      <c r="F88" s="14" t="s">
        <v>70</v>
      </c>
      <c r="G88" s="13"/>
      <c r="H88" s="13"/>
      <c r="I88" s="13"/>
      <c r="J88" s="14"/>
      <c r="K88" s="14"/>
      <c r="L88" s="13">
        <v>1</v>
      </c>
      <c r="M88" s="13"/>
      <c r="N88" s="13"/>
      <c r="O88" s="14" t="s">
        <v>71</v>
      </c>
      <c r="P88" s="14" t="s">
        <v>114</v>
      </c>
      <c r="Q88" s="14" t="s">
        <v>73</v>
      </c>
      <c r="R88" s="14">
        <v>1</v>
      </c>
      <c r="S88" s="14">
        <v>1</v>
      </c>
      <c r="T88" s="14">
        <v>1</v>
      </c>
      <c r="U88" s="14" t="s">
        <v>21</v>
      </c>
      <c r="V88" s="14">
        <f t="shared" si="21"/>
        <v>0.01</v>
      </c>
      <c r="W88" s="14">
        <f t="shared" si="22"/>
        <v>1664.9999999999998</v>
      </c>
      <c r="X88" s="17"/>
      <c r="Y88" s="17"/>
      <c r="Z88" s="17" t="s">
        <v>75</v>
      </c>
      <c r="AA88" s="18">
        <v>-7.0000000000000007E-2</v>
      </c>
      <c r="AB88" s="13"/>
      <c r="AC88" s="13"/>
      <c r="AD88" s="13"/>
      <c r="AE88" s="13"/>
      <c r="AF88" s="13"/>
      <c r="AG88" s="13"/>
      <c r="AH88" s="13"/>
      <c r="AI88" s="19"/>
      <c r="AJ88" s="14"/>
      <c r="AK88" s="13"/>
      <c r="AL88" s="13"/>
      <c r="AM88" s="13" t="s">
        <v>1995</v>
      </c>
      <c r="AN88" s="13" t="s">
        <v>82</v>
      </c>
      <c r="AO88" s="13"/>
      <c r="AP88" s="20">
        <v>-0.06</v>
      </c>
      <c r="AQ88" s="20">
        <f>IF(ISBLANK(AP88),,IF(U88="S",AA88-AP88,AP88-AA88))</f>
        <v>1.0000000000000009E-2</v>
      </c>
      <c r="AR88" s="97">
        <f>AS88*R88</f>
        <v>16.650000000000013</v>
      </c>
      <c r="AS88" s="21">
        <f>IF(ISBLANK(AP88),,(AQ88*W88))</f>
        <v>16.650000000000013</v>
      </c>
      <c r="AT88" s="22" t="s">
        <v>72</v>
      </c>
      <c r="AU88" s="13" t="s">
        <v>75</v>
      </c>
      <c r="AV88" s="13" t="s">
        <v>1996</v>
      </c>
      <c r="AW88" s="13"/>
      <c r="AX88" s="13"/>
      <c r="AY88" s="13"/>
      <c r="AZ88" s="13"/>
    </row>
    <row r="89" spans="1:52" ht="13.15">
      <c r="A89" s="12">
        <v>44802</v>
      </c>
      <c r="B89" s="13"/>
      <c r="C89" s="13" t="s">
        <v>109</v>
      </c>
      <c r="D89" s="17"/>
      <c r="E89" s="13"/>
      <c r="F89" s="14" t="s">
        <v>1908</v>
      </c>
      <c r="G89" s="13"/>
      <c r="H89" s="13"/>
      <c r="I89" s="13"/>
      <c r="J89" s="14"/>
      <c r="K89" s="14"/>
      <c r="L89" s="13"/>
      <c r="M89" s="13"/>
      <c r="N89" s="13"/>
      <c r="O89" s="14" t="s">
        <v>71</v>
      </c>
      <c r="P89" s="14" t="s">
        <v>72</v>
      </c>
      <c r="Q89" s="14"/>
      <c r="R89" s="14">
        <v>2</v>
      </c>
      <c r="S89" s="14">
        <v>2</v>
      </c>
      <c r="T89" s="14">
        <v>2</v>
      </c>
      <c r="U89" s="14" t="s">
        <v>73</v>
      </c>
      <c r="V89" s="14">
        <f t="shared" si="21"/>
        <v>0.01</v>
      </c>
      <c r="W89" s="14">
        <f t="shared" si="22"/>
        <v>1664.9999999999998</v>
      </c>
      <c r="X89" s="17"/>
      <c r="Y89" s="17"/>
      <c r="Z89" s="17"/>
      <c r="AA89" s="18">
        <v>0.2</v>
      </c>
      <c r="AB89" s="13"/>
      <c r="AC89" s="13"/>
      <c r="AD89" s="13"/>
      <c r="AE89" s="13"/>
      <c r="AF89" s="13"/>
      <c r="AG89" s="13"/>
      <c r="AH89" s="13"/>
      <c r="AI89" s="19"/>
      <c r="AJ89" s="14"/>
      <c r="AK89" s="13"/>
      <c r="AL89" s="13"/>
      <c r="AM89" s="13"/>
      <c r="AN89" s="13"/>
      <c r="AO89" s="13"/>
      <c r="AP89" s="20"/>
      <c r="AQ89" s="13"/>
      <c r="AR89" s="97"/>
      <c r="AS89" s="21"/>
      <c r="AT89" s="22"/>
      <c r="AU89" s="13"/>
      <c r="AV89" s="13"/>
      <c r="AW89" s="13"/>
      <c r="AX89" s="13"/>
      <c r="AY89" s="13"/>
      <c r="AZ89" s="13"/>
    </row>
    <row r="90" spans="1:52" ht="13.15">
      <c r="A90" s="12">
        <v>44802</v>
      </c>
      <c r="B90" s="13"/>
      <c r="C90" s="13" t="s">
        <v>109</v>
      </c>
      <c r="D90" s="17"/>
      <c r="E90" s="13"/>
      <c r="F90" s="14" t="s">
        <v>1989</v>
      </c>
      <c r="G90" s="13"/>
      <c r="H90" s="13"/>
      <c r="I90" s="13"/>
      <c r="J90" s="14"/>
      <c r="K90" s="14"/>
      <c r="L90" s="13"/>
      <c r="M90" s="13">
        <v>1</v>
      </c>
      <c r="N90" s="13"/>
      <c r="O90" s="14" t="s">
        <v>71</v>
      </c>
      <c r="P90" s="14" t="s">
        <v>72</v>
      </c>
      <c r="Q90" s="14"/>
      <c r="R90" s="14">
        <v>1</v>
      </c>
      <c r="S90" s="14">
        <v>1</v>
      </c>
      <c r="T90" s="14">
        <v>1</v>
      </c>
      <c r="U90" s="14" t="s">
        <v>21</v>
      </c>
      <c r="V90" s="14">
        <f t="shared" si="21"/>
        <v>0.01</v>
      </c>
      <c r="W90" s="14">
        <f t="shared" si="22"/>
        <v>1664.9999999999998</v>
      </c>
      <c r="X90" s="17"/>
      <c r="Y90" s="17"/>
      <c r="Z90" s="17"/>
      <c r="AA90" s="18">
        <v>0.21</v>
      </c>
      <c r="AB90" s="13"/>
      <c r="AC90" s="13"/>
      <c r="AD90" s="13"/>
      <c r="AE90" s="13"/>
      <c r="AF90" s="13"/>
      <c r="AG90" s="13"/>
      <c r="AH90" s="13"/>
      <c r="AI90" s="19"/>
      <c r="AJ90" s="14"/>
      <c r="AK90" s="13"/>
      <c r="AL90" s="13"/>
      <c r="AM90" s="13"/>
      <c r="AN90" s="13"/>
      <c r="AO90" s="13"/>
      <c r="AP90" s="20"/>
      <c r="AQ90" s="13"/>
      <c r="AR90" s="97"/>
      <c r="AS90" s="21"/>
      <c r="AT90" s="22"/>
      <c r="AU90" s="13"/>
      <c r="AV90" s="13"/>
      <c r="AW90" s="13"/>
      <c r="AX90" s="13"/>
      <c r="AY90" s="13"/>
      <c r="AZ90" s="13"/>
    </row>
    <row r="91" spans="1:52" ht="13.15">
      <c r="A91" s="12">
        <v>44802</v>
      </c>
      <c r="B91" s="13"/>
      <c r="C91" s="13" t="s">
        <v>109</v>
      </c>
      <c r="D91" s="17"/>
      <c r="E91" s="13"/>
      <c r="F91" s="14" t="s">
        <v>1989</v>
      </c>
      <c r="G91" s="13"/>
      <c r="H91" s="13"/>
      <c r="I91" s="13"/>
      <c r="J91" s="14" t="s">
        <v>82</v>
      </c>
      <c r="K91" s="14"/>
      <c r="L91" s="13"/>
      <c r="M91" s="13">
        <v>1</v>
      </c>
      <c r="N91" s="13"/>
      <c r="O91" s="14" t="s">
        <v>71</v>
      </c>
      <c r="P91" s="14" t="s">
        <v>72</v>
      </c>
      <c r="Q91" s="14"/>
      <c r="R91" s="14">
        <v>3</v>
      </c>
      <c r="S91" s="14">
        <v>3</v>
      </c>
      <c r="T91" s="14">
        <v>1</v>
      </c>
      <c r="U91" s="14"/>
      <c r="V91" s="14">
        <f t="shared" si="21"/>
        <v>0.01</v>
      </c>
      <c r="W91" s="14">
        <f t="shared" si="22"/>
        <v>1664.9999999999998</v>
      </c>
      <c r="X91" s="17"/>
      <c r="Y91" s="17" t="s">
        <v>1997</v>
      </c>
      <c r="Z91" s="17"/>
      <c r="AA91" s="18">
        <v>0.23</v>
      </c>
      <c r="AB91" s="13"/>
      <c r="AC91" s="13"/>
      <c r="AD91" s="13"/>
      <c r="AE91" s="13"/>
      <c r="AF91" s="13"/>
      <c r="AG91" s="13"/>
      <c r="AH91" s="13"/>
      <c r="AI91" s="19"/>
      <c r="AJ91" s="14"/>
      <c r="AK91" s="13"/>
      <c r="AL91" s="13"/>
      <c r="AM91" s="13"/>
      <c r="AN91" s="13"/>
      <c r="AO91" s="13"/>
      <c r="AP91" s="20"/>
      <c r="AQ91" s="13"/>
      <c r="AR91" s="97"/>
      <c r="AS91" s="21"/>
      <c r="AT91" s="22"/>
      <c r="AU91" s="13"/>
      <c r="AV91" s="13"/>
      <c r="AW91" s="13"/>
      <c r="AX91" s="13"/>
      <c r="AY91" s="13"/>
      <c r="AZ91" s="13"/>
    </row>
    <row r="92" spans="1:52" ht="13.15">
      <c r="A92" s="12">
        <v>44802</v>
      </c>
      <c r="B92" s="13"/>
      <c r="C92" s="13" t="s">
        <v>109</v>
      </c>
      <c r="D92" s="17" t="s">
        <v>1998</v>
      </c>
      <c r="E92" s="13" t="s">
        <v>1999</v>
      </c>
      <c r="F92" s="14" t="s">
        <v>70</v>
      </c>
      <c r="G92" s="13"/>
      <c r="H92" s="13"/>
      <c r="I92" s="13"/>
      <c r="J92" s="14"/>
      <c r="K92" s="14"/>
      <c r="L92" s="13">
        <v>1</v>
      </c>
      <c r="M92" s="13"/>
      <c r="N92" s="13"/>
      <c r="O92" s="14" t="s">
        <v>71</v>
      </c>
      <c r="P92" s="14" t="s">
        <v>114</v>
      </c>
      <c r="Q92" s="14" t="s">
        <v>73</v>
      </c>
      <c r="R92" s="14">
        <v>1</v>
      </c>
      <c r="S92" s="14">
        <v>1</v>
      </c>
      <c r="T92" s="14">
        <v>1</v>
      </c>
      <c r="U92" s="14" t="s">
        <v>21</v>
      </c>
      <c r="V92" s="14">
        <f t="shared" si="21"/>
        <v>0.01</v>
      </c>
      <c r="W92" s="14">
        <f t="shared" si="22"/>
        <v>1664.9999999999998</v>
      </c>
      <c r="X92" s="17"/>
      <c r="Y92" s="17"/>
      <c r="Z92" s="17" t="s">
        <v>75</v>
      </c>
      <c r="AA92" s="18">
        <v>-0.08</v>
      </c>
      <c r="AB92" s="13"/>
      <c r="AC92" s="13"/>
      <c r="AD92" s="13"/>
      <c r="AE92" s="13"/>
      <c r="AF92" s="13"/>
      <c r="AG92" s="13"/>
      <c r="AH92" s="13"/>
      <c r="AI92" s="19"/>
      <c r="AJ92" s="14"/>
      <c r="AK92" s="13"/>
      <c r="AL92" s="13"/>
      <c r="AM92" s="13" t="s">
        <v>1878</v>
      </c>
      <c r="AN92" s="13" t="s">
        <v>82</v>
      </c>
      <c r="AO92" s="13"/>
      <c r="AP92" s="20">
        <v>-7.0000000000000007E-2</v>
      </c>
      <c r="AQ92" s="20">
        <f t="shared" ref="AQ92:AQ98" si="29">IF(ISBLANK(AP92),,IF(U92="S",AA92-AP92,AP92-AA92))</f>
        <v>9.999999999999995E-3</v>
      </c>
      <c r="AR92" s="97">
        <f t="shared" ref="AR92:AR96" si="30">AS92*R92</f>
        <v>16.649999999999988</v>
      </c>
      <c r="AS92" s="21">
        <f t="shared" ref="AS92:AS98" si="31">IF(ISBLANK(AP92),,(AQ92*W92))</f>
        <v>16.649999999999988</v>
      </c>
      <c r="AT92" s="22" t="s">
        <v>72</v>
      </c>
      <c r="AU92" s="13" t="s">
        <v>2000</v>
      </c>
      <c r="AV92" s="13" t="s">
        <v>2001</v>
      </c>
      <c r="AW92" s="13"/>
      <c r="AX92" s="13"/>
      <c r="AY92" s="13"/>
      <c r="AZ92" s="13"/>
    </row>
    <row r="93" spans="1:52" ht="13.15">
      <c r="A93" s="12">
        <v>44802</v>
      </c>
      <c r="B93" s="13"/>
      <c r="C93" s="13" t="s">
        <v>109</v>
      </c>
      <c r="D93" s="17" t="s">
        <v>2002</v>
      </c>
      <c r="E93" s="13" t="s">
        <v>2003</v>
      </c>
      <c r="F93" s="14" t="s">
        <v>70</v>
      </c>
      <c r="G93" s="13"/>
      <c r="H93" s="13"/>
      <c r="I93" s="13"/>
      <c r="J93" s="14"/>
      <c r="K93" s="14"/>
      <c r="L93" s="13">
        <v>1</v>
      </c>
      <c r="M93" s="13"/>
      <c r="N93" s="13"/>
      <c r="O93" s="14" t="s">
        <v>71</v>
      </c>
      <c r="P93" s="14" t="s">
        <v>114</v>
      </c>
      <c r="Q93" s="14" t="s">
        <v>73</v>
      </c>
      <c r="R93" s="14">
        <v>1</v>
      </c>
      <c r="S93" s="14">
        <v>1</v>
      </c>
      <c r="T93" s="14">
        <v>1</v>
      </c>
      <c r="U93" s="104" t="s">
        <v>73</v>
      </c>
      <c r="V93" s="14">
        <f t="shared" si="21"/>
        <v>0.01</v>
      </c>
      <c r="W93" s="14">
        <f t="shared" si="22"/>
        <v>1664.9999999999998</v>
      </c>
      <c r="X93" s="17"/>
      <c r="Y93" s="17"/>
      <c r="Z93" s="17" t="s">
        <v>75</v>
      </c>
      <c r="AA93" s="18">
        <v>-0.06</v>
      </c>
      <c r="AB93" s="13"/>
      <c r="AC93" s="13"/>
      <c r="AD93" s="13"/>
      <c r="AE93" s="13"/>
      <c r="AF93" s="13"/>
      <c r="AG93" s="13"/>
      <c r="AH93" s="13"/>
      <c r="AI93" s="19"/>
      <c r="AJ93" s="14"/>
      <c r="AK93" s="13"/>
      <c r="AL93" s="13"/>
      <c r="AM93" s="13" t="s">
        <v>1878</v>
      </c>
      <c r="AN93" s="13" t="s">
        <v>82</v>
      </c>
      <c r="AO93" s="13"/>
      <c r="AP93" s="20">
        <v>-7.0000000000000007E-2</v>
      </c>
      <c r="AQ93" s="20">
        <f t="shared" si="29"/>
        <v>1.0000000000000009E-2</v>
      </c>
      <c r="AR93" s="97">
        <f t="shared" si="30"/>
        <v>16.650000000000013</v>
      </c>
      <c r="AS93" s="21">
        <f t="shared" si="31"/>
        <v>16.650000000000013</v>
      </c>
      <c r="AT93" s="22" t="s">
        <v>72</v>
      </c>
      <c r="AU93" s="13" t="s">
        <v>2000</v>
      </c>
      <c r="AV93" s="13"/>
      <c r="AW93" s="13"/>
      <c r="AX93" s="13"/>
      <c r="AY93" s="13"/>
      <c r="AZ93" s="13"/>
    </row>
    <row r="94" spans="1:52" ht="13.15">
      <c r="A94" s="12">
        <v>44802</v>
      </c>
      <c r="B94" s="13"/>
      <c r="C94" s="13" t="s">
        <v>109</v>
      </c>
      <c r="D94" s="17" t="s">
        <v>2004</v>
      </c>
      <c r="E94" s="13" t="s">
        <v>2005</v>
      </c>
      <c r="F94" s="14" t="s">
        <v>70</v>
      </c>
      <c r="G94" s="13">
        <v>1</v>
      </c>
      <c r="H94" s="13"/>
      <c r="I94" s="13"/>
      <c r="J94" s="14"/>
      <c r="K94" s="14"/>
      <c r="L94" s="13">
        <v>1</v>
      </c>
      <c r="M94" s="13"/>
      <c r="N94" s="13"/>
      <c r="O94" s="14" t="s">
        <v>71</v>
      </c>
      <c r="P94" s="14" t="s">
        <v>114</v>
      </c>
      <c r="Q94" s="14" t="s">
        <v>73</v>
      </c>
      <c r="R94" s="14">
        <v>3</v>
      </c>
      <c r="S94" s="14">
        <v>3</v>
      </c>
      <c r="T94" s="14">
        <v>2</v>
      </c>
      <c r="U94" s="104" t="s">
        <v>73</v>
      </c>
      <c r="V94" s="14">
        <f t="shared" si="21"/>
        <v>0.01</v>
      </c>
      <c r="W94" s="14">
        <f t="shared" si="22"/>
        <v>1664.9999999999998</v>
      </c>
      <c r="X94" s="17"/>
      <c r="Y94" s="17"/>
      <c r="Z94" s="17" t="s">
        <v>75</v>
      </c>
      <c r="AA94" s="18">
        <v>-0.06</v>
      </c>
      <c r="AB94" s="13"/>
      <c r="AC94" s="13"/>
      <c r="AD94" s="13"/>
      <c r="AE94" s="13"/>
      <c r="AF94" s="13"/>
      <c r="AG94" s="13"/>
      <c r="AH94" s="13"/>
      <c r="AI94" s="19"/>
      <c r="AJ94" s="14"/>
      <c r="AK94" s="13"/>
      <c r="AL94" s="13"/>
      <c r="AM94" s="13" t="s">
        <v>1914</v>
      </c>
      <c r="AN94" s="13" t="s">
        <v>82</v>
      </c>
      <c r="AO94" s="13"/>
      <c r="AP94" s="20">
        <v>-7.0000000000000007E-2</v>
      </c>
      <c r="AQ94" s="20">
        <f t="shared" si="29"/>
        <v>1.0000000000000009E-2</v>
      </c>
      <c r="AR94" s="97">
        <f t="shared" si="30"/>
        <v>49.950000000000038</v>
      </c>
      <c r="AS94" s="21">
        <f t="shared" si="31"/>
        <v>16.650000000000013</v>
      </c>
      <c r="AT94" s="22" t="s">
        <v>72</v>
      </c>
      <c r="AU94" s="13" t="s">
        <v>2006</v>
      </c>
      <c r="AV94" s="13" t="s">
        <v>2007</v>
      </c>
      <c r="AW94" s="13"/>
      <c r="AX94" s="13"/>
      <c r="AY94" s="13"/>
      <c r="AZ94" s="13"/>
    </row>
    <row r="95" spans="1:52" ht="13.15">
      <c r="A95" s="12">
        <v>44802</v>
      </c>
      <c r="B95" s="13"/>
      <c r="C95" s="13" t="s">
        <v>109</v>
      </c>
      <c r="D95" s="17" t="s">
        <v>2002</v>
      </c>
      <c r="E95" s="13"/>
      <c r="F95" s="14" t="s">
        <v>70</v>
      </c>
      <c r="G95" s="13"/>
      <c r="H95" s="13"/>
      <c r="I95" s="13"/>
      <c r="J95" s="14"/>
      <c r="K95" s="14"/>
      <c r="L95" s="13">
        <v>1</v>
      </c>
      <c r="M95" s="13"/>
      <c r="N95" s="13"/>
      <c r="O95" s="14" t="s">
        <v>71</v>
      </c>
      <c r="P95" s="14" t="s">
        <v>114</v>
      </c>
      <c r="Q95" s="14" t="s">
        <v>73</v>
      </c>
      <c r="R95" s="14">
        <v>2</v>
      </c>
      <c r="S95" s="14">
        <v>2</v>
      </c>
      <c r="T95" s="14">
        <v>2</v>
      </c>
      <c r="U95" s="104" t="s">
        <v>73</v>
      </c>
      <c r="V95" s="14">
        <f t="shared" si="21"/>
        <v>0.01</v>
      </c>
      <c r="W95" s="14">
        <f t="shared" si="22"/>
        <v>1664.9999999999998</v>
      </c>
      <c r="X95" s="17"/>
      <c r="Y95" s="17"/>
      <c r="Z95" s="17" t="s">
        <v>75</v>
      </c>
      <c r="AA95" s="18">
        <v>-0.06</v>
      </c>
      <c r="AB95" s="13"/>
      <c r="AC95" s="13"/>
      <c r="AD95" s="13"/>
      <c r="AE95" s="13"/>
      <c r="AF95" s="13"/>
      <c r="AG95" s="13"/>
      <c r="AH95" s="13"/>
      <c r="AI95" s="19"/>
      <c r="AJ95" s="14"/>
      <c r="AK95" s="13"/>
      <c r="AL95" s="13"/>
      <c r="AM95" s="13" t="s">
        <v>2008</v>
      </c>
      <c r="AN95" s="13" t="s">
        <v>82</v>
      </c>
      <c r="AO95" s="13"/>
      <c r="AP95" s="20">
        <v>-7.0000000000000007E-2</v>
      </c>
      <c r="AQ95" s="20">
        <f t="shared" si="29"/>
        <v>1.0000000000000009E-2</v>
      </c>
      <c r="AR95" s="97">
        <f t="shared" si="30"/>
        <v>33.300000000000026</v>
      </c>
      <c r="AS95" s="21">
        <f t="shared" si="31"/>
        <v>16.650000000000013</v>
      </c>
      <c r="AT95" s="22" t="s">
        <v>72</v>
      </c>
      <c r="AU95" s="13" t="s">
        <v>2006</v>
      </c>
      <c r="AV95" s="13" t="s">
        <v>2007</v>
      </c>
      <c r="AW95" s="13"/>
      <c r="AX95" s="13"/>
      <c r="AY95" s="13"/>
      <c r="AZ95" s="13"/>
    </row>
    <row r="96" spans="1:52" ht="13.15">
      <c r="A96" s="12">
        <v>44803</v>
      </c>
      <c r="B96" s="13"/>
      <c r="C96" s="13" t="s">
        <v>123</v>
      </c>
      <c r="D96" s="17"/>
      <c r="E96" s="13"/>
      <c r="F96" s="14" t="s">
        <v>70</v>
      </c>
      <c r="G96" s="13"/>
      <c r="H96" s="13"/>
      <c r="I96" s="13"/>
      <c r="J96" s="14"/>
      <c r="K96" s="14"/>
      <c r="L96" s="13">
        <v>1</v>
      </c>
      <c r="M96" s="13"/>
      <c r="N96" s="13"/>
      <c r="O96" s="14" t="s">
        <v>71</v>
      </c>
      <c r="P96" s="14" t="s">
        <v>114</v>
      </c>
      <c r="Q96" s="14" t="s">
        <v>73</v>
      </c>
      <c r="R96" s="14">
        <v>2</v>
      </c>
      <c r="S96" s="14">
        <v>2</v>
      </c>
      <c r="T96" s="14">
        <v>2</v>
      </c>
      <c r="U96" s="14" t="s">
        <v>73</v>
      </c>
      <c r="V96" s="14">
        <f t="shared" si="21"/>
        <v>0.01</v>
      </c>
      <c r="W96" s="14">
        <f t="shared" si="22"/>
        <v>1664.9999999999998</v>
      </c>
      <c r="X96" s="17"/>
      <c r="Y96" s="17"/>
      <c r="Z96" s="17" t="s">
        <v>75</v>
      </c>
      <c r="AA96" s="18">
        <v>-0.06</v>
      </c>
      <c r="AB96" s="13"/>
      <c r="AC96" s="13"/>
      <c r="AD96" s="13"/>
      <c r="AE96" s="13"/>
      <c r="AF96" s="13"/>
      <c r="AG96" s="13"/>
      <c r="AH96" s="13"/>
      <c r="AI96" s="19"/>
      <c r="AJ96" s="14"/>
      <c r="AK96" s="13"/>
      <c r="AL96" s="13"/>
      <c r="AM96" s="13" t="s">
        <v>2009</v>
      </c>
      <c r="AN96" s="13" t="s">
        <v>82</v>
      </c>
      <c r="AO96" s="13"/>
      <c r="AP96" s="20">
        <v>-7.0000000000000007E-2</v>
      </c>
      <c r="AQ96" s="20">
        <f t="shared" si="29"/>
        <v>1.0000000000000009E-2</v>
      </c>
      <c r="AR96" s="97">
        <f t="shared" si="30"/>
        <v>33.300000000000026</v>
      </c>
      <c r="AS96" s="21">
        <f t="shared" si="31"/>
        <v>16.650000000000013</v>
      </c>
      <c r="AT96" s="22" t="s">
        <v>72</v>
      </c>
      <c r="AU96" s="13" t="s">
        <v>2010</v>
      </c>
      <c r="AV96" s="13" t="s">
        <v>2011</v>
      </c>
      <c r="AW96" s="13"/>
      <c r="AX96" s="13" t="s">
        <v>2012</v>
      </c>
      <c r="AY96" s="13"/>
      <c r="AZ96" s="13"/>
    </row>
    <row r="97" spans="1:52" ht="14.45">
      <c r="A97" s="12">
        <v>44803</v>
      </c>
      <c r="B97" s="13"/>
      <c r="C97" s="13" t="s">
        <v>123</v>
      </c>
      <c r="D97" s="17"/>
      <c r="E97" s="13"/>
      <c r="F97" s="14" t="s">
        <v>1821</v>
      </c>
      <c r="G97" s="13"/>
      <c r="H97" s="13"/>
      <c r="I97" s="13"/>
      <c r="J97" s="14"/>
      <c r="K97" s="14"/>
      <c r="L97" s="13"/>
      <c r="M97" s="13"/>
      <c r="N97" s="13"/>
      <c r="O97" s="14" t="s">
        <v>71</v>
      </c>
      <c r="P97" s="14" t="s">
        <v>114</v>
      </c>
      <c r="Q97" s="105"/>
      <c r="R97" s="105">
        <v>30</v>
      </c>
      <c r="S97" s="105">
        <v>30</v>
      </c>
      <c r="T97" s="105">
        <v>10</v>
      </c>
      <c r="U97" s="14" t="s">
        <v>73</v>
      </c>
      <c r="V97" s="14">
        <f t="shared" si="21"/>
        <v>0.01</v>
      </c>
      <c r="W97" s="14">
        <f t="shared" si="22"/>
        <v>1664.9999999999998</v>
      </c>
      <c r="X97" s="106"/>
      <c r="Y97" s="17"/>
      <c r="Z97" s="17"/>
      <c r="AA97" s="107">
        <v>95.975999999999999</v>
      </c>
      <c r="AB97" s="13" t="s">
        <v>2013</v>
      </c>
      <c r="AC97" s="13">
        <v>95.97</v>
      </c>
      <c r="AD97" s="13" t="s">
        <v>2014</v>
      </c>
      <c r="AE97" s="13">
        <v>95.88</v>
      </c>
      <c r="AF97" s="13" t="s">
        <v>2015</v>
      </c>
      <c r="AG97" s="13"/>
      <c r="AH97" s="13" t="s">
        <v>79</v>
      </c>
      <c r="AI97" s="19"/>
      <c r="AJ97" s="14"/>
      <c r="AK97" s="13"/>
      <c r="AL97" s="13"/>
      <c r="AM97" s="13"/>
      <c r="AN97" s="13"/>
      <c r="AO97" s="13"/>
      <c r="AP97" s="108">
        <v>95.965000000000003</v>
      </c>
      <c r="AQ97" s="20">
        <f t="shared" si="29"/>
        <v>1.099999999999568E-2</v>
      </c>
      <c r="AR97" s="97"/>
      <c r="AS97" s="21">
        <f t="shared" si="31"/>
        <v>18.314999999992803</v>
      </c>
      <c r="AT97" s="22"/>
      <c r="AU97" s="13" t="s">
        <v>2016</v>
      </c>
      <c r="AV97" s="109" t="s">
        <v>2017</v>
      </c>
      <c r="AW97" s="109" t="s">
        <v>2018</v>
      </c>
      <c r="AX97" s="13"/>
      <c r="AY97" s="13"/>
      <c r="AZ97" s="13"/>
    </row>
    <row r="98" spans="1:52" ht="13.15">
      <c r="A98" s="12">
        <v>44803</v>
      </c>
      <c r="B98" s="13"/>
      <c r="C98" s="13" t="s">
        <v>123</v>
      </c>
      <c r="D98" s="17"/>
      <c r="E98" s="13"/>
      <c r="F98" s="14" t="s">
        <v>1852</v>
      </c>
      <c r="G98" s="13"/>
      <c r="H98" s="13"/>
      <c r="I98" s="13"/>
      <c r="J98" s="14"/>
      <c r="K98" s="14"/>
      <c r="L98" s="13">
        <v>1</v>
      </c>
      <c r="M98" s="13"/>
      <c r="N98" s="13">
        <v>1</v>
      </c>
      <c r="O98" s="14" t="s">
        <v>71</v>
      </c>
      <c r="P98" s="14" t="s">
        <v>114</v>
      </c>
      <c r="Q98" s="14" t="s">
        <v>661</v>
      </c>
      <c r="R98" s="14">
        <v>3</v>
      </c>
      <c r="S98" s="14">
        <v>3</v>
      </c>
      <c r="T98" s="14">
        <v>3</v>
      </c>
      <c r="U98" s="14" t="s">
        <v>73</v>
      </c>
      <c r="V98" s="14">
        <f t="shared" si="21"/>
        <v>0.01</v>
      </c>
      <c r="W98" s="14">
        <f t="shared" si="22"/>
        <v>1664.9999999999998</v>
      </c>
      <c r="X98" s="17" t="s">
        <v>2019</v>
      </c>
      <c r="Y98" s="17"/>
      <c r="Z98" s="17"/>
      <c r="AA98" s="18">
        <v>96.01</v>
      </c>
      <c r="AB98" s="13" t="s">
        <v>2020</v>
      </c>
      <c r="AC98" s="13">
        <v>96.02</v>
      </c>
      <c r="AD98" s="13" t="s">
        <v>2021</v>
      </c>
      <c r="AE98" s="13">
        <v>95.99</v>
      </c>
      <c r="AF98" s="13" t="s">
        <v>2022</v>
      </c>
      <c r="AG98" s="17"/>
      <c r="AH98" s="17" t="s">
        <v>2023</v>
      </c>
      <c r="AI98" s="19"/>
      <c r="AJ98" s="14"/>
      <c r="AK98" s="13" t="s">
        <v>2024</v>
      </c>
      <c r="AL98" s="13"/>
      <c r="AM98" s="13" t="s">
        <v>2025</v>
      </c>
      <c r="AN98" s="13" t="s">
        <v>371</v>
      </c>
      <c r="AO98" s="13"/>
      <c r="AP98" s="20">
        <v>95.99</v>
      </c>
      <c r="AQ98" s="20">
        <f t="shared" si="29"/>
        <v>2.0000000000010232E-2</v>
      </c>
      <c r="AR98" s="97">
        <f>AS98*R98</f>
        <v>99.900000000051079</v>
      </c>
      <c r="AS98" s="21">
        <f t="shared" si="31"/>
        <v>33.300000000017029</v>
      </c>
      <c r="AT98" s="22" t="s">
        <v>72</v>
      </c>
      <c r="AU98" s="13" t="s">
        <v>2026</v>
      </c>
      <c r="AV98" s="13" t="s">
        <v>2027</v>
      </c>
      <c r="AW98" s="13" t="s">
        <v>2028</v>
      </c>
      <c r="AX98" s="13" t="s">
        <v>2029</v>
      </c>
      <c r="AY98" s="13"/>
      <c r="AZ98" s="13"/>
    </row>
    <row r="99" spans="1:52" ht="13.15">
      <c r="A99" s="12">
        <v>44803</v>
      </c>
      <c r="B99" s="13"/>
      <c r="C99" s="13" t="s">
        <v>123</v>
      </c>
      <c r="D99" s="17"/>
      <c r="E99" s="13"/>
      <c r="F99" s="14" t="s">
        <v>1852</v>
      </c>
      <c r="G99" s="13"/>
      <c r="H99" s="13"/>
      <c r="I99" s="13"/>
      <c r="J99" s="14" t="s">
        <v>92</v>
      </c>
      <c r="K99" s="14"/>
      <c r="L99" s="13"/>
      <c r="M99" s="13"/>
      <c r="N99" s="13"/>
      <c r="O99" s="14" t="s">
        <v>71</v>
      </c>
      <c r="P99" s="14" t="s">
        <v>114</v>
      </c>
      <c r="Q99" s="14"/>
      <c r="R99" s="14">
        <v>2</v>
      </c>
      <c r="S99" s="14">
        <v>2</v>
      </c>
      <c r="T99" s="14">
        <v>2</v>
      </c>
      <c r="U99" s="14"/>
      <c r="V99" s="14">
        <f t="shared" si="21"/>
        <v>0.01</v>
      </c>
      <c r="W99" s="14">
        <f t="shared" si="22"/>
        <v>1664.9999999999998</v>
      </c>
      <c r="X99" s="13" t="s">
        <v>2030</v>
      </c>
      <c r="Y99" s="13" t="s">
        <v>2030</v>
      </c>
      <c r="Z99" s="13" t="s">
        <v>2030</v>
      </c>
      <c r="AA99" s="18">
        <v>96.02</v>
      </c>
      <c r="AB99" s="13" t="s">
        <v>2030</v>
      </c>
      <c r="AC99" s="13"/>
      <c r="AD99" s="13"/>
      <c r="AE99" s="13"/>
      <c r="AF99" s="13"/>
      <c r="AG99" s="13"/>
      <c r="AH99" s="13"/>
      <c r="AI99" s="19"/>
      <c r="AJ99" s="14"/>
      <c r="AK99" s="13"/>
      <c r="AL99" s="13"/>
      <c r="AM99" s="13"/>
      <c r="AN99" s="13"/>
      <c r="AO99" s="13"/>
      <c r="AP99" s="20">
        <v>96.02</v>
      </c>
      <c r="AQ99" s="13"/>
      <c r="AR99" s="97"/>
      <c r="AS99" s="21"/>
      <c r="AT99" s="22"/>
      <c r="AU99" s="17" t="s">
        <v>2031</v>
      </c>
      <c r="AV99" s="13" t="s">
        <v>2032</v>
      </c>
      <c r="AW99" s="13" t="s">
        <v>2030</v>
      </c>
      <c r="AX99" s="13" t="s">
        <v>2030</v>
      </c>
      <c r="AY99" s="13" t="s">
        <v>2030</v>
      </c>
      <c r="AZ99" s="13" t="s">
        <v>2030</v>
      </c>
    </row>
    <row r="100" spans="1:52" ht="14.45">
      <c r="A100" s="12" t="s">
        <v>2033</v>
      </c>
      <c r="B100" s="13"/>
      <c r="C100" s="13" t="s">
        <v>123</v>
      </c>
      <c r="D100" s="17"/>
      <c r="E100" s="13"/>
      <c r="F100" s="14"/>
      <c r="G100" s="13"/>
      <c r="H100" s="13"/>
      <c r="I100" s="13"/>
      <c r="J100" s="14"/>
      <c r="K100" s="14"/>
      <c r="L100" s="13"/>
      <c r="M100" s="13"/>
      <c r="N100" s="13"/>
      <c r="O100" s="14"/>
      <c r="P100" s="14"/>
      <c r="Q100" s="14"/>
      <c r="R100" s="14"/>
      <c r="S100" s="14"/>
      <c r="T100" s="14"/>
      <c r="U100" s="14"/>
      <c r="V100" s="14">
        <f t="shared" si="21"/>
        <v>0</v>
      </c>
      <c r="W100" s="14">
        <f t="shared" si="22"/>
        <v>0</v>
      </c>
      <c r="X100" s="17"/>
      <c r="Y100" s="17"/>
      <c r="Z100" s="17"/>
      <c r="AA100" s="18"/>
      <c r="AB100" s="13"/>
      <c r="AC100" s="13"/>
      <c r="AD100" s="13"/>
      <c r="AE100" s="13"/>
      <c r="AF100" s="13"/>
      <c r="AG100" s="13"/>
      <c r="AH100" s="13"/>
      <c r="AI100" s="19"/>
      <c r="AJ100" s="14"/>
      <c r="AK100" s="13"/>
      <c r="AL100" s="13"/>
      <c r="AM100" s="13"/>
      <c r="AN100" s="13"/>
      <c r="AO100" s="13"/>
      <c r="AP100" s="20"/>
      <c r="AQ100" s="13"/>
      <c r="AR100" s="97"/>
      <c r="AS100" s="21"/>
      <c r="AT100" s="22"/>
      <c r="AU100" s="110" t="s">
        <v>2034</v>
      </c>
      <c r="AV100" s="17" t="s">
        <v>2035</v>
      </c>
      <c r="AW100" s="106" t="s">
        <v>2036</v>
      </c>
      <c r="AX100" s="110" t="s">
        <v>2034</v>
      </c>
      <c r="AY100" s="17" t="s">
        <v>2035</v>
      </c>
      <c r="AZ100" s="106" t="s">
        <v>2036</v>
      </c>
    </row>
    <row r="101" spans="1:52" ht="13.15">
      <c r="A101" s="12" t="s">
        <v>2033</v>
      </c>
      <c r="B101" s="13"/>
      <c r="C101" s="13" t="s">
        <v>123</v>
      </c>
      <c r="D101" s="17"/>
      <c r="E101" s="13"/>
      <c r="F101" s="14"/>
      <c r="G101" s="13"/>
      <c r="H101" s="13"/>
      <c r="I101" s="13"/>
      <c r="J101" s="14"/>
      <c r="K101" s="14"/>
      <c r="L101" s="13"/>
      <c r="M101" s="13"/>
      <c r="N101" s="13"/>
      <c r="O101" s="14"/>
      <c r="P101" s="14"/>
      <c r="Q101" s="14"/>
      <c r="R101" s="14"/>
      <c r="S101" s="14"/>
      <c r="T101" s="14"/>
      <c r="U101" s="14"/>
      <c r="V101" s="14">
        <f t="shared" si="21"/>
        <v>0</v>
      </c>
      <c r="W101" s="14">
        <f t="shared" si="22"/>
        <v>0</v>
      </c>
      <c r="X101" s="17"/>
      <c r="Y101" s="17"/>
      <c r="Z101" s="17"/>
      <c r="AA101" s="18"/>
      <c r="AB101" s="13"/>
      <c r="AC101" s="13"/>
      <c r="AD101" s="13"/>
      <c r="AE101" s="13"/>
      <c r="AF101" s="13"/>
      <c r="AG101" s="13"/>
      <c r="AH101" s="13"/>
      <c r="AI101" s="19"/>
      <c r="AJ101" s="14"/>
      <c r="AK101" s="13"/>
      <c r="AL101" s="13"/>
      <c r="AM101" s="13"/>
      <c r="AN101" s="13"/>
      <c r="AO101" s="13"/>
      <c r="AP101" s="20"/>
      <c r="AQ101" s="13"/>
      <c r="AR101" s="97"/>
      <c r="AS101" s="21"/>
      <c r="AT101" s="22"/>
      <c r="AU101" s="13" t="s">
        <v>2037</v>
      </c>
      <c r="AV101" s="13" t="s">
        <v>2038</v>
      </c>
      <c r="AW101" s="13"/>
      <c r="AX101" s="13"/>
      <c r="AY101" s="13"/>
      <c r="AZ101" s="13"/>
    </row>
    <row r="102" spans="1:52" ht="14.45">
      <c r="A102" s="12" t="s">
        <v>2033</v>
      </c>
      <c r="B102" s="13"/>
      <c r="C102" s="13" t="s">
        <v>123</v>
      </c>
      <c r="D102" s="17"/>
      <c r="E102" s="13"/>
      <c r="F102" s="14"/>
      <c r="G102" s="13"/>
      <c r="H102" s="13"/>
      <c r="I102" s="13"/>
      <c r="J102" s="14"/>
      <c r="K102" s="14"/>
      <c r="L102" s="13"/>
      <c r="M102" s="13"/>
      <c r="N102" s="13"/>
      <c r="O102" s="14"/>
      <c r="P102" s="14"/>
      <c r="Q102" s="14"/>
      <c r="R102" s="14"/>
      <c r="S102" s="14"/>
      <c r="T102" s="14"/>
      <c r="U102" s="14"/>
      <c r="V102" s="14">
        <f t="shared" si="21"/>
        <v>0</v>
      </c>
      <c r="W102" s="14">
        <f t="shared" si="22"/>
        <v>0</v>
      </c>
      <c r="X102" s="17"/>
      <c r="Y102" s="17"/>
      <c r="Z102" s="17"/>
      <c r="AA102" s="18"/>
      <c r="AB102" s="13"/>
      <c r="AC102" s="13"/>
      <c r="AD102" s="13"/>
      <c r="AE102" s="13"/>
      <c r="AF102" s="13"/>
      <c r="AG102" s="13"/>
      <c r="AH102" s="13"/>
      <c r="AI102" s="19"/>
      <c r="AJ102" s="14"/>
      <c r="AK102" s="13"/>
      <c r="AL102" s="13"/>
      <c r="AM102" s="13"/>
      <c r="AN102" s="13"/>
      <c r="AO102" s="13"/>
      <c r="AP102" s="20"/>
      <c r="AQ102" s="13"/>
      <c r="AR102" s="97"/>
      <c r="AS102" s="21"/>
      <c r="AT102" s="22"/>
      <c r="AU102" s="106" t="s">
        <v>2039</v>
      </c>
      <c r="AV102" s="13"/>
      <c r="AW102" s="13"/>
      <c r="AX102" s="13"/>
      <c r="AY102" s="13"/>
      <c r="AZ102" s="13"/>
    </row>
    <row r="103" spans="1:52" ht="13.15">
      <c r="A103" s="12">
        <v>44804</v>
      </c>
      <c r="B103" s="13"/>
      <c r="C103" s="13" t="s">
        <v>128</v>
      </c>
      <c r="D103" s="17"/>
      <c r="E103" s="13"/>
      <c r="F103" s="14" t="s">
        <v>1852</v>
      </c>
      <c r="G103" s="13"/>
      <c r="H103" s="13"/>
      <c r="I103" s="13"/>
      <c r="J103" s="14"/>
      <c r="K103" s="14"/>
      <c r="L103" s="13"/>
      <c r="M103" s="13"/>
      <c r="N103" s="13">
        <v>1</v>
      </c>
      <c r="O103" s="14" t="s">
        <v>71</v>
      </c>
      <c r="P103" s="14" t="s">
        <v>114</v>
      </c>
      <c r="Q103" s="14" t="s">
        <v>661</v>
      </c>
      <c r="R103" s="14">
        <v>2</v>
      </c>
      <c r="S103" s="14">
        <v>2</v>
      </c>
      <c r="T103" s="14">
        <v>1</v>
      </c>
      <c r="U103" s="14" t="s">
        <v>73</v>
      </c>
      <c r="V103" s="14">
        <f t="shared" si="21"/>
        <v>0.01</v>
      </c>
      <c r="W103" s="14">
        <f t="shared" si="22"/>
        <v>1664.9999999999998</v>
      </c>
      <c r="X103" s="17" t="s">
        <v>2040</v>
      </c>
      <c r="Y103" s="17"/>
      <c r="Z103" s="17"/>
      <c r="AA103" s="18">
        <v>96.094999999999999</v>
      </c>
      <c r="AB103" s="17" t="s">
        <v>2041</v>
      </c>
      <c r="AC103" s="13">
        <v>96.11</v>
      </c>
      <c r="AD103" s="13" t="s">
        <v>2042</v>
      </c>
      <c r="AE103" s="13">
        <v>96.08</v>
      </c>
      <c r="AF103" s="13" t="s">
        <v>2043</v>
      </c>
      <c r="AG103" s="13"/>
      <c r="AH103" s="13">
        <v>1</v>
      </c>
      <c r="AI103" s="19"/>
      <c r="AJ103" s="14"/>
      <c r="AK103" s="13" t="s">
        <v>2044</v>
      </c>
      <c r="AL103" s="13" t="s">
        <v>2045</v>
      </c>
      <c r="AM103" s="13" t="s">
        <v>2046</v>
      </c>
      <c r="AN103" s="13" t="s">
        <v>371</v>
      </c>
      <c r="AO103" s="35">
        <v>44804</v>
      </c>
      <c r="AP103" s="20">
        <v>96.08</v>
      </c>
      <c r="AQ103" s="20">
        <f t="shared" ref="AQ103:AQ105" si="32">IF(ISBLANK(AP103),,IF(U103="S",AA103-AP103,AP103-AA103))</f>
        <v>1.5000000000000568E-2</v>
      </c>
      <c r="AR103" s="97">
        <f t="shared" ref="AR103:AR105" si="33">AS103*R103</f>
        <v>49.950000000001886</v>
      </c>
      <c r="AS103" s="21">
        <f t="shared" ref="AS103:AS105" si="34">IF(ISBLANK(AP103),,(AQ103*W103))</f>
        <v>24.975000000000943</v>
      </c>
      <c r="AT103" s="22" t="s">
        <v>72</v>
      </c>
      <c r="AU103" s="13" t="s">
        <v>2047</v>
      </c>
      <c r="AV103" s="13" t="s">
        <v>2048</v>
      </c>
      <c r="AW103" s="13" t="s">
        <v>2049</v>
      </c>
      <c r="AX103" s="13" t="s">
        <v>2050</v>
      </c>
      <c r="AY103" s="13"/>
      <c r="AZ103" s="13"/>
    </row>
    <row r="104" spans="1:52" ht="13.15">
      <c r="A104" s="12">
        <v>44804</v>
      </c>
      <c r="B104" s="13"/>
      <c r="C104" s="13" t="s">
        <v>128</v>
      </c>
      <c r="D104" s="17"/>
      <c r="E104" s="13"/>
      <c r="F104" s="14" t="s">
        <v>70</v>
      </c>
      <c r="G104" s="13"/>
      <c r="H104" s="13"/>
      <c r="I104" s="13"/>
      <c r="J104" s="14" t="s">
        <v>92</v>
      </c>
      <c r="K104" s="14"/>
      <c r="L104" s="13">
        <v>1</v>
      </c>
      <c r="M104" s="13"/>
      <c r="N104" s="13"/>
      <c r="O104" s="14" t="s">
        <v>71</v>
      </c>
      <c r="P104" s="14" t="s">
        <v>114</v>
      </c>
      <c r="Q104" s="14" t="s">
        <v>73</v>
      </c>
      <c r="R104" s="14">
        <v>1</v>
      </c>
      <c r="S104" s="14">
        <v>1</v>
      </c>
      <c r="T104" s="14">
        <v>1</v>
      </c>
      <c r="U104" s="14" t="s">
        <v>21</v>
      </c>
      <c r="V104" s="14">
        <f t="shared" si="21"/>
        <v>0.01</v>
      </c>
      <c r="W104" s="14">
        <f t="shared" si="22"/>
        <v>1664.9999999999998</v>
      </c>
      <c r="X104" s="17"/>
      <c r="Y104" s="17"/>
      <c r="Z104" s="17" t="s">
        <v>75</v>
      </c>
      <c r="AA104" s="18">
        <v>-0.06</v>
      </c>
      <c r="AB104" s="13" t="s">
        <v>75</v>
      </c>
      <c r="AC104" s="13"/>
      <c r="AD104" s="13"/>
      <c r="AE104" s="13"/>
      <c r="AF104" s="13"/>
      <c r="AG104" s="13"/>
      <c r="AH104" s="13"/>
      <c r="AI104" s="19"/>
      <c r="AJ104" s="14"/>
      <c r="AK104" s="13" t="s">
        <v>2051</v>
      </c>
      <c r="AL104" s="13" t="s">
        <v>2052</v>
      </c>
      <c r="AM104" s="13"/>
      <c r="AN104" s="13" t="s">
        <v>371</v>
      </c>
      <c r="AO104" s="35">
        <v>44804</v>
      </c>
      <c r="AP104" s="20">
        <v>-0.05</v>
      </c>
      <c r="AQ104" s="20">
        <f t="shared" si="32"/>
        <v>9.999999999999995E-3</v>
      </c>
      <c r="AR104" s="97">
        <f t="shared" si="33"/>
        <v>16.649999999999988</v>
      </c>
      <c r="AS104" s="21">
        <f t="shared" si="34"/>
        <v>16.649999999999988</v>
      </c>
      <c r="AT104" s="22" t="s">
        <v>72</v>
      </c>
      <c r="AU104" s="13" t="s">
        <v>2000</v>
      </c>
      <c r="AV104" s="17" t="s">
        <v>2053</v>
      </c>
      <c r="AW104" s="13" t="s">
        <v>2054</v>
      </c>
      <c r="AX104" s="13"/>
      <c r="AY104" s="13"/>
      <c r="AZ104" s="13"/>
    </row>
    <row r="105" spans="1:52" ht="13.15">
      <c r="A105" s="12">
        <v>44804</v>
      </c>
      <c r="B105" s="13"/>
      <c r="C105" s="13" t="s">
        <v>128</v>
      </c>
      <c r="D105" s="17"/>
      <c r="E105" s="13"/>
      <c r="F105" s="14" t="s">
        <v>70</v>
      </c>
      <c r="G105" s="13"/>
      <c r="H105" s="13"/>
      <c r="I105" s="13"/>
      <c r="J105" s="14"/>
      <c r="K105" s="14"/>
      <c r="L105" s="13">
        <v>1</v>
      </c>
      <c r="M105" s="13"/>
      <c r="N105" s="13"/>
      <c r="O105" s="14" t="s">
        <v>71</v>
      </c>
      <c r="P105" s="14" t="s">
        <v>114</v>
      </c>
      <c r="Q105" s="14" t="s">
        <v>73</v>
      </c>
      <c r="R105" s="14">
        <v>2</v>
      </c>
      <c r="S105" s="14">
        <v>2</v>
      </c>
      <c r="T105" s="14">
        <v>1</v>
      </c>
      <c r="U105" s="14" t="s">
        <v>21</v>
      </c>
      <c r="V105" s="14">
        <f t="shared" si="21"/>
        <v>0.01</v>
      </c>
      <c r="W105" s="14">
        <f t="shared" si="22"/>
        <v>1664.9999999999998</v>
      </c>
      <c r="X105" s="17"/>
      <c r="Y105" s="17"/>
      <c r="Z105" s="17" t="s">
        <v>75</v>
      </c>
      <c r="AA105" s="18">
        <v>-6.5000000000000002E-2</v>
      </c>
      <c r="AB105" s="13" t="s">
        <v>75</v>
      </c>
      <c r="AC105" s="13" t="s">
        <v>2055</v>
      </c>
      <c r="AD105" s="13" t="s">
        <v>2056</v>
      </c>
      <c r="AE105" s="13"/>
      <c r="AF105" s="13"/>
      <c r="AG105" s="13"/>
      <c r="AH105" s="13" t="s">
        <v>2057</v>
      </c>
      <c r="AI105" s="19"/>
      <c r="AJ105" s="14"/>
      <c r="AK105" s="13" t="s">
        <v>2051</v>
      </c>
      <c r="AL105" s="13" t="s">
        <v>2052</v>
      </c>
      <c r="AM105" s="13" t="s">
        <v>2058</v>
      </c>
      <c r="AN105" s="13" t="s">
        <v>371</v>
      </c>
      <c r="AO105" s="13" t="s">
        <v>2059</v>
      </c>
      <c r="AP105" s="20">
        <v>-0.08</v>
      </c>
      <c r="AQ105" s="20">
        <f t="shared" si="32"/>
        <v>-1.4999999999999999E-2</v>
      </c>
      <c r="AR105" s="97">
        <f t="shared" si="33"/>
        <v>-49.949999999999989</v>
      </c>
      <c r="AS105" s="21">
        <f t="shared" si="34"/>
        <v>-24.974999999999994</v>
      </c>
      <c r="AT105" s="22" t="s">
        <v>206</v>
      </c>
      <c r="AU105" s="13" t="s">
        <v>2000</v>
      </c>
      <c r="AV105" s="13" t="s">
        <v>2060</v>
      </c>
      <c r="AW105" s="13" t="s">
        <v>2061</v>
      </c>
      <c r="AX105" s="13" t="s">
        <v>2062</v>
      </c>
      <c r="AY105" s="13"/>
      <c r="AZ105" s="13"/>
    </row>
    <row r="106" spans="1:52" ht="13.15">
      <c r="A106" s="12"/>
      <c r="B106" s="13"/>
      <c r="C106" s="13"/>
      <c r="D106" s="17"/>
      <c r="E106" s="13"/>
      <c r="F106" s="14"/>
      <c r="G106" s="13"/>
      <c r="H106" s="13"/>
      <c r="I106" s="13"/>
      <c r="J106" s="14"/>
      <c r="K106" s="14"/>
      <c r="L106" s="13"/>
      <c r="M106" s="13"/>
      <c r="N106" s="13"/>
      <c r="O106" s="14"/>
      <c r="P106" s="14"/>
      <c r="Q106" s="14"/>
      <c r="R106" s="14"/>
      <c r="S106" s="14"/>
      <c r="T106" s="14"/>
      <c r="U106" s="14"/>
      <c r="V106" s="14"/>
      <c r="W106" s="14"/>
      <c r="X106" s="17"/>
      <c r="Y106" s="17"/>
      <c r="Z106" s="17"/>
      <c r="AA106" s="18"/>
      <c r="AB106" s="13"/>
      <c r="AC106" s="13"/>
      <c r="AD106" s="13"/>
      <c r="AE106" s="13"/>
      <c r="AF106" s="13"/>
      <c r="AG106" s="13"/>
      <c r="AH106" s="13"/>
      <c r="AI106" s="19"/>
      <c r="AJ106" s="14"/>
      <c r="AK106" s="13"/>
      <c r="AL106" s="13"/>
      <c r="AM106" s="13"/>
      <c r="AN106" s="13"/>
      <c r="AO106" s="13"/>
      <c r="AP106" s="20"/>
      <c r="AQ106" s="13"/>
      <c r="AR106" s="97"/>
      <c r="AS106" s="21"/>
      <c r="AT106" s="22"/>
      <c r="AU106" s="17" t="s">
        <v>2063</v>
      </c>
      <c r="AV106" s="17" t="s">
        <v>2064</v>
      </c>
      <c r="AW106" s="13" t="s">
        <v>2065</v>
      </c>
      <c r="AX106" s="62" t="s">
        <v>2066</v>
      </c>
      <c r="AY106" s="62" t="s">
        <v>2067</v>
      </c>
      <c r="AZ106" s="13" t="s">
        <v>2068</v>
      </c>
    </row>
    <row r="107" spans="1:52" ht="13.15">
      <c r="A107" s="86">
        <v>44826</v>
      </c>
      <c r="B107" s="87"/>
      <c r="C107" s="87"/>
      <c r="D107" s="87"/>
      <c r="E107" s="87"/>
      <c r="F107" s="88"/>
      <c r="G107" s="87"/>
      <c r="H107" s="87"/>
      <c r="I107" s="87"/>
      <c r="J107" s="87"/>
      <c r="K107" s="87"/>
      <c r="L107" s="87"/>
      <c r="M107" s="87"/>
      <c r="N107" s="87"/>
      <c r="O107" s="88"/>
      <c r="P107" s="88"/>
      <c r="Q107" s="88"/>
      <c r="R107" s="88"/>
      <c r="S107" s="88"/>
      <c r="T107" s="88"/>
      <c r="U107" s="88"/>
      <c r="V107" s="88"/>
      <c r="W107" s="88"/>
      <c r="X107" s="87"/>
      <c r="Y107" s="87"/>
      <c r="Z107" s="87"/>
      <c r="AA107" s="89"/>
      <c r="AB107" s="87"/>
      <c r="AC107" s="87"/>
      <c r="AD107" s="87"/>
      <c r="AE107" s="87"/>
      <c r="AF107" s="87"/>
      <c r="AG107" s="87"/>
      <c r="AH107" s="87"/>
      <c r="AI107" s="90"/>
      <c r="AJ107" s="88"/>
      <c r="AK107" s="87"/>
      <c r="AL107" s="87"/>
      <c r="AM107" s="87"/>
      <c r="AN107" s="87"/>
      <c r="AO107" s="87"/>
      <c r="AP107" s="89"/>
      <c r="AQ107" s="87"/>
      <c r="AR107" s="111"/>
      <c r="AS107" s="95"/>
      <c r="AT107" s="96"/>
      <c r="AU107" s="87"/>
      <c r="AV107" s="87"/>
      <c r="AW107" s="87"/>
      <c r="AX107" s="87"/>
      <c r="AY107" s="87"/>
      <c r="AZ107" s="87"/>
    </row>
    <row r="108" spans="1:52" ht="13.15">
      <c r="A108" s="12">
        <v>44805</v>
      </c>
      <c r="B108" s="13"/>
      <c r="C108" s="13" t="s">
        <v>69</v>
      </c>
      <c r="D108" s="17" t="s">
        <v>2069</v>
      </c>
      <c r="E108" s="13" t="s">
        <v>317</v>
      </c>
      <c r="F108" s="14"/>
      <c r="G108" s="13"/>
      <c r="H108" s="13"/>
      <c r="I108" s="13"/>
      <c r="J108" s="14"/>
      <c r="K108" s="14"/>
      <c r="L108" s="13"/>
      <c r="M108" s="13"/>
      <c r="N108" s="13"/>
      <c r="O108" s="14"/>
      <c r="P108" s="14"/>
      <c r="Q108" s="14"/>
      <c r="R108" s="14"/>
      <c r="S108" s="14"/>
      <c r="T108" s="14"/>
      <c r="U108" s="14"/>
      <c r="V108" s="14">
        <f t="shared" ref="V108:V114" si="35">IF(ISBLANK(O108),,(IF(O108=UPPER("IB"),0.005,0.01)))</f>
        <v>0</v>
      </c>
      <c r="W108" s="14">
        <f t="shared" ref="W108:W114" si="36">IF(ISBLANK(O108),,IF(O108=UPPER("IB"),8.63*200,16.65*100))</f>
        <v>0</v>
      </c>
      <c r="X108" s="17"/>
      <c r="Y108" s="17"/>
      <c r="Z108" s="17"/>
      <c r="AA108" s="18"/>
      <c r="AB108" s="13"/>
      <c r="AC108" s="13"/>
      <c r="AD108" s="13"/>
      <c r="AE108" s="13"/>
      <c r="AF108" s="13"/>
      <c r="AG108" s="13"/>
      <c r="AH108" s="13"/>
      <c r="AI108" s="19"/>
      <c r="AJ108" s="14"/>
      <c r="AK108" s="13"/>
      <c r="AL108" s="13"/>
      <c r="AM108" s="13"/>
      <c r="AN108" s="13"/>
      <c r="AO108" s="13"/>
      <c r="AP108" s="20"/>
      <c r="AQ108" s="13"/>
      <c r="AR108" s="97"/>
      <c r="AS108" s="21"/>
      <c r="AT108" s="22"/>
      <c r="AU108" s="13"/>
      <c r="AV108" s="13"/>
      <c r="AW108" s="13"/>
      <c r="AX108" s="13"/>
      <c r="AY108" s="13"/>
      <c r="AZ108" s="13"/>
    </row>
    <row r="109" spans="1:52" ht="13.15">
      <c r="A109" s="12">
        <v>44805</v>
      </c>
      <c r="B109" s="13"/>
      <c r="C109" s="13" t="s">
        <v>69</v>
      </c>
      <c r="D109" s="17" t="s">
        <v>2070</v>
      </c>
      <c r="E109" s="13"/>
      <c r="F109" s="14"/>
      <c r="G109" s="13"/>
      <c r="H109" s="13"/>
      <c r="I109" s="13"/>
      <c r="J109" s="14"/>
      <c r="K109" s="14"/>
      <c r="L109" s="13"/>
      <c r="M109" s="13"/>
      <c r="N109" s="13"/>
      <c r="O109" s="14"/>
      <c r="P109" s="14"/>
      <c r="Q109" s="14"/>
      <c r="R109" s="14"/>
      <c r="S109" s="14"/>
      <c r="T109" s="14"/>
      <c r="U109" s="14"/>
      <c r="V109" s="14">
        <f t="shared" si="35"/>
        <v>0</v>
      </c>
      <c r="W109" s="14">
        <f t="shared" si="36"/>
        <v>0</v>
      </c>
      <c r="X109" s="17"/>
      <c r="Y109" s="17"/>
      <c r="Z109" s="17"/>
      <c r="AA109" s="18"/>
      <c r="AB109" s="13"/>
      <c r="AC109" s="13"/>
      <c r="AD109" s="13"/>
      <c r="AE109" s="13"/>
      <c r="AF109" s="13"/>
      <c r="AG109" s="13"/>
      <c r="AH109" s="13"/>
      <c r="AI109" s="19"/>
      <c r="AJ109" s="14"/>
      <c r="AK109" s="13"/>
      <c r="AL109" s="13"/>
      <c r="AM109" s="13"/>
      <c r="AN109" s="13"/>
      <c r="AO109" s="13"/>
      <c r="AP109" s="20"/>
      <c r="AQ109" s="13"/>
      <c r="AR109" s="97"/>
      <c r="AS109" s="21"/>
      <c r="AT109" s="22"/>
      <c r="AU109" s="13"/>
      <c r="AV109" s="13"/>
      <c r="AW109" s="13"/>
      <c r="AX109" s="13"/>
      <c r="AY109" s="13"/>
      <c r="AZ109" s="13"/>
    </row>
    <row r="110" spans="1:52" ht="13.15">
      <c r="A110" s="12">
        <v>44805</v>
      </c>
      <c r="B110" s="13"/>
      <c r="C110" s="13" t="s">
        <v>69</v>
      </c>
      <c r="D110" s="17"/>
      <c r="E110" s="13"/>
      <c r="F110" s="14"/>
      <c r="G110" s="13"/>
      <c r="H110" s="13"/>
      <c r="I110" s="13"/>
      <c r="J110" s="13"/>
      <c r="K110" s="13"/>
      <c r="L110" s="13"/>
      <c r="M110" s="13"/>
      <c r="N110" s="13"/>
      <c r="O110" s="14"/>
      <c r="P110" s="14"/>
      <c r="Q110" s="14"/>
      <c r="R110" s="14"/>
      <c r="S110" s="14"/>
      <c r="T110" s="14"/>
      <c r="U110" s="14"/>
      <c r="V110" s="14">
        <f t="shared" si="35"/>
        <v>0</v>
      </c>
      <c r="W110" s="14">
        <f t="shared" si="36"/>
        <v>0</v>
      </c>
      <c r="X110" s="17"/>
      <c r="Y110" s="17"/>
      <c r="Z110" s="17"/>
      <c r="AA110" s="18"/>
      <c r="AB110" s="13"/>
      <c r="AC110" s="13"/>
      <c r="AD110" s="13"/>
      <c r="AE110" s="13"/>
      <c r="AF110" s="13"/>
      <c r="AG110" s="13"/>
      <c r="AH110" s="13"/>
      <c r="AI110" s="19"/>
      <c r="AJ110" s="14"/>
      <c r="AK110" s="13"/>
      <c r="AL110" s="13"/>
      <c r="AM110" s="13"/>
      <c r="AN110" s="13"/>
      <c r="AO110" s="13"/>
      <c r="AP110" s="20"/>
      <c r="AQ110" s="13"/>
      <c r="AR110" s="97"/>
      <c r="AS110" s="21"/>
      <c r="AT110" s="22"/>
      <c r="AU110" s="17" t="s">
        <v>2071</v>
      </c>
      <c r="AV110" s="13"/>
      <c r="AW110" s="13"/>
      <c r="AX110" s="13"/>
      <c r="AY110" s="13"/>
      <c r="AZ110" s="13"/>
    </row>
    <row r="111" spans="1:52" ht="13.15">
      <c r="A111" s="12">
        <v>44805</v>
      </c>
      <c r="B111" s="13"/>
      <c r="C111" s="13" t="s">
        <v>69</v>
      </c>
      <c r="D111" s="17"/>
      <c r="E111" s="13"/>
      <c r="F111" s="14" t="s">
        <v>70</v>
      </c>
      <c r="G111" s="13"/>
      <c r="H111" s="13"/>
      <c r="I111" s="13"/>
      <c r="J111" s="14"/>
      <c r="K111" s="14"/>
      <c r="L111" s="13">
        <v>1</v>
      </c>
      <c r="M111" s="13"/>
      <c r="N111" s="13"/>
      <c r="O111" s="14" t="s">
        <v>71</v>
      </c>
      <c r="P111" s="14" t="s">
        <v>114</v>
      </c>
      <c r="Q111" s="14" t="s">
        <v>73</v>
      </c>
      <c r="R111" s="14">
        <v>2</v>
      </c>
      <c r="S111" s="14">
        <v>2</v>
      </c>
      <c r="T111" s="14">
        <v>2</v>
      </c>
      <c r="U111" s="14" t="s">
        <v>21</v>
      </c>
      <c r="V111" s="14">
        <f t="shared" si="35"/>
        <v>0.01</v>
      </c>
      <c r="W111" s="14">
        <f t="shared" si="36"/>
        <v>1664.9999999999998</v>
      </c>
      <c r="X111" s="17"/>
      <c r="Y111" s="17"/>
      <c r="Z111" s="17" t="s">
        <v>75</v>
      </c>
      <c r="AA111" s="18">
        <v>-7.0000000000000007E-2</v>
      </c>
      <c r="AB111" s="13" t="s">
        <v>75</v>
      </c>
      <c r="AC111" s="13"/>
      <c r="AD111" s="13"/>
      <c r="AE111" s="13"/>
      <c r="AF111" s="13"/>
      <c r="AG111" s="13"/>
      <c r="AH111" s="13"/>
      <c r="AI111" s="19"/>
      <c r="AJ111" s="14"/>
      <c r="AK111" s="13" t="s">
        <v>1878</v>
      </c>
      <c r="AL111" s="13"/>
      <c r="AM111" s="13" t="s">
        <v>2072</v>
      </c>
      <c r="AN111" s="13" t="s">
        <v>82</v>
      </c>
      <c r="AO111" s="13"/>
      <c r="AP111" s="20">
        <v>-0.06</v>
      </c>
      <c r="AQ111" s="20">
        <f t="shared" ref="AQ111:AQ114" si="37">IF(ISBLANK(AP111),,IF(U111="S",AA111-AP111,AP111-AA111))</f>
        <v>1.0000000000000009E-2</v>
      </c>
      <c r="AR111" s="97">
        <f>AS111*R111</f>
        <v>33.300000000000026</v>
      </c>
      <c r="AS111" s="21">
        <f t="shared" ref="AS111:AS114" si="38">IF(ISBLANK(AP111),,(AQ111*W111))</f>
        <v>16.650000000000013</v>
      </c>
      <c r="AT111" s="22" t="s">
        <v>72</v>
      </c>
      <c r="AU111" s="13" t="s">
        <v>2000</v>
      </c>
      <c r="AV111" s="17" t="s">
        <v>2073</v>
      </c>
      <c r="AW111" s="13" t="s">
        <v>1996</v>
      </c>
      <c r="AX111" s="13"/>
      <c r="AY111" s="13"/>
      <c r="AZ111" s="13"/>
    </row>
    <row r="112" spans="1:52" ht="13.15">
      <c r="A112" s="12">
        <v>44805</v>
      </c>
      <c r="B112" s="13">
        <v>12</v>
      </c>
      <c r="C112" s="13" t="s">
        <v>69</v>
      </c>
      <c r="D112" s="17"/>
      <c r="E112" s="13"/>
      <c r="F112" s="14" t="s">
        <v>70</v>
      </c>
      <c r="G112" s="13"/>
      <c r="H112" s="13"/>
      <c r="I112" s="13"/>
      <c r="J112" s="14" t="s">
        <v>82</v>
      </c>
      <c r="K112" s="14"/>
      <c r="L112" s="13">
        <v>1</v>
      </c>
      <c r="M112" s="13"/>
      <c r="N112" s="13"/>
      <c r="O112" s="14" t="s">
        <v>71</v>
      </c>
      <c r="P112" s="14" t="s">
        <v>114</v>
      </c>
      <c r="Q112" s="14"/>
      <c r="R112" s="14">
        <v>2</v>
      </c>
      <c r="S112" s="14">
        <v>2</v>
      </c>
      <c r="T112" s="14">
        <v>2</v>
      </c>
      <c r="U112" s="14" t="s">
        <v>73</v>
      </c>
      <c r="V112" s="14">
        <f t="shared" si="35"/>
        <v>0.01</v>
      </c>
      <c r="W112" s="14">
        <f t="shared" si="36"/>
        <v>1664.9999999999998</v>
      </c>
      <c r="X112" s="17"/>
      <c r="Y112" s="17"/>
      <c r="Z112" s="17" t="s">
        <v>75</v>
      </c>
      <c r="AA112" s="18">
        <v>-7.0000000000000007E-2</v>
      </c>
      <c r="AB112" s="13" t="s">
        <v>75</v>
      </c>
      <c r="AC112" s="13"/>
      <c r="AD112" s="13"/>
      <c r="AE112" s="13"/>
      <c r="AF112" s="13"/>
      <c r="AG112" s="13"/>
      <c r="AH112" s="13"/>
      <c r="AI112" s="19"/>
      <c r="AJ112" s="14"/>
      <c r="AK112" s="13" t="s">
        <v>2074</v>
      </c>
      <c r="AL112" s="13" t="s">
        <v>2075</v>
      </c>
      <c r="AM112" s="13"/>
      <c r="AN112" s="13"/>
      <c r="AO112" s="13"/>
      <c r="AP112" s="20"/>
      <c r="AQ112" s="13">
        <f t="shared" si="37"/>
        <v>0</v>
      </c>
      <c r="AR112" s="97"/>
      <c r="AS112" s="21">
        <f t="shared" si="38"/>
        <v>0</v>
      </c>
      <c r="AT112" s="22"/>
      <c r="AU112" s="13" t="s">
        <v>2076</v>
      </c>
      <c r="AV112" s="17" t="s">
        <v>2077</v>
      </c>
      <c r="AW112" s="13" t="s">
        <v>2078</v>
      </c>
      <c r="AX112" s="17" t="s">
        <v>2079</v>
      </c>
      <c r="AY112" s="13" t="s">
        <v>2080</v>
      </c>
      <c r="AZ112" s="13" t="s">
        <v>2081</v>
      </c>
    </row>
    <row r="113" spans="1:52" ht="13.15">
      <c r="A113" s="12">
        <v>44805</v>
      </c>
      <c r="B113" s="13"/>
      <c r="C113" s="13" t="s">
        <v>69</v>
      </c>
      <c r="D113" s="17"/>
      <c r="E113" s="13"/>
      <c r="F113" s="14" t="s">
        <v>1852</v>
      </c>
      <c r="G113" s="13"/>
      <c r="H113" s="13"/>
      <c r="I113" s="13"/>
      <c r="J113" s="14"/>
      <c r="K113" s="14"/>
      <c r="L113" s="13">
        <v>1</v>
      </c>
      <c r="M113" s="13"/>
      <c r="N113" s="13"/>
      <c r="O113" s="14" t="s">
        <v>71</v>
      </c>
      <c r="P113" s="14" t="s">
        <v>114</v>
      </c>
      <c r="Q113" s="14"/>
      <c r="R113" s="14">
        <v>6</v>
      </c>
      <c r="S113" s="14">
        <v>6</v>
      </c>
      <c r="T113" s="14">
        <v>4</v>
      </c>
      <c r="U113" s="14" t="s">
        <v>21</v>
      </c>
      <c r="V113" s="14">
        <f t="shared" si="35"/>
        <v>0.01</v>
      </c>
      <c r="W113" s="14">
        <f t="shared" si="36"/>
        <v>1664.9999999999998</v>
      </c>
      <c r="X113" s="17"/>
      <c r="Y113" s="17"/>
      <c r="Z113" s="17" t="s">
        <v>2082</v>
      </c>
      <c r="AA113" s="18">
        <v>96.04</v>
      </c>
      <c r="AB113" s="17" t="s">
        <v>2082</v>
      </c>
      <c r="AC113" s="13"/>
      <c r="AD113" s="13"/>
      <c r="AE113" s="13"/>
      <c r="AF113" s="13"/>
      <c r="AG113" s="13"/>
      <c r="AH113" s="13"/>
      <c r="AI113" s="19"/>
      <c r="AJ113" s="14"/>
      <c r="AK113" s="13"/>
      <c r="AL113" s="13" t="s">
        <v>2075</v>
      </c>
      <c r="AM113" s="13"/>
      <c r="AN113" s="13"/>
      <c r="AO113" s="13"/>
      <c r="AP113" s="20">
        <v>96.04</v>
      </c>
      <c r="AQ113" s="20">
        <f t="shared" si="37"/>
        <v>0</v>
      </c>
      <c r="AR113" s="97">
        <f t="shared" ref="AR113:AR114" si="39">AS113*R113</f>
        <v>0</v>
      </c>
      <c r="AS113" s="21">
        <f t="shared" si="38"/>
        <v>0</v>
      </c>
      <c r="AT113" s="22" t="s">
        <v>92</v>
      </c>
      <c r="AU113" s="13" t="s">
        <v>2083</v>
      </c>
      <c r="AV113" s="13" t="s">
        <v>2084</v>
      </c>
      <c r="AW113" s="13"/>
      <c r="AX113" s="17" t="s">
        <v>2085</v>
      </c>
      <c r="AY113" s="13"/>
      <c r="AZ113" s="13"/>
    </row>
    <row r="114" spans="1:52" ht="14.45">
      <c r="A114" s="12">
        <v>44805</v>
      </c>
      <c r="B114" s="13"/>
      <c r="C114" s="13" t="s">
        <v>69</v>
      </c>
      <c r="D114" s="17"/>
      <c r="E114" s="13"/>
      <c r="F114" s="14" t="s">
        <v>1821</v>
      </c>
      <c r="G114" s="13"/>
      <c r="H114" s="13"/>
      <c r="I114" s="13"/>
      <c r="J114" s="14"/>
      <c r="K114" s="14"/>
      <c r="L114" s="13">
        <v>1</v>
      </c>
      <c r="M114" s="13"/>
      <c r="N114" s="13"/>
      <c r="O114" s="14" t="s">
        <v>71</v>
      </c>
      <c r="P114" s="14" t="s">
        <v>114</v>
      </c>
      <c r="Q114" s="14"/>
      <c r="R114" s="14">
        <v>2</v>
      </c>
      <c r="S114" s="14">
        <v>2</v>
      </c>
      <c r="T114" s="14">
        <v>2</v>
      </c>
      <c r="U114" s="14" t="s">
        <v>73</v>
      </c>
      <c r="V114" s="14">
        <f t="shared" si="35"/>
        <v>0.01</v>
      </c>
      <c r="W114" s="14">
        <f t="shared" si="36"/>
        <v>1664.9999999999998</v>
      </c>
      <c r="X114" s="17"/>
      <c r="Y114" s="17"/>
      <c r="Z114" s="17" t="s">
        <v>2082</v>
      </c>
      <c r="AA114" s="18">
        <v>96.98</v>
      </c>
      <c r="AB114" s="17" t="s">
        <v>2086</v>
      </c>
      <c r="AC114" s="13"/>
      <c r="AD114" s="13"/>
      <c r="AE114" s="13"/>
      <c r="AF114" s="13"/>
      <c r="AG114" s="13"/>
      <c r="AH114" s="13"/>
      <c r="AI114" s="19"/>
      <c r="AJ114" s="14"/>
      <c r="AK114" s="13"/>
      <c r="AL114" s="13"/>
      <c r="AM114" s="13"/>
      <c r="AN114" s="13"/>
      <c r="AO114" s="13"/>
      <c r="AP114" s="20">
        <v>96.98</v>
      </c>
      <c r="AQ114" s="20">
        <f t="shared" si="37"/>
        <v>0</v>
      </c>
      <c r="AR114" s="97">
        <f t="shared" si="39"/>
        <v>0</v>
      </c>
      <c r="AS114" s="21">
        <f t="shared" si="38"/>
        <v>0</v>
      </c>
      <c r="AT114" s="22" t="s">
        <v>92</v>
      </c>
      <c r="AU114" s="13" t="s">
        <v>2087</v>
      </c>
      <c r="AV114" s="106" t="s">
        <v>2088</v>
      </c>
      <c r="AW114" s="106" t="s">
        <v>2089</v>
      </c>
      <c r="AX114" s="17" t="s">
        <v>2035</v>
      </c>
      <c r="AY114" s="13" t="s">
        <v>2090</v>
      </c>
      <c r="AZ114" s="13" t="s">
        <v>2091</v>
      </c>
    </row>
    <row r="115" spans="1:52" ht="13.15">
      <c r="A115" s="12">
        <v>44805</v>
      </c>
      <c r="B115" s="13"/>
      <c r="C115" s="13" t="s">
        <v>69</v>
      </c>
      <c r="D115" s="17"/>
      <c r="E115" s="13"/>
      <c r="F115" s="14"/>
      <c r="G115" s="13"/>
      <c r="H115" s="13"/>
      <c r="I115" s="13"/>
      <c r="J115" s="14"/>
      <c r="K115" s="14"/>
      <c r="L115" s="13"/>
      <c r="M115" s="13"/>
      <c r="N115" s="13"/>
      <c r="O115" s="14"/>
      <c r="P115" s="14"/>
      <c r="Q115" s="14"/>
      <c r="R115" s="14"/>
      <c r="S115" s="14"/>
      <c r="T115" s="14"/>
      <c r="U115" s="14"/>
      <c r="V115" s="14"/>
      <c r="W115" s="14"/>
      <c r="X115" s="17"/>
      <c r="Y115" s="17"/>
      <c r="Z115" s="17"/>
      <c r="AA115" s="18"/>
      <c r="AB115" s="13"/>
      <c r="AC115" s="13"/>
      <c r="AD115" s="13"/>
      <c r="AE115" s="13"/>
      <c r="AF115" s="13"/>
      <c r="AG115" s="13"/>
      <c r="AH115" s="13"/>
      <c r="AI115" s="19"/>
      <c r="AJ115" s="14"/>
      <c r="AK115" s="13"/>
      <c r="AL115" s="13"/>
      <c r="AM115" s="13"/>
      <c r="AN115" s="13"/>
      <c r="AO115" s="13"/>
      <c r="AP115" s="20"/>
      <c r="AQ115" s="13"/>
      <c r="AR115" s="97"/>
      <c r="AS115" s="21"/>
      <c r="AT115" s="22"/>
      <c r="AU115" s="13" t="s">
        <v>2092</v>
      </c>
      <c r="AV115" s="13" t="s">
        <v>2093</v>
      </c>
      <c r="AW115" s="103" t="s">
        <v>2094</v>
      </c>
      <c r="AX115" s="13" t="s">
        <v>2095</v>
      </c>
      <c r="AY115" s="13" t="s">
        <v>2096</v>
      </c>
      <c r="AZ115" s="13" t="s">
        <v>2097</v>
      </c>
    </row>
    <row r="116" spans="1:52" ht="13.15">
      <c r="A116" s="12">
        <v>44805</v>
      </c>
      <c r="B116" s="13" t="s">
        <v>2098</v>
      </c>
      <c r="C116" s="13" t="s">
        <v>69</v>
      </c>
      <c r="D116" s="17"/>
      <c r="E116" s="13"/>
      <c r="F116" s="14" t="s">
        <v>1989</v>
      </c>
      <c r="G116" s="13"/>
      <c r="H116" s="13"/>
      <c r="I116" s="13"/>
      <c r="J116" s="14"/>
      <c r="K116" s="14"/>
      <c r="L116" s="13"/>
      <c r="M116" s="13">
        <v>1</v>
      </c>
      <c r="N116" s="13"/>
      <c r="O116" s="14" t="s">
        <v>71</v>
      </c>
      <c r="P116" s="14" t="s">
        <v>72</v>
      </c>
      <c r="Q116" s="14" t="s">
        <v>233</v>
      </c>
      <c r="R116" s="14">
        <v>3</v>
      </c>
      <c r="S116" s="14">
        <v>3</v>
      </c>
      <c r="T116" s="14">
        <v>1</v>
      </c>
      <c r="U116" s="14" t="s">
        <v>21</v>
      </c>
      <c r="V116" s="14">
        <f t="shared" ref="V116:V152" si="40">IF(ISBLANK(O116),,(IF(O116=UPPER("IB"),0.005,0.01)))</f>
        <v>0.01</v>
      </c>
      <c r="W116" s="14">
        <f t="shared" ref="W116:W152" si="41">IF(ISBLANK(O116),,IF(O116=UPPER("IB"),8.63*200,16.65*100))</f>
        <v>1664.9999999999998</v>
      </c>
      <c r="X116" s="17"/>
      <c r="Y116" s="17" t="s">
        <v>1997</v>
      </c>
      <c r="Z116" s="17" t="s">
        <v>2099</v>
      </c>
      <c r="AA116" s="18">
        <v>0.23</v>
      </c>
      <c r="AB116" s="13"/>
      <c r="AC116" s="13"/>
      <c r="AD116" s="13"/>
      <c r="AE116" s="13"/>
      <c r="AF116" s="13"/>
      <c r="AG116" s="13"/>
      <c r="AH116" s="13"/>
      <c r="AI116" s="19"/>
      <c r="AJ116" s="14"/>
      <c r="AK116" s="13"/>
      <c r="AL116" s="62"/>
      <c r="AM116" s="13" t="s">
        <v>2100</v>
      </c>
      <c r="AN116" s="13" t="s">
        <v>92</v>
      </c>
      <c r="AO116" s="13" t="s">
        <v>2101</v>
      </c>
      <c r="AP116" s="20">
        <v>0.26</v>
      </c>
      <c r="AQ116" s="20">
        <f t="shared" ref="AQ116:AQ152" si="42">IF(ISBLANK(AP116),,IF(U116="S",AA116-AP116,AP116-AA116))</f>
        <v>0.03</v>
      </c>
      <c r="AR116" s="97">
        <f t="shared" ref="AR116:AR118" si="43">AS116*R116</f>
        <v>149.84999999999997</v>
      </c>
      <c r="AS116" s="21">
        <f t="shared" ref="AS116:AS152" si="44">IF(ISBLANK(AP116),,(AQ116*W116))</f>
        <v>49.949999999999989</v>
      </c>
      <c r="AT116" s="22" t="s">
        <v>72</v>
      </c>
      <c r="AU116" s="13" t="s">
        <v>2102</v>
      </c>
      <c r="AV116" s="13" t="s">
        <v>2103</v>
      </c>
      <c r="AW116" s="13" t="s">
        <v>2104</v>
      </c>
      <c r="AX116" s="13"/>
      <c r="AY116" s="13"/>
      <c r="AZ116" s="13"/>
    </row>
    <row r="117" spans="1:52" ht="13.15">
      <c r="A117" s="112">
        <v>44806</v>
      </c>
      <c r="B117" s="13" t="s">
        <v>2105</v>
      </c>
      <c r="C117" s="13" t="s">
        <v>88</v>
      </c>
      <c r="D117" s="17"/>
      <c r="E117" s="13"/>
      <c r="F117" s="14" t="s">
        <v>70</v>
      </c>
      <c r="G117" s="13"/>
      <c r="H117" s="13"/>
      <c r="I117" s="13"/>
      <c r="J117" s="14"/>
      <c r="K117" s="14"/>
      <c r="L117" s="13">
        <v>1</v>
      </c>
      <c r="M117" s="13"/>
      <c r="N117" s="13"/>
      <c r="O117" s="14" t="s">
        <v>71</v>
      </c>
      <c r="P117" s="14" t="s">
        <v>114</v>
      </c>
      <c r="Q117" s="14" t="s">
        <v>73</v>
      </c>
      <c r="R117" s="14">
        <v>1</v>
      </c>
      <c r="S117" s="14">
        <v>1</v>
      </c>
      <c r="T117" s="14">
        <v>1</v>
      </c>
      <c r="U117" s="14" t="s">
        <v>21</v>
      </c>
      <c r="V117" s="14">
        <f t="shared" si="40"/>
        <v>0.01</v>
      </c>
      <c r="W117" s="14">
        <f t="shared" si="41"/>
        <v>1664.9999999999998</v>
      </c>
      <c r="X117" s="17"/>
      <c r="Y117" s="17"/>
      <c r="Z117" s="17" t="s">
        <v>75</v>
      </c>
      <c r="AA117" s="18">
        <v>-7.0000000000000007E-2</v>
      </c>
      <c r="AB117" s="13" t="s">
        <v>2106</v>
      </c>
      <c r="AC117" s="13"/>
      <c r="AD117" s="13"/>
      <c r="AE117" s="13"/>
      <c r="AF117" s="13"/>
      <c r="AG117" s="13"/>
      <c r="AH117" s="13"/>
      <c r="AI117" s="19"/>
      <c r="AJ117" s="14"/>
      <c r="AK117" s="13"/>
      <c r="AL117" s="13"/>
      <c r="AM117" s="13" t="s">
        <v>135</v>
      </c>
      <c r="AN117" s="13" t="s">
        <v>82</v>
      </c>
      <c r="AO117" s="13"/>
      <c r="AP117" s="20">
        <v>-0.06</v>
      </c>
      <c r="AQ117" s="20">
        <f t="shared" si="42"/>
        <v>1.0000000000000009E-2</v>
      </c>
      <c r="AR117" s="97">
        <f t="shared" si="43"/>
        <v>16.650000000000013</v>
      </c>
      <c r="AS117" s="21">
        <f t="shared" si="44"/>
        <v>16.650000000000013</v>
      </c>
      <c r="AT117" s="22" t="s">
        <v>72</v>
      </c>
      <c r="AU117" s="13" t="s">
        <v>2000</v>
      </c>
      <c r="AV117" s="13" t="s">
        <v>2107</v>
      </c>
      <c r="AW117" s="13" t="s">
        <v>2108</v>
      </c>
      <c r="AX117" s="13" t="s">
        <v>2109</v>
      </c>
      <c r="AY117" s="13"/>
      <c r="AZ117" s="13"/>
    </row>
    <row r="118" spans="1:52" ht="13.15">
      <c r="A118" s="12">
        <v>44806</v>
      </c>
      <c r="B118" s="13" t="s">
        <v>2110</v>
      </c>
      <c r="C118" s="13" t="s">
        <v>88</v>
      </c>
      <c r="D118" s="17"/>
      <c r="E118" s="13"/>
      <c r="F118" s="14" t="s">
        <v>1908</v>
      </c>
      <c r="G118" s="13"/>
      <c r="H118" s="13"/>
      <c r="I118" s="13"/>
      <c r="J118" s="14"/>
      <c r="K118" s="14"/>
      <c r="L118" s="13">
        <v>1</v>
      </c>
      <c r="M118" s="13">
        <v>2</v>
      </c>
      <c r="N118" s="13">
        <v>1</v>
      </c>
      <c r="O118" s="14" t="s">
        <v>71</v>
      </c>
      <c r="P118" s="14" t="s">
        <v>72</v>
      </c>
      <c r="Q118" s="14" t="s">
        <v>73</v>
      </c>
      <c r="R118" s="14">
        <v>10</v>
      </c>
      <c r="S118" s="14">
        <v>10</v>
      </c>
      <c r="T118" s="14">
        <v>2</v>
      </c>
      <c r="U118" s="14" t="s">
        <v>73</v>
      </c>
      <c r="V118" s="14">
        <f t="shared" si="40"/>
        <v>0.01</v>
      </c>
      <c r="W118" s="14">
        <f t="shared" si="41"/>
        <v>1664.9999999999998</v>
      </c>
      <c r="X118" s="17" t="s">
        <v>2111</v>
      </c>
      <c r="Y118" s="17" t="s">
        <v>2112</v>
      </c>
      <c r="Z118" s="17"/>
      <c r="AA118" s="18">
        <v>0.185</v>
      </c>
      <c r="AB118" s="13" t="s">
        <v>2113</v>
      </c>
      <c r="AC118" s="13" t="s">
        <v>2114</v>
      </c>
      <c r="AD118" s="13" t="s">
        <v>2115</v>
      </c>
      <c r="AE118" s="13">
        <v>15</v>
      </c>
      <c r="AF118" s="13" t="s">
        <v>2116</v>
      </c>
      <c r="AG118" s="13"/>
      <c r="AH118" s="13" t="s">
        <v>2117</v>
      </c>
      <c r="AI118" s="19"/>
      <c r="AJ118" s="14"/>
      <c r="AK118" s="13" t="s">
        <v>2118</v>
      </c>
      <c r="AL118" s="13" t="s">
        <v>2119</v>
      </c>
      <c r="AM118" s="13"/>
      <c r="AN118" s="13" t="s">
        <v>82</v>
      </c>
      <c r="AO118" s="13" t="s">
        <v>2101</v>
      </c>
      <c r="AP118" s="20">
        <v>0.18</v>
      </c>
      <c r="AQ118" s="20">
        <f t="shared" si="42"/>
        <v>5.0000000000000044E-3</v>
      </c>
      <c r="AR118" s="97">
        <f t="shared" si="43"/>
        <v>83.250000000000057</v>
      </c>
      <c r="AS118" s="21">
        <f t="shared" si="44"/>
        <v>8.3250000000000064</v>
      </c>
      <c r="AT118" s="22" t="s">
        <v>72</v>
      </c>
      <c r="AU118" s="13" t="s">
        <v>2120</v>
      </c>
      <c r="AV118" s="13" t="s">
        <v>2121</v>
      </c>
      <c r="AW118" s="13" t="s">
        <v>2122</v>
      </c>
      <c r="AX118" s="13" t="s">
        <v>2123</v>
      </c>
      <c r="AY118" s="13" t="s">
        <v>2124</v>
      </c>
      <c r="AZ118" s="13" t="s">
        <v>2125</v>
      </c>
    </row>
    <row r="119" spans="1:52" ht="13.15">
      <c r="A119" s="12"/>
      <c r="B119" s="13"/>
      <c r="C119" s="13"/>
      <c r="D119" s="17"/>
      <c r="E119" s="13"/>
      <c r="F119" s="14"/>
      <c r="G119" s="13"/>
      <c r="H119" s="13"/>
      <c r="I119" s="13"/>
      <c r="J119" s="14" t="s">
        <v>92</v>
      </c>
      <c r="K119" s="14"/>
      <c r="L119" s="13"/>
      <c r="M119" s="13"/>
      <c r="N119" s="13"/>
      <c r="O119" s="14"/>
      <c r="P119" s="14"/>
      <c r="Q119" s="14"/>
      <c r="R119" s="14"/>
      <c r="S119" s="14"/>
      <c r="T119" s="14"/>
      <c r="U119" s="14"/>
      <c r="V119" s="14">
        <f t="shared" si="40"/>
        <v>0</v>
      </c>
      <c r="W119" s="14">
        <f t="shared" si="41"/>
        <v>0</v>
      </c>
      <c r="X119" s="17"/>
      <c r="Y119" s="17"/>
      <c r="Z119" s="17"/>
      <c r="AA119" s="18">
        <v>18.5</v>
      </c>
      <c r="AB119" s="13"/>
      <c r="AC119" s="13" t="s">
        <v>2126</v>
      </c>
      <c r="AD119" s="13"/>
      <c r="AE119" s="13" t="s">
        <v>2127</v>
      </c>
      <c r="AF119" s="13"/>
      <c r="AG119" s="13"/>
      <c r="AH119" s="13" t="s">
        <v>2128</v>
      </c>
      <c r="AI119" s="19"/>
      <c r="AJ119" s="14"/>
      <c r="AK119" s="13"/>
      <c r="AL119" s="13"/>
      <c r="AM119" s="13"/>
      <c r="AN119" s="13"/>
      <c r="AO119" s="13"/>
      <c r="AP119" s="20"/>
      <c r="AQ119" s="13">
        <f t="shared" si="42"/>
        <v>0</v>
      </c>
      <c r="AR119" s="97"/>
      <c r="AS119" s="21">
        <f t="shared" si="44"/>
        <v>0</v>
      </c>
      <c r="AT119" s="22"/>
      <c r="AU119" s="13" t="s">
        <v>2129</v>
      </c>
      <c r="AV119" s="13" t="s">
        <v>2130</v>
      </c>
      <c r="AW119" s="13" t="s">
        <v>2131</v>
      </c>
      <c r="AX119" s="13" t="s">
        <v>2132</v>
      </c>
      <c r="AY119" s="13" t="s">
        <v>2133</v>
      </c>
      <c r="AZ119" s="13" t="s">
        <v>2134</v>
      </c>
    </row>
    <row r="120" spans="1:52" ht="13.15">
      <c r="A120" s="12">
        <v>44809</v>
      </c>
      <c r="B120" s="13">
        <v>12.42</v>
      </c>
      <c r="C120" s="13" t="s">
        <v>109</v>
      </c>
      <c r="D120" s="17"/>
      <c r="E120" s="13"/>
      <c r="F120" s="14" t="s">
        <v>70</v>
      </c>
      <c r="G120" s="13"/>
      <c r="H120" s="13"/>
      <c r="I120" s="13"/>
      <c r="J120" s="14" t="s">
        <v>92</v>
      </c>
      <c r="K120" s="14"/>
      <c r="L120" s="13">
        <v>1</v>
      </c>
      <c r="M120" s="13"/>
      <c r="N120" s="13"/>
      <c r="O120" s="14" t="s">
        <v>71</v>
      </c>
      <c r="P120" s="14" t="s">
        <v>114</v>
      </c>
      <c r="Q120" s="14" t="s">
        <v>73</v>
      </c>
      <c r="R120" s="14">
        <v>1</v>
      </c>
      <c r="S120" s="14">
        <v>1</v>
      </c>
      <c r="T120" s="14">
        <v>1</v>
      </c>
      <c r="U120" s="14" t="s">
        <v>73</v>
      </c>
      <c r="V120" s="14">
        <f t="shared" si="40"/>
        <v>0.01</v>
      </c>
      <c r="W120" s="14">
        <f t="shared" si="41"/>
        <v>1664.9999999999998</v>
      </c>
      <c r="X120" s="17"/>
      <c r="Y120" s="17"/>
      <c r="Z120" s="17" t="s">
        <v>75</v>
      </c>
      <c r="AA120" s="18">
        <v>-0.05</v>
      </c>
      <c r="AB120" s="13"/>
      <c r="AC120" s="13"/>
      <c r="AD120" s="13"/>
      <c r="AE120" s="13"/>
      <c r="AF120" s="13"/>
      <c r="AG120" s="13"/>
      <c r="AH120" s="13"/>
      <c r="AI120" s="19"/>
      <c r="AJ120" s="14"/>
      <c r="AK120" s="13" t="s">
        <v>2135</v>
      </c>
      <c r="AL120" s="13"/>
      <c r="AM120" s="13"/>
      <c r="AN120" s="13" t="s">
        <v>82</v>
      </c>
      <c r="AO120" s="13"/>
      <c r="AP120" s="20">
        <v>-0.06</v>
      </c>
      <c r="AQ120" s="20">
        <f t="shared" si="42"/>
        <v>9.999999999999995E-3</v>
      </c>
      <c r="AR120" s="97">
        <f>AS120*R120</f>
        <v>16.649999999999988</v>
      </c>
      <c r="AS120" s="21">
        <f t="shared" si="44"/>
        <v>16.649999999999988</v>
      </c>
      <c r="AT120" s="22" t="s">
        <v>72</v>
      </c>
      <c r="AU120" s="62" t="s">
        <v>2136</v>
      </c>
      <c r="AV120" s="62"/>
      <c r="AW120" s="62"/>
      <c r="AX120" s="13"/>
      <c r="AY120" s="13"/>
      <c r="AZ120" s="13"/>
    </row>
    <row r="121" spans="1:52" ht="13.15">
      <c r="A121" s="12"/>
      <c r="B121" s="13"/>
      <c r="C121" s="13"/>
      <c r="D121" s="17"/>
      <c r="E121" s="13"/>
      <c r="F121" s="14" t="s">
        <v>1821</v>
      </c>
      <c r="G121" s="13"/>
      <c r="H121" s="13"/>
      <c r="I121" s="13"/>
      <c r="J121" s="14"/>
      <c r="K121" s="14"/>
      <c r="L121" s="13"/>
      <c r="M121" s="13"/>
      <c r="N121" s="13"/>
      <c r="O121" s="14" t="s">
        <v>71</v>
      </c>
      <c r="P121" s="14" t="s">
        <v>114</v>
      </c>
      <c r="Q121" s="14"/>
      <c r="R121" s="14">
        <v>1</v>
      </c>
      <c r="S121" s="14">
        <v>1</v>
      </c>
      <c r="T121" s="14">
        <v>1</v>
      </c>
      <c r="U121" s="14"/>
      <c r="V121" s="14">
        <f t="shared" si="40"/>
        <v>0.01</v>
      </c>
      <c r="W121" s="14">
        <f t="shared" si="41"/>
        <v>1664.9999999999998</v>
      </c>
      <c r="X121" s="17"/>
      <c r="Y121" s="17"/>
      <c r="Z121" s="17"/>
      <c r="AA121" s="18">
        <v>96.03</v>
      </c>
      <c r="AB121" s="13" t="s">
        <v>2137</v>
      </c>
      <c r="AC121" s="13"/>
      <c r="AD121" s="13"/>
      <c r="AE121" s="13"/>
      <c r="AF121" s="13"/>
      <c r="AG121" s="13"/>
      <c r="AH121" s="13"/>
      <c r="AI121" s="19"/>
      <c r="AJ121" s="14"/>
      <c r="AK121" s="13"/>
      <c r="AL121" s="13"/>
      <c r="AM121" s="13"/>
      <c r="AN121" s="13"/>
      <c r="AO121" s="13"/>
      <c r="AP121" s="20"/>
      <c r="AQ121" s="13">
        <f t="shared" si="42"/>
        <v>0</v>
      </c>
      <c r="AR121" s="97"/>
      <c r="AS121" s="21">
        <f t="shared" si="44"/>
        <v>0</v>
      </c>
      <c r="AT121" s="22"/>
      <c r="AU121" s="13"/>
      <c r="AV121" s="13"/>
      <c r="AW121" s="13"/>
      <c r="AX121" s="13"/>
      <c r="AY121" s="13"/>
      <c r="AZ121" s="13"/>
    </row>
    <row r="122" spans="1:52" ht="13.15">
      <c r="A122" s="12"/>
      <c r="B122" s="13"/>
      <c r="C122" s="13"/>
      <c r="D122" s="17"/>
      <c r="E122" s="13"/>
      <c r="F122" s="14" t="s">
        <v>1852</v>
      </c>
      <c r="G122" s="13"/>
      <c r="H122" s="13"/>
      <c r="I122" s="13"/>
      <c r="J122" s="14"/>
      <c r="K122" s="14"/>
      <c r="L122" s="13"/>
      <c r="M122" s="13"/>
      <c r="N122" s="13"/>
      <c r="O122" s="14" t="s">
        <v>71</v>
      </c>
      <c r="P122" s="14" t="s">
        <v>114</v>
      </c>
      <c r="Q122" s="14"/>
      <c r="R122" s="14">
        <v>1</v>
      </c>
      <c r="S122" s="14">
        <v>1</v>
      </c>
      <c r="T122" s="14">
        <v>1</v>
      </c>
      <c r="U122" s="14"/>
      <c r="V122" s="14">
        <f t="shared" si="40"/>
        <v>0.01</v>
      </c>
      <c r="W122" s="14">
        <f t="shared" si="41"/>
        <v>1664.9999999999998</v>
      </c>
      <c r="X122" s="17"/>
      <c r="Y122" s="17"/>
      <c r="Z122" s="17"/>
      <c r="AA122" s="18">
        <v>96.08</v>
      </c>
      <c r="AB122" s="13" t="s">
        <v>2137</v>
      </c>
      <c r="AC122" s="13"/>
      <c r="AD122" s="13"/>
      <c r="AE122" s="13"/>
      <c r="AF122" s="13"/>
      <c r="AG122" s="13"/>
      <c r="AH122" s="13"/>
      <c r="AI122" s="19"/>
      <c r="AJ122" s="14"/>
      <c r="AK122" s="13"/>
      <c r="AL122" s="13"/>
      <c r="AM122" s="13"/>
      <c r="AN122" s="13"/>
      <c r="AO122" s="13"/>
      <c r="AP122" s="20"/>
      <c r="AQ122" s="13">
        <f t="shared" si="42"/>
        <v>0</v>
      </c>
      <c r="AR122" s="97"/>
      <c r="AS122" s="21">
        <f t="shared" si="44"/>
        <v>0</v>
      </c>
      <c r="AT122" s="22"/>
      <c r="AU122" s="13"/>
      <c r="AV122" s="13"/>
      <c r="AW122" s="13"/>
      <c r="AX122" s="13"/>
      <c r="AY122" s="13"/>
      <c r="AZ122" s="13"/>
    </row>
    <row r="123" spans="1:52" ht="13.15">
      <c r="A123" s="12">
        <v>44809</v>
      </c>
      <c r="B123" s="13">
        <v>12.45</v>
      </c>
      <c r="C123" s="13" t="s">
        <v>109</v>
      </c>
      <c r="D123" s="17"/>
      <c r="E123" s="13"/>
      <c r="F123" s="14" t="s">
        <v>1852</v>
      </c>
      <c r="G123" s="13"/>
      <c r="H123" s="13"/>
      <c r="I123" s="13"/>
      <c r="J123" s="14"/>
      <c r="K123" s="14"/>
      <c r="L123" s="13">
        <v>1</v>
      </c>
      <c r="M123" s="13"/>
      <c r="N123" s="13"/>
      <c r="O123" s="14" t="s">
        <v>71</v>
      </c>
      <c r="P123" s="14" t="s">
        <v>114</v>
      </c>
      <c r="Q123" s="14" t="s">
        <v>661</v>
      </c>
      <c r="R123" s="14">
        <v>2</v>
      </c>
      <c r="S123" s="14">
        <v>2</v>
      </c>
      <c r="T123" s="14">
        <v>2</v>
      </c>
      <c r="U123" s="14" t="s">
        <v>73</v>
      </c>
      <c r="V123" s="14">
        <f t="shared" si="40"/>
        <v>0.01</v>
      </c>
      <c r="W123" s="14">
        <f t="shared" si="41"/>
        <v>1664.9999999999998</v>
      </c>
      <c r="X123" s="17"/>
      <c r="Y123" s="17"/>
      <c r="Z123" s="17"/>
      <c r="AA123" s="18">
        <v>96.07</v>
      </c>
      <c r="AB123" s="13" t="s">
        <v>2138</v>
      </c>
      <c r="AC123" s="13"/>
      <c r="AD123" s="13"/>
      <c r="AE123" s="13"/>
      <c r="AF123" s="13"/>
      <c r="AG123" s="13"/>
      <c r="AH123" s="13"/>
      <c r="AI123" s="19"/>
      <c r="AJ123" s="14"/>
      <c r="AK123" s="13"/>
      <c r="AL123" s="13"/>
      <c r="AM123" s="13"/>
      <c r="AN123" s="13" t="s">
        <v>371</v>
      </c>
      <c r="AO123" s="13"/>
      <c r="AP123" s="20">
        <v>96.06</v>
      </c>
      <c r="AQ123" s="20">
        <f t="shared" si="42"/>
        <v>9.9999999999909051E-3</v>
      </c>
      <c r="AR123" s="97">
        <f t="shared" ref="AR123:AR152" si="45">AS123*R123</f>
        <v>33.299999999969707</v>
      </c>
      <c r="AS123" s="21">
        <f t="shared" si="44"/>
        <v>16.649999999984853</v>
      </c>
      <c r="AT123" s="22" t="s">
        <v>72</v>
      </c>
      <c r="AU123" s="13" t="s">
        <v>2139</v>
      </c>
      <c r="AV123" s="13"/>
      <c r="AW123" s="13"/>
      <c r="AX123" s="13"/>
      <c r="AY123" s="13"/>
      <c r="AZ123" s="13"/>
    </row>
    <row r="124" spans="1:52" ht="13.15">
      <c r="A124" s="12">
        <v>44810</v>
      </c>
      <c r="B124" s="13" t="s">
        <v>2140</v>
      </c>
      <c r="C124" s="13" t="s">
        <v>123</v>
      </c>
      <c r="D124" s="17"/>
      <c r="E124" s="13"/>
      <c r="F124" s="14" t="s">
        <v>1753</v>
      </c>
      <c r="G124" s="13"/>
      <c r="H124" s="13"/>
      <c r="I124" s="13"/>
      <c r="J124" s="14"/>
      <c r="K124" s="14"/>
      <c r="L124" s="13">
        <v>1</v>
      </c>
      <c r="M124" s="13"/>
      <c r="N124" s="13">
        <v>1</v>
      </c>
      <c r="O124" s="14" t="s">
        <v>71</v>
      </c>
      <c r="P124" s="14" t="s">
        <v>72</v>
      </c>
      <c r="Q124" s="14" t="s">
        <v>661</v>
      </c>
      <c r="R124" s="14">
        <v>1</v>
      </c>
      <c r="S124" s="14">
        <v>1</v>
      </c>
      <c r="T124" s="14">
        <v>1</v>
      </c>
      <c r="U124" s="14" t="s">
        <v>73</v>
      </c>
      <c r="V124" s="14">
        <f t="shared" si="40"/>
        <v>0.01</v>
      </c>
      <c r="W124" s="14">
        <f t="shared" si="41"/>
        <v>1664.9999999999998</v>
      </c>
      <c r="X124" s="17" t="s">
        <v>2141</v>
      </c>
      <c r="Y124" s="17"/>
      <c r="Z124" s="17"/>
      <c r="AA124" s="18">
        <v>96.04</v>
      </c>
      <c r="AB124" s="13" t="s">
        <v>2142</v>
      </c>
      <c r="AC124" s="13">
        <v>96.07</v>
      </c>
      <c r="AD124" s="13" t="s">
        <v>2143</v>
      </c>
      <c r="AE124" s="13">
        <v>96.03</v>
      </c>
      <c r="AF124" s="13"/>
      <c r="AG124" s="13"/>
      <c r="AH124" s="13" t="s">
        <v>2144</v>
      </c>
      <c r="AI124" s="19"/>
      <c r="AJ124" s="14"/>
      <c r="AK124" s="13" t="s">
        <v>2145</v>
      </c>
      <c r="AL124" s="13" t="s">
        <v>2146</v>
      </c>
      <c r="AM124" s="13"/>
      <c r="AN124" s="13" t="s">
        <v>371</v>
      </c>
      <c r="AO124" s="13"/>
      <c r="AP124" s="20">
        <v>96.03</v>
      </c>
      <c r="AQ124" s="20">
        <f t="shared" si="42"/>
        <v>1.0000000000005116E-2</v>
      </c>
      <c r="AR124" s="97">
        <f t="shared" si="45"/>
        <v>16.650000000008514</v>
      </c>
      <c r="AS124" s="21">
        <f t="shared" si="44"/>
        <v>16.650000000008514</v>
      </c>
      <c r="AT124" s="22" t="s">
        <v>72</v>
      </c>
      <c r="AU124" s="13" t="s">
        <v>2141</v>
      </c>
      <c r="AV124" s="13" t="s">
        <v>2147</v>
      </c>
      <c r="AW124" s="13"/>
      <c r="AX124" s="13" t="s">
        <v>2148</v>
      </c>
      <c r="AY124" s="13"/>
      <c r="AZ124" s="13"/>
    </row>
    <row r="125" spans="1:52" ht="13.15">
      <c r="A125" s="12">
        <v>44810</v>
      </c>
      <c r="B125" s="13" t="s">
        <v>2149</v>
      </c>
      <c r="C125" s="13" t="s">
        <v>123</v>
      </c>
      <c r="D125" s="17"/>
      <c r="E125" s="13"/>
      <c r="F125" s="14" t="s">
        <v>1752</v>
      </c>
      <c r="G125" s="13"/>
      <c r="H125" s="13"/>
      <c r="I125" s="13"/>
      <c r="J125" s="40"/>
      <c r="K125" s="40"/>
      <c r="L125" s="13">
        <v>1</v>
      </c>
      <c r="M125" s="13"/>
      <c r="N125" s="13">
        <v>1</v>
      </c>
      <c r="O125" s="14" t="s">
        <v>71</v>
      </c>
      <c r="P125" s="14" t="s">
        <v>72</v>
      </c>
      <c r="Q125" s="14" t="s">
        <v>661</v>
      </c>
      <c r="R125" s="14">
        <v>2</v>
      </c>
      <c r="S125" s="14">
        <v>2</v>
      </c>
      <c r="T125" s="14">
        <v>1</v>
      </c>
      <c r="U125" s="14" t="s">
        <v>73</v>
      </c>
      <c r="V125" s="14">
        <f t="shared" si="40"/>
        <v>0.01</v>
      </c>
      <c r="W125" s="14">
        <f t="shared" si="41"/>
        <v>1664.9999999999998</v>
      </c>
      <c r="X125" s="17" t="s">
        <v>2141</v>
      </c>
      <c r="Y125" s="17"/>
      <c r="Z125" s="17"/>
      <c r="AA125" s="18">
        <v>96.2</v>
      </c>
      <c r="AB125" s="13" t="s">
        <v>2150</v>
      </c>
      <c r="AC125" s="13">
        <v>96.22</v>
      </c>
      <c r="AD125" s="13" t="s">
        <v>2143</v>
      </c>
      <c r="AE125" s="13">
        <v>96.18</v>
      </c>
      <c r="AF125" s="13"/>
      <c r="AG125" s="13"/>
      <c r="AH125" s="13">
        <v>1</v>
      </c>
      <c r="AI125" s="19"/>
      <c r="AJ125" s="14"/>
      <c r="AK125" s="13" t="s">
        <v>2145</v>
      </c>
      <c r="AL125" s="13" t="s">
        <v>2151</v>
      </c>
      <c r="AM125" s="13"/>
      <c r="AN125" s="13" t="s">
        <v>82</v>
      </c>
      <c r="AO125" s="13"/>
      <c r="AP125" s="20">
        <v>96.22</v>
      </c>
      <c r="AQ125" s="20">
        <f t="shared" si="42"/>
        <v>-1.9999999999996021E-2</v>
      </c>
      <c r="AR125" s="97">
        <f t="shared" si="45"/>
        <v>-66.599999999986736</v>
      </c>
      <c r="AS125" s="21">
        <f t="shared" si="44"/>
        <v>-33.299999999993368</v>
      </c>
      <c r="AT125" s="22" t="s">
        <v>206</v>
      </c>
      <c r="AU125" s="13" t="s">
        <v>2061</v>
      </c>
      <c r="AV125" s="13" t="s">
        <v>2152</v>
      </c>
      <c r="AW125" s="13"/>
      <c r="AX125" s="13"/>
      <c r="AY125" s="13"/>
      <c r="AZ125" s="13"/>
    </row>
    <row r="126" spans="1:52" ht="13.15">
      <c r="A126" s="12">
        <v>44810</v>
      </c>
      <c r="B126" s="13" t="s">
        <v>2153</v>
      </c>
      <c r="C126" s="13" t="s">
        <v>123</v>
      </c>
      <c r="D126" s="17"/>
      <c r="E126" s="13"/>
      <c r="F126" s="14" t="s">
        <v>1752</v>
      </c>
      <c r="G126" s="13"/>
      <c r="H126" s="13"/>
      <c r="I126" s="13"/>
      <c r="J126" s="40"/>
      <c r="K126" s="40"/>
      <c r="L126" s="13">
        <v>1</v>
      </c>
      <c r="M126" s="13"/>
      <c r="N126" s="13"/>
      <c r="O126" s="14" t="s">
        <v>71</v>
      </c>
      <c r="P126" s="14" t="s">
        <v>72</v>
      </c>
      <c r="Q126" s="14"/>
      <c r="R126" s="14">
        <v>1</v>
      </c>
      <c r="S126" s="14">
        <v>1</v>
      </c>
      <c r="T126" s="14">
        <v>1</v>
      </c>
      <c r="U126" s="14" t="s">
        <v>73</v>
      </c>
      <c r="V126" s="14">
        <f t="shared" si="40"/>
        <v>0.01</v>
      </c>
      <c r="W126" s="14">
        <f t="shared" si="41"/>
        <v>1664.9999999999998</v>
      </c>
      <c r="X126" s="17"/>
      <c r="Y126" s="17"/>
      <c r="Z126" s="17"/>
      <c r="AA126" s="18">
        <v>96.21</v>
      </c>
      <c r="AB126" s="13" t="s">
        <v>2154</v>
      </c>
      <c r="AC126" s="13"/>
      <c r="AD126" s="13"/>
      <c r="AE126" s="13"/>
      <c r="AF126" s="13"/>
      <c r="AG126" s="13"/>
      <c r="AH126" s="13"/>
      <c r="AI126" s="19"/>
      <c r="AJ126" s="14"/>
      <c r="AK126" s="13"/>
      <c r="AL126" s="13"/>
      <c r="AM126" s="13"/>
      <c r="AN126" s="13"/>
      <c r="AO126" s="13"/>
      <c r="AP126" s="20">
        <v>96.21</v>
      </c>
      <c r="AQ126" s="20">
        <f t="shared" si="42"/>
        <v>0</v>
      </c>
      <c r="AR126" s="97">
        <f t="shared" si="45"/>
        <v>0</v>
      </c>
      <c r="AS126" s="21">
        <f t="shared" si="44"/>
        <v>0</v>
      </c>
      <c r="AT126" s="22" t="s">
        <v>92</v>
      </c>
      <c r="AU126" s="13" t="s">
        <v>2155</v>
      </c>
      <c r="AV126" s="13"/>
      <c r="AW126" s="13"/>
      <c r="AX126" s="13"/>
      <c r="AY126" s="13"/>
      <c r="AZ126" s="13"/>
    </row>
    <row r="127" spans="1:52" ht="13.15">
      <c r="A127" s="12">
        <v>44810</v>
      </c>
      <c r="B127" s="13"/>
      <c r="C127" s="13" t="s">
        <v>123</v>
      </c>
      <c r="D127" s="113" t="s">
        <v>2156</v>
      </c>
      <c r="E127" s="13" t="s">
        <v>2157</v>
      </c>
      <c r="F127" s="14" t="s">
        <v>1752</v>
      </c>
      <c r="G127" s="13"/>
      <c r="H127" s="13">
        <v>1</v>
      </c>
      <c r="I127" s="13"/>
      <c r="J127" s="49"/>
      <c r="K127" s="49"/>
      <c r="L127" s="13"/>
      <c r="M127" s="13"/>
      <c r="N127" s="13">
        <v>1</v>
      </c>
      <c r="O127" s="14" t="s">
        <v>71</v>
      </c>
      <c r="P127" s="14" t="s">
        <v>72</v>
      </c>
      <c r="Q127" s="14" t="s">
        <v>661</v>
      </c>
      <c r="R127" s="14">
        <v>6</v>
      </c>
      <c r="S127" s="14">
        <v>6</v>
      </c>
      <c r="T127" s="14">
        <v>2</v>
      </c>
      <c r="U127" s="14" t="s">
        <v>73</v>
      </c>
      <c r="V127" s="14">
        <f t="shared" si="40"/>
        <v>0.01</v>
      </c>
      <c r="W127" s="14">
        <f t="shared" si="41"/>
        <v>1664.9999999999998</v>
      </c>
      <c r="X127" s="17" t="s">
        <v>2158</v>
      </c>
      <c r="Y127" s="17"/>
      <c r="Z127" s="17"/>
      <c r="AA127" s="18">
        <v>96.227000000000004</v>
      </c>
      <c r="AB127" s="13" t="s">
        <v>2020</v>
      </c>
      <c r="AC127" s="13" t="s">
        <v>2159</v>
      </c>
      <c r="AD127" s="13" t="s">
        <v>2160</v>
      </c>
      <c r="AE127" s="13" t="s">
        <v>2161</v>
      </c>
      <c r="AF127" s="13" t="s">
        <v>2162</v>
      </c>
      <c r="AG127" s="13"/>
      <c r="AH127" s="13"/>
      <c r="AI127" s="19"/>
      <c r="AJ127" s="14"/>
      <c r="AK127" s="13"/>
      <c r="AL127" s="13" t="s">
        <v>2163</v>
      </c>
      <c r="AM127" s="13"/>
      <c r="AN127" s="13" t="s">
        <v>82</v>
      </c>
      <c r="AO127" s="13"/>
      <c r="AP127" s="20">
        <v>96.185000000000002</v>
      </c>
      <c r="AQ127" s="20">
        <f t="shared" si="42"/>
        <v>4.2000000000001592E-2</v>
      </c>
      <c r="AR127" s="97">
        <f t="shared" si="45"/>
        <v>419.58000000001584</v>
      </c>
      <c r="AS127" s="21">
        <f t="shared" si="44"/>
        <v>69.930000000002636</v>
      </c>
      <c r="AT127" s="22" t="s">
        <v>72</v>
      </c>
      <c r="AU127" s="13" t="s">
        <v>2164</v>
      </c>
      <c r="AV127" s="13" t="s">
        <v>2165</v>
      </c>
      <c r="AW127" s="13" t="s">
        <v>2166</v>
      </c>
      <c r="AX127" s="13" t="s">
        <v>2167</v>
      </c>
      <c r="AY127" s="13" t="s">
        <v>2168</v>
      </c>
      <c r="AZ127" s="13"/>
    </row>
    <row r="128" spans="1:52" ht="13.15">
      <c r="A128" s="12">
        <v>44810</v>
      </c>
      <c r="B128" s="13"/>
      <c r="C128" s="13" t="s">
        <v>123</v>
      </c>
      <c r="D128" s="113" t="s">
        <v>2156</v>
      </c>
      <c r="E128" s="13" t="s">
        <v>2169</v>
      </c>
      <c r="F128" s="14" t="s">
        <v>1753</v>
      </c>
      <c r="G128" s="13"/>
      <c r="H128" s="13"/>
      <c r="I128" s="13"/>
      <c r="J128" s="49"/>
      <c r="K128" s="49"/>
      <c r="L128" s="13">
        <v>1</v>
      </c>
      <c r="M128" s="13"/>
      <c r="N128" s="13">
        <v>1</v>
      </c>
      <c r="O128" s="14" t="s">
        <v>71</v>
      </c>
      <c r="P128" s="14" t="s">
        <v>72</v>
      </c>
      <c r="Q128" s="14" t="s">
        <v>661</v>
      </c>
      <c r="R128" s="14">
        <v>4</v>
      </c>
      <c r="S128" s="14">
        <v>4</v>
      </c>
      <c r="T128" s="14">
        <v>2</v>
      </c>
      <c r="U128" s="14" t="s">
        <v>73</v>
      </c>
      <c r="V128" s="14">
        <f t="shared" si="40"/>
        <v>0.01</v>
      </c>
      <c r="W128" s="14">
        <f t="shared" si="41"/>
        <v>1664.9999999999998</v>
      </c>
      <c r="X128" s="17" t="s">
        <v>2170</v>
      </c>
      <c r="Y128" s="17"/>
      <c r="Z128" s="17"/>
      <c r="AA128" s="18">
        <v>96.091999999999999</v>
      </c>
      <c r="AB128" s="13" t="s">
        <v>2141</v>
      </c>
      <c r="AC128" s="13" t="s">
        <v>2159</v>
      </c>
      <c r="AD128" s="13"/>
      <c r="AE128" s="13" t="s">
        <v>2161</v>
      </c>
      <c r="AF128" s="13" t="s">
        <v>2162</v>
      </c>
      <c r="AG128" s="13"/>
      <c r="AH128" s="13"/>
      <c r="AI128" s="19"/>
      <c r="AJ128" s="14"/>
      <c r="AK128" s="13"/>
      <c r="AL128" s="13" t="s">
        <v>2163</v>
      </c>
      <c r="AM128" s="13"/>
      <c r="AN128" s="13" t="s">
        <v>82</v>
      </c>
      <c r="AO128" s="13"/>
      <c r="AP128" s="20">
        <v>96.04</v>
      </c>
      <c r="AQ128" s="20">
        <f t="shared" si="42"/>
        <v>5.1999999999992497E-2</v>
      </c>
      <c r="AR128" s="97">
        <f t="shared" si="45"/>
        <v>346.31999999994997</v>
      </c>
      <c r="AS128" s="21">
        <f t="shared" si="44"/>
        <v>86.579999999987493</v>
      </c>
      <c r="AT128" s="22" t="s">
        <v>72</v>
      </c>
      <c r="AU128" s="13" t="s">
        <v>2171</v>
      </c>
      <c r="AV128" s="13" t="s">
        <v>2172</v>
      </c>
      <c r="AW128" s="13" t="s">
        <v>2173</v>
      </c>
      <c r="AX128" s="13" t="s">
        <v>2174</v>
      </c>
      <c r="AY128" s="13" t="s">
        <v>2175</v>
      </c>
      <c r="AZ128" s="13" t="s">
        <v>2176</v>
      </c>
    </row>
    <row r="129" spans="1:52" ht="13.15">
      <c r="A129" s="12">
        <v>44810</v>
      </c>
      <c r="B129" s="13"/>
      <c r="C129" s="13" t="s">
        <v>123</v>
      </c>
      <c r="D129" s="113" t="s">
        <v>2156</v>
      </c>
      <c r="E129" s="13" t="s">
        <v>2177</v>
      </c>
      <c r="F129" s="14" t="s">
        <v>2178</v>
      </c>
      <c r="G129" s="13"/>
      <c r="H129" s="13"/>
      <c r="I129" s="13"/>
      <c r="J129" s="40"/>
      <c r="K129" s="40"/>
      <c r="L129" s="13"/>
      <c r="M129" s="13">
        <v>1</v>
      </c>
      <c r="N129" s="13"/>
      <c r="O129" s="14" t="s">
        <v>71</v>
      </c>
      <c r="P129" s="14" t="s">
        <v>114</v>
      </c>
      <c r="Q129" s="14" t="s">
        <v>233</v>
      </c>
      <c r="R129" s="14">
        <v>1</v>
      </c>
      <c r="S129" s="14">
        <v>1</v>
      </c>
      <c r="T129" s="14">
        <v>1</v>
      </c>
      <c r="U129" s="14" t="s">
        <v>73</v>
      </c>
      <c r="V129" s="14">
        <f t="shared" si="40"/>
        <v>0.01</v>
      </c>
      <c r="W129" s="14">
        <f t="shared" si="41"/>
        <v>1664.9999999999998</v>
      </c>
      <c r="X129" s="17"/>
      <c r="Y129" s="17"/>
      <c r="Z129" s="17" t="s">
        <v>2179</v>
      </c>
      <c r="AA129" s="18">
        <v>0.02</v>
      </c>
      <c r="AB129" s="13"/>
      <c r="AC129" s="13"/>
      <c r="AD129" s="13"/>
      <c r="AE129" s="13"/>
      <c r="AF129" s="13"/>
      <c r="AG129" s="13"/>
      <c r="AH129" s="13"/>
      <c r="AI129" s="19"/>
      <c r="AJ129" s="14"/>
      <c r="AK129" s="13"/>
      <c r="AL129" s="13"/>
      <c r="AM129" s="13"/>
      <c r="AN129" s="13"/>
      <c r="AO129" s="13"/>
      <c r="AP129" s="20"/>
      <c r="AQ129" s="13">
        <f t="shared" si="42"/>
        <v>0</v>
      </c>
      <c r="AR129" s="97">
        <f t="shared" si="45"/>
        <v>0</v>
      </c>
      <c r="AS129" s="21">
        <f t="shared" si="44"/>
        <v>0</v>
      </c>
      <c r="AT129" s="22"/>
      <c r="AU129" s="13"/>
      <c r="AV129" s="13"/>
      <c r="AW129" s="13"/>
      <c r="AX129" s="13"/>
      <c r="AY129" s="13"/>
      <c r="AZ129" s="13"/>
    </row>
    <row r="130" spans="1:52" ht="14.45">
      <c r="A130" s="12">
        <v>44810</v>
      </c>
      <c r="B130" s="13"/>
      <c r="C130" s="13" t="s">
        <v>123</v>
      </c>
      <c r="D130" s="113"/>
      <c r="E130" s="13"/>
      <c r="F130" s="14" t="s">
        <v>1821</v>
      </c>
      <c r="G130" s="13"/>
      <c r="H130" s="13"/>
      <c r="I130" s="13"/>
      <c r="J130" s="59"/>
      <c r="K130" s="59"/>
      <c r="L130" s="13">
        <v>1</v>
      </c>
      <c r="M130" s="13"/>
      <c r="N130" s="13"/>
      <c r="O130" s="14" t="s">
        <v>71</v>
      </c>
      <c r="P130" s="14" t="s">
        <v>114</v>
      </c>
      <c r="Q130" s="14" t="s">
        <v>661</v>
      </c>
      <c r="R130" s="14">
        <v>1</v>
      </c>
      <c r="S130" s="14">
        <v>1</v>
      </c>
      <c r="T130" s="14">
        <v>1</v>
      </c>
      <c r="U130" s="14" t="s">
        <v>73</v>
      </c>
      <c r="V130" s="14">
        <f t="shared" si="40"/>
        <v>0.01</v>
      </c>
      <c r="W130" s="14">
        <f t="shared" si="41"/>
        <v>1664.9999999999998</v>
      </c>
      <c r="X130" s="17"/>
      <c r="Y130" s="17"/>
      <c r="Z130" s="17"/>
      <c r="AA130" s="18">
        <v>96.09</v>
      </c>
      <c r="AB130" s="13"/>
      <c r="AC130" s="13"/>
      <c r="AD130" s="13"/>
      <c r="AE130" s="13"/>
      <c r="AF130" s="13"/>
      <c r="AG130" s="13"/>
      <c r="AH130" s="13"/>
      <c r="AI130" s="19"/>
      <c r="AJ130" s="14"/>
      <c r="AK130" s="13"/>
      <c r="AL130" s="13"/>
      <c r="AM130" s="13"/>
      <c r="AN130" s="13" t="s">
        <v>82</v>
      </c>
      <c r="AO130" s="13"/>
      <c r="AP130" s="20">
        <v>96.05</v>
      </c>
      <c r="AQ130" s="20">
        <f t="shared" si="42"/>
        <v>4.0000000000006253E-2</v>
      </c>
      <c r="AR130" s="97">
        <f t="shared" si="45"/>
        <v>66.600000000010397</v>
      </c>
      <c r="AS130" s="21">
        <f t="shared" si="44"/>
        <v>66.600000000010397</v>
      </c>
      <c r="AT130" s="22" t="s">
        <v>72</v>
      </c>
      <c r="AU130" s="13" t="s">
        <v>2180</v>
      </c>
      <c r="AV130" s="13"/>
      <c r="AW130" s="13"/>
      <c r="AX130" s="13"/>
      <c r="AY130" s="13"/>
      <c r="AZ130" s="13"/>
    </row>
    <row r="131" spans="1:52" ht="13.15">
      <c r="A131" s="12"/>
      <c r="B131" s="13"/>
      <c r="C131" s="13"/>
      <c r="D131" s="17"/>
      <c r="E131" s="13"/>
      <c r="F131" s="14" t="s">
        <v>70</v>
      </c>
      <c r="G131" s="13"/>
      <c r="H131" s="13"/>
      <c r="I131" s="13"/>
      <c r="J131" s="49"/>
      <c r="K131" s="49"/>
      <c r="L131" s="13">
        <v>1</v>
      </c>
      <c r="M131" s="13"/>
      <c r="N131" s="13"/>
      <c r="O131" s="14" t="s">
        <v>71</v>
      </c>
      <c r="P131" s="14" t="s">
        <v>114</v>
      </c>
      <c r="Q131" s="14"/>
      <c r="R131" s="14">
        <v>1</v>
      </c>
      <c r="S131" s="14">
        <v>1</v>
      </c>
      <c r="T131" s="14">
        <v>1</v>
      </c>
      <c r="U131" s="14" t="s">
        <v>73</v>
      </c>
      <c r="V131" s="14">
        <f t="shared" si="40"/>
        <v>0.01</v>
      </c>
      <c r="W131" s="14">
        <f t="shared" si="41"/>
        <v>1664.9999999999998</v>
      </c>
      <c r="X131" s="17"/>
      <c r="Y131" s="17"/>
      <c r="Z131" s="17"/>
      <c r="AA131" s="18">
        <v>-3.5000000000000003E-2</v>
      </c>
      <c r="AB131" s="13"/>
      <c r="AC131" s="13"/>
      <c r="AD131" s="13"/>
      <c r="AE131" s="13"/>
      <c r="AF131" s="13"/>
      <c r="AG131" s="13"/>
      <c r="AH131" s="13"/>
      <c r="AI131" s="19"/>
      <c r="AJ131" s="14"/>
      <c r="AK131" s="13"/>
      <c r="AL131" s="13"/>
      <c r="AM131" s="13"/>
      <c r="AN131" s="13"/>
      <c r="AO131" s="13"/>
      <c r="AP131" s="20"/>
      <c r="AQ131" s="13">
        <f t="shared" si="42"/>
        <v>0</v>
      </c>
      <c r="AR131" s="97">
        <f t="shared" si="45"/>
        <v>0</v>
      </c>
      <c r="AS131" s="21">
        <f t="shared" si="44"/>
        <v>0</v>
      </c>
      <c r="AT131" s="22"/>
      <c r="AU131" s="13"/>
      <c r="AV131" s="13"/>
      <c r="AW131" s="13"/>
      <c r="AX131" s="13"/>
      <c r="AY131" s="13"/>
      <c r="AZ131" s="13"/>
    </row>
    <row r="132" spans="1:52" ht="14.45">
      <c r="A132" s="12">
        <v>44811</v>
      </c>
      <c r="B132" s="13"/>
      <c r="C132" s="13" t="s">
        <v>128</v>
      </c>
      <c r="D132" s="113" t="s">
        <v>2181</v>
      </c>
      <c r="E132" s="13"/>
      <c r="F132" s="14"/>
      <c r="G132" s="13"/>
      <c r="H132" s="13"/>
      <c r="I132" s="13">
        <v>1</v>
      </c>
      <c r="J132" s="59"/>
      <c r="K132" s="59"/>
      <c r="L132" s="13"/>
      <c r="M132" s="13"/>
      <c r="N132" s="13"/>
      <c r="O132" s="14"/>
      <c r="P132" s="14"/>
      <c r="Q132" s="14"/>
      <c r="R132" s="14"/>
      <c r="S132" s="14"/>
      <c r="T132" s="14"/>
      <c r="U132" s="14"/>
      <c r="V132" s="14">
        <f t="shared" si="40"/>
        <v>0</v>
      </c>
      <c r="W132" s="14">
        <f t="shared" si="41"/>
        <v>0</v>
      </c>
      <c r="X132" s="17"/>
      <c r="Y132" s="17"/>
      <c r="Z132" s="17"/>
      <c r="AA132" s="18"/>
      <c r="AB132" s="13"/>
      <c r="AC132" s="13"/>
      <c r="AD132" s="13"/>
      <c r="AE132" s="13"/>
      <c r="AF132" s="13"/>
      <c r="AG132" s="13"/>
      <c r="AH132" s="13"/>
      <c r="AI132" s="19"/>
      <c r="AJ132" s="14"/>
      <c r="AK132" s="13"/>
      <c r="AL132" s="13"/>
      <c r="AM132" s="13"/>
      <c r="AN132" s="13"/>
      <c r="AO132" s="13"/>
      <c r="AP132" s="20"/>
      <c r="AQ132" s="13">
        <f t="shared" si="42"/>
        <v>0</v>
      </c>
      <c r="AR132" s="97">
        <f t="shared" si="45"/>
        <v>0</v>
      </c>
      <c r="AS132" s="21">
        <f t="shared" si="44"/>
        <v>0</v>
      </c>
      <c r="AT132" s="22"/>
      <c r="AU132" s="13"/>
      <c r="AV132" s="13"/>
      <c r="AW132" s="13"/>
      <c r="AX132" s="13"/>
      <c r="AY132" s="13"/>
      <c r="AZ132" s="13"/>
    </row>
    <row r="133" spans="1:52" ht="13.15">
      <c r="A133" s="12">
        <v>44811</v>
      </c>
      <c r="B133" s="13"/>
      <c r="C133" s="13" t="s">
        <v>128</v>
      </c>
      <c r="D133" s="113" t="s">
        <v>2182</v>
      </c>
      <c r="E133" s="13"/>
      <c r="F133" s="14"/>
      <c r="G133" s="13">
        <v>1</v>
      </c>
      <c r="H133" s="13"/>
      <c r="I133" s="13"/>
      <c r="J133" s="49"/>
      <c r="K133" s="49"/>
      <c r="L133" s="13"/>
      <c r="M133" s="13"/>
      <c r="N133" s="13"/>
      <c r="O133" s="14"/>
      <c r="P133" s="14"/>
      <c r="Q133" s="14"/>
      <c r="R133" s="14"/>
      <c r="S133" s="14"/>
      <c r="T133" s="14"/>
      <c r="U133" s="14"/>
      <c r="V133" s="14">
        <f t="shared" si="40"/>
        <v>0</v>
      </c>
      <c r="W133" s="14">
        <f t="shared" si="41"/>
        <v>0</v>
      </c>
      <c r="X133" s="17"/>
      <c r="Y133" s="17"/>
      <c r="Z133" s="17"/>
      <c r="AA133" s="18"/>
      <c r="AB133" s="13"/>
      <c r="AC133" s="13"/>
      <c r="AD133" s="13"/>
      <c r="AE133" s="13"/>
      <c r="AF133" s="13"/>
      <c r="AG133" s="13"/>
      <c r="AH133" s="13"/>
      <c r="AI133" s="19"/>
      <c r="AJ133" s="14"/>
      <c r="AK133" s="13"/>
      <c r="AL133" s="13"/>
      <c r="AM133" s="13"/>
      <c r="AN133" s="13"/>
      <c r="AO133" s="13"/>
      <c r="AP133" s="20"/>
      <c r="AQ133" s="13">
        <f t="shared" si="42"/>
        <v>0</v>
      </c>
      <c r="AR133" s="97">
        <f t="shared" si="45"/>
        <v>0</v>
      </c>
      <c r="AS133" s="21">
        <f t="shared" si="44"/>
        <v>0</v>
      </c>
      <c r="AT133" s="22"/>
      <c r="AU133" s="13"/>
      <c r="AV133" s="13"/>
      <c r="AW133" s="13"/>
      <c r="AX133" s="13"/>
      <c r="AY133" s="13"/>
      <c r="AZ133" s="13"/>
    </row>
    <row r="134" spans="1:52" ht="13.15">
      <c r="A134" s="12">
        <v>44811</v>
      </c>
      <c r="B134" s="13"/>
      <c r="C134" s="13" t="s">
        <v>128</v>
      </c>
      <c r="D134" s="17"/>
      <c r="E134" s="13"/>
      <c r="F134" s="14" t="s">
        <v>2178</v>
      </c>
      <c r="G134" s="13"/>
      <c r="H134" s="13"/>
      <c r="I134" s="13"/>
      <c r="J134" s="49"/>
      <c r="K134" s="49"/>
      <c r="L134" s="13"/>
      <c r="M134" s="13">
        <v>1</v>
      </c>
      <c r="N134" s="13"/>
      <c r="O134" s="14" t="s">
        <v>71</v>
      </c>
      <c r="P134" s="14" t="s">
        <v>114</v>
      </c>
      <c r="Q134" s="14"/>
      <c r="R134" s="14">
        <v>3</v>
      </c>
      <c r="S134" s="14">
        <v>3</v>
      </c>
      <c r="T134" s="14">
        <v>1</v>
      </c>
      <c r="U134" s="14" t="s">
        <v>21</v>
      </c>
      <c r="V134" s="14">
        <f t="shared" si="40"/>
        <v>0.01</v>
      </c>
      <c r="W134" s="14">
        <f t="shared" si="41"/>
        <v>1664.9999999999998</v>
      </c>
      <c r="X134" s="17"/>
      <c r="Y134" s="17"/>
      <c r="Z134" s="17" t="s">
        <v>2179</v>
      </c>
      <c r="AA134" s="18">
        <v>3.3E-3</v>
      </c>
      <c r="AB134" s="13" t="s">
        <v>2183</v>
      </c>
      <c r="AC134" s="13"/>
      <c r="AD134" s="13"/>
      <c r="AE134" s="13" t="s">
        <v>2184</v>
      </c>
      <c r="AF134" s="13" t="s">
        <v>36</v>
      </c>
      <c r="AG134" s="13"/>
      <c r="AH134" s="13"/>
      <c r="AI134" s="19"/>
      <c r="AJ134" s="14"/>
      <c r="AK134" s="13" t="s">
        <v>425</v>
      </c>
      <c r="AL134" s="13"/>
      <c r="AM134" s="13"/>
      <c r="AN134" s="13"/>
      <c r="AO134" s="13"/>
      <c r="AP134" s="20"/>
      <c r="AQ134" s="13">
        <f t="shared" si="42"/>
        <v>0</v>
      </c>
      <c r="AR134" s="97">
        <f t="shared" si="45"/>
        <v>0</v>
      </c>
      <c r="AS134" s="21">
        <f t="shared" si="44"/>
        <v>0</v>
      </c>
      <c r="AT134" s="22"/>
      <c r="AU134" s="13" t="s">
        <v>2185</v>
      </c>
      <c r="AV134" s="13" t="s">
        <v>2186</v>
      </c>
      <c r="AW134" s="13" t="s">
        <v>2187</v>
      </c>
      <c r="AX134" s="13" t="s">
        <v>2188</v>
      </c>
      <c r="AY134" s="13" t="s">
        <v>2189</v>
      </c>
      <c r="AZ134" s="13"/>
    </row>
    <row r="135" spans="1:52" ht="13.15">
      <c r="A135" s="12">
        <v>44812</v>
      </c>
      <c r="B135" s="13"/>
      <c r="C135" s="13" t="s">
        <v>69</v>
      </c>
      <c r="D135" s="17" t="s">
        <v>2190</v>
      </c>
      <c r="E135" s="13"/>
      <c r="F135" s="14"/>
      <c r="G135" s="13"/>
      <c r="H135" s="13"/>
      <c r="I135" s="13"/>
      <c r="J135" s="40"/>
      <c r="K135" s="40"/>
      <c r="L135" s="13"/>
      <c r="M135" s="13"/>
      <c r="N135" s="13"/>
      <c r="O135" s="14"/>
      <c r="P135" s="14"/>
      <c r="Q135" s="14"/>
      <c r="R135" s="14"/>
      <c r="S135" s="14"/>
      <c r="T135" s="14"/>
      <c r="U135" s="14"/>
      <c r="V135" s="14">
        <f t="shared" si="40"/>
        <v>0</v>
      </c>
      <c r="W135" s="14">
        <f t="shared" si="41"/>
        <v>0</v>
      </c>
      <c r="X135" s="17"/>
      <c r="Y135" s="17"/>
      <c r="Z135" s="17"/>
      <c r="AA135" s="18"/>
      <c r="AB135" s="13"/>
      <c r="AC135" s="13"/>
      <c r="AD135" s="13"/>
      <c r="AE135" s="13"/>
      <c r="AF135" s="13"/>
      <c r="AG135" s="13"/>
      <c r="AH135" s="13"/>
      <c r="AI135" s="19"/>
      <c r="AJ135" s="14"/>
      <c r="AK135" s="13"/>
      <c r="AL135" s="13"/>
      <c r="AM135" s="13"/>
      <c r="AN135" s="13"/>
      <c r="AO135" s="13"/>
      <c r="AP135" s="20"/>
      <c r="AQ135" s="13">
        <f t="shared" si="42"/>
        <v>0</v>
      </c>
      <c r="AR135" s="97">
        <f t="shared" si="45"/>
        <v>0</v>
      </c>
      <c r="AS135" s="21">
        <f t="shared" si="44"/>
        <v>0</v>
      </c>
      <c r="AT135" s="22"/>
      <c r="AU135" s="13"/>
      <c r="AV135" s="13"/>
      <c r="AW135" s="13"/>
      <c r="AX135" s="13"/>
      <c r="AY135" s="13"/>
      <c r="AZ135" s="13"/>
    </row>
    <row r="136" spans="1:52" ht="13.15">
      <c r="A136" s="12">
        <v>44812</v>
      </c>
      <c r="B136" s="13" t="s">
        <v>2191</v>
      </c>
      <c r="C136" s="13" t="s">
        <v>69</v>
      </c>
      <c r="D136" s="17" t="s">
        <v>2192</v>
      </c>
      <c r="E136" s="13" t="s">
        <v>2193</v>
      </c>
      <c r="F136" s="14" t="s">
        <v>1752</v>
      </c>
      <c r="G136" s="13"/>
      <c r="H136" s="13"/>
      <c r="I136" s="13"/>
      <c r="J136" s="40"/>
      <c r="K136" s="40"/>
      <c r="L136" s="13">
        <v>1</v>
      </c>
      <c r="M136" s="13"/>
      <c r="N136" s="13">
        <v>1</v>
      </c>
      <c r="O136" s="14" t="s">
        <v>71</v>
      </c>
      <c r="P136" s="14" t="s">
        <v>72</v>
      </c>
      <c r="Q136" s="14" t="s">
        <v>661</v>
      </c>
      <c r="R136" s="14">
        <v>3</v>
      </c>
      <c r="S136" s="14">
        <v>3</v>
      </c>
      <c r="T136" s="14">
        <v>2</v>
      </c>
      <c r="U136" s="14" t="s">
        <v>73</v>
      </c>
      <c r="V136" s="14">
        <f t="shared" si="40"/>
        <v>0.01</v>
      </c>
      <c r="W136" s="14">
        <f t="shared" si="41"/>
        <v>1664.9999999999998</v>
      </c>
      <c r="X136" s="17" t="s">
        <v>2141</v>
      </c>
      <c r="Y136" s="17"/>
      <c r="Z136" s="17"/>
      <c r="AA136" s="18">
        <v>96.38</v>
      </c>
      <c r="AB136" s="13" t="s">
        <v>2194</v>
      </c>
      <c r="AC136" s="13"/>
      <c r="AD136" s="13"/>
      <c r="AE136" s="13" t="s">
        <v>2195</v>
      </c>
      <c r="AF136" s="13" t="s">
        <v>2196</v>
      </c>
      <c r="AG136" s="13"/>
      <c r="AH136" s="13"/>
      <c r="AI136" s="19"/>
      <c r="AJ136" s="14"/>
      <c r="AK136" s="13"/>
      <c r="AL136" s="13"/>
      <c r="AM136" s="13" t="s">
        <v>2197</v>
      </c>
      <c r="AN136" s="13" t="s">
        <v>82</v>
      </c>
      <c r="AO136" s="13"/>
      <c r="AP136" s="20">
        <v>96.33</v>
      </c>
      <c r="AQ136" s="20">
        <f t="shared" si="42"/>
        <v>4.9999999999997158E-2</v>
      </c>
      <c r="AR136" s="97">
        <f t="shared" si="45"/>
        <v>249.74999999998576</v>
      </c>
      <c r="AS136" s="21">
        <f t="shared" si="44"/>
        <v>83.249999999995254</v>
      </c>
      <c r="AT136" s="22" t="s">
        <v>72</v>
      </c>
      <c r="AU136" s="13" t="s">
        <v>2198</v>
      </c>
      <c r="AV136" s="13" t="s">
        <v>2199</v>
      </c>
      <c r="AW136" s="13"/>
      <c r="AX136" s="13"/>
      <c r="AY136" s="13"/>
      <c r="AZ136" s="13"/>
    </row>
    <row r="137" spans="1:52" ht="13.15">
      <c r="A137" s="12">
        <v>44812</v>
      </c>
      <c r="B137" s="13"/>
      <c r="C137" s="13" t="s">
        <v>69</v>
      </c>
      <c r="D137" s="17"/>
      <c r="E137" s="13"/>
      <c r="F137" s="14" t="s">
        <v>2178</v>
      </c>
      <c r="G137" s="13"/>
      <c r="H137" s="13"/>
      <c r="I137" s="13"/>
      <c r="J137" s="40"/>
      <c r="K137" s="40"/>
      <c r="L137" s="13">
        <v>1</v>
      </c>
      <c r="M137" s="13">
        <v>2</v>
      </c>
      <c r="N137" s="13"/>
      <c r="O137" s="14" t="s">
        <v>71</v>
      </c>
      <c r="P137" s="14" t="s">
        <v>72</v>
      </c>
      <c r="Q137" s="14"/>
      <c r="R137" s="14">
        <v>9</v>
      </c>
      <c r="S137" s="14">
        <v>9</v>
      </c>
      <c r="T137" s="14">
        <v>1</v>
      </c>
      <c r="U137" s="14" t="s">
        <v>21</v>
      </c>
      <c r="V137" s="14">
        <f t="shared" si="40"/>
        <v>0.01</v>
      </c>
      <c r="W137" s="14">
        <f t="shared" si="41"/>
        <v>1664.9999999999998</v>
      </c>
      <c r="X137" s="17"/>
      <c r="Y137" s="17"/>
      <c r="Z137" s="17" t="s">
        <v>2200</v>
      </c>
      <c r="AA137" s="18">
        <v>0.1</v>
      </c>
      <c r="AB137" s="13" t="s">
        <v>2201</v>
      </c>
      <c r="AC137" s="13"/>
      <c r="AD137" s="13"/>
      <c r="AE137" s="13"/>
      <c r="AF137" s="13"/>
      <c r="AG137" s="13"/>
      <c r="AH137" s="13"/>
      <c r="AI137" s="19"/>
      <c r="AJ137" s="14"/>
      <c r="AK137" s="13" t="s">
        <v>425</v>
      </c>
      <c r="AL137" s="13"/>
      <c r="AM137" s="13"/>
      <c r="AN137" s="13"/>
      <c r="AO137" s="13"/>
      <c r="AP137" s="20"/>
      <c r="AQ137" s="13">
        <f t="shared" si="42"/>
        <v>0</v>
      </c>
      <c r="AR137" s="97">
        <f t="shared" si="45"/>
        <v>0</v>
      </c>
      <c r="AS137" s="21">
        <f t="shared" si="44"/>
        <v>0</v>
      </c>
      <c r="AT137" s="22"/>
      <c r="AU137" s="13" t="s">
        <v>2202</v>
      </c>
      <c r="AV137" s="13" t="s">
        <v>2203</v>
      </c>
      <c r="AW137" s="13" t="s">
        <v>2204</v>
      </c>
      <c r="AX137" s="13" t="s">
        <v>2205</v>
      </c>
      <c r="AY137" s="13" t="s">
        <v>2206</v>
      </c>
      <c r="AZ137" s="13" t="s">
        <v>2207</v>
      </c>
    </row>
    <row r="138" spans="1:52" ht="13.15">
      <c r="A138" s="12"/>
      <c r="B138" s="13"/>
      <c r="C138" s="13"/>
      <c r="D138" s="17"/>
      <c r="E138" s="13"/>
      <c r="F138" s="14" t="s">
        <v>1753</v>
      </c>
      <c r="G138" s="13"/>
      <c r="H138" s="13"/>
      <c r="I138" s="13"/>
      <c r="J138" s="40"/>
      <c r="K138" s="40"/>
      <c r="L138" s="13"/>
      <c r="M138" s="13"/>
      <c r="N138" s="13"/>
      <c r="O138" s="14"/>
      <c r="P138" s="14"/>
      <c r="Q138" s="14"/>
      <c r="R138" s="14"/>
      <c r="S138" s="14"/>
      <c r="T138" s="14"/>
      <c r="U138" s="14"/>
      <c r="V138" s="14">
        <f t="shared" si="40"/>
        <v>0</v>
      </c>
      <c r="W138" s="14">
        <f t="shared" si="41"/>
        <v>0</v>
      </c>
      <c r="X138" s="17"/>
      <c r="Y138" s="17"/>
      <c r="Z138" s="17"/>
      <c r="AA138" s="18">
        <v>96.224999999999994</v>
      </c>
      <c r="AB138" s="13"/>
      <c r="AC138" s="13"/>
      <c r="AD138" s="13"/>
      <c r="AE138" s="13"/>
      <c r="AF138" s="13"/>
      <c r="AG138" s="13"/>
      <c r="AH138" s="13"/>
      <c r="AI138" s="19"/>
      <c r="AJ138" s="14"/>
      <c r="AK138" s="13"/>
      <c r="AL138" s="13"/>
      <c r="AM138" s="13"/>
      <c r="AN138" s="13"/>
      <c r="AO138" s="13"/>
      <c r="AP138" s="20"/>
      <c r="AQ138" s="13">
        <f t="shared" si="42"/>
        <v>0</v>
      </c>
      <c r="AR138" s="97">
        <f t="shared" si="45"/>
        <v>0</v>
      </c>
      <c r="AS138" s="21">
        <f t="shared" si="44"/>
        <v>0</v>
      </c>
      <c r="AT138" s="22"/>
      <c r="AU138" s="62"/>
      <c r="AV138" s="62"/>
      <c r="AW138" s="13"/>
      <c r="AX138" s="13"/>
      <c r="AY138" s="13"/>
      <c r="AZ138" s="13"/>
    </row>
    <row r="139" spans="1:52" ht="13.15">
      <c r="A139" s="12"/>
      <c r="B139" s="13"/>
      <c r="C139" s="13"/>
      <c r="D139" s="17"/>
      <c r="E139" s="13"/>
      <c r="F139" s="14" t="s">
        <v>1821</v>
      </c>
      <c r="G139" s="13"/>
      <c r="H139" s="13"/>
      <c r="I139" s="13"/>
      <c r="J139" s="40"/>
      <c r="K139" s="40"/>
      <c r="L139" s="13"/>
      <c r="M139" s="13"/>
      <c r="N139" s="13"/>
      <c r="O139" s="14"/>
      <c r="P139" s="14"/>
      <c r="Q139" s="14"/>
      <c r="R139" s="14"/>
      <c r="S139" s="14"/>
      <c r="T139" s="14"/>
      <c r="U139" s="14"/>
      <c r="V139" s="14">
        <f t="shared" si="40"/>
        <v>0</v>
      </c>
      <c r="W139" s="14">
        <f t="shared" si="41"/>
        <v>0</v>
      </c>
      <c r="X139" s="17"/>
      <c r="Y139" s="17"/>
      <c r="Z139" s="17"/>
      <c r="AA139" s="18">
        <v>96.231999999999999</v>
      </c>
      <c r="AB139" s="13"/>
      <c r="AC139" s="13"/>
      <c r="AD139" s="13"/>
      <c r="AE139" s="13"/>
      <c r="AF139" s="13"/>
      <c r="AG139" s="13"/>
      <c r="AH139" s="13"/>
      <c r="AI139" s="19"/>
      <c r="AJ139" s="14"/>
      <c r="AK139" s="13"/>
      <c r="AL139" s="13"/>
      <c r="AM139" s="13"/>
      <c r="AN139" s="13"/>
      <c r="AO139" s="13"/>
      <c r="AP139" s="20"/>
      <c r="AQ139" s="13">
        <f t="shared" si="42"/>
        <v>0</v>
      </c>
      <c r="AR139" s="97">
        <f t="shared" si="45"/>
        <v>0</v>
      </c>
      <c r="AS139" s="21">
        <f t="shared" si="44"/>
        <v>0</v>
      </c>
      <c r="AT139" s="22"/>
      <c r="AU139" s="13"/>
      <c r="AV139" s="13"/>
      <c r="AW139" s="13"/>
      <c r="AX139" s="13"/>
      <c r="AY139" s="13"/>
      <c r="AZ139" s="13"/>
    </row>
    <row r="140" spans="1:52" ht="13.15">
      <c r="A140" s="12"/>
      <c r="B140" s="13"/>
      <c r="C140" s="13"/>
      <c r="D140" s="17"/>
      <c r="E140" s="13"/>
      <c r="F140" s="14" t="s">
        <v>1852</v>
      </c>
      <c r="G140" s="13"/>
      <c r="H140" s="13"/>
      <c r="I140" s="13"/>
      <c r="J140" s="40"/>
      <c r="K140" s="40"/>
      <c r="L140" s="13"/>
      <c r="M140" s="13"/>
      <c r="N140" s="13"/>
      <c r="O140" s="14"/>
      <c r="P140" s="14"/>
      <c r="Q140" s="14"/>
      <c r="R140" s="14"/>
      <c r="S140" s="14"/>
      <c r="T140" s="14"/>
      <c r="U140" s="14"/>
      <c r="V140" s="14">
        <f t="shared" si="40"/>
        <v>0</v>
      </c>
      <c r="W140" s="14">
        <f t="shared" si="41"/>
        <v>0</v>
      </c>
      <c r="X140" s="17"/>
      <c r="Y140" s="17"/>
      <c r="Z140" s="17"/>
      <c r="AA140" s="18">
        <v>96.242999999999995</v>
      </c>
      <c r="AB140" s="13"/>
      <c r="AC140" s="13"/>
      <c r="AD140" s="13"/>
      <c r="AE140" s="13"/>
      <c r="AF140" s="13"/>
      <c r="AG140" s="13"/>
      <c r="AH140" s="13"/>
      <c r="AI140" s="19"/>
      <c r="AJ140" s="14"/>
      <c r="AK140" s="13"/>
      <c r="AL140" s="13"/>
      <c r="AM140" s="13"/>
      <c r="AN140" s="13"/>
      <c r="AO140" s="13"/>
      <c r="AP140" s="20"/>
      <c r="AQ140" s="13">
        <f t="shared" si="42"/>
        <v>0</v>
      </c>
      <c r="AR140" s="97">
        <f t="shared" si="45"/>
        <v>0</v>
      </c>
      <c r="AS140" s="21">
        <f t="shared" si="44"/>
        <v>0</v>
      </c>
      <c r="AT140" s="22"/>
      <c r="AU140" s="13"/>
      <c r="AV140" s="13"/>
      <c r="AW140" s="13"/>
      <c r="AX140" s="13"/>
      <c r="AY140" s="13"/>
      <c r="AZ140" s="13"/>
    </row>
    <row r="141" spans="1:52" ht="14.45">
      <c r="A141" s="12">
        <v>44812</v>
      </c>
      <c r="B141" s="13" t="s">
        <v>2208</v>
      </c>
      <c r="C141" s="13" t="s">
        <v>69</v>
      </c>
      <c r="D141" s="17" t="s">
        <v>2209</v>
      </c>
      <c r="E141" s="13" t="s">
        <v>2210</v>
      </c>
      <c r="F141" s="14"/>
      <c r="G141" s="13"/>
      <c r="H141" s="13">
        <v>1</v>
      </c>
      <c r="I141" s="13"/>
      <c r="J141" s="77"/>
      <c r="K141" s="77"/>
      <c r="L141" s="13"/>
      <c r="M141" s="13"/>
      <c r="N141" s="13"/>
      <c r="O141" s="14"/>
      <c r="P141" s="14"/>
      <c r="Q141" s="14"/>
      <c r="R141" s="14"/>
      <c r="S141" s="14"/>
      <c r="T141" s="14"/>
      <c r="U141" s="14"/>
      <c r="V141" s="14">
        <f t="shared" si="40"/>
        <v>0</v>
      </c>
      <c r="W141" s="14">
        <f t="shared" si="41"/>
        <v>0</v>
      </c>
      <c r="X141" s="17"/>
      <c r="Y141" s="17"/>
      <c r="Z141" s="17"/>
      <c r="AA141" s="18"/>
      <c r="AB141" s="13"/>
      <c r="AC141" s="13"/>
      <c r="AD141" s="13"/>
      <c r="AE141" s="13"/>
      <c r="AF141" s="13"/>
      <c r="AG141" s="13"/>
      <c r="AH141" s="13"/>
      <c r="AI141" s="19"/>
      <c r="AJ141" s="14"/>
      <c r="AK141" s="13"/>
      <c r="AL141" s="13"/>
      <c r="AM141" s="13"/>
      <c r="AN141" s="13"/>
      <c r="AO141" s="13"/>
      <c r="AP141" s="20"/>
      <c r="AQ141" s="13">
        <f t="shared" si="42"/>
        <v>0</v>
      </c>
      <c r="AR141" s="97">
        <f t="shared" si="45"/>
        <v>0</v>
      </c>
      <c r="AS141" s="21">
        <f t="shared" si="44"/>
        <v>0</v>
      </c>
      <c r="AT141" s="22"/>
      <c r="AU141" s="13"/>
      <c r="AV141" s="13"/>
      <c r="AW141" s="13"/>
      <c r="AX141" s="13"/>
      <c r="AY141" s="13"/>
      <c r="AZ141" s="13"/>
    </row>
    <row r="142" spans="1:52" ht="13.15">
      <c r="A142" s="12"/>
      <c r="B142" s="13"/>
      <c r="C142" s="13"/>
      <c r="D142" s="17" t="s">
        <v>2211</v>
      </c>
      <c r="E142" s="13" t="s">
        <v>2212</v>
      </c>
      <c r="F142" s="14"/>
      <c r="G142" s="13"/>
      <c r="H142" s="13"/>
      <c r="I142" s="13">
        <v>1</v>
      </c>
      <c r="J142" s="40"/>
      <c r="K142" s="40"/>
      <c r="L142" s="13"/>
      <c r="M142" s="13"/>
      <c r="N142" s="13"/>
      <c r="O142" s="14"/>
      <c r="P142" s="14"/>
      <c r="Q142" s="14"/>
      <c r="R142" s="14"/>
      <c r="S142" s="14"/>
      <c r="T142" s="14"/>
      <c r="U142" s="14"/>
      <c r="V142" s="14">
        <f t="shared" si="40"/>
        <v>0</v>
      </c>
      <c r="W142" s="14">
        <f t="shared" si="41"/>
        <v>0</v>
      </c>
      <c r="X142" s="17"/>
      <c r="Y142" s="17"/>
      <c r="Z142" s="17"/>
      <c r="AA142" s="18"/>
      <c r="AB142" s="13"/>
      <c r="AC142" s="13"/>
      <c r="AD142" s="13"/>
      <c r="AE142" s="13"/>
      <c r="AF142" s="13"/>
      <c r="AG142" s="13"/>
      <c r="AH142" s="13"/>
      <c r="AI142" s="19"/>
      <c r="AJ142" s="14"/>
      <c r="AK142" s="13"/>
      <c r="AL142" s="13"/>
      <c r="AM142" s="13"/>
      <c r="AN142" s="13"/>
      <c r="AO142" s="13"/>
      <c r="AP142" s="20"/>
      <c r="AQ142" s="13">
        <f t="shared" si="42"/>
        <v>0</v>
      </c>
      <c r="AR142" s="97">
        <f t="shared" si="45"/>
        <v>0</v>
      </c>
      <c r="AS142" s="21">
        <f t="shared" si="44"/>
        <v>0</v>
      </c>
      <c r="AT142" s="22"/>
      <c r="AU142" s="13"/>
      <c r="AV142" s="13"/>
      <c r="AW142" s="13"/>
      <c r="AX142" s="13"/>
      <c r="AY142" s="13"/>
      <c r="AZ142" s="13"/>
    </row>
    <row r="143" spans="1:52" ht="13.15">
      <c r="A143" s="12">
        <v>44813</v>
      </c>
      <c r="B143" s="13" t="s">
        <v>2213</v>
      </c>
      <c r="C143" s="13" t="s">
        <v>88</v>
      </c>
      <c r="D143" s="17"/>
      <c r="E143" s="13"/>
      <c r="F143" s="14" t="s">
        <v>113</v>
      </c>
      <c r="G143" s="13"/>
      <c r="H143" s="13"/>
      <c r="I143" s="13"/>
      <c r="J143" s="40"/>
      <c r="K143" s="40"/>
      <c r="L143" s="13">
        <v>1</v>
      </c>
      <c r="M143" s="13"/>
      <c r="N143" s="13"/>
      <c r="O143" s="14" t="s">
        <v>71</v>
      </c>
      <c r="P143" s="14" t="s">
        <v>114</v>
      </c>
      <c r="Q143" s="14" t="s">
        <v>73</v>
      </c>
      <c r="R143" s="14">
        <v>1</v>
      </c>
      <c r="S143" s="14">
        <v>1</v>
      </c>
      <c r="T143" s="14">
        <v>1</v>
      </c>
      <c r="U143" s="14" t="s">
        <v>21</v>
      </c>
      <c r="V143" s="14">
        <f t="shared" si="40"/>
        <v>0.01</v>
      </c>
      <c r="W143" s="14">
        <f t="shared" si="41"/>
        <v>1664.9999999999998</v>
      </c>
      <c r="X143" s="17"/>
      <c r="Y143" s="17"/>
      <c r="Z143" s="17" t="s">
        <v>2214</v>
      </c>
      <c r="AA143" s="18">
        <v>-0.03</v>
      </c>
      <c r="AB143" s="13"/>
      <c r="AC143" s="13"/>
      <c r="AD143" s="13"/>
      <c r="AE143" s="13"/>
      <c r="AF143" s="13"/>
      <c r="AG143" s="13"/>
      <c r="AH143" s="13"/>
      <c r="AI143" s="19"/>
      <c r="AJ143" s="14"/>
      <c r="AK143" s="13"/>
      <c r="AL143" s="13"/>
      <c r="AM143" s="13" t="s">
        <v>2215</v>
      </c>
      <c r="AN143" s="13" t="s">
        <v>92</v>
      </c>
      <c r="AO143" s="13" t="s">
        <v>2216</v>
      </c>
      <c r="AP143" s="20">
        <v>-0.02</v>
      </c>
      <c r="AQ143" s="20">
        <f t="shared" si="42"/>
        <v>9.9999999999999985E-3</v>
      </c>
      <c r="AR143" s="97">
        <f t="shared" si="45"/>
        <v>16.649999999999995</v>
      </c>
      <c r="AS143" s="21">
        <f t="shared" si="44"/>
        <v>16.649999999999995</v>
      </c>
      <c r="AT143" s="22" t="s">
        <v>72</v>
      </c>
      <c r="AU143" s="13" t="s">
        <v>2217</v>
      </c>
      <c r="AV143" s="13"/>
      <c r="AW143" s="13"/>
      <c r="AX143" s="13"/>
      <c r="AY143" s="13"/>
      <c r="AZ143" s="13"/>
    </row>
    <row r="144" spans="1:52" ht="13.15">
      <c r="A144" s="12">
        <v>44813</v>
      </c>
      <c r="B144" s="13" t="s">
        <v>2218</v>
      </c>
      <c r="C144" s="13" t="s">
        <v>88</v>
      </c>
      <c r="D144" s="17"/>
      <c r="E144" s="13"/>
      <c r="F144" s="14" t="s">
        <v>113</v>
      </c>
      <c r="G144" s="13"/>
      <c r="H144" s="13"/>
      <c r="I144" s="13"/>
      <c r="J144" s="40"/>
      <c r="K144" s="40"/>
      <c r="L144" s="13">
        <v>1</v>
      </c>
      <c r="M144" s="13"/>
      <c r="N144" s="13"/>
      <c r="O144" s="14" t="s">
        <v>71</v>
      </c>
      <c r="P144" s="14" t="s">
        <v>114</v>
      </c>
      <c r="Q144" s="14" t="s">
        <v>73</v>
      </c>
      <c r="R144" s="14">
        <v>1</v>
      </c>
      <c r="S144" s="14">
        <v>1</v>
      </c>
      <c r="T144" s="14">
        <v>1</v>
      </c>
      <c r="U144" s="14" t="s">
        <v>21</v>
      </c>
      <c r="V144" s="14">
        <f t="shared" si="40"/>
        <v>0.01</v>
      </c>
      <c r="W144" s="14">
        <f t="shared" si="41"/>
        <v>1664.9999999999998</v>
      </c>
      <c r="X144" s="17"/>
      <c r="Y144" s="17"/>
      <c r="Z144" s="17" t="s">
        <v>75</v>
      </c>
      <c r="AA144" s="18">
        <v>-0.03</v>
      </c>
      <c r="AB144" s="13"/>
      <c r="AC144" s="13"/>
      <c r="AD144" s="13"/>
      <c r="AE144" s="13"/>
      <c r="AF144" s="13"/>
      <c r="AG144" s="13"/>
      <c r="AH144" s="13"/>
      <c r="AI144" s="19"/>
      <c r="AJ144" s="14"/>
      <c r="AK144" s="13"/>
      <c r="AL144" s="13"/>
      <c r="AM144" s="13" t="s">
        <v>2219</v>
      </c>
      <c r="AN144" s="13" t="s">
        <v>82</v>
      </c>
      <c r="AO144" s="26">
        <v>44813</v>
      </c>
      <c r="AP144" s="20">
        <v>-0.02</v>
      </c>
      <c r="AQ144" s="20">
        <f t="shared" si="42"/>
        <v>9.9999999999999985E-3</v>
      </c>
      <c r="AR144" s="97">
        <f t="shared" si="45"/>
        <v>16.649999999999995</v>
      </c>
      <c r="AS144" s="21">
        <f t="shared" si="44"/>
        <v>16.649999999999995</v>
      </c>
      <c r="AT144" s="22" t="s">
        <v>72</v>
      </c>
      <c r="AU144" s="13"/>
      <c r="AV144" s="13"/>
      <c r="AW144" s="13"/>
      <c r="AX144" s="13"/>
      <c r="AY144" s="13"/>
      <c r="AZ144" s="13"/>
    </row>
    <row r="145" spans="1:52" ht="14.45">
      <c r="A145" s="12">
        <v>44816</v>
      </c>
      <c r="B145" s="13" t="s">
        <v>2220</v>
      </c>
      <c r="C145" s="13" t="s">
        <v>109</v>
      </c>
      <c r="D145" s="17"/>
      <c r="E145" s="13"/>
      <c r="F145" s="14" t="s">
        <v>113</v>
      </c>
      <c r="G145" s="13"/>
      <c r="H145" s="13"/>
      <c r="I145" s="13"/>
      <c r="J145" s="77"/>
      <c r="K145" s="77"/>
      <c r="L145" s="13">
        <v>1</v>
      </c>
      <c r="M145" s="13"/>
      <c r="N145" s="13"/>
      <c r="O145" s="14" t="s">
        <v>71</v>
      </c>
      <c r="P145" s="14" t="s">
        <v>114</v>
      </c>
      <c r="Q145" s="14" t="s">
        <v>73</v>
      </c>
      <c r="R145" s="14">
        <v>1</v>
      </c>
      <c r="S145" s="14">
        <v>1</v>
      </c>
      <c r="T145" s="14">
        <v>1</v>
      </c>
      <c r="U145" s="14" t="s">
        <v>21</v>
      </c>
      <c r="V145" s="14">
        <f t="shared" si="40"/>
        <v>0.01</v>
      </c>
      <c r="W145" s="14">
        <f t="shared" si="41"/>
        <v>1664.9999999999998</v>
      </c>
      <c r="X145" s="17"/>
      <c r="Y145" s="17"/>
      <c r="Z145" s="17" t="s">
        <v>75</v>
      </c>
      <c r="AA145" s="18">
        <v>-0.03</v>
      </c>
      <c r="AB145" s="13"/>
      <c r="AC145" s="13"/>
      <c r="AD145" s="13"/>
      <c r="AE145" s="13"/>
      <c r="AF145" s="13"/>
      <c r="AG145" s="13"/>
      <c r="AH145" s="13"/>
      <c r="AI145" s="19"/>
      <c r="AJ145" s="14"/>
      <c r="AK145" s="13"/>
      <c r="AL145" s="13"/>
      <c r="AM145" s="13" t="s">
        <v>2220</v>
      </c>
      <c r="AN145" s="13" t="s">
        <v>371</v>
      </c>
      <c r="AO145" s="26">
        <v>44816</v>
      </c>
      <c r="AP145" s="20">
        <v>-0.02</v>
      </c>
      <c r="AQ145" s="20">
        <f t="shared" si="42"/>
        <v>9.9999999999999985E-3</v>
      </c>
      <c r="AR145" s="97">
        <f t="shared" si="45"/>
        <v>16.649999999999995</v>
      </c>
      <c r="AS145" s="21">
        <f t="shared" si="44"/>
        <v>16.649999999999995</v>
      </c>
      <c r="AT145" s="22" t="s">
        <v>72</v>
      </c>
      <c r="AU145" s="13"/>
      <c r="AV145" s="13"/>
      <c r="AW145" s="13"/>
      <c r="AX145" s="13"/>
      <c r="AY145" s="13"/>
      <c r="AZ145" s="13"/>
    </row>
    <row r="146" spans="1:52" ht="14.45">
      <c r="A146" s="12">
        <v>44816</v>
      </c>
      <c r="B146" s="13" t="s">
        <v>2221</v>
      </c>
      <c r="C146" s="13" t="s">
        <v>109</v>
      </c>
      <c r="D146" s="17"/>
      <c r="E146" s="13"/>
      <c r="F146" s="14" t="s">
        <v>113</v>
      </c>
      <c r="G146" s="13"/>
      <c r="H146" s="13"/>
      <c r="I146" s="13"/>
      <c r="J146" s="77"/>
      <c r="K146" s="77"/>
      <c r="L146" s="13">
        <v>1</v>
      </c>
      <c r="M146" s="13"/>
      <c r="N146" s="13"/>
      <c r="O146" s="14" t="s">
        <v>71</v>
      </c>
      <c r="P146" s="14" t="s">
        <v>114</v>
      </c>
      <c r="Q146" s="14" t="s">
        <v>73</v>
      </c>
      <c r="R146" s="14">
        <v>1</v>
      </c>
      <c r="S146" s="14">
        <v>1</v>
      </c>
      <c r="T146" s="14">
        <v>1</v>
      </c>
      <c r="U146" s="14" t="s">
        <v>21</v>
      </c>
      <c r="V146" s="14">
        <f t="shared" si="40"/>
        <v>0.01</v>
      </c>
      <c r="W146" s="14">
        <f t="shared" si="41"/>
        <v>1664.9999999999998</v>
      </c>
      <c r="X146" s="17"/>
      <c r="Y146" s="17"/>
      <c r="Z146" s="17" t="s">
        <v>75</v>
      </c>
      <c r="AA146" s="18">
        <v>-0.03</v>
      </c>
      <c r="AB146" s="13"/>
      <c r="AC146" s="13"/>
      <c r="AD146" s="13"/>
      <c r="AE146" s="13"/>
      <c r="AF146" s="13"/>
      <c r="AG146" s="13"/>
      <c r="AH146" s="13"/>
      <c r="AI146" s="19"/>
      <c r="AJ146" s="14"/>
      <c r="AK146" s="13"/>
      <c r="AL146" s="13"/>
      <c r="AM146" s="13" t="s">
        <v>2221</v>
      </c>
      <c r="AN146" s="13" t="s">
        <v>92</v>
      </c>
      <c r="AO146" s="26">
        <v>44816</v>
      </c>
      <c r="AP146" s="20">
        <v>-0.02</v>
      </c>
      <c r="AQ146" s="20">
        <f t="shared" si="42"/>
        <v>9.9999999999999985E-3</v>
      </c>
      <c r="AR146" s="97">
        <f t="shared" si="45"/>
        <v>16.649999999999995</v>
      </c>
      <c r="AS146" s="21">
        <f t="shared" si="44"/>
        <v>16.649999999999995</v>
      </c>
      <c r="AT146" s="22" t="s">
        <v>72</v>
      </c>
      <c r="AU146" s="13" t="s">
        <v>2222</v>
      </c>
      <c r="AV146" s="13" t="s">
        <v>2223</v>
      </c>
      <c r="AW146" s="13" t="s">
        <v>2224</v>
      </c>
      <c r="AX146" s="13"/>
      <c r="AY146" s="13"/>
      <c r="AZ146" s="13"/>
    </row>
    <row r="147" spans="1:52" ht="13.15">
      <c r="A147" s="12">
        <v>44817</v>
      </c>
      <c r="B147" s="13" t="s">
        <v>2225</v>
      </c>
      <c r="C147" s="13" t="s">
        <v>123</v>
      </c>
      <c r="D147" s="17"/>
      <c r="E147" s="13"/>
      <c r="F147" s="14" t="s">
        <v>113</v>
      </c>
      <c r="G147" s="13"/>
      <c r="H147" s="13"/>
      <c r="I147" s="13"/>
      <c r="J147" s="40"/>
      <c r="K147" s="40"/>
      <c r="L147" s="13">
        <v>1</v>
      </c>
      <c r="M147" s="13"/>
      <c r="N147" s="13"/>
      <c r="O147" s="14" t="s">
        <v>71</v>
      </c>
      <c r="P147" s="14" t="s">
        <v>114</v>
      </c>
      <c r="Q147" s="14"/>
      <c r="R147" s="14">
        <v>1</v>
      </c>
      <c r="S147" s="14">
        <v>1</v>
      </c>
      <c r="T147" s="14">
        <v>1</v>
      </c>
      <c r="U147" s="14" t="s">
        <v>21</v>
      </c>
      <c r="V147" s="14">
        <f t="shared" si="40"/>
        <v>0.01</v>
      </c>
      <c r="W147" s="14">
        <f t="shared" si="41"/>
        <v>1664.9999999999998</v>
      </c>
      <c r="X147" s="17"/>
      <c r="Y147" s="17"/>
      <c r="Z147" s="17" t="s">
        <v>75</v>
      </c>
      <c r="AA147" s="18">
        <v>-0.03</v>
      </c>
      <c r="AB147" s="13"/>
      <c r="AC147" s="13"/>
      <c r="AD147" s="13"/>
      <c r="AE147" s="13"/>
      <c r="AF147" s="13"/>
      <c r="AG147" s="13"/>
      <c r="AH147" s="13"/>
      <c r="AI147" s="19"/>
      <c r="AJ147" s="14"/>
      <c r="AK147" s="13"/>
      <c r="AL147" s="13"/>
      <c r="AM147" s="13" t="s">
        <v>2225</v>
      </c>
      <c r="AN147" s="13"/>
      <c r="AO147" s="26">
        <v>44816</v>
      </c>
      <c r="AP147" s="20"/>
      <c r="AQ147" s="13">
        <f t="shared" si="42"/>
        <v>0</v>
      </c>
      <c r="AR147" s="97">
        <f t="shared" si="45"/>
        <v>0</v>
      </c>
      <c r="AS147" s="21">
        <f t="shared" si="44"/>
        <v>0</v>
      </c>
      <c r="AT147" s="22"/>
      <c r="AU147" s="13" t="s">
        <v>2226</v>
      </c>
      <c r="AV147" s="13" t="s">
        <v>2227</v>
      </c>
      <c r="AW147" s="13"/>
      <c r="AX147" s="13" t="s">
        <v>2228</v>
      </c>
      <c r="AY147" s="13"/>
      <c r="AZ147" s="13"/>
    </row>
    <row r="148" spans="1:52" ht="13.15">
      <c r="A148" s="12">
        <v>44817</v>
      </c>
      <c r="B148" s="13"/>
      <c r="C148" s="13" t="s">
        <v>123</v>
      </c>
      <c r="D148" s="17"/>
      <c r="E148" s="13"/>
      <c r="F148" s="114">
        <v>44828</v>
      </c>
      <c r="G148" s="13"/>
      <c r="H148" s="13"/>
      <c r="I148" s="13"/>
      <c r="J148" s="80"/>
      <c r="K148" s="80"/>
      <c r="L148" s="13">
        <v>1</v>
      </c>
      <c r="M148" s="13"/>
      <c r="N148" s="13"/>
      <c r="O148" s="14" t="s">
        <v>71</v>
      </c>
      <c r="P148" s="14" t="s">
        <v>114</v>
      </c>
      <c r="Q148" s="14"/>
      <c r="R148" s="14">
        <v>1</v>
      </c>
      <c r="S148" s="14">
        <v>1</v>
      </c>
      <c r="T148" s="14">
        <v>1</v>
      </c>
      <c r="U148" s="14" t="s">
        <v>73</v>
      </c>
      <c r="V148" s="14">
        <f t="shared" si="40"/>
        <v>0.01</v>
      </c>
      <c r="W148" s="14">
        <f t="shared" si="41"/>
        <v>1664.9999999999998</v>
      </c>
      <c r="X148" s="17"/>
      <c r="Y148" s="17"/>
      <c r="Z148" s="17"/>
      <c r="AA148" s="18">
        <v>96.38</v>
      </c>
      <c r="AB148" s="13"/>
      <c r="AC148" s="13" t="s">
        <v>2229</v>
      </c>
      <c r="AD148" s="13"/>
      <c r="AE148" s="13"/>
      <c r="AF148" s="13"/>
      <c r="AG148" s="13"/>
      <c r="AH148" s="13"/>
      <c r="AI148" s="19"/>
      <c r="AJ148" s="14"/>
      <c r="AK148" s="13"/>
      <c r="AL148" s="13"/>
      <c r="AM148" s="13"/>
      <c r="AN148" s="13" t="s">
        <v>92</v>
      </c>
      <c r="AO148" s="13"/>
      <c r="AP148" s="20">
        <v>96.3</v>
      </c>
      <c r="AQ148" s="20">
        <f t="shared" si="42"/>
        <v>7.9999999999998295E-2</v>
      </c>
      <c r="AR148" s="97">
        <f t="shared" si="45"/>
        <v>133.19999999999715</v>
      </c>
      <c r="AS148" s="21">
        <f t="shared" si="44"/>
        <v>133.19999999999715</v>
      </c>
      <c r="AT148" s="22"/>
      <c r="AU148" s="13" t="s">
        <v>2230</v>
      </c>
      <c r="AV148" s="28" t="s">
        <v>2231</v>
      </c>
      <c r="AW148" s="13"/>
      <c r="AX148" s="13"/>
      <c r="AY148" s="13"/>
      <c r="AZ148" s="13"/>
    </row>
    <row r="149" spans="1:52" ht="13.15">
      <c r="A149" s="12">
        <v>44817</v>
      </c>
      <c r="B149" s="33">
        <v>0.75</v>
      </c>
      <c r="C149" s="13" t="s">
        <v>123</v>
      </c>
      <c r="D149" s="17" t="s">
        <v>2232</v>
      </c>
      <c r="E149" s="13" t="s">
        <v>2233</v>
      </c>
      <c r="F149" s="14" t="s">
        <v>2234</v>
      </c>
      <c r="G149" s="13">
        <v>1</v>
      </c>
      <c r="H149" s="13"/>
      <c r="I149" s="13"/>
      <c r="J149" s="80"/>
      <c r="K149" s="80"/>
      <c r="L149" s="13">
        <v>1</v>
      </c>
      <c r="M149" s="13"/>
      <c r="N149" s="13"/>
      <c r="O149" s="14" t="s">
        <v>71</v>
      </c>
      <c r="P149" s="14" t="s">
        <v>114</v>
      </c>
      <c r="Q149" s="14"/>
      <c r="R149" s="14">
        <v>16</v>
      </c>
      <c r="S149" s="14">
        <v>14</v>
      </c>
      <c r="T149" s="14">
        <v>1</v>
      </c>
      <c r="U149" s="14" t="s">
        <v>21</v>
      </c>
      <c r="V149" s="14">
        <f t="shared" si="40"/>
        <v>0.01</v>
      </c>
      <c r="W149" s="14">
        <f t="shared" si="41"/>
        <v>1664.9999999999998</v>
      </c>
      <c r="X149" s="17" t="s">
        <v>2235</v>
      </c>
      <c r="Y149" s="17"/>
      <c r="Z149" s="17"/>
      <c r="AA149" s="18">
        <v>96.242999999999995</v>
      </c>
      <c r="AB149" s="13" t="s">
        <v>2236</v>
      </c>
      <c r="AC149" s="29" t="s">
        <v>2229</v>
      </c>
      <c r="AD149" s="13" t="s">
        <v>2237</v>
      </c>
      <c r="AE149" s="13">
        <v>96.2</v>
      </c>
      <c r="AF149" s="29" t="s">
        <v>2238</v>
      </c>
      <c r="AG149" s="13"/>
      <c r="AH149" s="13" t="s">
        <v>79</v>
      </c>
      <c r="AI149" s="19"/>
      <c r="AJ149" s="14"/>
      <c r="AK149" s="13"/>
      <c r="AL149" s="13"/>
      <c r="AM149" s="13" t="s">
        <v>2239</v>
      </c>
      <c r="AN149" s="13" t="s">
        <v>92</v>
      </c>
      <c r="AO149" s="13"/>
      <c r="AP149" s="20">
        <v>96.094999999999999</v>
      </c>
      <c r="AQ149" s="20">
        <f t="shared" si="42"/>
        <v>-0.14799999999999613</v>
      </c>
      <c r="AR149" s="97">
        <f t="shared" si="45"/>
        <v>-3942.7199999998966</v>
      </c>
      <c r="AS149" s="21">
        <f t="shared" si="44"/>
        <v>-246.41999999999354</v>
      </c>
      <c r="AT149" s="22"/>
      <c r="AU149" s="13" t="s">
        <v>2230</v>
      </c>
      <c r="AV149" s="13" t="s">
        <v>2240</v>
      </c>
      <c r="AW149" s="13" t="s">
        <v>2241</v>
      </c>
      <c r="AX149" s="13" t="s">
        <v>2242</v>
      </c>
      <c r="AY149" s="13" t="s">
        <v>2243</v>
      </c>
      <c r="AZ149" s="13"/>
    </row>
    <row r="150" spans="1:52" ht="13.15">
      <c r="A150" s="12">
        <v>44817</v>
      </c>
      <c r="B150" s="33">
        <v>0.75</v>
      </c>
      <c r="C150" s="13" t="s">
        <v>123</v>
      </c>
      <c r="D150" s="17" t="s">
        <v>2244</v>
      </c>
      <c r="E150" s="13" t="s">
        <v>2245</v>
      </c>
      <c r="F150" s="14"/>
      <c r="G150" s="13">
        <v>1</v>
      </c>
      <c r="H150" s="13"/>
      <c r="I150" s="13"/>
      <c r="J150" s="80"/>
      <c r="K150" s="80"/>
      <c r="L150" s="13"/>
      <c r="M150" s="13"/>
      <c r="N150" s="13"/>
      <c r="O150" s="14"/>
      <c r="P150" s="14"/>
      <c r="Q150" s="14"/>
      <c r="R150" s="14"/>
      <c r="S150" s="14"/>
      <c r="T150" s="14"/>
      <c r="U150" s="14"/>
      <c r="V150" s="14">
        <f t="shared" si="40"/>
        <v>0</v>
      </c>
      <c r="W150" s="14">
        <f t="shared" si="41"/>
        <v>0</v>
      </c>
      <c r="X150" s="17"/>
      <c r="Y150" s="17"/>
      <c r="Z150" s="17"/>
      <c r="AA150" s="18"/>
      <c r="AB150" s="13"/>
      <c r="AC150" s="13"/>
      <c r="AD150" s="13"/>
      <c r="AE150" s="13"/>
      <c r="AF150" s="13"/>
      <c r="AG150" s="13"/>
      <c r="AH150" s="13"/>
      <c r="AI150" s="19"/>
      <c r="AJ150" s="14"/>
      <c r="AK150" s="13"/>
      <c r="AL150" s="13"/>
      <c r="AM150" s="13"/>
      <c r="AN150" s="13"/>
      <c r="AO150" s="13"/>
      <c r="AP150" s="20"/>
      <c r="AQ150" s="13">
        <f t="shared" si="42"/>
        <v>0</v>
      </c>
      <c r="AR150" s="97">
        <f t="shared" si="45"/>
        <v>0</v>
      </c>
      <c r="AS150" s="21">
        <f t="shared" si="44"/>
        <v>0</v>
      </c>
      <c r="AT150" s="22"/>
      <c r="AU150" s="13"/>
      <c r="AV150" s="13"/>
      <c r="AW150" s="13"/>
      <c r="AX150" s="13"/>
      <c r="AY150" s="13"/>
      <c r="AZ150" s="13"/>
    </row>
    <row r="151" spans="1:52" ht="13.15">
      <c r="A151" s="12">
        <v>44817</v>
      </c>
      <c r="B151" s="33">
        <v>0.75</v>
      </c>
      <c r="C151" s="13" t="s">
        <v>123</v>
      </c>
      <c r="D151" s="17" t="s">
        <v>2246</v>
      </c>
      <c r="E151" s="13"/>
      <c r="F151" s="14"/>
      <c r="G151" s="13">
        <v>1</v>
      </c>
      <c r="H151" s="13"/>
      <c r="I151" s="13"/>
      <c r="J151" s="14"/>
      <c r="K151" s="14"/>
      <c r="L151" s="13"/>
      <c r="M151" s="13"/>
      <c r="N151" s="13"/>
      <c r="O151" s="14"/>
      <c r="P151" s="14"/>
      <c r="Q151" s="14"/>
      <c r="R151" s="14"/>
      <c r="S151" s="14"/>
      <c r="T151" s="14"/>
      <c r="U151" s="14"/>
      <c r="V151" s="14">
        <f t="shared" si="40"/>
        <v>0</v>
      </c>
      <c r="W151" s="14">
        <f t="shared" si="41"/>
        <v>0</v>
      </c>
      <c r="X151" s="17"/>
      <c r="Y151" s="17"/>
      <c r="Z151" s="17"/>
      <c r="AA151" s="18"/>
      <c r="AB151" s="13"/>
      <c r="AC151" s="13"/>
      <c r="AD151" s="13"/>
      <c r="AE151" s="13"/>
      <c r="AF151" s="13"/>
      <c r="AG151" s="13"/>
      <c r="AH151" s="13"/>
      <c r="AI151" s="19"/>
      <c r="AJ151" s="14"/>
      <c r="AK151" s="13"/>
      <c r="AL151" s="13"/>
      <c r="AM151" s="13"/>
      <c r="AN151" s="13"/>
      <c r="AO151" s="13"/>
      <c r="AP151" s="20"/>
      <c r="AQ151" s="13">
        <f t="shared" si="42"/>
        <v>0</v>
      </c>
      <c r="AR151" s="97">
        <f t="shared" si="45"/>
        <v>0</v>
      </c>
      <c r="AS151" s="21">
        <f t="shared" si="44"/>
        <v>0</v>
      </c>
      <c r="AT151" s="22"/>
      <c r="AU151" s="13"/>
      <c r="AV151" s="13"/>
      <c r="AW151" s="13"/>
      <c r="AX151" s="13"/>
      <c r="AY151" s="13"/>
      <c r="AZ151" s="13"/>
    </row>
    <row r="152" spans="1:52" ht="13.15">
      <c r="A152" s="12">
        <v>44817</v>
      </c>
      <c r="B152" s="13"/>
      <c r="C152" s="13" t="s">
        <v>123</v>
      </c>
      <c r="D152" s="17"/>
      <c r="E152" s="13"/>
      <c r="F152" s="14" t="s">
        <v>2247</v>
      </c>
      <c r="G152" s="13"/>
      <c r="H152" s="13"/>
      <c r="I152" s="13"/>
      <c r="J152" s="14"/>
      <c r="K152" s="14"/>
      <c r="L152" s="13">
        <v>1</v>
      </c>
      <c r="M152" s="13"/>
      <c r="N152" s="13">
        <v>2</v>
      </c>
      <c r="O152" s="14" t="s">
        <v>71</v>
      </c>
      <c r="P152" s="14" t="s">
        <v>114</v>
      </c>
      <c r="Q152" s="14" t="s">
        <v>661</v>
      </c>
      <c r="R152" s="14">
        <v>16</v>
      </c>
      <c r="S152" s="14">
        <v>10</v>
      </c>
      <c r="T152" s="14">
        <v>4</v>
      </c>
      <c r="U152" s="14" t="s">
        <v>21</v>
      </c>
      <c r="V152" s="14">
        <f t="shared" si="40"/>
        <v>0.01</v>
      </c>
      <c r="W152" s="14">
        <f t="shared" si="41"/>
        <v>1664.9999999999998</v>
      </c>
      <c r="X152" s="17" t="s">
        <v>2248</v>
      </c>
      <c r="Y152" s="17" t="s">
        <v>2249</v>
      </c>
      <c r="Z152" s="17"/>
      <c r="AA152" s="18">
        <v>96.143000000000001</v>
      </c>
      <c r="AB152" s="13" t="s">
        <v>2250</v>
      </c>
      <c r="AC152" s="13" t="s">
        <v>2251</v>
      </c>
      <c r="AD152" s="13" t="s">
        <v>2252</v>
      </c>
      <c r="AE152" s="13">
        <v>96.19</v>
      </c>
      <c r="AF152" s="13" t="s">
        <v>2253</v>
      </c>
      <c r="AG152" s="13"/>
      <c r="AH152" s="13"/>
      <c r="AI152" s="19"/>
      <c r="AJ152" s="14"/>
      <c r="AK152" s="13"/>
      <c r="AL152" s="13"/>
      <c r="AM152" s="13" t="s">
        <v>2100</v>
      </c>
      <c r="AN152" s="13" t="s">
        <v>92</v>
      </c>
      <c r="AO152" s="13"/>
      <c r="AP152" s="20">
        <v>96</v>
      </c>
      <c r="AQ152" s="20">
        <f t="shared" si="42"/>
        <v>-0.14300000000000068</v>
      </c>
      <c r="AR152" s="115">
        <f t="shared" si="45"/>
        <v>-3809.5200000000177</v>
      </c>
      <c r="AS152" s="21">
        <f t="shared" si="44"/>
        <v>-238.09500000000111</v>
      </c>
      <c r="AT152" s="22" t="s">
        <v>206</v>
      </c>
      <c r="AU152" s="13" t="s">
        <v>2254</v>
      </c>
      <c r="AV152" s="13" t="s">
        <v>2255</v>
      </c>
      <c r="AW152" s="17" t="s">
        <v>2256</v>
      </c>
      <c r="AX152" s="13" t="s">
        <v>2257</v>
      </c>
      <c r="AY152" s="17" t="s">
        <v>2258</v>
      </c>
      <c r="AZ152" s="13" t="s">
        <v>2259</v>
      </c>
    </row>
    <row r="153" spans="1:52" ht="13.15">
      <c r="A153" s="12"/>
      <c r="B153" s="13"/>
      <c r="C153" s="13"/>
      <c r="D153" s="17"/>
      <c r="E153" s="13"/>
      <c r="F153" s="14"/>
      <c r="G153" s="13"/>
      <c r="H153" s="13"/>
      <c r="I153" s="13"/>
      <c r="J153" s="14"/>
      <c r="K153" s="14"/>
      <c r="L153" s="13"/>
      <c r="M153" s="13"/>
      <c r="N153" s="13"/>
      <c r="O153" s="14"/>
      <c r="P153" s="14"/>
      <c r="Q153" s="14"/>
      <c r="R153" s="14"/>
      <c r="S153" s="14"/>
      <c r="T153" s="14"/>
      <c r="U153" s="14"/>
      <c r="V153" s="14"/>
      <c r="W153" s="14"/>
      <c r="X153" s="17"/>
      <c r="Y153" s="17"/>
      <c r="Z153" s="17"/>
      <c r="AA153" s="18"/>
      <c r="AB153" s="13"/>
      <c r="AC153" s="13"/>
      <c r="AD153" s="13"/>
      <c r="AE153" s="13"/>
      <c r="AF153" s="13"/>
      <c r="AG153" s="13"/>
      <c r="AH153" s="13"/>
      <c r="AI153" s="19"/>
      <c r="AJ153" s="14"/>
      <c r="AK153" s="13"/>
      <c r="AL153" s="13"/>
      <c r="AM153" s="13"/>
      <c r="AN153" s="13"/>
      <c r="AO153" s="13"/>
      <c r="AP153" s="20"/>
      <c r="AQ153" s="13"/>
      <c r="AR153" s="97"/>
      <c r="AS153" s="21"/>
      <c r="AT153" s="22"/>
      <c r="AU153" s="13" t="s">
        <v>2260</v>
      </c>
      <c r="AV153" s="13" t="s">
        <v>2261</v>
      </c>
      <c r="AW153" s="17" t="s">
        <v>2262</v>
      </c>
      <c r="AX153" s="17" t="s">
        <v>2263</v>
      </c>
      <c r="AY153" s="17"/>
      <c r="AZ153" s="13"/>
    </row>
    <row r="154" spans="1:52" ht="13.15">
      <c r="A154" s="12"/>
      <c r="B154" s="13"/>
      <c r="C154" s="13"/>
      <c r="D154" s="17"/>
      <c r="E154" s="13"/>
      <c r="F154" s="14"/>
      <c r="G154" s="13"/>
      <c r="H154" s="13"/>
      <c r="I154" s="13"/>
      <c r="J154" s="14"/>
      <c r="K154" s="14"/>
      <c r="L154" s="13"/>
      <c r="M154" s="13"/>
      <c r="N154" s="13"/>
      <c r="O154" s="14"/>
      <c r="P154" s="14"/>
      <c r="Q154" s="14"/>
      <c r="R154" s="14"/>
      <c r="S154" s="14"/>
      <c r="T154" s="14"/>
      <c r="U154" s="14"/>
      <c r="V154" s="14"/>
      <c r="W154" s="14"/>
      <c r="X154" s="17"/>
      <c r="Y154" s="17"/>
      <c r="Z154" s="17"/>
      <c r="AA154" s="18"/>
      <c r="AB154" s="13"/>
      <c r="AC154" s="13"/>
      <c r="AD154" s="13"/>
      <c r="AE154" s="13"/>
      <c r="AF154" s="13"/>
      <c r="AG154" s="13"/>
      <c r="AH154" s="13"/>
      <c r="AI154" s="19"/>
      <c r="AJ154" s="14"/>
      <c r="AK154" s="13"/>
      <c r="AL154" s="13"/>
      <c r="AM154" s="13"/>
      <c r="AN154" s="13"/>
      <c r="AO154" s="13"/>
      <c r="AP154" s="20"/>
      <c r="AQ154" s="13"/>
      <c r="AR154" s="97"/>
      <c r="AS154" s="21"/>
      <c r="AT154" s="22"/>
      <c r="AU154" s="13" t="s">
        <v>2264</v>
      </c>
      <c r="AV154" s="13" t="s">
        <v>2265</v>
      </c>
      <c r="AW154" s="17" t="s">
        <v>2266</v>
      </c>
      <c r="AX154" s="13" t="s">
        <v>2267</v>
      </c>
      <c r="AY154" s="17" t="s">
        <v>2268</v>
      </c>
      <c r="AZ154" s="17" t="s">
        <v>2269</v>
      </c>
    </row>
    <row r="155" spans="1:52" ht="13.15">
      <c r="A155" s="12">
        <v>44818</v>
      </c>
      <c r="B155" s="13" t="s">
        <v>353</v>
      </c>
      <c r="C155" s="13" t="s">
        <v>128</v>
      </c>
      <c r="D155" s="17"/>
      <c r="E155" s="13"/>
      <c r="F155" s="14" t="s">
        <v>113</v>
      </c>
      <c r="G155" s="13"/>
      <c r="H155" s="13"/>
      <c r="I155" s="13"/>
      <c r="J155" s="14"/>
      <c r="K155" s="14"/>
      <c r="L155" s="13">
        <v>1</v>
      </c>
      <c r="M155" s="13"/>
      <c r="N155" s="13"/>
      <c r="O155" s="14" t="s">
        <v>71</v>
      </c>
      <c r="P155" s="14" t="s">
        <v>114</v>
      </c>
      <c r="Q155" s="14"/>
      <c r="R155" s="14">
        <v>1</v>
      </c>
      <c r="S155" s="14">
        <v>1</v>
      </c>
      <c r="T155" s="14">
        <v>1</v>
      </c>
      <c r="U155" s="14" t="s">
        <v>21</v>
      </c>
      <c r="V155" s="14">
        <f t="shared" ref="V155:V181" si="46">IF(ISBLANK(O155),,(IF(O155=UPPER("IB"),0.005,0.01)))</f>
        <v>0.01</v>
      </c>
      <c r="W155" s="14">
        <f t="shared" ref="W155:W181" si="47">IF(ISBLANK(O155),,IF(O155=UPPER("IB"),8.63*200,16.65*100))</f>
        <v>1664.9999999999998</v>
      </c>
      <c r="X155" s="17"/>
      <c r="Y155" s="17"/>
      <c r="Z155" s="17"/>
      <c r="AA155" s="18">
        <v>-0.04</v>
      </c>
      <c r="AB155" s="13"/>
      <c r="AC155" s="13"/>
      <c r="AD155" s="13"/>
      <c r="AE155" s="13"/>
      <c r="AF155" s="13"/>
      <c r="AG155" s="13"/>
      <c r="AH155" s="13"/>
      <c r="AI155" s="19"/>
      <c r="AJ155" s="14"/>
      <c r="AK155" s="13"/>
      <c r="AL155" s="13"/>
      <c r="AM155" s="13"/>
      <c r="AN155" s="13"/>
      <c r="AO155" s="13"/>
      <c r="AP155" s="20">
        <v>-0.04</v>
      </c>
      <c r="AQ155" s="20">
        <f t="shared" ref="AQ155:AQ171" si="48">IF(ISBLANK(AP155),,IF(U155="S",AA155-AP155,AP155-AA155))</f>
        <v>0</v>
      </c>
      <c r="AR155" s="97">
        <f t="shared" ref="AR155:AR171" si="49">AS155*R155</f>
        <v>0</v>
      </c>
      <c r="AS155" s="21">
        <f t="shared" ref="AS155:AS171" si="50">IF(ISBLANK(AP155),,(AQ155*W155))</f>
        <v>0</v>
      </c>
      <c r="AT155" s="22" t="s">
        <v>92</v>
      </c>
      <c r="AU155" s="13" t="s">
        <v>2270</v>
      </c>
      <c r="AV155" s="13"/>
      <c r="AW155" s="13"/>
      <c r="AX155" s="13"/>
      <c r="AY155" s="13"/>
      <c r="AZ155" s="13"/>
    </row>
    <row r="156" spans="1:52" ht="13.15">
      <c r="A156" s="12">
        <v>44818</v>
      </c>
      <c r="B156" s="13" t="s">
        <v>2271</v>
      </c>
      <c r="C156" s="13" t="s">
        <v>128</v>
      </c>
      <c r="D156" s="17"/>
      <c r="E156" s="13"/>
      <c r="F156" s="14" t="s">
        <v>113</v>
      </c>
      <c r="G156" s="13"/>
      <c r="H156" s="13"/>
      <c r="I156" s="13"/>
      <c r="J156" s="14"/>
      <c r="K156" s="14"/>
      <c r="L156" s="13">
        <v>1</v>
      </c>
      <c r="M156" s="13"/>
      <c r="N156" s="13"/>
      <c r="O156" s="14" t="s">
        <v>71</v>
      </c>
      <c r="P156" s="14" t="s">
        <v>114</v>
      </c>
      <c r="Q156" s="14"/>
      <c r="R156" s="14">
        <v>1</v>
      </c>
      <c r="S156" s="14">
        <v>1</v>
      </c>
      <c r="T156" s="14">
        <v>1</v>
      </c>
      <c r="U156" s="14" t="s">
        <v>21</v>
      </c>
      <c r="V156" s="14">
        <f t="shared" si="46"/>
        <v>0.01</v>
      </c>
      <c r="W156" s="14">
        <f t="shared" si="47"/>
        <v>1664.9999999999998</v>
      </c>
      <c r="X156" s="17"/>
      <c r="Y156" s="17"/>
      <c r="Z156" s="17"/>
      <c r="AA156" s="18"/>
      <c r="AB156" s="13"/>
      <c r="AC156" s="13"/>
      <c r="AD156" s="13"/>
      <c r="AE156" s="13"/>
      <c r="AF156" s="13"/>
      <c r="AG156" s="13"/>
      <c r="AH156" s="13"/>
      <c r="AI156" s="19"/>
      <c r="AJ156" s="14"/>
      <c r="AK156" s="13"/>
      <c r="AL156" s="13"/>
      <c r="AM156" s="13"/>
      <c r="AN156" s="13"/>
      <c r="AO156" s="13"/>
      <c r="AP156" s="20"/>
      <c r="AQ156" s="13">
        <f t="shared" si="48"/>
        <v>0</v>
      </c>
      <c r="AR156" s="97">
        <f t="shared" si="49"/>
        <v>0</v>
      </c>
      <c r="AS156" s="21">
        <f t="shared" si="50"/>
        <v>0</v>
      </c>
      <c r="AT156" s="22"/>
      <c r="AU156" s="13"/>
      <c r="AV156" s="13"/>
      <c r="AW156" s="13"/>
      <c r="AX156" s="13"/>
      <c r="AY156" s="13"/>
      <c r="AZ156" s="13"/>
    </row>
    <row r="157" spans="1:52" ht="13.15">
      <c r="A157" s="12">
        <v>44818</v>
      </c>
      <c r="B157" s="13"/>
      <c r="C157" s="13" t="s">
        <v>128</v>
      </c>
      <c r="D157" s="17"/>
      <c r="E157" s="13"/>
      <c r="F157" s="14" t="s">
        <v>2272</v>
      </c>
      <c r="G157" s="13"/>
      <c r="H157" s="13"/>
      <c r="I157" s="13"/>
      <c r="J157" s="14"/>
      <c r="K157" s="14"/>
      <c r="L157" s="13"/>
      <c r="M157" s="13"/>
      <c r="N157" s="13"/>
      <c r="O157" s="14" t="s">
        <v>71</v>
      </c>
      <c r="P157" s="14" t="s">
        <v>114</v>
      </c>
      <c r="Q157" s="14" t="s">
        <v>73</v>
      </c>
      <c r="R157" s="14">
        <v>1</v>
      </c>
      <c r="S157" s="14">
        <v>1</v>
      </c>
      <c r="T157" s="14">
        <v>1</v>
      </c>
      <c r="U157" s="14" t="s">
        <v>73</v>
      </c>
      <c r="V157" s="14">
        <f t="shared" si="46"/>
        <v>0.01</v>
      </c>
      <c r="W157" s="14">
        <f t="shared" si="47"/>
        <v>1664.9999999999998</v>
      </c>
      <c r="X157" s="17"/>
      <c r="Y157" s="17"/>
      <c r="Z157" s="17"/>
      <c r="AA157" s="18">
        <v>96.22</v>
      </c>
      <c r="AB157" s="13"/>
      <c r="AC157" s="13"/>
      <c r="AD157" s="13"/>
      <c r="AE157" s="13"/>
      <c r="AF157" s="13"/>
      <c r="AG157" s="13"/>
      <c r="AH157" s="13"/>
      <c r="AI157" s="19"/>
      <c r="AJ157" s="14"/>
      <c r="AK157" s="13"/>
      <c r="AL157" s="13"/>
      <c r="AM157" s="13"/>
      <c r="AN157" s="13"/>
      <c r="AO157" s="13"/>
      <c r="AP157" s="20">
        <v>96.24</v>
      </c>
      <c r="AQ157" s="20">
        <f t="shared" si="48"/>
        <v>-1.9999999999996021E-2</v>
      </c>
      <c r="AR157" s="97">
        <f t="shared" si="49"/>
        <v>-33.299999999993368</v>
      </c>
      <c r="AS157" s="21">
        <f t="shared" si="50"/>
        <v>-33.299999999993368</v>
      </c>
      <c r="AT157" s="22" t="s">
        <v>206</v>
      </c>
      <c r="AU157" s="13" t="s">
        <v>2137</v>
      </c>
      <c r="AV157" s="13"/>
      <c r="AW157" s="13"/>
      <c r="AX157" s="13"/>
      <c r="AY157" s="13"/>
      <c r="AZ157" s="13"/>
    </row>
    <row r="158" spans="1:52" ht="13.15">
      <c r="A158" s="12">
        <v>44818</v>
      </c>
      <c r="B158" s="13"/>
      <c r="C158" s="13" t="s">
        <v>128</v>
      </c>
      <c r="D158" s="17" t="s">
        <v>2273</v>
      </c>
      <c r="E158" s="13" t="s">
        <v>2274</v>
      </c>
      <c r="F158" s="14"/>
      <c r="G158" s="13">
        <v>1</v>
      </c>
      <c r="H158" s="13"/>
      <c r="I158" s="13"/>
      <c r="J158" s="14"/>
      <c r="K158" s="14"/>
      <c r="L158" s="13"/>
      <c r="M158" s="13"/>
      <c r="N158" s="13"/>
      <c r="O158" s="14"/>
      <c r="P158" s="14"/>
      <c r="Q158" s="14"/>
      <c r="R158" s="14"/>
      <c r="S158" s="14"/>
      <c r="T158" s="14"/>
      <c r="U158" s="14"/>
      <c r="V158" s="14">
        <f t="shared" si="46"/>
        <v>0</v>
      </c>
      <c r="W158" s="14">
        <f t="shared" si="47"/>
        <v>0</v>
      </c>
      <c r="X158" s="17"/>
      <c r="Y158" s="17"/>
      <c r="Z158" s="17"/>
      <c r="AA158" s="18"/>
      <c r="AB158" s="13"/>
      <c r="AC158" s="13"/>
      <c r="AD158" s="13"/>
      <c r="AE158" s="13"/>
      <c r="AF158" s="13"/>
      <c r="AG158" s="13"/>
      <c r="AH158" s="13"/>
      <c r="AI158" s="19"/>
      <c r="AJ158" s="14"/>
      <c r="AK158" s="13"/>
      <c r="AL158" s="13"/>
      <c r="AM158" s="13"/>
      <c r="AN158" s="13"/>
      <c r="AO158" s="13"/>
      <c r="AP158" s="20"/>
      <c r="AQ158" s="13">
        <f t="shared" si="48"/>
        <v>0</v>
      </c>
      <c r="AR158" s="97">
        <f t="shared" si="49"/>
        <v>0</v>
      </c>
      <c r="AS158" s="21">
        <f t="shared" si="50"/>
        <v>0</v>
      </c>
      <c r="AT158" s="22"/>
      <c r="AU158" s="13"/>
      <c r="AV158" s="13"/>
      <c r="AW158" s="13"/>
      <c r="AX158" s="13"/>
      <c r="AY158" s="13"/>
      <c r="AZ158" s="13"/>
    </row>
    <row r="159" spans="1:52" ht="13.15">
      <c r="A159" s="12">
        <v>44818</v>
      </c>
      <c r="B159" s="13" t="s">
        <v>2275</v>
      </c>
      <c r="C159" s="13" t="s">
        <v>128</v>
      </c>
      <c r="D159" s="17" t="s">
        <v>2276</v>
      </c>
      <c r="E159" s="13" t="s">
        <v>2277</v>
      </c>
      <c r="F159" s="14"/>
      <c r="G159" s="13"/>
      <c r="H159" s="13">
        <v>1</v>
      </c>
      <c r="I159" s="13"/>
      <c r="J159" s="14"/>
      <c r="K159" s="14"/>
      <c r="L159" s="13"/>
      <c r="M159" s="13"/>
      <c r="N159" s="13"/>
      <c r="O159" s="14"/>
      <c r="P159" s="14"/>
      <c r="Q159" s="14"/>
      <c r="R159" s="14"/>
      <c r="S159" s="14"/>
      <c r="T159" s="14"/>
      <c r="U159" s="14"/>
      <c r="V159" s="14">
        <f t="shared" si="46"/>
        <v>0</v>
      </c>
      <c r="W159" s="14">
        <f t="shared" si="47"/>
        <v>0</v>
      </c>
      <c r="X159" s="17"/>
      <c r="Y159" s="17"/>
      <c r="Z159" s="17"/>
      <c r="AA159" s="18"/>
      <c r="AB159" s="13"/>
      <c r="AC159" s="13"/>
      <c r="AD159" s="13"/>
      <c r="AE159" s="13"/>
      <c r="AF159" s="13"/>
      <c r="AG159" s="13"/>
      <c r="AH159" s="13"/>
      <c r="AI159" s="19"/>
      <c r="AJ159" s="14"/>
      <c r="AK159" s="13"/>
      <c r="AL159" s="13"/>
      <c r="AM159" s="13"/>
      <c r="AN159" s="13"/>
      <c r="AO159" s="13"/>
      <c r="AP159" s="20"/>
      <c r="AQ159" s="13">
        <f t="shared" si="48"/>
        <v>0</v>
      </c>
      <c r="AR159" s="97">
        <f t="shared" si="49"/>
        <v>0</v>
      </c>
      <c r="AS159" s="21">
        <f t="shared" si="50"/>
        <v>0</v>
      </c>
      <c r="AT159" s="22"/>
      <c r="AU159" s="17" t="s">
        <v>2278</v>
      </c>
      <c r="AV159" s="13" t="s">
        <v>2279</v>
      </c>
      <c r="AW159" s="13" t="s">
        <v>2280</v>
      </c>
      <c r="AX159" s="13"/>
      <c r="AY159" s="13"/>
      <c r="AZ159" s="13"/>
    </row>
    <row r="160" spans="1:52" ht="13.15">
      <c r="A160" s="12">
        <v>44819</v>
      </c>
      <c r="B160" s="13"/>
      <c r="C160" s="13" t="s">
        <v>69</v>
      </c>
      <c r="D160" s="17" t="s">
        <v>2281</v>
      </c>
      <c r="E160" s="116" t="s">
        <v>2282</v>
      </c>
      <c r="G160" s="13"/>
      <c r="H160" s="13"/>
      <c r="I160" s="13">
        <v>1</v>
      </c>
      <c r="J160" s="14"/>
      <c r="K160" s="14"/>
      <c r="L160" s="13"/>
      <c r="M160" s="13"/>
      <c r="N160" s="13"/>
      <c r="O160" s="14"/>
      <c r="P160" s="14"/>
      <c r="Q160" s="14"/>
      <c r="R160" s="14"/>
      <c r="S160" s="14"/>
      <c r="T160" s="14"/>
      <c r="U160" s="14"/>
      <c r="V160" s="14">
        <f t="shared" si="46"/>
        <v>0</v>
      </c>
      <c r="W160" s="14">
        <f t="shared" si="47"/>
        <v>0</v>
      </c>
      <c r="X160" s="17"/>
      <c r="Y160" s="17"/>
      <c r="Z160" s="17"/>
      <c r="AA160" s="18"/>
      <c r="AB160" s="13"/>
      <c r="AC160" s="13"/>
      <c r="AD160" s="13"/>
      <c r="AE160" s="13"/>
      <c r="AF160" s="13"/>
      <c r="AG160" s="13"/>
      <c r="AH160" s="13"/>
      <c r="AI160" s="19"/>
      <c r="AJ160" s="14"/>
      <c r="AK160" s="13"/>
      <c r="AL160" s="13"/>
      <c r="AM160" s="13"/>
      <c r="AN160" s="13"/>
      <c r="AO160" s="13"/>
      <c r="AP160" s="20"/>
      <c r="AQ160" s="13">
        <f t="shared" si="48"/>
        <v>0</v>
      </c>
      <c r="AR160" s="97">
        <f t="shared" si="49"/>
        <v>0</v>
      </c>
      <c r="AS160" s="21">
        <f t="shared" si="50"/>
        <v>0</v>
      </c>
      <c r="AT160" s="22"/>
      <c r="AU160" s="13"/>
      <c r="AV160" s="13"/>
      <c r="AW160" s="13"/>
      <c r="AX160" s="13"/>
      <c r="AY160" s="13"/>
      <c r="AZ160" s="13"/>
    </row>
    <row r="161" spans="1:52" ht="13.15">
      <c r="A161" s="12">
        <v>44819</v>
      </c>
      <c r="B161" s="13"/>
      <c r="C161" s="13" t="s">
        <v>69</v>
      </c>
      <c r="D161" s="17" t="s">
        <v>2283</v>
      </c>
      <c r="E161" s="13"/>
      <c r="F161" s="14"/>
      <c r="G161" s="13">
        <v>1</v>
      </c>
      <c r="H161" s="13"/>
      <c r="I161" s="13"/>
      <c r="J161" s="14"/>
      <c r="K161" s="14"/>
      <c r="L161" s="13"/>
      <c r="M161" s="13"/>
      <c r="N161" s="13"/>
      <c r="O161" s="14"/>
      <c r="P161" s="14"/>
      <c r="Q161" s="14"/>
      <c r="R161" s="14"/>
      <c r="S161" s="14"/>
      <c r="T161" s="14"/>
      <c r="U161" s="14"/>
      <c r="V161" s="14">
        <f t="shared" si="46"/>
        <v>0</v>
      </c>
      <c r="W161" s="14">
        <f t="shared" si="47"/>
        <v>0</v>
      </c>
      <c r="X161" s="17"/>
      <c r="Y161" s="17"/>
      <c r="Z161" s="17"/>
      <c r="AA161" s="18"/>
      <c r="AB161" s="13"/>
      <c r="AC161" s="13"/>
      <c r="AD161" s="13"/>
      <c r="AE161" s="13"/>
      <c r="AF161" s="13"/>
      <c r="AG161" s="13"/>
      <c r="AH161" s="13"/>
      <c r="AI161" s="19"/>
      <c r="AJ161" s="14"/>
      <c r="AK161" s="13"/>
      <c r="AL161" s="13"/>
      <c r="AM161" s="13"/>
      <c r="AN161" s="13"/>
      <c r="AO161" s="13"/>
      <c r="AP161" s="20"/>
      <c r="AQ161" s="13">
        <f t="shared" si="48"/>
        <v>0</v>
      </c>
      <c r="AR161" s="97">
        <f t="shared" si="49"/>
        <v>0</v>
      </c>
      <c r="AS161" s="21">
        <f t="shared" si="50"/>
        <v>0</v>
      </c>
      <c r="AT161" s="22"/>
      <c r="AU161" s="13"/>
      <c r="AV161" s="13"/>
      <c r="AW161" s="13"/>
      <c r="AX161" s="13"/>
      <c r="AY161" s="13"/>
      <c r="AZ161" s="13"/>
    </row>
    <row r="162" spans="1:52" ht="13.15">
      <c r="A162" s="12">
        <v>44819</v>
      </c>
      <c r="B162" s="13"/>
      <c r="C162" s="13" t="s">
        <v>69</v>
      </c>
      <c r="D162" s="17"/>
      <c r="E162" s="13"/>
      <c r="F162" s="14" t="s">
        <v>2284</v>
      </c>
      <c r="G162" s="13"/>
      <c r="H162" s="13"/>
      <c r="I162" s="13"/>
      <c r="J162" s="14"/>
      <c r="K162" s="14"/>
      <c r="L162" s="13"/>
      <c r="M162" s="13">
        <v>2</v>
      </c>
      <c r="N162" s="13"/>
      <c r="O162" s="14" t="s">
        <v>1034</v>
      </c>
      <c r="P162" s="14"/>
      <c r="Q162" s="14" t="s">
        <v>661</v>
      </c>
      <c r="R162" s="14">
        <v>4</v>
      </c>
      <c r="S162" s="14">
        <v>4</v>
      </c>
      <c r="T162" s="14">
        <v>2</v>
      </c>
      <c r="U162" s="14" t="s">
        <v>21</v>
      </c>
      <c r="V162" s="14">
        <f t="shared" si="46"/>
        <v>5.0000000000000001E-3</v>
      </c>
      <c r="W162" s="14">
        <f t="shared" si="47"/>
        <v>1726.0000000000002</v>
      </c>
      <c r="X162" s="17"/>
      <c r="Y162" s="17" t="s">
        <v>2285</v>
      </c>
      <c r="Z162" s="17"/>
      <c r="AA162" s="18">
        <v>97.343000000000004</v>
      </c>
      <c r="AB162" s="13" t="s">
        <v>2286</v>
      </c>
      <c r="AC162" s="29">
        <v>97.3</v>
      </c>
      <c r="AD162" s="13"/>
      <c r="AE162" s="13" t="s">
        <v>2287</v>
      </c>
      <c r="AF162" s="13"/>
      <c r="AG162" s="13"/>
      <c r="AH162" s="13">
        <v>1</v>
      </c>
      <c r="AI162" s="19"/>
      <c r="AJ162" s="14"/>
      <c r="AK162" s="13" t="s">
        <v>1825</v>
      </c>
      <c r="AL162" s="13" t="s">
        <v>659</v>
      </c>
      <c r="AM162" s="13" t="s">
        <v>747</v>
      </c>
      <c r="AN162" s="13" t="s">
        <v>92</v>
      </c>
      <c r="AO162" s="13" t="s">
        <v>2288</v>
      </c>
      <c r="AP162" s="20">
        <v>97.317999999999998</v>
      </c>
      <c r="AQ162" s="20">
        <f t="shared" si="48"/>
        <v>-2.5000000000005684E-2</v>
      </c>
      <c r="AR162" s="97">
        <f t="shared" si="49"/>
        <v>-172.60000000003927</v>
      </c>
      <c r="AS162" s="21">
        <f t="shared" si="50"/>
        <v>-43.150000000009818</v>
      </c>
      <c r="AT162" s="22" t="s">
        <v>206</v>
      </c>
      <c r="AU162" s="13" t="s">
        <v>2289</v>
      </c>
      <c r="AV162" s="13" t="s">
        <v>2290</v>
      </c>
      <c r="AW162" s="13" t="s">
        <v>2291</v>
      </c>
      <c r="AX162" s="13"/>
      <c r="AY162" s="13"/>
      <c r="AZ162" s="13"/>
    </row>
    <row r="163" spans="1:52" ht="13.15">
      <c r="A163" s="12">
        <v>44819</v>
      </c>
      <c r="B163" s="13"/>
      <c r="C163" s="13" t="s">
        <v>69</v>
      </c>
      <c r="D163" s="17"/>
      <c r="E163" s="13"/>
      <c r="F163" s="14"/>
      <c r="G163" s="13"/>
      <c r="H163" s="13"/>
      <c r="I163" s="13"/>
      <c r="J163" s="14"/>
      <c r="K163" s="14"/>
      <c r="L163" s="13"/>
      <c r="M163" s="13"/>
      <c r="N163" s="13"/>
      <c r="O163" s="14"/>
      <c r="P163" s="14"/>
      <c r="Q163" s="14"/>
      <c r="R163" s="14"/>
      <c r="S163" s="14"/>
      <c r="T163" s="14"/>
      <c r="U163" s="14"/>
      <c r="V163" s="14">
        <f t="shared" si="46"/>
        <v>0</v>
      </c>
      <c r="W163" s="14">
        <f t="shared" si="47"/>
        <v>0</v>
      </c>
      <c r="X163" s="17"/>
      <c r="Y163" s="17"/>
      <c r="Z163" s="17"/>
      <c r="AA163" s="18"/>
      <c r="AB163" s="13"/>
      <c r="AC163" s="13"/>
      <c r="AD163" s="13"/>
      <c r="AE163" s="13"/>
      <c r="AF163" s="13"/>
      <c r="AG163" s="13"/>
      <c r="AH163" s="13"/>
      <c r="AI163" s="19"/>
      <c r="AJ163" s="14"/>
      <c r="AK163" s="13"/>
      <c r="AL163" s="13"/>
      <c r="AM163" s="13"/>
      <c r="AN163" s="13"/>
      <c r="AO163" s="13"/>
      <c r="AP163" s="20"/>
      <c r="AQ163" s="13">
        <f t="shared" si="48"/>
        <v>0</v>
      </c>
      <c r="AR163" s="97">
        <f t="shared" si="49"/>
        <v>0</v>
      </c>
      <c r="AS163" s="21">
        <f t="shared" si="50"/>
        <v>0</v>
      </c>
      <c r="AT163" s="22"/>
      <c r="AU163" s="13" t="s">
        <v>2292</v>
      </c>
      <c r="AV163" s="13" t="s">
        <v>2293</v>
      </c>
      <c r="AW163" s="13" t="s">
        <v>2294</v>
      </c>
      <c r="AX163" s="13" t="s">
        <v>2295</v>
      </c>
      <c r="AY163" s="17" t="s">
        <v>2296</v>
      </c>
      <c r="AZ163" s="13"/>
    </row>
    <row r="164" spans="1:52" ht="13.15">
      <c r="A164" s="12">
        <v>44819</v>
      </c>
      <c r="B164" s="33">
        <v>0.75</v>
      </c>
      <c r="C164" s="13" t="s">
        <v>69</v>
      </c>
      <c r="D164" s="17" t="s">
        <v>2297</v>
      </c>
      <c r="E164" s="13" t="s">
        <v>2298</v>
      </c>
      <c r="F164" s="14"/>
      <c r="G164" s="13"/>
      <c r="H164" s="13"/>
      <c r="I164" s="13">
        <v>1</v>
      </c>
      <c r="J164" s="14"/>
      <c r="K164" s="14"/>
      <c r="L164" s="13"/>
      <c r="M164" s="13"/>
      <c r="N164" s="13"/>
      <c r="O164" s="14"/>
      <c r="P164" s="14"/>
      <c r="Q164" s="14"/>
      <c r="R164" s="14"/>
      <c r="S164" s="14"/>
      <c r="T164" s="14"/>
      <c r="U164" s="14"/>
      <c r="V164" s="14">
        <f t="shared" si="46"/>
        <v>0</v>
      </c>
      <c r="W164" s="14">
        <f t="shared" si="47"/>
        <v>0</v>
      </c>
      <c r="X164" s="17"/>
      <c r="Y164" s="17"/>
      <c r="Z164" s="17"/>
      <c r="AA164" s="18"/>
      <c r="AB164" s="13"/>
      <c r="AC164" s="13"/>
      <c r="AD164" s="13"/>
      <c r="AE164" s="13"/>
      <c r="AF164" s="13"/>
      <c r="AG164" s="13"/>
      <c r="AH164" s="13"/>
      <c r="AI164" s="19"/>
      <c r="AJ164" s="14"/>
      <c r="AK164" s="13"/>
      <c r="AL164" s="13"/>
      <c r="AM164" s="13"/>
      <c r="AN164" s="13"/>
      <c r="AO164" s="13"/>
      <c r="AP164" s="20"/>
      <c r="AQ164" s="13">
        <f t="shared" si="48"/>
        <v>0</v>
      </c>
      <c r="AR164" s="97">
        <f t="shared" si="49"/>
        <v>0</v>
      </c>
      <c r="AS164" s="21">
        <f t="shared" si="50"/>
        <v>0</v>
      </c>
      <c r="AT164" s="22"/>
      <c r="AU164" s="13"/>
      <c r="AV164" s="13"/>
      <c r="AW164" s="13"/>
      <c r="AX164" s="13"/>
      <c r="AY164" s="13"/>
      <c r="AZ164" s="13"/>
    </row>
    <row r="165" spans="1:52" ht="13.15">
      <c r="A165" s="12">
        <v>44819</v>
      </c>
      <c r="B165" s="33">
        <v>0.75</v>
      </c>
      <c r="C165" s="13" t="s">
        <v>69</v>
      </c>
      <c r="D165" s="17" t="s">
        <v>2299</v>
      </c>
      <c r="E165" s="13"/>
      <c r="F165" s="14"/>
      <c r="G165" s="13"/>
      <c r="H165" s="13"/>
      <c r="I165" s="13">
        <v>1</v>
      </c>
      <c r="J165" s="14"/>
      <c r="K165" s="14"/>
      <c r="L165" s="13"/>
      <c r="M165" s="13"/>
      <c r="N165" s="13"/>
      <c r="O165" s="14"/>
      <c r="P165" s="14"/>
      <c r="Q165" s="14"/>
      <c r="R165" s="14"/>
      <c r="S165" s="14"/>
      <c r="T165" s="14"/>
      <c r="U165" s="14"/>
      <c r="V165" s="14">
        <f t="shared" si="46"/>
        <v>0</v>
      </c>
      <c r="W165" s="14">
        <f t="shared" si="47"/>
        <v>0</v>
      </c>
      <c r="X165" s="17"/>
      <c r="Y165" s="17"/>
      <c r="Z165" s="17"/>
      <c r="AA165" s="18"/>
      <c r="AB165" s="13"/>
      <c r="AC165" s="13"/>
      <c r="AD165" s="13"/>
      <c r="AE165" s="13"/>
      <c r="AF165" s="13"/>
      <c r="AG165" s="13"/>
      <c r="AH165" s="13"/>
      <c r="AI165" s="19"/>
      <c r="AJ165" s="14"/>
      <c r="AK165" s="13"/>
      <c r="AL165" s="13"/>
      <c r="AM165" s="13"/>
      <c r="AN165" s="13"/>
      <c r="AO165" s="13"/>
      <c r="AP165" s="20"/>
      <c r="AQ165" s="13">
        <f t="shared" si="48"/>
        <v>0</v>
      </c>
      <c r="AR165" s="97">
        <f t="shared" si="49"/>
        <v>0</v>
      </c>
      <c r="AS165" s="21">
        <f t="shared" si="50"/>
        <v>0</v>
      </c>
      <c r="AT165" s="22"/>
      <c r="AU165" s="13"/>
      <c r="AV165" s="13"/>
      <c r="AW165" s="13"/>
      <c r="AX165" s="13"/>
      <c r="AY165" s="13"/>
      <c r="AZ165" s="13"/>
    </row>
    <row r="166" spans="1:52" ht="13.15">
      <c r="A166" s="12">
        <v>44819</v>
      </c>
      <c r="B166" s="33">
        <v>0.75</v>
      </c>
      <c r="C166" s="13" t="s">
        <v>69</v>
      </c>
      <c r="D166" s="17" t="s">
        <v>2300</v>
      </c>
      <c r="E166" s="13"/>
      <c r="F166" s="14"/>
      <c r="G166" s="13">
        <v>1</v>
      </c>
      <c r="H166" s="13"/>
      <c r="I166" s="13"/>
      <c r="J166" s="14"/>
      <c r="K166" s="14"/>
      <c r="L166" s="13"/>
      <c r="M166" s="13"/>
      <c r="N166" s="13"/>
      <c r="O166" s="14"/>
      <c r="P166" s="14"/>
      <c r="Q166" s="14"/>
      <c r="R166" s="14"/>
      <c r="S166" s="14"/>
      <c r="T166" s="14"/>
      <c r="U166" s="14"/>
      <c r="V166" s="14">
        <f t="shared" si="46"/>
        <v>0</v>
      </c>
      <c r="W166" s="14">
        <f t="shared" si="47"/>
        <v>0</v>
      </c>
      <c r="X166" s="17"/>
      <c r="Y166" s="17"/>
      <c r="Z166" s="17"/>
      <c r="AA166" s="18"/>
      <c r="AB166" s="13"/>
      <c r="AC166" s="13"/>
      <c r="AD166" s="13"/>
      <c r="AE166" s="13"/>
      <c r="AF166" s="13"/>
      <c r="AG166" s="13"/>
      <c r="AH166" s="13"/>
      <c r="AI166" s="19"/>
      <c r="AJ166" s="14"/>
      <c r="AK166" s="13"/>
      <c r="AL166" s="13"/>
      <c r="AM166" s="13"/>
      <c r="AN166" s="13"/>
      <c r="AO166" s="13"/>
      <c r="AP166" s="20"/>
      <c r="AQ166" s="13">
        <f t="shared" si="48"/>
        <v>0</v>
      </c>
      <c r="AR166" s="97">
        <f t="shared" si="49"/>
        <v>0</v>
      </c>
      <c r="AS166" s="21">
        <f t="shared" si="50"/>
        <v>0</v>
      </c>
      <c r="AT166" s="22"/>
      <c r="AU166" s="13"/>
      <c r="AV166" s="13"/>
      <c r="AW166" s="13"/>
      <c r="AX166" s="13"/>
      <c r="AY166" s="13"/>
      <c r="AZ166" s="13"/>
    </row>
    <row r="167" spans="1:52" ht="16.149999999999999">
      <c r="A167" s="12">
        <v>44820</v>
      </c>
      <c r="B167" s="13" t="s">
        <v>2301</v>
      </c>
      <c r="C167" s="13" t="s">
        <v>88</v>
      </c>
      <c r="D167" s="17" t="s">
        <v>2302</v>
      </c>
      <c r="E167" s="13" t="s">
        <v>2303</v>
      </c>
      <c r="F167" s="14"/>
      <c r="G167" s="13"/>
      <c r="H167" s="13"/>
      <c r="I167" s="13"/>
      <c r="J167" s="14"/>
      <c r="K167" s="14"/>
      <c r="L167" s="13"/>
      <c r="M167" s="13"/>
      <c r="N167" s="13"/>
      <c r="O167" s="14"/>
      <c r="P167" s="14"/>
      <c r="Q167" s="14"/>
      <c r="R167" s="14"/>
      <c r="S167" s="14"/>
      <c r="T167" s="14"/>
      <c r="U167" s="14"/>
      <c r="V167" s="14">
        <f t="shared" si="46"/>
        <v>0</v>
      </c>
      <c r="W167" s="14">
        <f t="shared" si="47"/>
        <v>0</v>
      </c>
      <c r="X167" s="17"/>
      <c r="Y167" s="17"/>
      <c r="Z167" s="17"/>
      <c r="AA167" s="18"/>
      <c r="AB167" s="13"/>
      <c r="AC167" s="13"/>
      <c r="AD167" s="13"/>
      <c r="AE167" s="13"/>
      <c r="AF167" s="13"/>
      <c r="AG167" s="13"/>
      <c r="AH167" s="13"/>
      <c r="AI167" s="19"/>
      <c r="AJ167" s="14"/>
      <c r="AK167" s="13"/>
      <c r="AL167" s="13"/>
      <c r="AM167" s="13"/>
      <c r="AN167" s="13"/>
      <c r="AO167" s="13"/>
      <c r="AP167" s="20"/>
      <c r="AQ167" s="13">
        <f t="shared" si="48"/>
        <v>0</v>
      </c>
      <c r="AR167" s="97">
        <f t="shared" si="49"/>
        <v>0</v>
      </c>
      <c r="AS167" s="21">
        <f t="shared" si="50"/>
        <v>0</v>
      </c>
      <c r="AT167" s="22"/>
      <c r="AU167" s="13" t="s">
        <v>2304</v>
      </c>
      <c r="AV167" s="16" t="s">
        <v>2305</v>
      </c>
      <c r="AX167" s="13"/>
      <c r="AY167" s="13"/>
      <c r="AZ167" s="13"/>
    </row>
    <row r="168" spans="1:52" ht="13.15">
      <c r="A168" s="117"/>
      <c r="B168" s="118"/>
      <c r="C168" s="11"/>
      <c r="D168" s="11"/>
      <c r="E168" s="37" t="s">
        <v>2306</v>
      </c>
      <c r="F168" s="119"/>
      <c r="G168" s="11"/>
      <c r="H168" s="11"/>
      <c r="I168" s="11"/>
      <c r="J168" s="14"/>
      <c r="K168" s="14"/>
      <c r="L168" s="11"/>
      <c r="M168" s="11"/>
      <c r="N168" s="11"/>
      <c r="O168" s="119"/>
      <c r="P168" s="119"/>
      <c r="Q168" s="119"/>
      <c r="R168" s="119"/>
      <c r="S168" s="119"/>
      <c r="T168" s="119"/>
      <c r="U168" s="119"/>
      <c r="V168" s="14">
        <f t="shared" si="46"/>
        <v>0</v>
      </c>
      <c r="W168" s="14">
        <f t="shared" si="47"/>
        <v>0</v>
      </c>
      <c r="X168" s="11"/>
      <c r="Y168" s="11"/>
      <c r="Z168" s="11"/>
      <c r="AA168" s="120"/>
      <c r="AB168" s="11"/>
      <c r="AC168" s="11"/>
      <c r="AD168" s="11"/>
      <c r="AE168" s="11"/>
      <c r="AF168" s="11"/>
      <c r="AG168" s="11"/>
      <c r="AH168" s="11"/>
      <c r="AI168" s="121"/>
      <c r="AJ168" s="119"/>
      <c r="AK168" s="11"/>
      <c r="AL168" s="11"/>
      <c r="AM168" s="11"/>
      <c r="AN168" s="11"/>
      <c r="AO168" s="11"/>
      <c r="AP168" s="120"/>
      <c r="AQ168" s="13">
        <f t="shared" si="48"/>
        <v>0</v>
      </c>
      <c r="AR168" s="97">
        <f t="shared" si="49"/>
        <v>0</v>
      </c>
      <c r="AS168" s="21">
        <f t="shared" si="50"/>
        <v>0</v>
      </c>
      <c r="AT168" s="119"/>
      <c r="AU168" s="122" t="s">
        <v>2307</v>
      </c>
      <c r="AV168" s="122" t="s">
        <v>2308</v>
      </c>
      <c r="AW168" s="122" t="s">
        <v>2309</v>
      </c>
      <c r="AX168" s="122" t="s">
        <v>2310</v>
      </c>
      <c r="AY168" s="122" t="s">
        <v>2311</v>
      </c>
      <c r="AZ168" s="122" t="s">
        <v>2312</v>
      </c>
    </row>
    <row r="169" spans="1:52" ht="13.15">
      <c r="A169" s="12">
        <v>44820</v>
      </c>
      <c r="B169" s="13" t="s">
        <v>2313</v>
      </c>
      <c r="C169" s="13" t="s">
        <v>88</v>
      </c>
      <c r="D169" s="17"/>
      <c r="E169" s="13"/>
      <c r="F169" s="14" t="s">
        <v>2284</v>
      </c>
      <c r="G169" s="13"/>
      <c r="H169" s="13"/>
      <c r="I169" s="13"/>
      <c r="J169" s="14"/>
      <c r="K169" s="14"/>
      <c r="L169" s="13"/>
      <c r="M169" s="13">
        <v>1</v>
      </c>
      <c r="N169" s="13"/>
      <c r="O169" s="14" t="s">
        <v>1034</v>
      </c>
      <c r="P169" s="14"/>
      <c r="Q169" s="14" t="s">
        <v>661</v>
      </c>
      <c r="R169" s="14">
        <v>2</v>
      </c>
      <c r="S169" s="14">
        <v>2</v>
      </c>
      <c r="T169" s="14">
        <v>2</v>
      </c>
      <c r="U169" s="14" t="s">
        <v>73</v>
      </c>
      <c r="V169" s="14">
        <f t="shared" si="46"/>
        <v>5.0000000000000001E-3</v>
      </c>
      <c r="W169" s="14">
        <f t="shared" si="47"/>
        <v>1726.0000000000002</v>
      </c>
      <c r="X169" s="17"/>
      <c r="Y169" s="17" t="s">
        <v>2314</v>
      </c>
      <c r="Z169" s="17"/>
      <c r="AA169" s="18">
        <v>97.33</v>
      </c>
      <c r="AB169" s="13" t="s">
        <v>2315</v>
      </c>
      <c r="AC169" s="13">
        <v>97.344999999999999</v>
      </c>
      <c r="AD169" s="13"/>
      <c r="AE169" s="13">
        <v>97.27</v>
      </c>
      <c r="AF169" s="13" t="s">
        <v>2316</v>
      </c>
      <c r="AG169" s="13"/>
      <c r="AH169" s="13">
        <f>(AE169-AA169)/(AA169-AC169)</f>
        <v>4</v>
      </c>
      <c r="AI169" s="19"/>
      <c r="AJ169" s="14"/>
      <c r="AK169" s="13"/>
      <c r="AL169" s="13"/>
      <c r="AM169" s="13" t="s">
        <v>2317</v>
      </c>
      <c r="AN169" s="13" t="s">
        <v>371</v>
      </c>
      <c r="AO169" s="13"/>
      <c r="AP169" s="20">
        <v>97.344999999999999</v>
      </c>
      <c r="AQ169" s="20">
        <f t="shared" si="48"/>
        <v>-1.5000000000000568E-2</v>
      </c>
      <c r="AR169" s="97">
        <f t="shared" si="49"/>
        <v>-51.780000000001969</v>
      </c>
      <c r="AS169" s="21">
        <f t="shared" si="50"/>
        <v>-25.890000000000985</v>
      </c>
      <c r="AT169" s="22" t="s">
        <v>206</v>
      </c>
      <c r="AU169" s="13" t="s">
        <v>2318</v>
      </c>
      <c r="AV169" s="13" t="s">
        <v>2319</v>
      </c>
      <c r="AW169" s="13" t="s">
        <v>2320</v>
      </c>
      <c r="AX169" s="13"/>
      <c r="AY169" s="13"/>
      <c r="AZ169" s="13"/>
    </row>
    <row r="170" spans="1:52" ht="13.15">
      <c r="A170" s="12">
        <v>44820</v>
      </c>
      <c r="B170" s="13" t="s">
        <v>2321</v>
      </c>
      <c r="C170" s="13" t="s">
        <v>88</v>
      </c>
      <c r="D170" s="17"/>
      <c r="E170" s="13"/>
      <c r="F170" s="14" t="s">
        <v>2234</v>
      </c>
      <c r="G170" s="13"/>
      <c r="H170" s="13"/>
      <c r="I170" s="13"/>
      <c r="J170" s="14"/>
      <c r="K170" s="14"/>
      <c r="L170" s="13"/>
      <c r="M170" s="13"/>
      <c r="N170" s="13">
        <v>1</v>
      </c>
      <c r="O170" s="14" t="s">
        <v>71</v>
      </c>
      <c r="P170" s="14" t="s">
        <v>114</v>
      </c>
      <c r="Q170" s="14" t="s">
        <v>661</v>
      </c>
      <c r="R170" s="14">
        <v>2</v>
      </c>
      <c r="S170" s="14">
        <v>2</v>
      </c>
      <c r="T170" s="14">
        <v>1</v>
      </c>
      <c r="U170" s="14" t="s">
        <v>73</v>
      </c>
      <c r="V170" s="14">
        <f t="shared" si="46"/>
        <v>0.01</v>
      </c>
      <c r="W170" s="14">
        <f t="shared" si="47"/>
        <v>1664.9999999999998</v>
      </c>
      <c r="X170" s="17" t="s">
        <v>2322</v>
      </c>
      <c r="Y170" s="17"/>
      <c r="Z170" s="17"/>
      <c r="AA170" s="18">
        <v>96.13</v>
      </c>
      <c r="AB170" s="13" t="s">
        <v>2323</v>
      </c>
      <c r="AC170" s="13">
        <v>96.15</v>
      </c>
      <c r="AD170" s="13" t="s">
        <v>2324</v>
      </c>
      <c r="AE170" s="13">
        <v>96.08</v>
      </c>
      <c r="AF170" s="13" t="s">
        <v>2325</v>
      </c>
      <c r="AG170" s="13"/>
      <c r="AH170" s="13">
        <f>5/2</f>
        <v>2.5</v>
      </c>
      <c r="AI170" s="19"/>
      <c r="AJ170" s="14"/>
      <c r="AK170" s="13" t="s">
        <v>1733</v>
      </c>
      <c r="AL170" s="13" t="s">
        <v>2326</v>
      </c>
      <c r="AM170" s="13" t="s">
        <v>2327</v>
      </c>
      <c r="AN170" s="13" t="s">
        <v>82</v>
      </c>
      <c r="AO170" s="13"/>
      <c r="AP170" s="20">
        <v>96.15</v>
      </c>
      <c r="AQ170" s="20">
        <f t="shared" si="48"/>
        <v>-2.0000000000010232E-2</v>
      </c>
      <c r="AR170" s="97">
        <f t="shared" si="49"/>
        <v>-66.600000000034058</v>
      </c>
      <c r="AS170" s="21">
        <f t="shared" si="50"/>
        <v>-33.300000000017029</v>
      </c>
      <c r="AT170" s="22" t="s">
        <v>206</v>
      </c>
      <c r="AU170" s="13" t="s">
        <v>2328</v>
      </c>
      <c r="AV170" s="13" t="s">
        <v>2329</v>
      </c>
      <c r="AW170" s="13"/>
      <c r="AX170" s="13"/>
      <c r="AY170" s="13"/>
      <c r="AZ170" s="13"/>
    </row>
    <row r="171" spans="1:52" ht="13.15">
      <c r="A171" s="12">
        <v>44820</v>
      </c>
      <c r="B171" s="13" t="s">
        <v>2330</v>
      </c>
      <c r="C171" s="13" t="s">
        <v>88</v>
      </c>
      <c r="D171" s="17" t="s">
        <v>2331</v>
      </c>
      <c r="E171" s="13" t="s">
        <v>1601</v>
      </c>
      <c r="F171" s="14"/>
      <c r="G171" s="13"/>
      <c r="H171" s="13">
        <v>1</v>
      </c>
      <c r="I171" s="13"/>
      <c r="J171" s="14"/>
      <c r="K171" s="14"/>
      <c r="L171" s="13"/>
      <c r="M171" s="13"/>
      <c r="N171" s="13"/>
      <c r="O171" s="14"/>
      <c r="P171" s="14"/>
      <c r="Q171" s="14"/>
      <c r="R171" s="14"/>
      <c r="S171" s="14"/>
      <c r="T171" s="14"/>
      <c r="U171" s="14"/>
      <c r="V171" s="14">
        <f t="shared" si="46"/>
        <v>0</v>
      </c>
      <c r="W171" s="14">
        <f t="shared" si="47"/>
        <v>0</v>
      </c>
      <c r="X171" s="17"/>
      <c r="Y171" s="17"/>
      <c r="Z171" s="17"/>
      <c r="AA171" s="18"/>
      <c r="AB171" s="13"/>
      <c r="AC171" s="13"/>
      <c r="AD171" s="13"/>
      <c r="AE171" s="13"/>
      <c r="AF171" s="13"/>
      <c r="AG171" s="13"/>
      <c r="AH171" s="13"/>
      <c r="AI171" s="19"/>
      <c r="AJ171" s="14"/>
      <c r="AK171" s="13"/>
      <c r="AL171" s="13"/>
      <c r="AM171" s="13"/>
      <c r="AN171" s="13"/>
      <c r="AO171" s="13"/>
      <c r="AP171" s="20"/>
      <c r="AQ171" s="13">
        <f t="shared" si="48"/>
        <v>0</v>
      </c>
      <c r="AR171" s="97">
        <f t="shared" si="49"/>
        <v>0</v>
      </c>
      <c r="AS171" s="21">
        <f t="shared" si="50"/>
        <v>0</v>
      </c>
      <c r="AT171" s="22"/>
      <c r="AU171" s="13" t="s">
        <v>506</v>
      </c>
      <c r="AV171" s="13"/>
      <c r="AW171" s="13"/>
      <c r="AX171" s="13"/>
      <c r="AY171" s="13"/>
      <c r="AZ171" s="13"/>
    </row>
    <row r="172" spans="1:52" ht="13.15">
      <c r="A172" s="12">
        <v>44823</v>
      </c>
      <c r="B172" s="13" t="s">
        <v>2332</v>
      </c>
      <c r="C172" s="13" t="s">
        <v>109</v>
      </c>
      <c r="D172" s="17"/>
      <c r="E172" s="13"/>
      <c r="F172" s="14" t="s">
        <v>1871</v>
      </c>
      <c r="G172" s="13"/>
      <c r="H172" s="13"/>
      <c r="I172" s="13"/>
      <c r="J172" s="14"/>
      <c r="K172" s="14"/>
      <c r="L172" s="13">
        <v>1</v>
      </c>
      <c r="M172" s="13"/>
      <c r="N172" s="13">
        <v>1</v>
      </c>
      <c r="O172" s="14" t="s">
        <v>71</v>
      </c>
      <c r="P172" s="14" t="s">
        <v>114</v>
      </c>
      <c r="Q172" s="14" t="s">
        <v>661</v>
      </c>
      <c r="R172" s="15">
        <v>5</v>
      </c>
      <c r="S172" s="14">
        <v>5</v>
      </c>
      <c r="T172" s="14">
        <v>5</v>
      </c>
      <c r="U172" s="14" t="s">
        <v>21</v>
      </c>
      <c r="V172" s="14">
        <f t="shared" si="46"/>
        <v>0.01</v>
      </c>
      <c r="W172" s="14">
        <f t="shared" si="47"/>
        <v>1664.9999999999998</v>
      </c>
      <c r="X172" s="17"/>
      <c r="Y172" s="17"/>
      <c r="Z172" s="17"/>
      <c r="AA172" s="18"/>
      <c r="AB172" s="13"/>
      <c r="AC172" s="13"/>
      <c r="AD172" s="13"/>
      <c r="AE172" s="13"/>
      <c r="AF172" s="13"/>
      <c r="AG172" s="13"/>
      <c r="AH172" s="13"/>
      <c r="AI172" s="19"/>
      <c r="AJ172" s="14"/>
      <c r="AK172" s="13"/>
      <c r="AL172" s="13"/>
      <c r="AM172" s="13"/>
      <c r="AN172" s="13"/>
      <c r="AO172" s="13"/>
      <c r="AP172" s="20"/>
      <c r="AQ172" s="13"/>
      <c r="AR172" s="97"/>
      <c r="AS172" s="21"/>
      <c r="AT172" s="22"/>
      <c r="AU172" s="13" t="s">
        <v>2333</v>
      </c>
      <c r="AV172" s="13"/>
      <c r="AW172" s="13"/>
      <c r="AX172" s="13"/>
      <c r="AY172" s="13"/>
      <c r="AZ172" s="13"/>
    </row>
    <row r="173" spans="1:52" ht="13.15">
      <c r="A173" s="12">
        <v>44823</v>
      </c>
      <c r="B173" s="13" t="s">
        <v>2332</v>
      </c>
      <c r="C173" s="13" t="s">
        <v>109</v>
      </c>
      <c r="D173" s="17"/>
      <c r="E173" s="13"/>
      <c r="F173" s="14" t="s">
        <v>1871</v>
      </c>
      <c r="G173" s="13"/>
      <c r="H173" s="13"/>
      <c r="I173" s="13"/>
      <c r="J173" s="14"/>
      <c r="K173" s="14"/>
      <c r="L173" s="13">
        <v>1</v>
      </c>
      <c r="M173" s="13">
        <v>2</v>
      </c>
      <c r="N173" s="13">
        <v>1</v>
      </c>
      <c r="O173" s="14" t="s">
        <v>71</v>
      </c>
      <c r="P173" s="14" t="s">
        <v>114</v>
      </c>
      <c r="Q173" s="14" t="s">
        <v>661</v>
      </c>
      <c r="R173" s="15">
        <v>5</v>
      </c>
      <c r="S173" s="14">
        <v>5</v>
      </c>
      <c r="T173" s="14">
        <v>5</v>
      </c>
      <c r="U173" s="14" t="s">
        <v>21</v>
      </c>
      <c r="V173" s="14">
        <f t="shared" si="46"/>
        <v>0.01</v>
      </c>
      <c r="W173" s="14">
        <f t="shared" si="47"/>
        <v>1664.9999999999998</v>
      </c>
      <c r="X173" s="17" t="s">
        <v>2334</v>
      </c>
      <c r="Y173" s="17"/>
      <c r="Z173" s="17"/>
      <c r="AA173" s="18">
        <v>96.061999999999998</v>
      </c>
      <c r="AB173" s="13" t="s">
        <v>2335</v>
      </c>
      <c r="AC173" s="13">
        <v>96.04</v>
      </c>
      <c r="AD173" s="13" t="s">
        <v>2336</v>
      </c>
      <c r="AE173" s="13">
        <v>96.1</v>
      </c>
      <c r="AF173" s="13" t="s">
        <v>114</v>
      </c>
      <c r="AG173" s="13" t="s">
        <v>2337</v>
      </c>
      <c r="AH173" s="13">
        <f>4/2</f>
        <v>2</v>
      </c>
      <c r="AI173" s="19"/>
      <c r="AJ173" s="14"/>
      <c r="AK173" s="13"/>
      <c r="AL173" s="13"/>
      <c r="AM173" s="13"/>
      <c r="AN173" s="13" t="s">
        <v>82</v>
      </c>
      <c r="AO173" s="13"/>
      <c r="AP173" s="20">
        <v>96.07</v>
      </c>
      <c r="AQ173" s="20">
        <f t="shared" ref="AQ173:AQ181" si="51">IF(ISBLANK(AP173),,IF(U173="S",AA173-AP173,AP173-AA173))</f>
        <v>7.9999999999955662E-3</v>
      </c>
      <c r="AR173" s="97">
        <f t="shared" ref="AR173:AR181" si="52">AS173*R173</f>
        <v>66.599999999963075</v>
      </c>
      <c r="AS173" s="21">
        <f t="shared" ref="AS173:AS181" si="53">IF(ISBLANK(AP173),,(AQ173*W173))</f>
        <v>13.319999999992616</v>
      </c>
      <c r="AT173" s="22" t="s">
        <v>72</v>
      </c>
      <c r="AU173" s="13" t="s">
        <v>2338</v>
      </c>
      <c r="AV173" s="13" t="s">
        <v>2339</v>
      </c>
      <c r="AW173" s="13" t="s">
        <v>2340</v>
      </c>
      <c r="AX173" s="13" t="s">
        <v>2341</v>
      </c>
      <c r="AY173" s="13"/>
      <c r="AZ173" s="13"/>
    </row>
    <row r="174" spans="1:52" ht="13.15">
      <c r="A174" s="12">
        <v>44823</v>
      </c>
      <c r="B174" s="13" t="s">
        <v>2332</v>
      </c>
      <c r="C174" s="13" t="s">
        <v>109</v>
      </c>
      <c r="D174" s="17"/>
      <c r="E174" s="13"/>
      <c r="F174" s="14" t="s">
        <v>1871</v>
      </c>
      <c r="G174" s="13"/>
      <c r="H174" s="13"/>
      <c r="I174" s="13"/>
      <c r="J174" s="14"/>
      <c r="K174" s="14"/>
      <c r="L174" s="13">
        <v>1</v>
      </c>
      <c r="M174" s="13"/>
      <c r="N174" s="13">
        <v>1</v>
      </c>
      <c r="O174" s="14" t="s">
        <v>71</v>
      </c>
      <c r="P174" s="14" t="s">
        <v>114</v>
      </c>
      <c r="Q174" s="14" t="s">
        <v>661</v>
      </c>
      <c r="R174" s="15">
        <v>5</v>
      </c>
      <c r="S174" s="14">
        <v>5</v>
      </c>
      <c r="T174" s="14">
        <v>5</v>
      </c>
      <c r="U174" s="14" t="s">
        <v>21</v>
      </c>
      <c r="V174" s="14">
        <f t="shared" si="46"/>
        <v>0.01</v>
      </c>
      <c r="W174" s="14">
        <f t="shared" si="47"/>
        <v>1664.9999999999998</v>
      </c>
      <c r="X174" s="17" t="s">
        <v>2342</v>
      </c>
      <c r="Y174" s="17"/>
      <c r="Z174" s="17"/>
      <c r="AA174" s="18">
        <v>96.061999999999998</v>
      </c>
      <c r="AB174" s="13" t="s">
        <v>2335</v>
      </c>
      <c r="AC174" s="13">
        <v>96.04</v>
      </c>
      <c r="AD174" s="13" t="s">
        <v>2336</v>
      </c>
      <c r="AE174" s="13">
        <v>96.1</v>
      </c>
      <c r="AF174" s="13" t="s">
        <v>114</v>
      </c>
      <c r="AG174" s="13" t="s">
        <v>2337</v>
      </c>
      <c r="AH174" s="13"/>
      <c r="AI174" s="19"/>
      <c r="AJ174" s="14"/>
      <c r="AK174" s="13"/>
      <c r="AL174" s="13"/>
      <c r="AM174" s="13" t="s">
        <v>2343</v>
      </c>
      <c r="AN174" s="13" t="s">
        <v>82</v>
      </c>
      <c r="AO174" s="13"/>
      <c r="AP174" s="20">
        <v>96.07</v>
      </c>
      <c r="AQ174" s="20">
        <f t="shared" si="51"/>
        <v>7.9999999999955662E-3</v>
      </c>
      <c r="AR174" s="97">
        <f t="shared" si="52"/>
        <v>66.599999999963075</v>
      </c>
      <c r="AS174" s="21">
        <f t="shared" si="53"/>
        <v>13.319999999992616</v>
      </c>
      <c r="AT174" s="22" t="s">
        <v>72</v>
      </c>
      <c r="AU174" s="13" t="s">
        <v>2344</v>
      </c>
      <c r="AV174" s="13" t="s">
        <v>2345</v>
      </c>
      <c r="AW174" s="13"/>
      <c r="AX174" s="13"/>
      <c r="AY174" s="13"/>
      <c r="AZ174" s="13"/>
    </row>
    <row r="175" spans="1:52" ht="13.15">
      <c r="A175" s="12">
        <v>44824</v>
      </c>
      <c r="B175" s="13" t="s">
        <v>2346</v>
      </c>
      <c r="C175" s="13" t="s">
        <v>123</v>
      </c>
      <c r="D175" s="17"/>
      <c r="E175" s="13"/>
      <c r="F175" s="14" t="s">
        <v>113</v>
      </c>
      <c r="G175" s="13"/>
      <c r="H175" s="13"/>
      <c r="I175" s="13"/>
      <c r="J175" s="14"/>
      <c r="K175" s="14"/>
      <c r="L175" s="13">
        <v>1</v>
      </c>
      <c r="M175" s="13"/>
      <c r="N175" s="13"/>
      <c r="O175" s="14" t="s">
        <v>71</v>
      </c>
      <c r="P175" s="14" t="s">
        <v>114</v>
      </c>
      <c r="Q175" s="14" t="s">
        <v>661</v>
      </c>
      <c r="R175" s="14">
        <v>2</v>
      </c>
      <c r="S175" s="14">
        <v>2</v>
      </c>
      <c r="T175" s="14">
        <v>2</v>
      </c>
      <c r="U175" s="14" t="s">
        <v>73</v>
      </c>
      <c r="V175" s="14">
        <f t="shared" si="46"/>
        <v>0.01</v>
      </c>
      <c r="W175" s="14">
        <f t="shared" si="47"/>
        <v>1664.9999999999998</v>
      </c>
      <c r="X175" s="17"/>
      <c r="Y175" s="17"/>
      <c r="Z175" s="17" t="s">
        <v>75</v>
      </c>
      <c r="AA175" s="18">
        <v>-0.03</v>
      </c>
      <c r="AB175" s="13"/>
      <c r="AC175" s="13"/>
      <c r="AD175" s="13"/>
      <c r="AE175" s="13">
        <v>-0.04</v>
      </c>
      <c r="AF175" s="13"/>
      <c r="AG175" s="13" t="s">
        <v>2347</v>
      </c>
      <c r="AH175" s="13"/>
      <c r="AI175" s="19"/>
      <c r="AJ175" s="14"/>
      <c r="AK175" s="13" t="s">
        <v>2348</v>
      </c>
      <c r="AL175" s="13"/>
      <c r="AM175" s="13"/>
      <c r="AN175" s="13" t="s">
        <v>82</v>
      </c>
      <c r="AO175" s="13"/>
      <c r="AP175" s="20">
        <v>-0.04</v>
      </c>
      <c r="AQ175" s="20">
        <f t="shared" si="51"/>
        <v>1.0000000000000002E-2</v>
      </c>
      <c r="AR175" s="97">
        <f t="shared" si="52"/>
        <v>33.300000000000004</v>
      </c>
      <c r="AS175" s="21">
        <f t="shared" si="53"/>
        <v>16.650000000000002</v>
      </c>
      <c r="AT175" s="22" t="s">
        <v>72</v>
      </c>
      <c r="AU175" s="13"/>
      <c r="AV175" s="13"/>
      <c r="AW175" s="13"/>
      <c r="AX175" s="13"/>
      <c r="AY175" s="13"/>
      <c r="AZ175" s="13"/>
    </row>
    <row r="176" spans="1:52" ht="13.15">
      <c r="A176" s="12">
        <v>44824</v>
      </c>
      <c r="B176" s="13" t="s">
        <v>959</v>
      </c>
      <c r="C176" s="13" t="s">
        <v>123</v>
      </c>
      <c r="D176" s="17" t="s">
        <v>2349</v>
      </c>
      <c r="E176" s="13" t="s">
        <v>2350</v>
      </c>
      <c r="F176" s="14" t="s">
        <v>2351</v>
      </c>
      <c r="G176" s="13"/>
      <c r="H176" s="13"/>
      <c r="I176" s="13"/>
      <c r="J176" s="14"/>
      <c r="K176" s="14"/>
      <c r="L176" s="13">
        <v>1</v>
      </c>
      <c r="M176" s="13"/>
      <c r="N176" s="13">
        <v>1</v>
      </c>
      <c r="O176" s="14" t="s">
        <v>71</v>
      </c>
      <c r="P176" s="14" t="s">
        <v>114</v>
      </c>
      <c r="Q176" s="14" t="s">
        <v>661</v>
      </c>
      <c r="R176" s="104">
        <v>1</v>
      </c>
      <c r="S176" s="14">
        <v>1</v>
      </c>
      <c r="T176" s="14">
        <v>1</v>
      </c>
      <c r="U176" s="14" t="s">
        <v>73</v>
      </c>
      <c r="V176" s="14">
        <f t="shared" si="46"/>
        <v>0.01</v>
      </c>
      <c r="W176" s="14">
        <f t="shared" si="47"/>
        <v>1664.9999999999998</v>
      </c>
      <c r="X176" s="17" t="s">
        <v>2352</v>
      </c>
      <c r="Y176" s="17"/>
      <c r="Z176" s="17"/>
      <c r="AA176" s="18">
        <v>96.15</v>
      </c>
      <c r="AB176" s="13" t="s">
        <v>2353</v>
      </c>
      <c r="AC176" s="13">
        <v>96.17</v>
      </c>
      <c r="AD176" s="13" t="s">
        <v>2354</v>
      </c>
      <c r="AE176" s="13">
        <v>96.12</v>
      </c>
      <c r="AF176" s="13" t="s">
        <v>2355</v>
      </c>
      <c r="AG176" s="13"/>
      <c r="AH176" s="13">
        <f>3/2</f>
        <v>1.5</v>
      </c>
      <c r="AI176" s="19">
        <f>(AA176-AC176)*W176</f>
        <v>-33.299999999993368</v>
      </c>
      <c r="AJ176" s="19">
        <f t="shared" ref="AJ176:AJ181" si="54">AI176*R176</f>
        <v>-33.299999999993368</v>
      </c>
      <c r="AK176" s="13" t="s">
        <v>2356</v>
      </c>
      <c r="AL176" s="13"/>
      <c r="AM176" s="13" t="s">
        <v>710</v>
      </c>
      <c r="AN176" s="13" t="s">
        <v>82</v>
      </c>
      <c r="AO176" s="13"/>
      <c r="AP176" s="20">
        <v>96.14</v>
      </c>
      <c r="AQ176" s="20">
        <f t="shared" si="51"/>
        <v>1.0000000000005116E-2</v>
      </c>
      <c r="AR176" s="97">
        <f t="shared" si="52"/>
        <v>16.650000000008514</v>
      </c>
      <c r="AS176" s="21">
        <f t="shared" si="53"/>
        <v>16.650000000008514</v>
      </c>
      <c r="AT176" s="22" t="s">
        <v>72</v>
      </c>
      <c r="AU176" s="13" t="s">
        <v>2357</v>
      </c>
      <c r="AV176" s="13" t="s">
        <v>2358</v>
      </c>
      <c r="AW176" s="13" t="s">
        <v>2359</v>
      </c>
      <c r="AX176" s="13" t="s">
        <v>2360</v>
      </c>
      <c r="AY176" s="13" t="s">
        <v>2361</v>
      </c>
      <c r="AZ176" s="13" t="s">
        <v>2362</v>
      </c>
    </row>
    <row r="177" spans="1:52" ht="13.15">
      <c r="A177" s="12">
        <v>44824</v>
      </c>
      <c r="B177" s="33">
        <v>0.58333333333333337</v>
      </c>
      <c r="C177" s="13" t="s">
        <v>123</v>
      </c>
      <c r="D177" s="17"/>
      <c r="E177" s="13"/>
      <c r="F177" s="14" t="s">
        <v>2178</v>
      </c>
      <c r="G177" s="13"/>
      <c r="H177" s="13"/>
      <c r="I177" s="13"/>
      <c r="J177" s="14"/>
      <c r="K177" s="14"/>
      <c r="L177" s="13">
        <v>2</v>
      </c>
      <c r="M177" s="13">
        <v>3</v>
      </c>
      <c r="N177" s="13"/>
      <c r="O177" s="14" t="s">
        <v>71</v>
      </c>
      <c r="P177" s="14" t="s">
        <v>72</v>
      </c>
      <c r="Q177" s="14" t="s">
        <v>233</v>
      </c>
      <c r="R177" s="14">
        <v>3</v>
      </c>
      <c r="S177" s="14">
        <v>3</v>
      </c>
      <c r="T177" s="14">
        <v>1</v>
      </c>
      <c r="U177" s="14" t="s">
        <v>21</v>
      </c>
      <c r="V177" s="14">
        <f t="shared" si="46"/>
        <v>0.01</v>
      </c>
      <c r="W177" s="14">
        <f t="shared" si="47"/>
        <v>1664.9999999999998</v>
      </c>
      <c r="X177" s="17"/>
      <c r="Y177" s="17"/>
      <c r="Z177" s="17" t="s">
        <v>2200</v>
      </c>
      <c r="AA177" s="18">
        <v>0.01</v>
      </c>
      <c r="AB177" s="13" t="s">
        <v>2363</v>
      </c>
      <c r="AC177" s="13" t="s">
        <v>2364</v>
      </c>
      <c r="AD177" s="13"/>
      <c r="AE177" s="13"/>
      <c r="AF177" s="13"/>
      <c r="AG177" s="13"/>
      <c r="AH177" s="13"/>
      <c r="AI177" s="19"/>
      <c r="AJ177" s="123">
        <f t="shared" si="54"/>
        <v>0</v>
      </c>
      <c r="AK177" s="13" t="s">
        <v>425</v>
      </c>
      <c r="AL177" s="13"/>
      <c r="AM177" s="13" t="s">
        <v>2365</v>
      </c>
      <c r="AN177" s="13" t="s">
        <v>72</v>
      </c>
      <c r="AO177" s="13" t="s">
        <v>2366</v>
      </c>
      <c r="AP177" s="20">
        <v>0.04</v>
      </c>
      <c r="AQ177" s="20">
        <f t="shared" si="51"/>
        <v>0.03</v>
      </c>
      <c r="AR177" s="97">
        <f t="shared" si="52"/>
        <v>149.84999999999997</v>
      </c>
      <c r="AS177" s="21">
        <f t="shared" si="53"/>
        <v>49.949999999999989</v>
      </c>
      <c r="AT177" s="22" t="s">
        <v>72</v>
      </c>
      <c r="AU177" s="13" t="s">
        <v>2367</v>
      </c>
      <c r="AV177" s="13"/>
      <c r="AW177" s="13"/>
      <c r="AX177" s="124" t="s">
        <v>2368</v>
      </c>
      <c r="AY177" s="13" t="s">
        <v>2369</v>
      </c>
      <c r="AZ177" s="13"/>
    </row>
    <row r="178" spans="1:52" ht="13.15">
      <c r="A178" s="12">
        <v>44825</v>
      </c>
      <c r="B178" s="13" t="s">
        <v>186</v>
      </c>
      <c r="C178" s="13" t="s">
        <v>128</v>
      </c>
      <c r="D178" s="17"/>
      <c r="E178" s="13"/>
      <c r="F178" s="14" t="s">
        <v>113</v>
      </c>
      <c r="G178" s="13"/>
      <c r="H178" s="13"/>
      <c r="I178" s="13"/>
      <c r="J178" s="14"/>
      <c r="K178" s="14"/>
      <c r="L178" s="13">
        <v>2</v>
      </c>
      <c r="M178" s="13"/>
      <c r="N178" s="13"/>
      <c r="O178" s="14" t="s">
        <v>71</v>
      </c>
      <c r="P178" s="14" t="s">
        <v>114</v>
      </c>
      <c r="Q178" s="14" t="s">
        <v>73</v>
      </c>
      <c r="R178" s="14">
        <v>3</v>
      </c>
      <c r="S178" s="14">
        <v>3</v>
      </c>
      <c r="T178" s="14">
        <v>3</v>
      </c>
      <c r="U178" s="14" t="s">
        <v>73</v>
      </c>
      <c r="V178" s="14">
        <f t="shared" si="46"/>
        <v>0.01</v>
      </c>
      <c r="W178" s="14">
        <f t="shared" si="47"/>
        <v>1664.9999999999998</v>
      </c>
      <c r="X178" s="17"/>
      <c r="Y178" s="17"/>
      <c r="Z178" s="17" t="s">
        <v>2370</v>
      </c>
      <c r="AA178" s="18">
        <v>96.147000000000006</v>
      </c>
      <c r="AB178" s="13"/>
      <c r="AC178" s="13"/>
      <c r="AD178" s="13"/>
      <c r="AE178" s="13"/>
      <c r="AF178" s="13"/>
      <c r="AG178" s="13" t="s">
        <v>2371</v>
      </c>
      <c r="AH178" s="13"/>
      <c r="AI178" s="19"/>
      <c r="AJ178" s="123">
        <f t="shared" si="54"/>
        <v>0</v>
      </c>
      <c r="AK178" s="13"/>
      <c r="AL178" s="13"/>
      <c r="AM178" s="13" t="s">
        <v>990</v>
      </c>
      <c r="AN178" s="13" t="s">
        <v>371</v>
      </c>
      <c r="AO178" s="13"/>
      <c r="AP178" s="20">
        <v>96.14</v>
      </c>
      <c r="AQ178" s="20">
        <f t="shared" si="51"/>
        <v>7.0000000000050022E-3</v>
      </c>
      <c r="AR178" s="97">
        <f t="shared" si="52"/>
        <v>34.965000000024979</v>
      </c>
      <c r="AS178" s="21">
        <f t="shared" si="53"/>
        <v>11.655000000008327</v>
      </c>
      <c r="AT178" s="22" t="s">
        <v>72</v>
      </c>
      <c r="AU178" s="13" t="s">
        <v>2372</v>
      </c>
      <c r="AV178" s="13"/>
      <c r="AW178" s="13"/>
      <c r="AX178" s="13" t="s">
        <v>2373</v>
      </c>
      <c r="AY178" s="13"/>
      <c r="AZ178" s="13"/>
    </row>
    <row r="179" spans="1:52" ht="13.15">
      <c r="A179" s="12">
        <v>44825</v>
      </c>
      <c r="B179" s="13" t="s">
        <v>2374</v>
      </c>
      <c r="C179" s="13" t="s">
        <v>128</v>
      </c>
      <c r="D179" s="17"/>
      <c r="E179" s="13"/>
      <c r="F179" s="14" t="s">
        <v>113</v>
      </c>
      <c r="G179" s="13"/>
      <c r="H179" s="13"/>
      <c r="I179" s="13"/>
      <c r="J179" s="14"/>
      <c r="K179" s="14"/>
      <c r="L179" s="13">
        <v>2</v>
      </c>
      <c r="M179" s="13"/>
      <c r="N179" s="13"/>
      <c r="O179" s="14" t="s">
        <v>71</v>
      </c>
      <c r="P179" s="14" t="s">
        <v>114</v>
      </c>
      <c r="Q179" s="14" t="s">
        <v>73</v>
      </c>
      <c r="R179" s="14">
        <v>3</v>
      </c>
      <c r="S179" s="14">
        <v>3</v>
      </c>
      <c r="T179" s="14">
        <v>3</v>
      </c>
      <c r="U179" s="14" t="s">
        <v>73</v>
      </c>
      <c r="V179" s="14">
        <f t="shared" si="46"/>
        <v>0.01</v>
      </c>
      <c r="W179" s="14">
        <f t="shared" si="47"/>
        <v>1664.9999999999998</v>
      </c>
      <c r="X179" s="17"/>
      <c r="Y179" s="17"/>
      <c r="Z179" s="17" t="s">
        <v>75</v>
      </c>
      <c r="AA179" s="18">
        <v>-0.03</v>
      </c>
      <c r="AB179" s="13"/>
      <c r="AC179" s="13"/>
      <c r="AD179" s="13"/>
      <c r="AE179" s="13"/>
      <c r="AF179" s="13"/>
      <c r="AG179" s="13"/>
      <c r="AH179" s="13"/>
      <c r="AI179" s="19"/>
      <c r="AJ179" s="123">
        <f t="shared" si="54"/>
        <v>0</v>
      </c>
      <c r="AK179" s="13"/>
      <c r="AL179" s="13"/>
      <c r="AM179" s="13" t="s">
        <v>2375</v>
      </c>
      <c r="AN179" s="13" t="s">
        <v>82</v>
      </c>
      <c r="AO179" s="13"/>
      <c r="AP179" s="20">
        <v>-0.04</v>
      </c>
      <c r="AQ179" s="20">
        <f t="shared" si="51"/>
        <v>1.0000000000000002E-2</v>
      </c>
      <c r="AR179" s="97">
        <f t="shared" si="52"/>
        <v>49.95</v>
      </c>
      <c r="AS179" s="21">
        <f t="shared" si="53"/>
        <v>16.650000000000002</v>
      </c>
      <c r="AT179" s="22" t="s">
        <v>72</v>
      </c>
      <c r="AU179" s="13" t="s">
        <v>2376</v>
      </c>
      <c r="AV179" s="13"/>
      <c r="AW179" s="13"/>
      <c r="AX179" s="13"/>
      <c r="AY179" s="13"/>
      <c r="AZ179" s="13"/>
    </row>
    <row r="180" spans="1:52" ht="13.15">
      <c r="A180" s="12">
        <v>44825</v>
      </c>
      <c r="B180" s="13" t="s">
        <v>2377</v>
      </c>
      <c r="C180" s="13" t="s">
        <v>128</v>
      </c>
      <c r="D180" s="17"/>
      <c r="E180" s="13"/>
      <c r="F180" s="14" t="s">
        <v>2378</v>
      </c>
      <c r="G180" s="13"/>
      <c r="H180" s="13"/>
      <c r="I180" s="13"/>
      <c r="J180" s="14"/>
      <c r="K180" s="14"/>
      <c r="L180" s="13"/>
      <c r="M180" s="13">
        <v>1</v>
      </c>
      <c r="N180" s="13"/>
      <c r="O180" s="14" t="s">
        <v>1034</v>
      </c>
      <c r="P180" s="14"/>
      <c r="Q180" s="14" t="s">
        <v>661</v>
      </c>
      <c r="R180" s="14">
        <v>1</v>
      </c>
      <c r="S180" s="14">
        <v>1</v>
      </c>
      <c r="T180" s="14">
        <v>1</v>
      </c>
      <c r="U180" s="14" t="s">
        <v>73</v>
      </c>
      <c r="V180" s="14">
        <f t="shared" si="46"/>
        <v>5.0000000000000001E-3</v>
      </c>
      <c r="W180" s="14">
        <f t="shared" si="47"/>
        <v>1726.0000000000002</v>
      </c>
      <c r="X180" s="17"/>
      <c r="Y180" s="17" t="s">
        <v>2379</v>
      </c>
      <c r="Z180" s="17"/>
      <c r="AA180" s="18">
        <v>96.94</v>
      </c>
      <c r="AB180" s="13"/>
      <c r="AC180" s="13" t="s">
        <v>2380</v>
      </c>
      <c r="AD180" s="13" t="s">
        <v>2381</v>
      </c>
      <c r="AE180" s="13">
        <v>96.885000000000005</v>
      </c>
      <c r="AF180" s="13" t="s">
        <v>2382</v>
      </c>
      <c r="AG180" s="13"/>
      <c r="AH180" s="13">
        <f>(AE180-AA180)/(AA180-96.965)</f>
        <v>2.1999999999992044</v>
      </c>
      <c r="AI180" s="19">
        <f>(AA180-96.965)*W180</f>
        <v>-43.150000000009818</v>
      </c>
      <c r="AJ180" s="125">
        <f t="shared" si="54"/>
        <v>-43.150000000009818</v>
      </c>
      <c r="AK180" s="13"/>
      <c r="AL180" s="13"/>
      <c r="AM180" s="13"/>
      <c r="AN180" s="13" t="s">
        <v>82</v>
      </c>
      <c r="AO180" s="13"/>
      <c r="AP180" s="20">
        <v>96.965000000000003</v>
      </c>
      <c r="AQ180" s="20">
        <f t="shared" si="51"/>
        <v>-2.5000000000005684E-2</v>
      </c>
      <c r="AR180" s="97">
        <f t="shared" si="52"/>
        <v>-43.150000000009818</v>
      </c>
      <c r="AS180" s="21">
        <f t="shared" si="53"/>
        <v>-43.150000000009818</v>
      </c>
      <c r="AT180" s="22" t="s">
        <v>206</v>
      </c>
      <c r="AU180" s="13" t="s">
        <v>2383</v>
      </c>
      <c r="AV180" s="13" t="s">
        <v>2384</v>
      </c>
      <c r="AW180" s="13" t="s">
        <v>2385</v>
      </c>
      <c r="AX180" s="13"/>
      <c r="AY180" s="13"/>
      <c r="AZ180" s="13"/>
    </row>
    <row r="181" spans="1:52" ht="13.15">
      <c r="A181" s="12">
        <v>44825</v>
      </c>
      <c r="B181" s="13" t="s">
        <v>2386</v>
      </c>
      <c r="C181" s="13" t="s">
        <v>128</v>
      </c>
      <c r="D181" s="17" t="s">
        <v>2387</v>
      </c>
      <c r="E181" s="13" t="s">
        <v>2388</v>
      </c>
      <c r="F181" s="14" t="s">
        <v>113</v>
      </c>
      <c r="G181" s="13"/>
      <c r="H181" s="13">
        <v>1</v>
      </c>
      <c r="I181" s="13"/>
      <c r="J181" s="14"/>
      <c r="K181" s="14"/>
      <c r="L181" s="13">
        <v>2</v>
      </c>
      <c r="M181" s="13"/>
      <c r="N181" s="13"/>
      <c r="O181" s="14" t="s">
        <v>71</v>
      </c>
      <c r="P181" s="14" t="s">
        <v>114</v>
      </c>
      <c r="Q181" s="14" t="s">
        <v>73</v>
      </c>
      <c r="R181" s="14">
        <v>3</v>
      </c>
      <c r="S181" s="14">
        <v>3</v>
      </c>
      <c r="T181" s="14">
        <v>3</v>
      </c>
      <c r="U181" s="14" t="s">
        <v>73</v>
      </c>
      <c r="V181" s="14">
        <f t="shared" si="46"/>
        <v>0.01</v>
      </c>
      <c r="W181" s="14">
        <f t="shared" si="47"/>
        <v>1664.9999999999998</v>
      </c>
      <c r="X181" s="17"/>
      <c r="Y181" s="17"/>
      <c r="Z181" s="17" t="s">
        <v>75</v>
      </c>
      <c r="AA181" s="18">
        <v>-0.03</v>
      </c>
      <c r="AB181" s="13"/>
      <c r="AC181" s="13"/>
      <c r="AD181" s="13"/>
      <c r="AE181" s="13"/>
      <c r="AF181" s="13"/>
      <c r="AG181" s="13"/>
      <c r="AH181" s="13"/>
      <c r="AI181" s="19"/>
      <c r="AJ181" s="123">
        <f t="shared" si="54"/>
        <v>0</v>
      </c>
      <c r="AK181" s="13"/>
      <c r="AL181" s="13"/>
      <c r="AM181" s="13" t="s">
        <v>2389</v>
      </c>
      <c r="AN181" s="13" t="s">
        <v>82</v>
      </c>
      <c r="AO181" s="13"/>
      <c r="AP181" s="20">
        <v>-0.04</v>
      </c>
      <c r="AQ181" s="20">
        <f t="shared" si="51"/>
        <v>1.0000000000000002E-2</v>
      </c>
      <c r="AR181" s="97">
        <f t="shared" si="52"/>
        <v>49.95</v>
      </c>
      <c r="AS181" s="21">
        <f t="shared" si="53"/>
        <v>16.650000000000002</v>
      </c>
      <c r="AT181" s="22" t="s">
        <v>72</v>
      </c>
      <c r="AU181" s="13"/>
      <c r="AV181" s="13"/>
      <c r="AW181" s="13"/>
      <c r="AX181" s="13"/>
      <c r="AY181" s="13"/>
      <c r="AZ181" s="13"/>
    </row>
    <row r="182" spans="1:52" ht="13.15">
      <c r="A182" s="12">
        <v>44826</v>
      </c>
      <c r="B182" s="13"/>
      <c r="C182" s="13"/>
      <c r="D182" s="17" t="s">
        <v>2390</v>
      </c>
      <c r="E182" s="13" t="s">
        <v>2391</v>
      </c>
      <c r="F182" s="14"/>
      <c r="G182" s="13"/>
      <c r="H182" s="13"/>
      <c r="I182" s="13">
        <v>1</v>
      </c>
      <c r="J182" s="14"/>
      <c r="K182" s="14"/>
      <c r="L182" s="13"/>
      <c r="M182" s="13"/>
      <c r="N182" s="13"/>
      <c r="O182" s="14"/>
      <c r="P182" s="14"/>
      <c r="Q182" s="14"/>
      <c r="R182" s="14"/>
      <c r="S182" s="14"/>
      <c r="T182" s="14"/>
      <c r="U182" s="14"/>
      <c r="V182" s="14"/>
      <c r="W182" s="14"/>
      <c r="X182" s="17"/>
      <c r="Y182" s="17"/>
      <c r="Z182" s="17"/>
      <c r="AA182" s="18"/>
      <c r="AB182" s="13"/>
      <c r="AC182" s="13"/>
      <c r="AD182" s="13"/>
      <c r="AE182" s="13"/>
      <c r="AF182" s="13"/>
      <c r="AG182" s="13"/>
      <c r="AH182" s="13"/>
      <c r="AI182" s="19"/>
      <c r="AJ182" s="14"/>
      <c r="AK182" s="13"/>
      <c r="AL182" s="13"/>
      <c r="AM182" s="13"/>
      <c r="AN182" s="13"/>
      <c r="AO182" s="13"/>
      <c r="AP182" s="20"/>
      <c r="AQ182" s="13"/>
      <c r="AR182" s="97"/>
      <c r="AS182" s="21"/>
      <c r="AT182" s="22"/>
      <c r="AU182" s="13"/>
      <c r="AV182" s="13"/>
      <c r="AW182" s="13"/>
      <c r="AX182" s="13"/>
      <c r="AY182" s="13"/>
      <c r="AZ182" s="13"/>
    </row>
    <row r="183" spans="1:52" ht="13.15">
      <c r="A183" s="12">
        <v>44827</v>
      </c>
      <c r="B183" s="13" t="s">
        <v>2392</v>
      </c>
      <c r="C183" s="13" t="s">
        <v>88</v>
      </c>
      <c r="D183" s="17"/>
      <c r="E183" s="13"/>
      <c r="F183" s="14" t="s">
        <v>113</v>
      </c>
      <c r="G183" s="13"/>
      <c r="H183" s="13"/>
      <c r="I183" s="13"/>
      <c r="J183" s="14"/>
      <c r="K183" s="14"/>
      <c r="L183" s="13">
        <v>1</v>
      </c>
      <c r="M183" s="13"/>
      <c r="N183" s="13"/>
      <c r="O183" s="14" t="s">
        <v>71</v>
      </c>
      <c r="P183" s="14" t="s">
        <v>114</v>
      </c>
      <c r="Q183" s="14" t="s">
        <v>73</v>
      </c>
      <c r="R183" s="14">
        <v>1</v>
      </c>
      <c r="S183" s="14">
        <v>1</v>
      </c>
      <c r="T183" s="14">
        <v>1</v>
      </c>
      <c r="U183" s="14" t="s">
        <v>73</v>
      </c>
      <c r="V183" s="14">
        <f t="shared" ref="V183:V211" si="55">IF(ISBLANK(O183),,(IF(O183=UPPER("IB"),0.005,0.01)))</f>
        <v>0.01</v>
      </c>
      <c r="W183" s="14">
        <f t="shared" ref="W183:W211" si="56">IF(ISBLANK(O183),,IF(O183=UPPER("IB"),8.63*200,16.65*100))</f>
        <v>1664.9999999999998</v>
      </c>
      <c r="X183" s="17"/>
      <c r="Y183" s="17"/>
      <c r="Z183" s="17" t="s">
        <v>75</v>
      </c>
      <c r="AA183" s="18">
        <v>-0.03</v>
      </c>
      <c r="AB183" s="13"/>
      <c r="AC183" s="13"/>
      <c r="AD183" s="13"/>
      <c r="AE183" s="13"/>
      <c r="AF183" s="13"/>
      <c r="AG183" s="13"/>
      <c r="AH183" s="13"/>
      <c r="AI183" s="19"/>
      <c r="AJ183" s="14"/>
      <c r="AK183" s="13"/>
      <c r="AL183" s="13"/>
      <c r="AM183" s="13" t="s">
        <v>2393</v>
      </c>
      <c r="AN183" s="13" t="s">
        <v>92</v>
      </c>
      <c r="AO183" s="13" t="s">
        <v>2394</v>
      </c>
      <c r="AP183" s="20">
        <v>-0.05</v>
      </c>
      <c r="AQ183" s="20">
        <f t="shared" ref="AQ183:AQ211" si="57">IF(ISBLANK(AP183),,IF(U183="S",AA183-AP183,AP183-AA183))</f>
        <v>2.0000000000000004E-2</v>
      </c>
      <c r="AR183" s="97">
        <f t="shared" ref="AR183:AR211" si="58">AS183*R183</f>
        <v>33.300000000000004</v>
      </c>
      <c r="AS183" s="21">
        <f t="shared" ref="AS183:AS211" si="59">IF(ISBLANK(AP183),,(AQ183*W183))</f>
        <v>33.300000000000004</v>
      </c>
      <c r="AT183" s="22" t="s">
        <v>72</v>
      </c>
      <c r="AU183" s="13" t="s">
        <v>2395</v>
      </c>
      <c r="AV183" s="13"/>
      <c r="AW183" s="13"/>
      <c r="AX183" s="13"/>
      <c r="AY183" s="13"/>
      <c r="AZ183" s="13"/>
    </row>
    <row r="184" spans="1:52" ht="13.15">
      <c r="A184" s="12">
        <v>44827</v>
      </c>
      <c r="B184" s="13" t="s">
        <v>2396</v>
      </c>
      <c r="C184" s="13" t="s">
        <v>88</v>
      </c>
      <c r="D184" s="17"/>
      <c r="E184" s="13"/>
      <c r="F184" s="14" t="s">
        <v>2178</v>
      </c>
      <c r="G184" s="13"/>
      <c r="H184" s="13"/>
      <c r="I184" s="13"/>
      <c r="J184" s="14"/>
      <c r="K184" s="14"/>
      <c r="L184" s="13">
        <v>1</v>
      </c>
      <c r="M184" s="13">
        <v>3</v>
      </c>
      <c r="N184" s="13"/>
      <c r="O184" s="14" t="s">
        <v>71</v>
      </c>
      <c r="P184" s="14" t="s">
        <v>72</v>
      </c>
      <c r="Q184" s="14" t="s">
        <v>233</v>
      </c>
      <c r="R184" s="14">
        <v>3</v>
      </c>
      <c r="S184" s="14">
        <v>3</v>
      </c>
      <c r="T184" s="14">
        <v>3</v>
      </c>
      <c r="U184" s="14" t="s">
        <v>21</v>
      </c>
      <c r="V184" s="14">
        <f t="shared" si="55"/>
        <v>0.01</v>
      </c>
      <c r="W184" s="14">
        <f t="shared" si="56"/>
        <v>1664.9999999999998</v>
      </c>
      <c r="X184" s="17"/>
      <c r="Y184" s="17"/>
      <c r="Z184" s="17" t="s">
        <v>2200</v>
      </c>
      <c r="AA184" s="18">
        <v>0.01</v>
      </c>
      <c r="AB184" s="13"/>
      <c r="AC184" s="13"/>
      <c r="AD184" s="13"/>
      <c r="AE184" s="13"/>
      <c r="AF184" s="13"/>
      <c r="AG184" s="13"/>
      <c r="AH184" s="13"/>
      <c r="AI184" s="19"/>
      <c r="AJ184" s="14"/>
      <c r="AK184" s="13"/>
      <c r="AL184" s="13"/>
      <c r="AM184" s="13" t="s">
        <v>2365</v>
      </c>
      <c r="AN184" s="13" t="s">
        <v>72</v>
      </c>
      <c r="AO184" s="13" t="s">
        <v>2397</v>
      </c>
      <c r="AP184" s="20">
        <v>0.04</v>
      </c>
      <c r="AQ184" s="20">
        <f t="shared" si="57"/>
        <v>0.03</v>
      </c>
      <c r="AR184" s="97">
        <f t="shared" si="58"/>
        <v>149.84999999999997</v>
      </c>
      <c r="AS184" s="21">
        <f t="shared" si="59"/>
        <v>49.949999999999989</v>
      </c>
      <c r="AT184" s="22" t="s">
        <v>72</v>
      </c>
      <c r="AU184" s="13" t="s">
        <v>2398</v>
      </c>
      <c r="AV184" s="13"/>
      <c r="AW184" s="13"/>
      <c r="AX184" s="13"/>
      <c r="AY184" s="13"/>
      <c r="AZ184" s="13"/>
    </row>
    <row r="185" spans="1:52" ht="13.15">
      <c r="A185" s="12">
        <v>44827</v>
      </c>
      <c r="B185" s="13" t="s">
        <v>2399</v>
      </c>
      <c r="C185" s="126" t="s">
        <v>88</v>
      </c>
      <c r="D185" s="17"/>
      <c r="E185" s="13"/>
      <c r="F185" s="14" t="s">
        <v>2178</v>
      </c>
      <c r="G185" s="13"/>
      <c r="H185" s="13"/>
      <c r="I185" s="13"/>
      <c r="J185" s="14"/>
      <c r="K185" s="14"/>
      <c r="L185" s="13">
        <v>1</v>
      </c>
      <c r="M185" s="13">
        <v>3</v>
      </c>
      <c r="N185" s="13"/>
      <c r="O185" s="14" t="s">
        <v>71</v>
      </c>
      <c r="P185" s="14" t="s">
        <v>72</v>
      </c>
      <c r="Q185" s="14" t="s">
        <v>233</v>
      </c>
      <c r="R185" s="14">
        <v>3</v>
      </c>
      <c r="S185" s="14">
        <v>3</v>
      </c>
      <c r="T185" s="14">
        <v>3</v>
      </c>
      <c r="U185" s="14" t="s">
        <v>21</v>
      </c>
      <c r="V185" s="14">
        <f t="shared" si="55"/>
        <v>0.01</v>
      </c>
      <c r="W185" s="14">
        <f t="shared" si="56"/>
        <v>1664.9999999999998</v>
      </c>
      <c r="X185" s="17"/>
      <c r="Y185" s="17"/>
      <c r="Z185" s="17" t="s">
        <v>2200</v>
      </c>
      <c r="AA185" s="18">
        <v>0.01</v>
      </c>
      <c r="AB185" s="13"/>
      <c r="AC185" s="13"/>
      <c r="AD185" s="13"/>
      <c r="AE185" s="13"/>
      <c r="AF185" s="13"/>
      <c r="AG185" s="13"/>
      <c r="AH185" s="13"/>
      <c r="AI185" s="19"/>
      <c r="AJ185" s="14"/>
      <c r="AK185" s="13"/>
      <c r="AL185" s="13"/>
      <c r="AM185" s="13" t="s">
        <v>2365</v>
      </c>
      <c r="AN185" s="13" t="s">
        <v>72</v>
      </c>
      <c r="AO185" s="13" t="s">
        <v>2397</v>
      </c>
      <c r="AP185" s="20">
        <v>0.06</v>
      </c>
      <c r="AQ185" s="20">
        <f t="shared" si="57"/>
        <v>4.9999999999999996E-2</v>
      </c>
      <c r="AR185" s="97">
        <f t="shared" si="58"/>
        <v>249.74999999999994</v>
      </c>
      <c r="AS185" s="21">
        <f t="shared" si="59"/>
        <v>83.249999999999986</v>
      </c>
      <c r="AT185" s="22" t="s">
        <v>72</v>
      </c>
      <c r="AU185" s="13" t="s">
        <v>2400</v>
      </c>
      <c r="AV185" s="13" t="s">
        <v>2401</v>
      </c>
      <c r="AW185" s="13"/>
      <c r="AX185" s="13" t="s">
        <v>2402</v>
      </c>
      <c r="AY185" s="13" t="s">
        <v>2403</v>
      </c>
      <c r="AZ185" s="13"/>
    </row>
    <row r="186" spans="1:52" ht="13.15">
      <c r="A186" s="12">
        <v>44827</v>
      </c>
      <c r="B186" s="13" t="s">
        <v>2404</v>
      </c>
      <c r="C186" s="126" t="s">
        <v>88</v>
      </c>
      <c r="D186" s="17"/>
      <c r="E186" s="13"/>
      <c r="F186" s="14" t="s">
        <v>113</v>
      </c>
      <c r="G186" s="13"/>
      <c r="H186" s="13"/>
      <c r="I186" s="13"/>
      <c r="J186" s="14"/>
      <c r="K186" s="14"/>
      <c r="L186" s="13">
        <v>1</v>
      </c>
      <c r="M186" s="13"/>
      <c r="N186" s="13"/>
      <c r="O186" s="14" t="s">
        <v>71</v>
      </c>
      <c r="P186" s="14" t="s">
        <v>114</v>
      </c>
      <c r="Q186" s="14" t="s">
        <v>73</v>
      </c>
      <c r="R186" s="14">
        <v>3</v>
      </c>
      <c r="S186" s="14">
        <v>3</v>
      </c>
      <c r="T186" s="14">
        <v>3</v>
      </c>
      <c r="U186" s="14" t="s">
        <v>21</v>
      </c>
      <c r="V186" s="14">
        <f t="shared" si="55"/>
        <v>0.01</v>
      </c>
      <c r="W186" s="14">
        <f t="shared" si="56"/>
        <v>1664.9999999999998</v>
      </c>
      <c r="X186" s="17"/>
      <c r="Y186" s="17"/>
      <c r="Z186" s="17" t="s">
        <v>75</v>
      </c>
      <c r="AA186" s="18">
        <v>-0.06</v>
      </c>
      <c r="AB186" s="13"/>
      <c r="AC186" s="13"/>
      <c r="AD186" s="13"/>
      <c r="AE186" s="13"/>
      <c r="AF186" s="13"/>
      <c r="AG186" s="13" t="s">
        <v>2405</v>
      </c>
      <c r="AH186" s="13"/>
      <c r="AI186" s="19"/>
      <c r="AJ186" s="14"/>
      <c r="AK186" s="13"/>
      <c r="AL186" s="13"/>
      <c r="AM186" s="13" t="s">
        <v>2406</v>
      </c>
      <c r="AN186" s="13" t="s">
        <v>82</v>
      </c>
      <c r="AO186" s="13"/>
      <c r="AP186" s="20">
        <v>-0.05</v>
      </c>
      <c r="AQ186" s="20">
        <f t="shared" si="57"/>
        <v>9.999999999999995E-3</v>
      </c>
      <c r="AR186" s="97">
        <f t="shared" si="58"/>
        <v>49.94999999999996</v>
      </c>
      <c r="AS186" s="21">
        <f t="shared" si="59"/>
        <v>16.649999999999988</v>
      </c>
      <c r="AT186" s="22" t="s">
        <v>72</v>
      </c>
      <c r="AU186" s="13" t="s">
        <v>2407</v>
      </c>
      <c r="AV186" s="13" t="s">
        <v>2408</v>
      </c>
      <c r="AW186" s="13" t="s">
        <v>2409</v>
      </c>
      <c r="AX186" s="13" t="s">
        <v>2410</v>
      </c>
      <c r="AY186" s="13" t="s">
        <v>2411</v>
      </c>
      <c r="AZ186" s="13" t="s">
        <v>2412</v>
      </c>
    </row>
    <row r="187" spans="1:52" ht="13.15">
      <c r="A187" s="12">
        <v>44827</v>
      </c>
      <c r="B187" s="13" t="s">
        <v>2404</v>
      </c>
      <c r="C187" s="13" t="s">
        <v>88</v>
      </c>
      <c r="D187" s="17"/>
      <c r="E187" s="13"/>
      <c r="F187" s="14" t="s">
        <v>113</v>
      </c>
      <c r="G187" s="13"/>
      <c r="H187" s="13"/>
      <c r="I187" s="13"/>
      <c r="J187" s="14"/>
      <c r="K187" s="14"/>
      <c r="L187" s="13">
        <v>1</v>
      </c>
      <c r="M187" s="13"/>
      <c r="N187" s="13"/>
      <c r="O187" s="14" t="s">
        <v>71</v>
      </c>
      <c r="P187" s="14" t="s">
        <v>114</v>
      </c>
      <c r="Q187" s="14" t="s">
        <v>73</v>
      </c>
      <c r="R187" s="14">
        <v>3</v>
      </c>
      <c r="S187" s="14">
        <v>3</v>
      </c>
      <c r="T187" s="14">
        <v>3</v>
      </c>
      <c r="U187" s="14" t="s">
        <v>21</v>
      </c>
      <c r="V187" s="14">
        <f t="shared" si="55"/>
        <v>0.01</v>
      </c>
      <c r="W187" s="14">
        <f t="shared" si="56"/>
        <v>1664.9999999999998</v>
      </c>
      <c r="X187" s="17"/>
      <c r="Y187" s="17"/>
      <c r="Z187" s="17" t="s">
        <v>75</v>
      </c>
      <c r="AA187" s="18">
        <v>-0.06</v>
      </c>
      <c r="AB187" s="13"/>
      <c r="AC187" s="13"/>
      <c r="AD187" s="13"/>
      <c r="AE187" s="13"/>
      <c r="AF187" s="13"/>
      <c r="AG187" s="13"/>
      <c r="AH187" s="13"/>
      <c r="AI187" s="19"/>
      <c r="AJ187" s="14"/>
      <c r="AK187" s="13"/>
      <c r="AL187" s="13"/>
      <c r="AM187" s="13" t="s">
        <v>2413</v>
      </c>
      <c r="AN187" s="13" t="s">
        <v>92</v>
      </c>
      <c r="AO187" s="13"/>
      <c r="AP187" s="20">
        <v>-0.06</v>
      </c>
      <c r="AQ187" s="20">
        <f t="shared" si="57"/>
        <v>0</v>
      </c>
      <c r="AR187" s="97">
        <f t="shared" si="58"/>
        <v>0</v>
      </c>
      <c r="AS187" s="21">
        <f t="shared" si="59"/>
        <v>0</v>
      </c>
      <c r="AT187" s="22"/>
      <c r="AU187" s="13" t="s">
        <v>2414</v>
      </c>
      <c r="AV187" s="13" t="s">
        <v>2415</v>
      </c>
      <c r="AX187" s="13"/>
      <c r="AY187" s="13"/>
      <c r="AZ187" s="13"/>
    </row>
    <row r="188" spans="1:52" ht="13.15">
      <c r="A188" s="12">
        <v>44827</v>
      </c>
      <c r="B188" s="13" t="s">
        <v>2416</v>
      </c>
      <c r="C188" s="13" t="s">
        <v>88</v>
      </c>
      <c r="D188" s="17"/>
      <c r="E188" s="13"/>
      <c r="F188" s="36" t="s">
        <v>2417</v>
      </c>
      <c r="G188" s="13"/>
      <c r="H188" s="13"/>
      <c r="I188" s="13"/>
      <c r="J188" s="14"/>
      <c r="K188" s="14"/>
      <c r="L188" s="13"/>
      <c r="M188" s="13">
        <v>1</v>
      </c>
      <c r="N188" s="13"/>
      <c r="O188" s="14" t="s">
        <v>71</v>
      </c>
      <c r="P188" s="14" t="s">
        <v>72</v>
      </c>
      <c r="Q188" s="14" t="s">
        <v>233</v>
      </c>
      <c r="R188" s="14">
        <v>1</v>
      </c>
      <c r="S188" s="14">
        <v>1</v>
      </c>
      <c r="T188" s="14">
        <v>1</v>
      </c>
      <c r="U188" s="14" t="s">
        <v>21</v>
      </c>
      <c r="V188" s="14">
        <f t="shared" si="55"/>
        <v>0.01</v>
      </c>
      <c r="W188" s="14">
        <f t="shared" si="56"/>
        <v>1664.9999999999998</v>
      </c>
      <c r="X188" s="17"/>
      <c r="Y188" s="17"/>
      <c r="Z188" s="17" t="s">
        <v>2418</v>
      </c>
      <c r="AA188" s="18">
        <v>0.01</v>
      </c>
      <c r="AB188" s="13"/>
      <c r="AC188" s="13"/>
      <c r="AD188" s="13"/>
      <c r="AE188" s="13"/>
      <c r="AF188" s="13"/>
      <c r="AG188" s="13" t="s">
        <v>2419</v>
      </c>
      <c r="AH188" s="13"/>
      <c r="AI188" s="19"/>
      <c r="AJ188" s="14"/>
      <c r="AK188" s="13"/>
      <c r="AL188" s="13"/>
      <c r="AM188" s="13" t="s">
        <v>2420</v>
      </c>
      <c r="AN188" s="13" t="s">
        <v>92</v>
      </c>
      <c r="AO188" s="13" t="s">
        <v>2421</v>
      </c>
      <c r="AP188" s="20">
        <v>0.05</v>
      </c>
      <c r="AQ188" s="20">
        <f t="shared" si="57"/>
        <v>0.04</v>
      </c>
      <c r="AR188" s="97">
        <f t="shared" si="58"/>
        <v>66.599999999999994</v>
      </c>
      <c r="AS188" s="21">
        <f t="shared" si="59"/>
        <v>66.599999999999994</v>
      </c>
      <c r="AT188" s="22" t="s">
        <v>72</v>
      </c>
      <c r="AU188" s="13" t="s">
        <v>2422</v>
      </c>
      <c r="AV188" s="13"/>
      <c r="AW188" s="13"/>
      <c r="AX188" s="13"/>
      <c r="AY188" s="13"/>
      <c r="AZ188" s="13"/>
    </row>
    <row r="189" spans="1:52" ht="13.15">
      <c r="A189" s="12">
        <v>44830</v>
      </c>
      <c r="B189" s="13" t="s">
        <v>2423</v>
      </c>
      <c r="C189" s="13" t="s">
        <v>109</v>
      </c>
      <c r="D189" s="17"/>
      <c r="E189" s="13"/>
      <c r="F189" s="14" t="s">
        <v>1989</v>
      </c>
      <c r="G189" s="13"/>
      <c r="H189" s="13"/>
      <c r="I189" s="13"/>
      <c r="J189" s="14"/>
      <c r="K189" s="14"/>
      <c r="L189" s="13">
        <v>1</v>
      </c>
      <c r="M189" s="13"/>
      <c r="N189" s="13"/>
      <c r="O189" s="14" t="s">
        <v>71</v>
      </c>
      <c r="P189" s="14" t="s">
        <v>72</v>
      </c>
      <c r="Q189" s="14" t="s">
        <v>233</v>
      </c>
      <c r="R189" s="14">
        <v>1</v>
      </c>
      <c r="S189" s="14">
        <v>1</v>
      </c>
      <c r="T189" s="14">
        <v>1</v>
      </c>
      <c r="U189" s="14" t="s">
        <v>21</v>
      </c>
      <c r="V189" s="14">
        <f t="shared" si="55"/>
        <v>0.01</v>
      </c>
      <c r="W189" s="14">
        <f t="shared" si="56"/>
        <v>1664.9999999999998</v>
      </c>
      <c r="X189" s="17"/>
      <c r="Y189" s="17"/>
      <c r="Z189" s="17" t="s">
        <v>2424</v>
      </c>
      <c r="AA189" s="18">
        <v>0.43</v>
      </c>
      <c r="AB189" s="13"/>
      <c r="AC189" s="13"/>
      <c r="AD189" s="13"/>
      <c r="AE189" s="13"/>
      <c r="AF189" s="13"/>
      <c r="AG189" s="13"/>
      <c r="AH189" s="13"/>
      <c r="AI189" s="19"/>
      <c r="AJ189" s="14"/>
      <c r="AK189" s="13"/>
      <c r="AL189" s="13"/>
      <c r="AM189" s="13" t="s">
        <v>2425</v>
      </c>
      <c r="AN189" s="13" t="s">
        <v>82</v>
      </c>
      <c r="AO189" s="13"/>
      <c r="AP189" s="20">
        <v>0.45</v>
      </c>
      <c r="AQ189" s="20">
        <f t="shared" si="57"/>
        <v>2.0000000000000018E-2</v>
      </c>
      <c r="AR189" s="97">
        <f t="shared" si="58"/>
        <v>33.300000000000026</v>
      </c>
      <c r="AS189" s="21">
        <f t="shared" si="59"/>
        <v>33.300000000000026</v>
      </c>
      <c r="AT189" s="22" t="s">
        <v>72</v>
      </c>
      <c r="AU189" s="13" t="s">
        <v>2426</v>
      </c>
      <c r="AV189" s="13" t="s">
        <v>2427</v>
      </c>
      <c r="AW189" s="13" t="s">
        <v>2428</v>
      </c>
      <c r="AX189" s="13"/>
      <c r="AY189" s="13"/>
      <c r="AZ189" s="13"/>
    </row>
    <row r="190" spans="1:52" ht="13.15">
      <c r="A190" s="12">
        <v>44830</v>
      </c>
      <c r="B190" s="13" t="s">
        <v>710</v>
      </c>
      <c r="C190" s="13" t="s">
        <v>109</v>
      </c>
      <c r="D190" s="17"/>
      <c r="E190" s="13"/>
      <c r="F190" s="14" t="s">
        <v>113</v>
      </c>
      <c r="G190" s="13"/>
      <c r="H190" s="13"/>
      <c r="I190" s="13"/>
      <c r="J190" s="14"/>
      <c r="K190" s="14"/>
      <c r="L190" s="13">
        <v>1</v>
      </c>
      <c r="M190" s="13"/>
      <c r="N190" s="13"/>
      <c r="O190" s="14" t="s">
        <v>71</v>
      </c>
      <c r="P190" s="14" t="s">
        <v>114</v>
      </c>
      <c r="Q190" s="14" t="s">
        <v>73</v>
      </c>
      <c r="R190" s="14">
        <v>3</v>
      </c>
      <c r="S190" s="14">
        <v>3</v>
      </c>
      <c r="T190" s="14">
        <v>3</v>
      </c>
      <c r="U190" s="14" t="s">
        <v>73</v>
      </c>
      <c r="V190" s="14">
        <f t="shared" si="55"/>
        <v>0.01</v>
      </c>
      <c r="W190" s="14">
        <f t="shared" si="56"/>
        <v>1664.9999999999998</v>
      </c>
      <c r="X190" s="17"/>
      <c r="Y190" s="17"/>
      <c r="Z190" s="17" t="s">
        <v>2429</v>
      </c>
      <c r="AA190" s="18">
        <v>-0.06</v>
      </c>
      <c r="AB190" s="13"/>
      <c r="AC190" s="13"/>
      <c r="AD190" s="13"/>
      <c r="AE190" s="13"/>
      <c r="AF190" s="13"/>
      <c r="AG190" s="13" t="s">
        <v>2430</v>
      </c>
      <c r="AH190" s="13"/>
      <c r="AI190" s="19"/>
      <c r="AJ190" s="14"/>
      <c r="AK190" s="13"/>
      <c r="AL190" s="13"/>
      <c r="AM190" s="13" t="s">
        <v>2431</v>
      </c>
      <c r="AN190" s="13" t="s">
        <v>82</v>
      </c>
      <c r="AO190" s="13"/>
      <c r="AP190" s="20">
        <v>-7.0000000000000007E-2</v>
      </c>
      <c r="AQ190" s="20">
        <f t="shared" si="57"/>
        <v>1.0000000000000009E-2</v>
      </c>
      <c r="AR190" s="97">
        <f t="shared" si="58"/>
        <v>49.950000000000038</v>
      </c>
      <c r="AS190" s="21">
        <f t="shared" si="59"/>
        <v>16.650000000000013</v>
      </c>
      <c r="AT190" s="22" t="s">
        <v>72</v>
      </c>
      <c r="AU190" s="13" t="s">
        <v>2432</v>
      </c>
      <c r="AV190" s="13"/>
      <c r="AW190" s="13"/>
      <c r="AX190" s="13"/>
      <c r="AY190" s="13"/>
      <c r="AZ190" s="13"/>
    </row>
    <row r="191" spans="1:52" ht="13.15">
      <c r="A191" s="12">
        <v>44830</v>
      </c>
      <c r="B191" s="13" t="s">
        <v>2433</v>
      </c>
      <c r="C191" s="13" t="s">
        <v>109</v>
      </c>
      <c r="D191" s="17"/>
      <c r="E191" s="13"/>
      <c r="F191" s="14" t="s">
        <v>2434</v>
      </c>
      <c r="G191" s="13"/>
      <c r="H191" s="13"/>
      <c r="I191" s="13"/>
      <c r="J191" s="14"/>
      <c r="K191" s="14"/>
      <c r="L191" s="13">
        <v>1</v>
      </c>
      <c r="M191" s="13">
        <v>1</v>
      </c>
      <c r="N191" s="13"/>
      <c r="O191" s="14" t="s">
        <v>71</v>
      </c>
      <c r="P191" s="14" t="s">
        <v>114</v>
      </c>
      <c r="Q191" s="14" t="s">
        <v>233</v>
      </c>
      <c r="R191" s="14">
        <v>2</v>
      </c>
      <c r="S191" s="14">
        <v>2</v>
      </c>
      <c r="T191" s="14">
        <v>2</v>
      </c>
      <c r="U191" s="14" t="s">
        <v>73</v>
      </c>
      <c r="V191" s="14">
        <f t="shared" si="55"/>
        <v>0.01</v>
      </c>
      <c r="W191" s="14">
        <f t="shared" si="56"/>
        <v>1664.9999999999998</v>
      </c>
      <c r="X191" s="17"/>
      <c r="Y191" s="17"/>
      <c r="Z191" s="17" t="s">
        <v>2435</v>
      </c>
      <c r="AA191" s="18">
        <v>0</v>
      </c>
      <c r="AB191" s="13"/>
      <c r="AC191" s="13"/>
      <c r="AD191" s="13"/>
      <c r="AE191" s="13"/>
      <c r="AF191" s="13"/>
      <c r="AG191" s="13" t="s">
        <v>2436</v>
      </c>
      <c r="AH191" s="13"/>
      <c r="AI191" s="19"/>
      <c r="AJ191" s="14"/>
      <c r="AK191" s="13"/>
      <c r="AL191" s="13"/>
      <c r="AM191" s="13"/>
      <c r="AN191" s="13"/>
      <c r="AO191" s="13"/>
      <c r="AP191" s="20"/>
      <c r="AQ191" s="13">
        <f t="shared" si="57"/>
        <v>0</v>
      </c>
      <c r="AR191" s="97">
        <f t="shared" si="58"/>
        <v>0</v>
      </c>
      <c r="AS191" s="21">
        <f t="shared" si="59"/>
        <v>0</v>
      </c>
      <c r="AT191" s="22"/>
      <c r="AU191" s="13" t="s">
        <v>2437</v>
      </c>
      <c r="AV191" s="13" t="s">
        <v>2438</v>
      </c>
      <c r="AW191" s="13" t="s">
        <v>2439</v>
      </c>
      <c r="AX191" s="13" t="s">
        <v>2440</v>
      </c>
      <c r="AY191" s="13" t="s">
        <v>2441</v>
      </c>
      <c r="AZ191" s="13"/>
    </row>
    <row r="192" spans="1:52" ht="13.15">
      <c r="A192" s="12">
        <v>44830</v>
      </c>
      <c r="B192" s="13" t="s">
        <v>2442</v>
      </c>
      <c r="C192" s="13" t="s">
        <v>109</v>
      </c>
      <c r="D192" s="17"/>
      <c r="E192" s="13"/>
      <c r="F192" s="14" t="s">
        <v>113</v>
      </c>
      <c r="G192" s="13"/>
      <c r="H192" s="13"/>
      <c r="I192" s="13"/>
      <c r="J192" s="14"/>
      <c r="K192" s="14"/>
      <c r="L192" s="13">
        <v>1</v>
      </c>
      <c r="M192" s="13"/>
      <c r="N192" s="13"/>
      <c r="O192" s="14" t="s">
        <v>71</v>
      </c>
      <c r="P192" s="14" t="s">
        <v>114</v>
      </c>
      <c r="Q192" s="14" t="s">
        <v>73</v>
      </c>
      <c r="R192" s="14">
        <v>3</v>
      </c>
      <c r="S192" s="14">
        <v>3</v>
      </c>
      <c r="T192" s="14">
        <v>3</v>
      </c>
      <c r="U192" s="14" t="s">
        <v>21</v>
      </c>
      <c r="V192" s="14">
        <f t="shared" si="55"/>
        <v>0.01</v>
      </c>
      <c r="W192" s="14">
        <f t="shared" si="56"/>
        <v>1664.9999999999998</v>
      </c>
      <c r="X192" s="17"/>
      <c r="Y192" s="17"/>
      <c r="Z192" s="17" t="s">
        <v>2443</v>
      </c>
      <c r="AA192" s="18">
        <v>-7.0000000000000007E-2</v>
      </c>
      <c r="AB192" s="13"/>
      <c r="AC192" s="13"/>
      <c r="AD192" s="13"/>
      <c r="AE192" s="13"/>
      <c r="AF192" s="13"/>
      <c r="AG192" s="13"/>
      <c r="AH192" s="13"/>
      <c r="AI192" s="19"/>
      <c r="AJ192" s="14"/>
      <c r="AK192" s="13"/>
      <c r="AL192" s="13"/>
      <c r="AM192" s="13" t="s">
        <v>2444</v>
      </c>
      <c r="AN192" s="13" t="s">
        <v>82</v>
      </c>
      <c r="AO192" s="13"/>
      <c r="AP192" s="20">
        <v>-0.06</v>
      </c>
      <c r="AQ192" s="20">
        <f t="shared" si="57"/>
        <v>1.0000000000000009E-2</v>
      </c>
      <c r="AR192" s="97">
        <f t="shared" si="58"/>
        <v>49.950000000000038</v>
      </c>
      <c r="AS192" s="21">
        <f t="shared" si="59"/>
        <v>16.650000000000013</v>
      </c>
      <c r="AT192" s="22" t="s">
        <v>72</v>
      </c>
      <c r="AU192" s="13" t="s">
        <v>2437</v>
      </c>
      <c r="AV192" s="13" t="s">
        <v>2438</v>
      </c>
      <c r="AW192" s="13" t="s">
        <v>2445</v>
      </c>
      <c r="AX192" s="13" t="s">
        <v>2445</v>
      </c>
      <c r="AY192" s="13" t="s">
        <v>2446</v>
      </c>
      <c r="AZ192" s="13" t="s">
        <v>2447</v>
      </c>
    </row>
    <row r="193" spans="1:52" ht="13.15">
      <c r="A193" s="12">
        <v>44830</v>
      </c>
      <c r="B193" s="33"/>
      <c r="C193" s="13" t="s">
        <v>109</v>
      </c>
      <c r="D193" s="17"/>
      <c r="E193" s="13"/>
      <c r="F193" s="14" t="s">
        <v>2234</v>
      </c>
      <c r="G193" s="13"/>
      <c r="H193" s="13"/>
      <c r="I193" s="13"/>
      <c r="J193" s="14"/>
      <c r="K193" s="14"/>
      <c r="L193" s="13">
        <v>1</v>
      </c>
      <c r="M193" s="13">
        <v>1</v>
      </c>
      <c r="N193" s="13"/>
      <c r="O193" s="14" t="s">
        <v>71</v>
      </c>
      <c r="P193" s="14" t="s">
        <v>114</v>
      </c>
      <c r="Q193" s="14" t="s">
        <v>233</v>
      </c>
      <c r="R193" s="14">
        <v>4</v>
      </c>
      <c r="S193" s="14">
        <v>4</v>
      </c>
      <c r="T193" s="14">
        <v>4</v>
      </c>
      <c r="U193" s="14" t="s">
        <v>21</v>
      </c>
      <c r="V193" s="14">
        <f t="shared" si="55"/>
        <v>0.01</v>
      </c>
      <c r="W193" s="14">
        <f t="shared" si="56"/>
        <v>1664.9999999999998</v>
      </c>
      <c r="X193" s="17"/>
      <c r="Y193" s="17"/>
      <c r="Z193" s="17" t="s">
        <v>2448</v>
      </c>
      <c r="AA193" s="18">
        <v>95.67</v>
      </c>
      <c r="AB193" s="13"/>
      <c r="AC193" s="13"/>
      <c r="AD193" s="13"/>
      <c r="AE193" s="13"/>
      <c r="AF193" s="13"/>
      <c r="AG193" s="13"/>
      <c r="AH193" s="13"/>
      <c r="AI193" s="19"/>
      <c r="AJ193" s="14"/>
      <c r="AK193" s="13"/>
      <c r="AL193" s="13"/>
      <c r="AM193" s="13"/>
      <c r="AN193" s="13" t="s">
        <v>82</v>
      </c>
      <c r="AO193" s="13"/>
      <c r="AP193" s="20">
        <v>95.68</v>
      </c>
      <c r="AQ193" s="20">
        <f t="shared" si="57"/>
        <v>1.0000000000005116E-2</v>
      </c>
      <c r="AR193" s="97">
        <f t="shared" si="58"/>
        <v>66.600000000034058</v>
      </c>
      <c r="AS193" s="21">
        <f t="shared" si="59"/>
        <v>16.650000000008514</v>
      </c>
      <c r="AT193" s="22" t="s">
        <v>72</v>
      </c>
      <c r="AU193" s="13" t="s">
        <v>2449</v>
      </c>
      <c r="AV193" s="13" t="s">
        <v>2450</v>
      </c>
      <c r="AW193" s="13"/>
      <c r="AX193" s="13" t="s">
        <v>2451</v>
      </c>
      <c r="AY193" s="13" t="s">
        <v>2452</v>
      </c>
      <c r="AZ193" s="13"/>
    </row>
    <row r="194" spans="1:52" ht="13.15">
      <c r="A194" s="12">
        <v>44830</v>
      </c>
      <c r="B194" s="13"/>
      <c r="C194" s="13" t="s">
        <v>109</v>
      </c>
      <c r="D194" s="17"/>
      <c r="E194" s="13"/>
      <c r="F194" s="14" t="s">
        <v>1871</v>
      </c>
      <c r="G194" s="13"/>
      <c r="H194" s="13"/>
      <c r="I194" s="13"/>
      <c r="J194" s="14"/>
      <c r="K194" s="14"/>
      <c r="L194" s="13">
        <v>1</v>
      </c>
      <c r="M194" s="13">
        <v>1</v>
      </c>
      <c r="N194" s="13"/>
      <c r="O194" s="14" t="s">
        <v>71</v>
      </c>
      <c r="P194" s="14" t="s">
        <v>114</v>
      </c>
      <c r="Q194" s="14" t="s">
        <v>233</v>
      </c>
      <c r="R194" s="14">
        <v>2</v>
      </c>
      <c r="S194" s="14">
        <v>2</v>
      </c>
      <c r="T194" s="14">
        <v>2</v>
      </c>
      <c r="U194" s="14" t="s">
        <v>73</v>
      </c>
      <c r="V194" s="14">
        <f t="shared" si="55"/>
        <v>0.01</v>
      </c>
      <c r="W194" s="14">
        <f t="shared" si="56"/>
        <v>1664.9999999999998</v>
      </c>
      <c r="X194" s="17"/>
      <c r="Y194" s="17"/>
      <c r="Z194" s="17" t="s">
        <v>2448</v>
      </c>
      <c r="AA194" s="18">
        <v>95.57</v>
      </c>
      <c r="AB194" s="13"/>
      <c r="AC194" s="13"/>
      <c r="AD194" s="13"/>
      <c r="AE194" s="13"/>
      <c r="AF194" s="13"/>
      <c r="AG194" s="13"/>
      <c r="AH194" s="13"/>
      <c r="AI194" s="19"/>
      <c r="AJ194" s="14"/>
      <c r="AK194" s="13"/>
      <c r="AL194" s="13"/>
      <c r="AM194" s="13"/>
      <c r="AN194" s="13" t="s">
        <v>82</v>
      </c>
      <c r="AO194" s="13"/>
      <c r="AP194" s="20">
        <v>95.58</v>
      </c>
      <c r="AQ194" s="20">
        <f t="shared" si="57"/>
        <v>-1.0000000000005116E-2</v>
      </c>
      <c r="AR194" s="97">
        <f t="shared" si="58"/>
        <v>-33.300000000017029</v>
      </c>
      <c r="AS194" s="21">
        <f t="shared" si="59"/>
        <v>-16.650000000008514</v>
      </c>
      <c r="AT194" s="22" t="s">
        <v>206</v>
      </c>
      <c r="AU194" s="13" t="s">
        <v>2453</v>
      </c>
      <c r="AV194" s="13" t="s">
        <v>2450</v>
      </c>
      <c r="AW194" s="13"/>
      <c r="AX194" s="13" t="s">
        <v>2454</v>
      </c>
      <c r="AY194" s="13" t="s">
        <v>2452</v>
      </c>
      <c r="AZ194" s="13"/>
    </row>
    <row r="195" spans="1:52" ht="13.15">
      <c r="A195" s="12">
        <v>44830</v>
      </c>
      <c r="B195" s="13" t="s">
        <v>2455</v>
      </c>
      <c r="C195" s="13" t="s">
        <v>109</v>
      </c>
      <c r="D195" s="17"/>
      <c r="E195" s="13"/>
      <c r="F195" s="14" t="s">
        <v>2434</v>
      </c>
      <c r="G195" s="13"/>
      <c r="H195" s="13"/>
      <c r="I195" s="13"/>
      <c r="J195" s="14"/>
      <c r="K195" s="14"/>
      <c r="L195" s="13">
        <v>1</v>
      </c>
      <c r="M195" s="13">
        <v>2</v>
      </c>
      <c r="N195" s="13"/>
      <c r="O195" s="14" t="s">
        <v>71</v>
      </c>
      <c r="P195" s="14" t="s">
        <v>114</v>
      </c>
      <c r="Q195" s="14" t="s">
        <v>233</v>
      </c>
      <c r="R195" s="14">
        <v>2</v>
      </c>
      <c r="S195" s="14">
        <v>2</v>
      </c>
      <c r="T195" s="14">
        <v>1</v>
      </c>
      <c r="U195" s="14" t="s">
        <v>73</v>
      </c>
      <c r="V195" s="14">
        <f t="shared" si="55"/>
        <v>0.01</v>
      </c>
      <c r="W195" s="14">
        <f t="shared" si="56"/>
        <v>1664.9999999999998</v>
      </c>
      <c r="X195" s="17"/>
      <c r="Y195" s="17"/>
      <c r="Z195" s="28" t="s">
        <v>2456</v>
      </c>
      <c r="AA195" s="18">
        <v>-0.01</v>
      </c>
      <c r="AB195" s="13"/>
      <c r="AC195" s="13"/>
      <c r="AD195" s="13"/>
      <c r="AE195" s="13"/>
      <c r="AF195" s="13"/>
      <c r="AG195" s="13"/>
      <c r="AH195" s="13"/>
      <c r="AI195" s="19"/>
      <c r="AJ195" s="14"/>
      <c r="AK195" s="13"/>
      <c r="AL195" s="13"/>
      <c r="AM195" s="13"/>
      <c r="AN195" s="13"/>
      <c r="AO195" s="13" t="s">
        <v>2457</v>
      </c>
      <c r="AP195" s="20"/>
      <c r="AQ195" s="13">
        <f t="shared" si="57"/>
        <v>0</v>
      </c>
      <c r="AR195" s="97">
        <f t="shared" si="58"/>
        <v>0</v>
      </c>
      <c r="AS195" s="21">
        <f t="shared" si="59"/>
        <v>0</v>
      </c>
      <c r="AT195" s="22"/>
      <c r="AU195" s="13" t="s">
        <v>2458</v>
      </c>
      <c r="AV195" s="13" t="s">
        <v>2459</v>
      </c>
      <c r="AW195" s="13"/>
      <c r="AX195" s="13"/>
      <c r="AY195" s="13"/>
      <c r="AZ195" s="13"/>
    </row>
    <row r="196" spans="1:52" ht="13.15">
      <c r="A196" s="12">
        <v>44830</v>
      </c>
      <c r="B196" s="13" t="s">
        <v>2460</v>
      </c>
      <c r="C196" s="13" t="s">
        <v>109</v>
      </c>
      <c r="D196" s="17"/>
      <c r="E196" s="13"/>
      <c r="F196" s="14" t="s">
        <v>113</v>
      </c>
      <c r="G196" s="13"/>
      <c r="H196" s="13"/>
      <c r="I196" s="13"/>
      <c r="J196" s="14"/>
      <c r="K196" s="14"/>
      <c r="L196" s="13">
        <v>1</v>
      </c>
      <c r="M196" s="13"/>
      <c r="N196" s="13"/>
      <c r="O196" s="14" t="s">
        <v>71</v>
      </c>
      <c r="P196" s="14" t="s">
        <v>114</v>
      </c>
      <c r="Q196" s="14" t="s">
        <v>73</v>
      </c>
      <c r="R196" s="14">
        <v>3</v>
      </c>
      <c r="S196" s="14">
        <v>3</v>
      </c>
      <c r="T196" s="14">
        <v>3</v>
      </c>
      <c r="U196" s="14" t="s">
        <v>73</v>
      </c>
      <c r="V196" s="14">
        <f t="shared" si="55"/>
        <v>0.01</v>
      </c>
      <c r="W196" s="14">
        <f t="shared" si="56"/>
        <v>1664.9999999999998</v>
      </c>
      <c r="X196" s="17"/>
      <c r="Y196" s="17"/>
      <c r="Z196" s="29" t="s">
        <v>75</v>
      </c>
      <c r="AA196" s="18">
        <v>-0.05</v>
      </c>
      <c r="AB196" s="13"/>
      <c r="AC196" s="13"/>
      <c r="AD196" s="13"/>
      <c r="AE196" s="13"/>
      <c r="AF196" s="13"/>
      <c r="AG196" s="13"/>
      <c r="AH196" s="13"/>
      <c r="AI196" s="19"/>
      <c r="AJ196" s="14"/>
      <c r="AK196" s="13"/>
      <c r="AL196" s="13"/>
      <c r="AM196" s="13"/>
      <c r="AN196" s="13" t="s">
        <v>92</v>
      </c>
      <c r="AO196" s="13" t="s">
        <v>2461</v>
      </c>
      <c r="AP196" s="20">
        <v>-0.06</v>
      </c>
      <c r="AQ196" s="20">
        <f t="shared" si="57"/>
        <v>9.999999999999995E-3</v>
      </c>
      <c r="AR196" s="97">
        <f t="shared" si="58"/>
        <v>49.94999999999996</v>
      </c>
      <c r="AS196" s="21">
        <f t="shared" si="59"/>
        <v>16.649999999999988</v>
      </c>
      <c r="AT196" s="22" t="s">
        <v>72</v>
      </c>
      <c r="AU196" s="13"/>
      <c r="AV196" s="13"/>
      <c r="AW196" s="13"/>
      <c r="AX196" s="13"/>
      <c r="AY196" s="13"/>
      <c r="AZ196" s="13"/>
    </row>
    <row r="197" spans="1:52" ht="13.15">
      <c r="A197" s="12">
        <v>44831</v>
      </c>
      <c r="B197" s="13" t="s">
        <v>2462</v>
      </c>
      <c r="C197" s="13" t="s">
        <v>123</v>
      </c>
      <c r="D197" s="17"/>
      <c r="E197" s="13"/>
      <c r="F197" s="14" t="s">
        <v>113</v>
      </c>
      <c r="G197" s="13"/>
      <c r="H197" s="13"/>
      <c r="I197" s="13"/>
      <c r="J197" s="14"/>
      <c r="K197" s="14"/>
      <c r="L197" s="13">
        <v>1</v>
      </c>
      <c r="M197" s="13"/>
      <c r="N197" s="13"/>
      <c r="O197" s="14" t="s">
        <v>71</v>
      </c>
      <c r="P197" s="14" t="s">
        <v>114</v>
      </c>
      <c r="Q197" s="14" t="s">
        <v>73</v>
      </c>
      <c r="R197" s="14">
        <v>3</v>
      </c>
      <c r="S197" s="14">
        <v>3</v>
      </c>
      <c r="T197" s="14">
        <v>3</v>
      </c>
      <c r="U197" s="14" t="s">
        <v>73</v>
      </c>
      <c r="V197" s="14">
        <f t="shared" si="55"/>
        <v>0.01</v>
      </c>
      <c r="W197" s="14">
        <f t="shared" si="56"/>
        <v>1664.9999999999998</v>
      </c>
      <c r="X197" s="17"/>
      <c r="Y197" s="17"/>
      <c r="Z197" s="29" t="s">
        <v>75</v>
      </c>
      <c r="AA197" s="18">
        <v>-0.05</v>
      </c>
      <c r="AB197" s="13"/>
      <c r="AC197" s="13"/>
      <c r="AD197" s="13"/>
      <c r="AE197" s="13"/>
      <c r="AF197" s="13"/>
      <c r="AG197" s="13"/>
      <c r="AH197" s="13"/>
      <c r="AI197" s="19"/>
      <c r="AJ197" s="14"/>
      <c r="AK197" s="13"/>
      <c r="AL197" s="13"/>
      <c r="AM197" s="13"/>
      <c r="AN197" s="13"/>
      <c r="AO197" s="13"/>
      <c r="AP197" s="20"/>
      <c r="AQ197" s="13">
        <f t="shared" si="57"/>
        <v>0</v>
      </c>
      <c r="AR197" s="97">
        <f t="shared" si="58"/>
        <v>0</v>
      </c>
      <c r="AS197" s="21">
        <f t="shared" si="59"/>
        <v>0</v>
      </c>
      <c r="AT197" s="22"/>
      <c r="AU197" s="13" t="s">
        <v>2463</v>
      </c>
      <c r="AV197" s="13"/>
      <c r="AW197" s="13"/>
      <c r="AX197" s="13"/>
      <c r="AY197" s="13"/>
      <c r="AZ197" s="13"/>
    </row>
    <row r="198" spans="1:52" ht="13.15">
      <c r="A198" s="12">
        <v>44831</v>
      </c>
      <c r="B198" s="13" t="s">
        <v>2464</v>
      </c>
      <c r="C198" s="13" t="s">
        <v>123</v>
      </c>
      <c r="D198" s="17"/>
      <c r="E198" s="13"/>
      <c r="F198" s="14" t="s">
        <v>113</v>
      </c>
      <c r="G198" s="13"/>
      <c r="H198" s="13"/>
      <c r="I198" s="13"/>
      <c r="J198" s="14"/>
      <c r="K198" s="14"/>
      <c r="L198" s="13">
        <v>1</v>
      </c>
      <c r="M198" s="13"/>
      <c r="N198" s="13"/>
      <c r="O198" s="14" t="s">
        <v>71</v>
      </c>
      <c r="P198" s="14" t="s">
        <v>114</v>
      </c>
      <c r="Q198" s="14" t="s">
        <v>73</v>
      </c>
      <c r="R198" s="14">
        <v>2</v>
      </c>
      <c r="S198" s="14">
        <v>2</v>
      </c>
      <c r="T198" s="14">
        <v>2</v>
      </c>
      <c r="U198" s="14" t="s">
        <v>73</v>
      </c>
      <c r="V198" s="14">
        <f t="shared" si="55"/>
        <v>0.01</v>
      </c>
      <c r="W198" s="14">
        <f t="shared" si="56"/>
        <v>1664.9999999999998</v>
      </c>
      <c r="X198" s="17"/>
      <c r="Y198" s="17"/>
      <c r="Z198" s="29" t="s">
        <v>75</v>
      </c>
      <c r="AA198" s="18">
        <v>-0.04</v>
      </c>
      <c r="AB198" s="13"/>
      <c r="AC198" s="13"/>
      <c r="AD198" s="13"/>
      <c r="AE198" s="13"/>
      <c r="AF198" s="13"/>
      <c r="AG198" s="13"/>
      <c r="AH198" s="13"/>
      <c r="AI198" s="19"/>
      <c r="AJ198" s="14"/>
      <c r="AK198" s="13"/>
      <c r="AL198" s="13"/>
      <c r="AM198" s="13"/>
      <c r="AN198" s="13"/>
      <c r="AO198" s="13"/>
      <c r="AP198" s="20"/>
      <c r="AQ198" s="13">
        <f t="shared" si="57"/>
        <v>0</v>
      </c>
      <c r="AR198" s="97">
        <f t="shared" si="58"/>
        <v>0</v>
      </c>
      <c r="AS198" s="21">
        <f t="shared" si="59"/>
        <v>0</v>
      </c>
      <c r="AT198" s="22"/>
      <c r="AU198" s="13" t="s">
        <v>2465</v>
      </c>
      <c r="AV198" s="13"/>
      <c r="AW198" s="13"/>
      <c r="AX198" s="13"/>
      <c r="AY198" s="13"/>
      <c r="AZ198" s="13"/>
    </row>
    <row r="199" spans="1:52" ht="13.15">
      <c r="A199" s="12">
        <v>44831</v>
      </c>
      <c r="B199" s="13" t="s">
        <v>2466</v>
      </c>
      <c r="C199" s="13" t="s">
        <v>123</v>
      </c>
      <c r="D199" s="17"/>
      <c r="E199" s="13"/>
      <c r="F199" s="14" t="s">
        <v>2178</v>
      </c>
      <c r="G199" s="13"/>
      <c r="H199" s="13"/>
      <c r="I199" s="13"/>
      <c r="J199" s="14"/>
      <c r="K199" s="14"/>
      <c r="L199" s="13">
        <v>1</v>
      </c>
      <c r="M199" s="13">
        <v>1</v>
      </c>
      <c r="N199" s="13"/>
      <c r="O199" s="14" t="s">
        <v>71</v>
      </c>
      <c r="P199" s="14" t="s">
        <v>72</v>
      </c>
      <c r="Q199" s="14" t="s">
        <v>233</v>
      </c>
      <c r="R199" s="14">
        <v>2</v>
      </c>
      <c r="S199" s="14">
        <v>2</v>
      </c>
      <c r="T199" s="14">
        <v>2</v>
      </c>
      <c r="U199" s="14" t="s">
        <v>21</v>
      </c>
      <c r="V199" s="14">
        <f t="shared" si="55"/>
        <v>0.01</v>
      </c>
      <c r="W199" s="14">
        <f t="shared" si="56"/>
        <v>1664.9999999999998</v>
      </c>
      <c r="X199" s="17"/>
      <c r="Y199" s="17"/>
      <c r="Z199" s="29" t="s">
        <v>2467</v>
      </c>
      <c r="AA199" s="18">
        <v>0.03</v>
      </c>
      <c r="AB199" s="13" t="s">
        <v>2468</v>
      </c>
      <c r="AC199" s="13"/>
      <c r="AD199" s="13"/>
      <c r="AE199" s="13"/>
      <c r="AF199" s="13"/>
      <c r="AG199" s="13"/>
      <c r="AH199" s="13"/>
      <c r="AI199" s="19"/>
      <c r="AJ199" s="14"/>
      <c r="AK199" s="13"/>
      <c r="AL199" s="13"/>
      <c r="AM199" s="13"/>
      <c r="AN199" s="13"/>
      <c r="AO199" s="13"/>
      <c r="AP199" s="20"/>
      <c r="AQ199" s="13">
        <f t="shared" si="57"/>
        <v>0</v>
      </c>
      <c r="AR199" s="97">
        <f t="shared" si="58"/>
        <v>0</v>
      </c>
      <c r="AS199" s="21">
        <f t="shared" si="59"/>
        <v>0</v>
      </c>
      <c r="AT199" s="22"/>
      <c r="AU199" s="13"/>
      <c r="AV199" s="13"/>
      <c r="AW199" s="13"/>
      <c r="AX199" s="13"/>
      <c r="AY199" s="13"/>
      <c r="AZ199" s="13"/>
    </row>
    <row r="200" spans="1:52" ht="13.15">
      <c r="A200" s="12">
        <v>44831</v>
      </c>
      <c r="B200" s="13" t="s">
        <v>2469</v>
      </c>
      <c r="C200" s="13" t="s">
        <v>123</v>
      </c>
      <c r="D200" s="17"/>
      <c r="E200" s="13"/>
      <c r="F200" s="14" t="s">
        <v>2470</v>
      </c>
      <c r="G200" s="13"/>
      <c r="H200" s="13"/>
      <c r="I200" s="13"/>
      <c r="J200" s="14"/>
      <c r="K200" s="14"/>
      <c r="L200" s="13">
        <v>1</v>
      </c>
      <c r="M200" s="13"/>
      <c r="N200" s="13"/>
      <c r="O200" s="14" t="s">
        <v>71</v>
      </c>
      <c r="P200" s="14" t="s">
        <v>114</v>
      </c>
      <c r="Q200" s="14" t="s">
        <v>73</v>
      </c>
      <c r="R200" s="14">
        <v>5</v>
      </c>
      <c r="S200" s="14">
        <v>5</v>
      </c>
      <c r="T200" s="14">
        <v>3</v>
      </c>
      <c r="U200" s="14" t="s">
        <v>73</v>
      </c>
      <c r="V200" s="14">
        <f t="shared" si="55"/>
        <v>0.01</v>
      </c>
      <c r="W200" s="14">
        <f t="shared" si="56"/>
        <v>1664.9999999999998</v>
      </c>
      <c r="X200" s="17"/>
      <c r="Y200" s="17"/>
      <c r="Z200" s="29" t="s">
        <v>75</v>
      </c>
      <c r="AA200" s="18">
        <v>-4.5999999999999999E-2</v>
      </c>
      <c r="AB200" s="13"/>
      <c r="AC200" s="13"/>
      <c r="AD200" s="13"/>
      <c r="AE200" s="13"/>
      <c r="AF200" s="13"/>
      <c r="AG200" s="13"/>
      <c r="AH200" s="13"/>
      <c r="AI200" s="19"/>
      <c r="AJ200" s="14"/>
      <c r="AK200" s="13"/>
      <c r="AL200" s="13"/>
      <c r="AM200" s="13" t="s">
        <v>2471</v>
      </c>
      <c r="AN200" s="13" t="s">
        <v>82</v>
      </c>
      <c r="AO200" s="13"/>
      <c r="AP200" s="20">
        <v>-0.06</v>
      </c>
      <c r="AQ200" s="20">
        <f t="shared" si="57"/>
        <v>1.3999999999999999E-2</v>
      </c>
      <c r="AR200" s="97">
        <f t="shared" si="58"/>
        <v>116.54999999999998</v>
      </c>
      <c r="AS200" s="21">
        <f t="shared" si="59"/>
        <v>23.309999999999995</v>
      </c>
      <c r="AT200" s="22" t="s">
        <v>72</v>
      </c>
      <c r="AU200" s="13" t="s">
        <v>2472</v>
      </c>
      <c r="AV200" s="13"/>
      <c r="AW200" s="13"/>
      <c r="AX200" s="13"/>
      <c r="AY200" s="13"/>
      <c r="AZ200" s="13"/>
    </row>
    <row r="201" spans="1:52" ht="13.15">
      <c r="A201" s="12">
        <v>44831</v>
      </c>
      <c r="B201" s="13" t="s">
        <v>2469</v>
      </c>
      <c r="C201" s="13" t="s">
        <v>123</v>
      </c>
      <c r="D201" s="17"/>
      <c r="E201" s="13"/>
      <c r="F201" s="14" t="s">
        <v>2434</v>
      </c>
      <c r="G201" s="13"/>
      <c r="H201" s="13"/>
      <c r="I201" s="13"/>
      <c r="J201" s="14"/>
      <c r="K201" s="14"/>
      <c r="L201" s="13">
        <v>1</v>
      </c>
      <c r="M201" s="13">
        <v>1</v>
      </c>
      <c r="N201" s="13"/>
      <c r="O201" s="14" t="s">
        <v>71</v>
      </c>
      <c r="P201" s="14" t="s">
        <v>114</v>
      </c>
      <c r="Q201" s="14" t="s">
        <v>233</v>
      </c>
      <c r="R201" s="14">
        <v>1</v>
      </c>
      <c r="S201" s="14">
        <v>1</v>
      </c>
      <c r="T201" s="14">
        <v>1</v>
      </c>
      <c r="U201" s="14" t="s">
        <v>73</v>
      </c>
      <c r="V201" s="14">
        <f t="shared" si="55"/>
        <v>0.01</v>
      </c>
      <c r="W201" s="14">
        <f t="shared" si="56"/>
        <v>1664.9999999999998</v>
      </c>
      <c r="X201" s="17"/>
      <c r="Y201" s="17"/>
      <c r="Z201" s="28" t="s">
        <v>2456</v>
      </c>
      <c r="AA201" s="18">
        <v>0</v>
      </c>
      <c r="AB201" s="13"/>
      <c r="AC201" s="13"/>
      <c r="AD201" s="13"/>
      <c r="AE201" s="13"/>
      <c r="AF201" s="13"/>
      <c r="AG201" s="13"/>
      <c r="AH201" s="13"/>
      <c r="AI201" s="19"/>
      <c r="AJ201" s="14"/>
      <c r="AK201" s="13"/>
      <c r="AL201" s="13"/>
      <c r="AM201" s="13"/>
      <c r="AN201" s="13"/>
      <c r="AO201" s="13"/>
      <c r="AP201" s="20"/>
      <c r="AQ201" s="13">
        <f t="shared" si="57"/>
        <v>0</v>
      </c>
      <c r="AR201" s="97">
        <f t="shared" si="58"/>
        <v>0</v>
      </c>
      <c r="AS201" s="21">
        <f t="shared" si="59"/>
        <v>0</v>
      </c>
      <c r="AT201" s="22"/>
      <c r="AU201" s="13"/>
      <c r="AV201" s="13"/>
      <c r="AW201" s="13"/>
      <c r="AX201" s="13"/>
      <c r="AY201" s="13"/>
      <c r="AZ201" s="13"/>
    </row>
    <row r="202" spans="1:52" ht="13.15">
      <c r="A202" s="12">
        <v>44832</v>
      </c>
      <c r="B202" s="13" t="s">
        <v>470</v>
      </c>
      <c r="C202" s="13" t="s">
        <v>128</v>
      </c>
      <c r="D202" s="17"/>
      <c r="E202" s="13"/>
      <c r="F202" s="14" t="s">
        <v>2178</v>
      </c>
      <c r="G202" s="13"/>
      <c r="H202" s="13"/>
      <c r="I202" s="13"/>
      <c r="J202" s="14"/>
      <c r="K202" s="14"/>
      <c r="L202" s="13">
        <v>1</v>
      </c>
      <c r="M202" s="13">
        <v>1</v>
      </c>
      <c r="N202" s="13"/>
      <c r="O202" s="14" t="s">
        <v>71</v>
      </c>
      <c r="P202" s="14" t="s">
        <v>114</v>
      </c>
      <c r="Q202" s="14" t="s">
        <v>233</v>
      </c>
      <c r="R202" s="14">
        <v>6</v>
      </c>
      <c r="S202" s="14">
        <v>6</v>
      </c>
      <c r="T202" s="14">
        <v>2</v>
      </c>
      <c r="U202" s="14" t="s">
        <v>21</v>
      </c>
      <c r="V202" s="14">
        <f t="shared" si="55"/>
        <v>0.01</v>
      </c>
      <c r="W202" s="14">
        <f t="shared" si="56"/>
        <v>1664.9999999999998</v>
      </c>
      <c r="X202" s="17"/>
      <c r="Y202" s="17"/>
      <c r="Z202" s="17" t="s">
        <v>2473</v>
      </c>
      <c r="AA202" s="18">
        <v>1.3299999999999999E-2</v>
      </c>
      <c r="AB202" s="13"/>
      <c r="AC202" s="13"/>
      <c r="AD202" s="13"/>
      <c r="AE202" s="13"/>
      <c r="AF202" s="13"/>
      <c r="AG202" s="13"/>
      <c r="AH202" s="13"/>
      <c r="AI202" s="19"/>
      <c r="AJ202" s="14"/>
      <c r="AK202" s="13" t="s">
        <v>2474</v>
      </c>
      <c r="AL202" s="13" t="s">
        <v>2475</v>
      </c>
      <c r="AM202" s="13"/>
      <c r="AN202" s="13"/>
      <c r="AO202" s="13"/>
      <c r="AP202" s="20"/>
      <c r="AQ202" s="13">
        <f t="shared" si="57"/>
        <v>0</v>
      </c>
      <c r="AR202" s="97">
        <f t="shared" si="58"/>
        <v>0</v>
      </c>
      <c r="AS202" s="21">
        <f t="shared" si="59"/>
        <v>0</v>
      </c>
      <c r="AT202" s="22"/>
      <c r="AU202" s="13"/>
      <c r="AV202" s="13"/>
      <c r="AW202" s="13"/>
      <c r="AX202" s="13"/>
      <c r="AY202" s="13"/>
      <c r="AZ202" s="13"/>
    </row>
    <row r="203" spans="1:52" ht="13.15">
      <c r="A203" s="12">
        <v>44832</v>
      </c>
      <c r="B203" s="13" t="s">
        <v>2476</v>
      </c>
      <c r="C203" s="13" t="s">
        <v>128</v>
      </c>
      <c r="D203" s="17"/>
      <c r="E203" s="13"/>
      <c r="F203" s="14" t="s">
        <v>113</v>
      </c>
      <c r="G203" s="13"/>
      <c r="H203" s="13"/>
      <c r="I203" s="13"/>
      <c r="J203" s="14"/>
      <c r="K203" s="14"/>
      <c r="L203" s="13">
        <v>1</v>
      </c>
      <c r="M203" s="13"/>
      <c r="N203" s="13"/>
      <c r="O203" s="14" t="s">
        <v>71</v>
      </c>
      <c r="P203" s="14" t="s">
        <v>114</v>
      </c>
      <c r="Q203" s="14" t="s">
        <v>73</v>
      </c>
      <c r="R203" s="14">
        <v>3</v>
      </c>
      <c r="S203" s="14">
        <v>3</v>
      </c>
      <c r="T203" s="14">
        <v>3</v>
      </c>
      <c r="U203" s="14" t="s">
        <v>73</v>
      </c>
      <c r="V203" s="14">
        <f t="shared" si="55"/>
        <v>0.01</v>
      </c>
      <c r="W203" s="14">
        <f t="shared" si="56"/>
        <v>1664.9999999999998</v>
      </c>
      <c r="X203" s="17"/>
      <c r="Y203" s="17"/>
      <c r="Z203" s="29" t="s">
        <v>75</v>
      </c>
      <c r="AA203" s="18">
        <v>-0.04</v>
      </c>
      <c r="AB203" s="13"/>
      <c r="AC203" s="13"/>
      <c r="AD203" s="13"/>
      <c r="AE203" s="13"/>
      <c r="AF203" s="13"/>
      <c r="AG203" s="13"/>
      <c r="AH203" s="13"/>
      <c r="AI203" s="19"/>
      <c r="AJ203" s="14"/>
      <c r="AK203" s="13"/>
      <c r="AL203" s="13"/>
      <c r="AM203" s="13" t="s">
        <v>2477</v>
      </c>
      <c r="AN203" s="13" t="s">
        <v>82</v>
      </c>
      <c r="AO203" s="13"/>
      <c r="AP203" s="20">
        <v>-0.05</v>
      </c>
      <c r="AQ203" s="20">
        <f t="shared" si="57"/>
        <v>1.0000000000000002E-2</v>
      </c>
      <c r="AR203" s="97">
        <f t="shared" si="58"/>
        <v>49.95</v>
      </c>
      <c r="AS203" s="21">
        <f t="shared" si="59"/>
        <v>16.650000000000002</v>
      </c>
      <c r="AT203" s="22" t="s">
        <v>72</v>
      </c>
      <c r="AU203" s="13"/>
      <c r="AV203" s="13"/>
      <c r="AW203" s="13"/>
      <c r="AX203" s="13"/>
      <c r="AY203" s="13"/>
      <c r="AZ203" s="13"/>
    </row>
    <row r="204" spans="1:52" ht="13.15">
      <c r="A204" s="12">
        <v>44832</v>
      </c>
      <c r="B204" s="13" t="s">
        <v>2478</v>
      </c>
      <c r="C204" s="13" t="s">
        <v>128</v>
      </c>
      <c r="D204" s="17"/>
      <c r="E204" s="13"/>
      <c r="F204" s="14" t="s">
        <v>113</v>
      </c>
      <c r="G204" s="13"/>
      <c r="H204" s="13"/>
      <c r="I204" s="13"/>
      <c r="J204" s="14"/>
      <c r="K204" s="14"/>
      <c r="L204" s="13">
        <v>1</v>
      </c>
      <c r="M204" s="13"/>
      <c r="N204" s="13"/>
      <c r="O204" s="14" t="s">
        <v>71</v>
      </c>
      <c r="P204" s="14" t="s">
        <v>114</v>
      </c>
      <c r="Q204" s="14" t="s">
        <v>73</v>
      </c>
      <c r="R204" s="14">
        <v>2</v>
      </c>
      <c r="S204" s="14">
        <v>2</v>
      </c>
      <c r="T204" s="14">
        <v>2</v>
      </c>
      <c r="U204" s="14" t="s">
        <v>73</v>
      </c>
      <c r="V204" s="14">
        <f t="shared" si="55"/>
        <v>0.01</v>
      </c>
      <c r="W204" s="14">
        <f t="shared" si="56"/>
        <v>1664.9999999999998</v>
      </c>
      <c r="X204" s="17"/>
      <c r="Y204" s="17"/>
      <c r="Z204" s="29" t="s">
        <v>75</v>
      </c>
      <c r="AA204" s="18">
        <v>-0.04</v>
      </c>
      <c r="AB204" s="13"/>
      <c r="AC204" s="13"/>
      <c r="AD204" s="13"/>
      <c r="AE204" s="13"/>
      <c r="AF204" s="13"/>
      <c r="AG204" s="13"/>
      <c r="AH204" s="13"/>
      <c r="AI204" s="19"/>
      <c r="AJ204" s="14"/>
      <c r="AK204" s="13"/>
      <c r="AL204" s="13"/>
      <c r="AM204" s="13"/>
      <c r="AN204" s="13" t="s">
        <v>82</v>
      </c>
      <c r="AO204" s="13"/>
      <c r="AP204" s="20">
        <v>-0.05</v>
      </c>
      <c r="AQ204" s="20">
        <f t="shared" si="57"/>
        <v>1.0000000000000002E-2</v>
      </c>
      <c r="AR204" s="97">
        <f t="shared" si="58"/>
        <v>33.300000000000004</v>
      </c>
      <c r="AS204" s="21">
        <f t="shared" si="59"/>
        <v>16.650000000000002</v>
      </c>
      <c r="AT204" s="22" t="s">
        <v>72</v>
      </c>
      <c r="AU204" s="13" t="s">
        <v>2479</v>
      </c>
      <c r="AV204" s="13" t="s">
        <v>2480</v>
      </c>
      <c r="AW204" s="13"/>
      <c r="AX204" s="13"/>
      <c r="AY204" s="13"/>
      <c r="AZ204" s="13"/>
    </row>
    <row r="205" spans="1:52" ht="13.15">
      <c r="A205" s="12">
        <v>44832</v>
      </c>
      <c r="B205" s="13" t="s">
        <v>2478</v>
      </c>
      <c r="C205" s="13" t="s">
        <v>128</v>
      </c>
      <c r="D205" s="17"/>
      <c r="E205" s="13"/>
      <c r="F205" s="14" t="s">
        <v>113</v>
      </c>
      <c r="G205" s="13"/>
      <c r="H205" s="13"/>
      <c r="I205" s="13"/>
      <c r="J205" s="14"/>
      <c r="K205" s="14"/>
      <c r="L205" s="13">
        <v>1</v>
      </c>
      <c r="M205" s="13"/>
      <c r="N205" s="13"/>
      <c r="O205" s="14" t="s">
        <v>71</v>
      </c>
      <c r="P205" s="14" t="s">
        <v>114</v>
      </c>
      <c r="Q205" s="14" t="s">
        <v>73</v>
      </c>
      <c r="R205" s="14">
        <v>2</v>
      </c>
      <c r="S205" s="14">
        <v>2</v>
      </c>
      <c r="T205" s="14">
        <v>2</v>
      </c>
      <c r="U205" s="14" t="s">
        <v>73</v>
      </c>
      <c r="V205" s="14">
        <f t="shared" si="55"/>
        <v>0.01</v>
      </c>
      <c r="W205" s="14">
        <f t="shared" si="56"/>
        <v>1664.9999999999998</v>
      </c>
      <c r="X205" s="17"/>
      <c r="Y205" s="17"/>
      <c r="Z205" s="29" t="s">
        <v>75</v>
      </c>
      <c r="AA205" s="18">
        <v>-0.04</v>
      </c>
      <c r="AB205" s="13"/>
      <c r="AC205" s="13"/>
      <c r="AD205" s="13"/>
      <c r="AE205" s="13"/>
      <c r="AF205" s="13"/>
      <c r="AG205" s="13"/>
      <c r="AH205" s="13"/>
      <c r="AI205" s="19"/>
      <c r="AJ205" s="14"/>
      <c r="AK205" s="13"/>
      <c r="AL205" s="13"/>
      <c r="AM205" s="13"/>
      <c r="AN205" s="13" t="s">
        <v>82</v>
      </c>
      <c r="AO205" s="13"/>
      <c r="AP205" s="20">
        <v>-0.04</v>
      </c>
      <c r="AQ205" s="20">
        <f t="shared" si="57"/>
        <v>0</v>
      </c>
      <c r="AR205" s="97">
        <f t="shared" si="58"/>
        <v>0</v>
      </c>
      <c r="AS205" s="21">
        <f t="shared" si="59"/>
        <v>0</v>
      </c>
      <c r="AT205" s="22" t="s">
        <v>92</v>
      </c>
      <c r="AU205" s="13" t="s">
        <v>2481</v>
      </c>
      <c r="AV205" s="13" t="s">
        <v>2482</v>
      </c>
      <c r="AW205" s="13"/>
      <c r="AX205" s="13"/>
      <c r="AY205" s="13"/>
      <c r="AZ205" s="13"/>
    </row>
    <row r="206" spans="1:52" ht="13.15">
      <c r="A206" s="12">
        <v>44832</v>
      </c>
      <c r="B206" s="13" t="s">
        <v>2483</v>
      </c>
      <c r="C206" s="13" t="s">
        <v>128</v>
      </c>
      <c r="D206" s="17"/>
      <c r="E206" s="13"/>
      <c r="F206" s="14" t="s">
        <v>2434</v>
      </c>
      <c r="G206" s="13"/>
      <c r="H206" s="13"/>
      <c r="I206" s="13"/>
      <c r="J206" s="14"/>
      <c r="K206" s="14"/>
      <c r="L206" s="13">
        <v>1</v>
      </c>
      <c r="M206" s="13"/>
      <c r="N206" s="13"/>
      <c r="O206" s="14" t="s">
        <v>71</v>
      </c>
      <c r="P206" s="14" t="s">
        <v>114</v>
      </c>
      <c r="Q206" s="14" t="s">
        <v>233</v>
      </c>
      <c r="R206" s="14">
        <v>2</v>
      </c>
      <c r="S206" s="14">
        <v>2</v>
      </c>
      <c r="T206" s="14">
        <v>2</v>
      </c>
      <c r="U206" s="14" t="s">
        <v>73</v>
      </c>
      <c r="V206" s="14">
        <f t="shared" si="55"/>
        <v>0.01</v>
      </c>
      <c r="W206" s="14">
        <f t="shared" si="56"/>
        <v>1664.9999999999998</v>
      </c>
      <c r="X206" s="17"/>
      <c r="Y206" s="17"/>
      <c r="Z206" s="29" t="s">
        <v>75</v>
      </c>
      <c r="AA206" s="18">
        <v>-0.01</v>
      </c>
      <c r="AB206" s="13"/>
      <c r="AC206" s="13"/>
      <c r="AD206" s="13"/>
      <c r="AE206" s="13"/>
      <c r="AF206" s="13"/>
      <c r="AG206" s="13"/>
      <c r="AH206" s="13"/>
      <c r="AI206" s="19"/>
      <c r="AJ206" s="14"/>
      <c r="AK206" s="13"/>
      <c r="AL206" s="13"/>
      <c r="AM206" s="13" t="s">
        <v>2484</v>
      </c>
      <c r="AN206" s="13" t="s">
        <v>92</v>
      </c>
      <c r="AO206" s="13"/>
      <c r="AP206" s="20">
        <v>-0.01</v>
      </c>
      <c r="AQ206" s="20">
        <f t="shared" si="57"/>
        <v>0</v>
      </c>
      <c r="AR206" s="97">
        <f t="shared" si="58"/>
        <v>0</v>
      </c>
      <c r="AS206" s="21">
        <f t="shared" si="59"/>
        <v>0</v>
      </c>
      <c r="AT206" s="22"/>
      <c r="AU206" s="13" t="s">
        <v>2485</v>
      </c>
      <c r="AV206" s="13" t="s">
        <v>2486</v>
      </c>
      <c r="AW206" s="13" t="s">
        <v>2487</v>
      </c>
      <c r="AX206" s="13"/>
      <c r="AY206" s="13"/>
      <c r="AZ206" s="13"/>
    </row>
    <row r="207" spans="1:52" ht="13.15">
      <c r="A207" s="12">
        <v>44832</v>
      </c>
      <c r="B207" s="13" t="s">
        <v>2488</v>
      </c>
      <c r="C207" s="13" t="s">
        <v>69</v>
      </c>
      <c r="D207" s="17"/>
      <c r="E207" s="13"/>
      <c r="F207" s="14" t="s">
        <v>113</v>
      </c>
      <c r="G207" s="13"/>
      <c r="H207" s="13"/>
      <c r="I207" s="13"/>
      <c r="J207" s="14"/>
      <c r="K207" s="14"/>
      <c r="L207" s="13">
        <v>1</v>
      </c>
      <c r="M207" s="13"/>
      <c r="N207" s="13"/>
      <c r="O207" s="14" t="s">
        <v>71</v>
      </c>
      <c r="P207" s="14" t="s">
        <v>114</v>
      </c>
      <c r="Q207" s="14" t="s">
        <v>73</v>
      </c>
      <c r="R207" s="14">
        <v>3</v>
      </c>
      <c r="S207" s="14">
        <v>3</v>
      </c>
      <c r="T207" s="14">
        <v>3</v>
      </c>
      <c r="U207" s="14" t="s">
        <v>73</v>
      </c>
      <c r="V207" s="14">
        <f t="shared" si="55"/>
        <v>0.01</v>
      </c>
      <c r="W207" s="14">
        <f t="shared" si="56"/>
        <v>1664.9999999999998</v>
      </c>
      <c r="X207" s="17"/>
      <c r="Y207" s="17"/>
      <c r="Z207" s="29" t="s">
        <v>75</v>
      </c>
      <c r="AA207" s="18">
        <v>-0.03</v>
      </c>
      <c r="AB207" s="13"/>
      <c r="AC207" s="13"/>
      <c r="AD207" s="13"/>
      <c r="AE207" s="13"/>
      <c r="AF207" s="13"/>
      <c r="AG207" s="13"/>
      <c r="AH207" s="13"/>
      <c r="AI207" s="19"/>
      <c r="AJ207" s="14"/>
      <c r="AK207" s="13"/>
      <c r="AL207" s="13"/>
      <c r="AM207" s="13"/>
      <c r="AN207" s="13" t="s">
        <v>82</v>
      </c>
      <c r="AO207" s="13"/>
      <c r="AP207" s="20">
        <v>-0.04</v>
      </c>
      <c r="AQ207" s="20">
        <f t="shared" si="57"/>
        <v>1.0000000000000002E-2</v>
      </c>
      <c r="AR207" s="97">
        <f t="shared" si="58"/>
        <v>49.95</v>
      </c>
      <c r="AS207" s="21">
        <f t="shared" si="59"/>
        <v>16.650000000000002</v>
      </c>
      <c r="AT207" s="22" t="s">
        <v>72</v>
      </c>
      <c r="AU207" s="13"/>
      <c r="AV207" s="13"/>
      <c r="AW207" s="13"/>
      <c r="AX207" s="13"/>
      <c r="AY207" s="13"/>
      <c r="AZ207" s="13"/>
    </row>
    <row r="208" spans="1:52" ht="13.15">
      <c r="A208" s="12">
        <v>44832</v>
      </c>
      <c r="B208" s="13" t="s">
        <v>2489</v>
      </c>
      <c r="C208" s="13" t="s">
        <v>69</v>
      </c>
      <c r="D208" s="17"/>
      <c r="E208" s="13"/>
      <c r="F208" s="14" t="s">
        <v>113</v>
      </c>
      <c r="G208" s="13"/>
      <c r="H208" s="13"/>
      <c r="I208" s="13"/>
      <c r="J208" s="14"/>
      <c r="K208" s="14"/>
      <c r="L208" s="13">
        <v>1</v>
      </c>
      <c r="M208" s="13"/>
      <c r="N208" s="13"/>
      <c r="O208" s="14" t="s">
        <v>71</v>
      </c>
      <c r="P208" s="14" t="s">
        <v>114</v>
      </c>
      <c r="Q208" s="14" t="s">
        <v>73</v>
      </c>
      <c r="R208" s="14">
        <v>3</v>
      </c>
      <c r="S208" s="14">
        <v>3</v>
      </c>
      <c r="T208" s="14">
        <v>3</v>
      </c>
      <c r="U208" s="14" t="s">
        <v>21</v>
      </c>
      <c r="V208" s="14">
        <f t="shared" si="55"/>
        <v>0.01</v>
      </c>
      <c r="W208" s="14">
        <f t="shared" si="56"/>
        <v>1664.9999999999998</v>
      </c>
      <c r="X208" s="17"/>
      <c r="Y208" s="17"/>
      <c r="Z208" s="29" t="s">
        <v>75</v>
      </c>
      <c r="AA208" s="18">
        <v>-0.05</v>
      </c>
      <c r="AB208" s="13"/>
      <c r="AC208" s="13"/>
      <c r="AD208" s="13"/>
      <c r="AE208" s="13"/>
      <c r="AF208" s="13"/>
      <c r="AG208" s="13"/>
      <c r="AH208" s="13"/>
      <c r="AI208" s="19"/>
      <c r="AJ208" s="14"/>
      <c r="AK208" s="13"/>
      <c r="AL208" s="13"/>
      <c r="AM208" s="13"/>
      <c r="AN208" s="13" t="s">
        <v>82</v>
      </c>
      <c r="AO208" s="13"/>
      <c r="AP208" s="20">
        <v>-0.04</v>
      </c>
      <c r="AQ208" s="20">
        <f t="shared" si="57"/>
        <v>1.0000000000000002E-2</v>
      </c>
      <c r="AR208" s="97">
        <f t="shared" si="58"/>
        <v>49.95</v>
      </c>
      <c r="AS208" s="21">
        <f t="shared" si="59"/>
        <v>16.650000000000002</v>
      </c>
      <c r="AT208" s="22" t="s">
        <v>72</v>
      </c>
      <c r="AU208" s="13" t="s">
        <v>2490</v>
      </c>
      <c r="AV208" s="13"/>
      <c r="AW208" s="13"/>
      <c r="AX208" s="13"/>
      <c r="AY208" s="13"/>
      <c r="AZ208" s="13"/>
    </row>
    <row r="209" spans="1:52" ht="14.45">
      <c r="A209" s="12">
        <v>44832</v>
      </c>
      <c r="B209" s="13"/>
      <c r="C209" s="13" t="s">
        <v>69</v>
      </c>
      <c r="D209" s="17"/>
      <c r="E209" s="13"/>
      <c r="F209" s="14"/>
      <c r="G209" s="13"/>
      <c r="H209" s="13"/>
      <c r="I209" s="13"/>
      <c r="J209" s="14"/>
      <c r="K209" s="14"/>
      <c r="L209" s="13"/>
      <c r="M209" s="13"/>
      <c r="N209" s="13"/>
      <c r="O209" s="14"/>
      <c r="P209" s="14"/>
      <c r="Q209" s="14"/>
      <c r="R209" s="14"/>
      <c r="S209" s="14"/>
      <c r="T209" s="14"/>
      <c r="U209" s="14"/>
      <c r="V209" s="14">
        <f t="shared" si="55"/>
        <v>0</v>
      </c>
      <c r="W209" s="14">
        <f t="shared" si="56"/>
        <v>0</v>
      </c>
      <c r="X209" s="17"/>
      <c r="Y209" s="17"/>
      <c r="Z209" s="17"/>
      <c r="AA209" s="18"/>
      <c r="AB209" s="13"/>
      <c r="AC209" s="13"/>
      <c r="AD209" s="13"/>
      <c r="AE209" s="13"/>
      <c r="AF209" s="13"/>
      <c r="AG209" s="13"/>
      <c r="AH209" s="13"/>
      <c r="AI209" s="19"/>
      <c r="AJ209" s="14"/>
      <c r="AK209" s="13"/>
      <c r="AL209" s="13"/>
      <c r="AM209" s="13"/>
      <c r="AN209" s="13"/>
      <c r="AO209" s="13"/>
      <c r="AP209" s="20"/>
      <c r="AQ209" s="13">
        <f t="shared" si="57"/>
        <v>0</v>
      </c>
      <c r="AR209" s="97">
        <f t="shared" si="58"/>
        <v>0</v>
      </c>
      <c r="AS209" s="21">
        <f t="shared" si="59"/>
        <v>0</v>
      </c>
      <c r="AT209" s="22"/>
      <c r="AU209" s="127" t="s">
        <v>2491</v>
      </c>
      <c r="AV209" s="46"/>
      <c r="AW209" s="46"/>
      <c r="AX209" s="128"/>
      <c r="AY209" s="129"/>
      <c r="AZ209" s="129"/>
    </row>
    <row r="210" spans="1:52" ht="14.45">
      <c r="A210" s="12">
        <v>44832</v>
      </c>
      <c r="B210" s="13" t="s">
        <v>2492</v>
      </c>
      <c r="C210" s="13"/>
      <c r="D210" s="17"/>
      <c r="E210" s="13"/>
      <c r="F210" s="14" t="s">
        <v>113</v>
      </c>
      <c r="G210" s="13"/>
      <c r="H210" s="13"/>
      <c r="I210" s="13"/>
      <c r="J210" s="14"/>
      <c r="K210" s="14"/>
      <c r="L210" s="13"/>
      <c r="M210" s="13"/>
      <c r="N210" s="13"/>
      <c r="O210" s="14" t="s">
        <v>71</v>
      </c>
      <c r="P210" s="14"/>
      <c r="Q210" s="14"/>
      <c r="R210" s="14">
        <v>1</v>
      </c>
      <c r="S210" s="14">
        <v>1</v>
      </c>
      <c r="T210" s="14">
        <v>1</v>
      </c>
      <c r="U210" s="14" t="s">
        <v>73</v>
      </c>
      <c r="V210" s="14">
        <f t="shared" si="55"/>
        <v>0.01</v>
      </c>
      <c r="W210" s="14">
        <f t="shared" si="56"/>
        <v>1664.9999999999998</v>
      </c>
      <c r="X210" s="17"/>
      <c r="Y210" s="17"/>
      <c r="Z210" s="17" t="s">
        <v>2493</v>
      </c>
      <c r="AA210" s="18">
        <v>-0.04</v>
      </c>
      <c r="AB210" s="13"/>
      <c r="AC210" s="13"/>
      <c r="AD210" s="13"/>
      <c r="AE210" s="13"/>
      <c r="AF210" s="13"/>
      <c r="AG210" s="13"/>
      <c r="AH210" s="13"/>
      <c r="AI210" s="19"/>
      <c r="AJ210" s="14"/>
      <c r="AK210" s="13"/>
      <c r="AL210" s="13"/>
      <c r="AM210" s="13"/>
      <c r="AN210" s="13"/>
      <c r="AO210" s="13"/>
      <c r="AP210" s="20">
        <v>-0.04</v>
      </c>
      <c r="AQ210" s="20">
        <f t="shared" si="57"/>
        <v>0</v>
      </c>
      <c r="AR210" s="97">
        <f t="shared" si="58"/>
        <v>0</v>
      </c>
      <c r="AS210" s="130">
        <f t="shared" si="59"/>
        <v>0</v>
      </c>
      <c r="AT210" s="34" t="s">
        <v>92</v>
      </c>
      <c r="AU210" s="17" t="s">
        <v>2494</v>
      </c>
      <c r="AV210" s="17" t="s">
        <v>2495</v>
      </c>
      <c r="AW210" s="17" t="s">
        <v>2496</v>
      </c>
      <c r="AX210" s="131"/>
      <c r="AY210" s="131"/>
      <c r="AZ210" s="131"/>
    </row>
    <row r="211" spans="1:52" ht="14.45">
      <c r="A211" s="12">
        <v>44832</v>
      </c>
      <c r="B211" s="13" t="s">
        <v>2497</v>
      </c>
      <c r="C211" s="13" t="s">
        <v>69</v>
      </c>
      <c r="D211" s="17"/>
      <c r="E211" s="13"/>
      <c r="F211" s="14" t="s">
        <v>2178</v>
      </c>
      <c r="G211" s="13"/>
      <c r="H211" s="13"/>
      <c r="I211" s="13"/>
      <c r="J211" s="14"/>
      <c r="K211" s="14"/>
      <c r="L211" s="13">
        <v>1</v>
      </c>
      <c r="M211" s="13">
        <v>1</v>
      </c>
      <c r="N211" s="13"/>
      <c r="O211" s="14" t="s">
        <v>71</v>
      </c>
      <c r="P211" s="14" t="s">
        <v>72</v>
      </c>
      <c r="Q211" s="14" t="s">
        <v>233</v>
      </c>
      <c r="R211" s="14">
        <v>1</v>
      </c>
      <c r="S211" s="14">
        <v>1</v>
      </c>
      <c r="T211" s="14">
        <v>1</v>
      </c>
      <c r="U211" s="14" t="s">
        <v>21</v>
      </c>
      <c r="V211" s="14">
        <f t="shared" si="55"/>
        <v>0.01</v>
      </c>
      <c r="W211" s="14">
        <f t="shared" si="56"/>
        <v>1664.9999999999998</v>
      </c>
      <c r="X211" s="17"/>
      <c r="Y211" s="17"/>
      <c r="Z211" s="17" t="s">
        <v>2473</v>
      </c>
      <c r="AA211" s="18">
        <v>1.2999999999999999E-2</v>
      </c>
      <c r="AB211" s="13"/>
      <c r="AC211" s="13"/>
      <c r="AD211" s="13"/>
      <c r="AE211" s="13"/>
      <c r="AF211" s="13"/>
      <c r="AG211" s="13"/>
      <c r="AH211" s="13"/>
      <c r="AI211" s="19"/>
      <c r="AJ211" s="14"/>
      <c r="AK211" s="13" t="s">
        <v>2474</v>
      </c>
      <c r="AL211" s="13" t="s">
        <v>2475</v>
      </c>
      <c r="AM211" s="13"/>
      <c r="AN211" s="13" t="s">
        <v>92</v>
      </c>
      <c r="AO211" s="13"/>
      <c r="AP211" s="20">
        <v>0.03</v>
      </c>
      <c r="AQ211" s="20">
        <f t="shared" si="57"/>
        <v>1.7000000000000001E-2</v>
      </c>
      <c r="AR211" s="97">
        <f t="shared" si="58"/>
        <v>28.305</v>
      </c>
      <c r="AS211" s="130">
        <f t="shared" si="59"/>
        <v>28.305</v>
      </c>
      <c r="AT211" s="132" t="s">
        <v>72</v>
      </c>
      <c r="AU211" s="17" t="s">
        <v>2498</v>
      </c>
      <c r="AV211" s="17"/>
      <c r="AW211" s="17"/>
      <c r="AX211" s="131"/>
      <c r="AY211" s="131"/>
      <c r="AZ211" s="131"/>
    </row>
    <row r="212" spans="1:52" ht="14.45">
      <c r="A212" s="12">
        <v>44832</v>
      </c>
      <c r="B212" s="13" t="s">
        <v>2499</v>
      </c>
      <c r="C212" s="13" t="s">
        <v>69</v>
      </c>
      <c r="D212" s="17"/>
      <c r="E212" s="13"/>
      <c r="F212" s="14" t="s">
        <v>1752</v>
      </c>
      <c r="G212" s="13"/>
      <c r="H212" s="13"/>
      <c r="I212" s="13"/>
      <c r="J212" s="14"/>
      <c r="K212" s="14"/>
      <c r="L212" s="13"/>
      <c r="M212" s="13"/>
      <c r="N212" s="13"/>
      <c r="O212" s="14"/>
      <c r="P212" s="14"/>
      <c r="Q212" s="14"/>
      <c r="R212" s="14"/>
      <c r="S212" s="14"/>
      <c r="T212" s="14"/>
      <c r="U212" s="14"/>
      <c r="V212" s="14"/>
      <c r="W212" s="14"/>
      <c r="X212" s="17"/>
      <c r="Y212" s="17"/>
      <c r="Z212" s="17"/>
      <c r="AA212" s="18"/>
      <c r="AB212" s="13"/>
      <c r="AC212" s="13"/>
      <c r="AD212" s="13"/>
      <c r="AE212" s="13"/>
      <c r="AF212" s="13"/>
      <c r="AG212" s="13"/>
      <c r="AH212" s="13"/>
      <c r="AI212" s="19"/>
      <c r="AJ212" s="14"/>
      <c r="AK212" s="13"/>
      <c r="AL212" s="13"/>
      <c r="AM212" s="13"/>
      <c r="AN212" s="13"/>
      <c r="AO212" s="13"/>
      <c r="AP212" s="20"/>
      <c r="AQ212" s="13"/>
      <c r="AR212" s="82"/>
      <c r="AS212" s="130"/>
      <c r="AT212" s="34"/>
      <c r="AU212" s="17" t="s">
        <v>2500</v>
      </c>
      <c r="AV212" s="17"/>
      <c r="AW212" s="17"/>
      <c r="AX212" s="131"/>
      <c r="AY212" s="131"/>
      <c r="AZ212" s="131"/>
    </row>
    <row r="213" spans="1:52" ht="14.45">
      <c r="A213" s="12">
        <v>44832</v>
      </c>
      <c r="B213" s="13"/>
      <c r="C213" s="13" t="s">
        <v>69</v>
      </c>
      <c r="D213" s="17" t="s">
        <v>2501</v>
      </c>
      <c r="E213" s="13" t="s">
        <v>317</v>
      </c>
      <c r="F213" s="14"/>
      <c r="G213" s="13">
        <v>1</v>
      </c>
      <c r="H213" s="13"/>
      <c r="I213" s="13"/>
      <c r="J213" s="14"/>
      <c r="K213" s="14"/>
      <c r="L213" s="13"/>
      <c r="M213" s="13"/>
      <c r="N213" s="13"/>
      <c r="O213" s="14"/>
      <c r="P213" s="14"/>
      <c r="Q213" s="14"/>
      <c r="R213" s="14"/>
      <c r="S213" s="14"/>
      <c r="T213" s="14"/>
      <c r="U213" s="14"/>
      <c r="V213" s="14"/>
      <c r="W213" s="14"/>
      <c r="X213" s="17"/>
      <c r="Y213" s="17"/>
      <c r="Z213" s="17"/>
      <c r="AA213" s="18"/>
      <c r="AB213" s="13"/>
      <c r="AC213" s="13"/>
      <c r="AD213" s="13"/>
      <c r="AE213" s="13"/>
      <c r="AF213" s="13"/>
      <c r="AG213" s="13"/>
      <c r="AH213" s="13"/>
      <c r="AI213" s="19"/>
      <c r="AJ213" s="14"/>
      <c r="AK213" s="13"/>
      <c r="AL213" s="13"/>
      <c r="AM213" s="13"/>
      <c r="AN213" s="13"/>
      <c r="AO213" s="13"/>
      <c r="AP213" s="20"/>
      <c r="AQ213" s="13"/>
      <c r="AR213" s="82"/>
      <c r="AS213" s="21"/>
      <c r="AT213" s="22"/>
      <c r="AU213" s="46"/>
      <c r="AV213" s="46"/>
      <c r="AW213" s="46"/>
      <c r="AX213" s="128"/>
      <c r="AY213" s="129"/>
      <c r="AZ213" s="129"/>
    </row>
    <row r="214" spans="1:52" ht="14.45">
      <c r="A214" s="12"/>
      <c r="B214" s="13"/>
      <c r="C214" s="13"/>
      <c r="D214" s="17"/>
      <c r="E214" s="13"/>
      <c r="F214" s="14"/>
      <c r="G214" s="13"/>
      <c r="H214" s="13"/>
      <c r="I214" s="13"/>
      <c r="J214" s="14"/>
      <c r="K214" s="14"/>
      <c r="L214" s="13"/>
      <c r="M214" s="13"/>
      <c r="N214" s="13"/>
      <c r="O214" s="14"/>
      <c r="P214" s="14"/>
      <c r="Q214" s="14"/>
      <c r="R214" s="14"/>
      <c r="S214" s="14"/>
      <c r="T214" s="14"/>
      <c r="U214" s="14"/>
      <c r="V214" s="14"/>
      <c r="W214" s="14"/>
      <c r="X214" s="17"/>
      <c r="Y214" s="17"/>
      <c r="Z214" s="17"/>
      <c r="AA214" s="18"/>
      <c r="AB214" s="13"/>
      <c r="AC214" s="13"/>
      <c r="AD214" s="13"/>
      <c r="AE214" s="13"/>
      <c r="AF214" s="13"/>
      <c r="AG214" s="13"/>
      <c r="AH214" s="13"/>
      <c r="AI214" s="19"/>
      <c r="AJ214" s="14"/>
      <c r="AK214" s="13"/>
      <c r="AL214" s="13"/>
      <c r="AM214" s="13"/>
      <c r="AN214" s="13"/>
      <c r="AO214" s="13"/>
      <c r="AP214" s="20"/>
      <c r="AQ214" s="13"/>
      <c r="AR214" s="82"/>
      <c r="AS214" s="21"/>
      <c r="AT214" s="22"/>
      <c r="AU214" s="46"/>
      <c r="AV214" s="46"/>
      <c r="AW214" s="46"/>
      <c r="AX214" s="128"/>
      <c r="AY214" s="129"/>
      <c r="AZ214" s="129"/>
    </row>
    <row r="215" spans="1:52" ht="14.45">
      <c r="A215" s="12"/>
      <c r="B215" s="13"/>
      <c r="C215" s="13"/>
      <c r="D215" s="17"/>
      <c r="E215" s="13"/>
      <c r="F215" s="14"/>
      <c r="G215" s="13"/>
      <c r="H215" s="13"/>
      <c r="I215" s="13"/>
      <c r="J215" s="14"/>
      <c r="K215" s="14"/>
      <c r="L215" s="13"/>
      <c r="M215" s="13"/>
      <c r="N215" s="13"/>
      <c r="O215" s="14"/>
      <c r="P215" s="14"/>
      <c r="Q215" s="14"/>
      <c r="R215" s="14"/>
      <c r="S215" s="14"/>
      <c r="T215" s="14"/>
      <c r="U215" s="14"/>
      <c r="V215" s="14"/>
      <c r="W215" s="14"/>
      <c r="X215" s="17"/>
      <c r="Y215" s="17"/>
      <c r="Z215" s="17"/>
      <c r="AA215" s="18"/>
      <c r="AB215" s="13"/>
      <c r="AC215" s="13"/>
      <c r="AD215" s="13"/>
      <c r="AE215" s="13"/>
      <c r="AF215" s="13"/>
      <c r="AG215" s="13"/>
      <c r="AH215" s="13"/>
      <c r="AI215" s="19"/>
      <c r="AJ215" s="14"/>
      <c r="AK215" s="13"/>
      <c r="AL215" s="13"/>
      <c r="AM215" s="13"/>
      <c r="AN215" s="13"/>
      <c r="AO215" s="13"/>
      <c r="AP215" s="20"/>
      <c r="AQ215" s="13"/>
      <c r="AR215" s="82"/>
      <c r="AS215" s="21"/>
      <c r="AT215" s="22"/>
      <c r="AU215" s="127" t="s">
        <v>2502</v>
      </c>
      <c r="AV215" s="127" t="s">
        <v>2503</v>
      </c>
      <c r="AW215" s="127" t="s">
        <v>2504</v>
      </c>
      <c r="AX215" s="133" t="s">
        <v>2505</v>
      </c>
      <c r="AY215" s="134" t="s">
        <v>2506</v>
      </c>
      <c r="AZ215" s="134" t="s">
        <v>2507</v>
      </c>
    </row>
    <row r="216" spans="1:52" ht="13.15">
      <c r="A216" s="86">
        <v>44856</v>
      </c>
      <c r="B216" s="124"/>
      <c r="C216" s="124"/>
      <c r="D216" s="135"/>
      <c r="E216" s="124"/>
      <c r="F216" s="136"/>
      <c r="G216" s="124"/>
      <c r="H216" s="124"/>
      <c r="I216" s="124"/>
      <c r="J216" s="124"/>
      <c r="K216" s="124"/>
      <c r="L216" s="124"/>
      <c r="M216" s="124"/>
      <c r="N216" s="124"/>
      <c r="O216" s="136"/>
      <c r="P216" s="136"/>
      <c r="Q216" s="136"/>
      <c r="R216" s="136"/>
      <c r="S216" s="136"/>
      <c r="T216" s="136"/>
      <c r="U216" s="136"/>
      <c r="V216" s="136"/>
      <c r="W216" s="136"/>
      <c r="X216" s="135"/>
      <c r="Y216" s="135"/>
      <c r="Z216" s="135"/>
      <c r="AA216" s="137"/>
      <c r="AB216" s="124"/>
      <c r="AC216" s="124"/>
      <c r="AD216" s="124"/>
      <c r="AE216" s="124"/>
      <c r="AF216" s="124"/>
      <c r="AG216" s="124"/>
      <c r="AH216" s="124"/>
      <c r="AI216" s="138"/>
      <c r="AJ216" s="136"/>
      <c r="AK216" s="124"/>
      <c r="AL216" s="124"/>
      <c r="AM216" s="124"/>
      <c r="AN216" s="124"/>
      <c r="AO216" s="124"/>
      <c r="AP216" s="139"/>
      <c r="AQ216" s="124"/>
      <c r="AR216" s="140"/>
      <c r="AS216" s="95"/>
      <c r="AT216" s="96"/>
      <c r="AU216" s="124"/>
      <c r="AV216" s="124"/>
      <c r="AW216" s="124"/>
      <c r="AX216" s="124"/>
      <c r="AY216" s="124"/>
      <c r="AZ216" s="124"/>
    </row>
    <row r="217" spans="1:52" ht="16.149999999999999">
      <c r="A217" s="12">
        <v>44835</v>
      </c>
      <c r="B217" s="13" t="s">
        <v>2508</v>
      </c>
      <c r="C217" s="13" t="s">
        <v>88</v>
      </c>
      <c r="D217" s="17"/>
      <c r="E217" s="13"/>
      <c r="F217" s="14" t="s">
        <v>2178</v>
      </c>
      <c r="G217" s="13"/>
      <c r="H217" s="13"/>
      <c r="I217" s="13"/>
      <c r="J217" s="14"/>
      <c r="K217" s="14"/>
      <c r="L217" s="13">
        <v>1</v>
      </c>
      <c r="M217" s="13">
        <v>1</v>
      </c>
      <c r="N217" s="13"/>
      <c r="O217" s="14" t="s">
        <v>71</v>
      </c>
      <c r="P217" s="14" t="s">
        <v>72</v>
      </c>
      <c r="Q217" s="14" t="s">
        <v>233</v>
      </c>
      <c r="R217" s="14">
        <v>1</v>
      </c>
      <c r="S217" s="14">
        <v>1</v>
      </c>
      <c r="T217" s="14">
        <v>1</v>
      </c>
      <c r="U217" s="14" t="s">
        <v>21</v>
      </c>
      <c r="V217" s="16">
        <f t="shared" ref="V217:V220" si="60">IF(ISBLANK(O217),,(IF(O217=UPPER("IB"),0.005,0.01)))</f>
        <v>0.01</v>
      </c>
      <c r="W217" s="16">
        <f t="shared" ref="W217:W220" si="61">IF(ISBLANK(O217),,IF(O217=UPPER("IB"),8.63*200,16.65*100))</f>
        <v>1664.9999999999998</v>
      </c>
      <c r="X217" s="17"/>
      <c r="Y217" s="17"/>
      <c r="Z217" s="17" t="s">
        <v>2473</v>
      </c>
      <c r="AA217" s="18">
        <v>0</v>
      </c>
      <c r="AB217" s="13" t="s">
        <v>2509</v>
      </c>
      <c r="AC217" s="13"/>
      <c r="AD217" s="13"/>
      <c r="AE217" s="13" t="s">
        <v>2510</v>
      </c>
      <c r="AF217" s="13"/>
      <c r="AG217" s="13"/>
      <c r="AH217" s="13"/>
      <c r="AI217" s="19"/>
      <c r="AJ217" s="14"/>
      <c r="AK217" s="13" t="s">
        <v>2511</v>
      </c>
      <c r="AL217" s="13"/>
      <c r="AM217" s="13"/>
      <c r="AN217" s="13"/>
      <c r="AO217" s="13"/>
      <c r="AP217" s="20"/>
      <c r="AQ217" s="13"/>
      <c r="AR217" s="82"/>
      <c r="AS217" s="21"/>
      <c r="AT217" s="22"/>
      <c r="AU217" s="13" t="s">
        <v>2512</v>
      </c>
      <c r="AV217" s="13"/>
      <c r="AW217" s="13"/>
      <c r="AX217" s="13"/>
      <c r="AY217" s="13"/>
      <c r="AZ217" s="13"/>
    </row>
    <row r="218" spans="1:52" ht="16.149999999999999">
      <c r="A218" s="12">
        <v>44837</v>
      </c>
      <c r="B218" s="13" t="s">
        <v>2513</v>
      </c>
      <c r="C218" s="13" t="s">
        <v>109</v>
      </c>
      <c r="D218" s="17"/>
      <c r="E218" s="13"/>
      <c r="F218" s="14" t="s">
        <v>2178</v>
      </c>
      <c r="G218" s="13"/>
      <c r="H218" s="13"/>
      <c r="I218" s="13"/>
      <c r="J218" s="14"/>
      <c r="K218" s="14"/>
      <c r="L218" s="13">
        <v>1</v>
      </c>
      <c r="M218" s="13">
        <v>1</v>
      </c>
      <c r="N218" s="13"/>
      <c r="O218" s="14" t="s">
        <v>71</v>
      </c>
      <c r="P218" s="14" t="s">
        <v>72</v>
      </c>
      <c r="Q218" s="14" t="s">
        <v>233</v>
      </c>
      <c r="R218" s="14">
        <v>2</v>
      </c>
      <c r="S218" s="14">
        <v>2</v>
      </c>
      <c r="T218" s="14">
        <v>1</v>
      </c>
      <c r="U218" s="14" t="s">
        <v>21</v>
      </c>
      <c r="V218" s="16">
        <f t="shared" si="60"/>
        <v>0.01</v>
      </c>
      <c r="W218" s="16">
        <f t="shared" si="61"/>
        <v>1664.9999999999998</v>
      </c>
      <c r="X218" s="17"/>
      <c r="Y218" s="17"/>
      <c r="Z218" s="17" t="s">
        <v>2473</v>
      </c>
      <c r="AA218" s="18">
        <v>-0.01</v>
      </c>
      <c r="AB218" s="13"/>
      <c r="AC218" s="13"/>
      <c r="AD218" s="13"/>
      <c r="AE218" s="13"/>
      <c r="AF218" s="13"/>
      <c r="AG218" s="13"/>
      <c r="AH218" s="13"/>
      <c r="AI218" s="19"/>
      <c r="AJ218" s="14"/>
      <c r="AK218" s="13"/>
      <c r="AL218" s="13"/>
      <c r="AM218" s="13"/>
      <c r="AN218" s="13"/>
      <c r="AO218" s="13"/>
      <c r="AP218" s="20"/>
      <c r="AQ218" s="13"/>
      <c r="AR218" s="82"/>
      <c r="AS218" s="21"/>
      <c r="AT218" s="22"/>
      <c r="AU218" s="13" t="s">
        <v>2512</v>
      </c>
      <c r="AV218" s="13" t="s">
        <v>2514</v>
      </c>
      <c r="AW218" s="13"/>
      <c r="AX218" s="13"/>
      <c r="AY218" s="13"/>
      <c r="AZ218" s="13"/>
    </row>
    <row r="219" spans="1:52" ht="13.15">
      <c r="A219" s="12">
        <v>44838</v>
      </c>
      <c r="B219" s="13" t="s">
        <v>2515</v>
      </c>
      <c r="C219" s="13" t="s">
        <v>123</v>
      </c>
      <c r="D219" s="17" t="s">
        <v>2516</v>
      </c>
      <c r="E219" s="13"/>
      <c r="F219" s="14" t="s">
        <v>2178</v>
      </c>
      <c r="G219" s="13"/>
      <c r="H219" s="13"/>
      <c r="I219" s="13"/>
      <c r="J219" s="14"/>
      <c r="K219" s="14"/>
      <c r="L219" s="13">
        <v>1</v>
      </c>
      <c r="M219" s="13">
        <v>1</v>
      </c>
      <c r="N219" s="13"/>
      <c r="O219" s="14" t="s">
        <v>71</v>
      </c>
      <c r="P219" s="14" t="s">
        <v>114</v>
      </c>
      <c r="Q219" s="14" t="s">
        <v>233</v>
      </c>
      <c r="R219" s="14">
        <v>1</v>
      </c>
      <c r="S219" s="14">
        <v>1</v>
      </c>
      <c r="T219" s="14">
        <v>1</v>
      </c>
      <c r="U219" s="14" t="s">
        <v>21</v>
      </c>
      <c r="V219" s="14">
        <f t="shared" si="60"/>
        <v>0.01</v>
      </c>
      <c r="W219" s="14">
        <f t="shared" si="61"/>
        <v>1664.9999999999998</v>
      </c>
      <c r="X219" s="17"/>
      <c r="Y219" s="17"/>
      <c r="Z219" s="17" t="s">
        <v>2473</v>
      </c>
      <c r="AA219" s="18">
        <v>1.3299999999999999E-2</v>
      </c>
      <c r="AB219" s="13"/>
      <c r="AC219" s="13"/>
      <c r="AD219" s="13"/>
      <c r="AE219" s="13"/>
      <c r="AF219" s="13"/>
      <c r="AG219" s="13"/>
      <c r="AH219" s="13"/>
      <c r="AI219" s="19"/>
      <c r="AJ219" s="14"/>
      <c r="AK219" s="13" t="s">
        <v>2474</v>
      </c>
      <c r="AL219" s="13" t="s">
        <v>2475</v>
      </c>
      <c r="AM219" s="13" t="s">
        <v>1747</v>
      </c>
      <c r="AN219" s="13" t="s">
        <v>92</v>
      </c>
      <c r="AO219" s="13" t="s">
        <v>2517</v>
      </c>
      <c r="AP219" s="20">
        <v>0.02</v>
      </c>
      <c r="AQ219" s="20">
        <f t="shared" ref="AQ219:AQ220" si="62">IF(ISBLANK(AP219),,IF(U219="S",AA219-AP219,AP219-AA219))</f>
        <v>6.7000000000000011E-3</v>
      </c>
      <c r="AR219" s="97">
        <f t="shared" ref="AR219:AR220" si="63">AS219*R219</f>
        <v>11.1555</v>
      </c>
      <c r="AS219" s="21">
        <f t="shared" ref="AS219:AS220" si="64">IF(ISBLANK(AP219),,(AQ219*W219))</f>
        <v>11.1555</v>
      </c>
      <c r="AT219" s="22" t="s">
        <v>72</v>
      </c>
      <c r="AU219" s="13" t="s">
        <v>2518</v>
      </c>
      <c r="AV219" s="13" t="s">
        <v>2519</v>
      </c>
      <c r="AW219" s="29" t="s">
        <v>2520</v>
      </c>
      <c r="AX219" s="13" t="s">
        <v>2521</v>
      </c>
      <c r="AY219" s="13" t="s">
        <v>2522</v>
      </c>
      <c r="AZ219" s="13"/>
    </row>
    <row r="220" spans="1:52" ht="13.15">
      <c r="A220" s="12">
        <v>44838</v>
      </c>
      <c r="B220" s="13"/>
      <c r="C220" s="13" t="s">
        <v>123</v>
      </c>
      <c r="D220" s="17" t="s">
        <v>2523</v>
      </c>
      <c r="E220" s="13" t="s">
        <v>2524</v>
      </c>
      <c r="F220" s="14" t="s">
        <v>2525</v>
      </c>
      <c r="G220" s="13"/>
      <c r="H220" s="13"/>
      <c r="I220" s="13"/>
      <c r="J220" s="14"/>
      <c r="K220" s="14"/>
      <c r="L220" s="13">
        <v>1</v>
      </c>
      <c r="M220" s="13">
        <v>1</v>
      </c>
      <c r="N220" s="13"/>
      <c r="O220" s="14" t="s">
        <v>1034</v>
      </c>
      <c r="P220" s="14"/>
      <c r="Q220" s="14" t="s">
        <v>661</v>
      </c>
      <c r="R220" s="14">
        <v>1</v>
      </c>
      <c r="S220" s="14">
        <v>1</v>
      </c>
      <c r="T220" s="14">
        <v>1</v>
      </c>
      <c r="U220" s="14" t="s">
        <v>73</v>
      </c>
      <c r="V220" s="14">
        <f t="shared" si="60"/>
        <v>5.0000000000000001E-3</v>
      </c>
      <c r="W220" s="14">
        <f t="shared" si="61"/>
        <v>1726.0000000000002</v>
      </c>
      <c r="X220" s="17"/>
      <c r="Y220" s="17" t="s">
        <v>2526</v>
      </c>
      <c r="Z220" s="17"/>
      <c r="AA220" s="18">
        <v>97.34</v>
      </c>
      <c r="AB220" s="13"/>
      <c r="AC220" s="13"/>
      <c r="AD220" s="13"/>
      <c r="AE220" s="13"/>
      <c r="AF220" s="13"/>
      <c r="AG220" s="13"/>
      <c r="AH220" s="13"/>
      <c r="AI220" s="19"/>
      <c r="AJ220" s="14"/>
      <c r="AK220" s="13"/>
      <c r="AL220" s="13"/>
      <c r="AM220" s="13"/>
      <c r="AN220" s="13" t="s">
        <v>371</v>
      </c>
      <c r="AO220" s="13"/>
      <c r="AP220" s="20">
        <v>97.48</v>
      </c>
      <c r="AQ220" s="20">
        <f t="shared" si="62"/>
        <v>-0.14000000000000057</v>
      </c>
      <c r="AR220" s="97">
        <f t="shared" si="63"/>
        <v>-241.64000000000101</v>
      </c>
      <c r="AS220" s="21">
        <f t="shared" si="64"/>
        <v>-241.64000000000101</v>
      </c>
      <c r="AT220" s="22" t="s">
        <v>206</v>
      </c>
      <c r="AU220" s="141" t="s">
        <v>2527</v>
      </c>
      <c r="AV220" s="141" t="s">
        <v>2528</v>
      </c>
      <c r="AW220" s="13" t="s">
        <v>2529</v>
      </c>
      <c r="AX220" s="13" t="s">
        <v>2530</v>
      </c>
      <c r="AY220" s="13" t="s">
        <v>2531</v>
      </c>
      <c r="AZ220" s="13"/>
    </row>
    <row r="221" spans="1:52" ht="13.15">
      <c r="A221" s="12"/>
      <c r="B221" s="13"/>
      <c r="C221" s="13"/>
      <c r="D221" s="17"/>
      <c r="E221" s="13"/>
      <c r="F221" s="14"/>
      <c r="G221" s="13"/>
      <c r="H221" s="13"/>
      <c r="I221" s="13"/>
      <c r="J221" s="14"/>
      <c r="K221" s="14"/>
      <c r="L221" s="13"/>
      <c r="M221" s="13"/>
      <c r="N221" s="13"/>
      <c r="O221" s="14"/>
      <c r="P221" s="14"/>
      <c r="Q221" s="14"/>
      <c r="R221" s="14"/>
      <c r="S221" s="14"/>
      <c r="T221" s="14"/>
      <c r="U221" s="14"/>
      <c r="V221" s="14"/>
      <c r="W221" s="14"/>
      <c r="X221" s="17"/>
      <c r="Y221" s="17"/>
      <c r="Z221" s="17"/>
      <c r="AA221" s="18"/>
      <c r="AB221" s="13"/>
      <c r="AC221" s="13"/>
      <c r="AD221" s="13"/>
      <c r="AE221" s="13"/>
      <c r="AF221" s="13"/>
      <c r="AG221" s="13"/>
      <c r="AH221" s="13"/>
      <c r="AI221" s="19"/>
      <c r="AJ221" s="14"/>
      <c r="AK221" s="13"/>
      <c r="AL221" s="13"/>
      <c r="AM221" s="13"/>
      <c r="AN221" s="13"/>
      <c r="AO221" s="13"/>
      <c r="AP221" s="20"/>
      <c r="AQ221" s="13"/>
      <c r="AR221" s="97"/>
      <c r="AS221" s="21"/>
      <c r="AT221" s="22"/>
      <c r="AU221" s="127" t="s">
        <v>2532</v>
      </c>
      <c r="AV221" s="127" t="s">
        <v>2533</v>
      </c>
      <c r="AW221" s="13" t="s">
        <v>2534</v>
      </c>
      <c r="AY221" s="13"/>
      <c r="AZ221" s="13"/>
    </row>
    <row r="222" spans="1:52" ht="14.45">
      <c r="A222" s="12">
        <v>44838</v>
      </c>
      <c r="B222" s="13" t="s">
        <v>2535</v>
      </c>
      <c r="C222" s="13" t="s">
        <v>123</v>
      </c>
      <c r="D222" s="17"/>
      <c r="E222" s="13"/>
      <c r="F222" s="14" t="s">
        <v>2536</v>
      </c>
      <c r="G222" s="13"/>
      <c r="H222" s="13"/>
      <c r="I222" s="13"/>
      <c r="J222" s="14"/>
      <c r="K222" s="14"/>
      <c r="L222" s="13">
        <v>1</v>
      </c>
      <c r="M222" s="13">
        <v>1</v>
      </c>
      <c r="N222" s="13"/>
      <c r="O222" s="14" t="s">
        <v>71</v>
      </c>
      <c r="P222" s="14" t="s">
        <v>72</v>
      </c>
      <c r="Q222" s="14" t="s">
        <v>233</v>
      </c>
      <c r="R222" s="14">
        <v>1</v>
      </c>
      <c r="S222" s="14">
        <v>1</v>
      </c>
      <c r="T222" s="14">
        <v>1</v>
      </c>
      <c r="U222" s="14" t="s">
        <v>21</v>
      </c>
      <c r="V222" s="14">
        <f t="shared" ref="V222:V277" si="65">IF(ISBLANK(O222),,(IF(O222=UPPER("IB"),0.005,0.01)))</f>
        <v>0.01</v>
      </c>
      <c r="W222" s="14">
        <f t="shared" ref="W222:W277" si="66">IF(ISBLANK(O222),,IF(O222=UPPER("IB"),8.63*200,16.65*100))</f>
        <v>1664.9999999999998</v>
      </c>
      <c r="X222" s="17"/>
      <c r="Y222" s="17"/>
      <c r="Z222" s="17" t="s">
        <v>2473</v>
      </c>
      <c r="AA222" s="18">
        <v>1.2999999999999999E-2</v>
      </c>
      <c r="AB222" s="13"/>
      <c r="AC222" s="13"/>
      <c r="AD222" s="13"/>
      <c r="AE222" s="13"/>
      <c r="AF222" s="13"/>
      <c r="AG222" s="13"/>
      <c r="AH222" s="13"/>
      <c r="AI222" s="19"/>
      <c r="AJ222" s="14"/>
      <c r="AK222" s="13" t="s">
        <v>2474</v>
      </c>
      <c r="AL222" s="13" t="s">
        <v>2475</v>
      </c>
      <c r="AM222" s="13" t="s">
        <v>1747</v>
      </c>
      <c r="AN222" s="13" t="s">
        <v>92</v>
      </c>
      <c r="AO222" s="13" t="s">
        <v>2517</v>
      </c>
      <c r="AP222" s="20">
        <v>0.05</v>
      </c>
      <c r="AQ222" s="20">
        <f t="shared" ref="AQ222:AQ263" si="67">IF(ISBLANK(AP222),,IF(U222="S",AA222-AP222,AP222-AA222))</f>
        <v>3.7000000000000005E-2</v>
      </c>
      <c r="AR222" s="97">
        <f t="shared" ref="AR222:AR253" si="68">AS222*R222</f>
        <v>61.604999999999997</v>
      </c>
      <c r="AS222" s="130">
        <f t="shared" ref="AS222:AS263" si="69">IF(ISBLANK(AP222),,(AQ222*W222))</f>
        <v>61.604999999999997</v>
      </c>
      <c r="AT222" s="132" t="s">
        <v>72</v>
      </c>
      <c r="AU222" s="17" t="s">
        <v>2498</v>
      </c>
      <c r="AV222" s="17" t="s">
        <v>2537</v>
      </c>
      <c r="AW222" s="17"/>
      <c r="AX222" s="131" t="s">
        <v>2538</v>
      </c>
      <c r="AY222" s="131" t="s">
        <v>2539</v>
      </c>
      <c r="AZ222" s="131"/>
    </row>
    <row r="223" spans="1:52" ht="14.45">
      <c r="A223" s="12">
        <v>44838</v>
      </c>
      <c r="B223" s="13" t="s">
        <v>2540</v>
      </c>
      <c r="C223" s="13" t="s">
        <v>123</v>
      </c>
      <c r="D223" s="17"/>
      <c r="E223" s="13"/>
      <c r="F223" s="14" t="s">
        <v>2536</v>
      </c>
      <c r="G223" s="13"/>
      <c r="H223" s="13"/>
      <c r="I223" s="13"/>
      <c r="J223" s="14"/>
      <c r="K223" s="14"/>
      <c r="L223" s="13">
        <v>1</v>
      </c>
      <c r="M223" s="13">
        <v>1</v>
      </c>
      <c r="N223" s="13"/>
      <c r="O223" s="14" t="s">
        <v>71</v>
      </c>
      <c r="P223" s="14" t="s">
        <v>72</v>
      </c>
      <c r="Q223" s="14" t="s">
        <v>233</v>
      </c>
      <c r="R223" s="14">
        <v>1</v>
      </c>
      <c r="S223" s="14">
        <v>1</v>
      </c>
      <c r="T223" s="14">
        <v>1</v>
      </c>
      <c r="U223" s="14" t="s">
        <v>21</v>
      </c>
      <c r="V223" s="14">
        <f t="shared" si="65"/>
        <v>0.01</v>
      </c>
      <c r="W223" s="14">
        <f t="shared" si="66"/>
        <v>1664.9999999999998</v>
      </c>
      <c r="X223" s="17"/>
      <c r="Y223" s="17"/>
      <c r="Z223" s="17" t="s">
        <v>2473</v>
      </c>
      <c r="AA223" s="18">
        <v>1.2999999999999999E-2</v>
      </c>
      <c r="AB223" s="13"/>
      <c r="AC223" s="13"/>
      <c r="AD223" s="13"/>
      <c r="AE223" s="13"/>
      <c r="AF223" s="13"/>
      <c r="AG223" s="13"/>
      <c r="AH223" s="13"/>
      <c r="AI223" s="19"/>
      <c r="AJ223" s="14"/>
      <c r="AK223" s="13" t="s">
        <v>2474</v>
      </c>
      <c r="AL223" s="13" t="s">
        <v>2475</v>
      </c>
      <c r="AM223" s="13" t="s">
        <v>1747</v>
      </c>
      <c r="AN223" s="13" t="s">
        <v>92</v>
      </c>
      <c r="AO223" s="13" t="s">
        <v>2517</v>
      </c>
      <c r="AP223" s="20">
        <v>0.06</v>
      </c>
      <c r="AQ223" s="20">
        <f t="shared" si="67"/>
        <v>4.7E-2</v>
      </c>
      <c r="AR223" s="97">
        <f t="shared" si="68"/>
        <v>78.254999999999995</v>
      </c>
      <c r="AS223" s="130">
        <f t="shared" si="69"/>
        <v>78.254999999999995</v>
      </c>
      <c r="AT223" s="132" t="s">
        <v>72</v>
      </c>
      <c r="AU223" s="17" t="s">
        <v>2498</v>
      </c>
      <c r="AV223" s="17" t="s">
        <v>2537</v>
      </c>
      <c r="AW223" s="17"/>
      <c r="AX223" s="131" t="s">
        <v>2538</v>
      </c>
      <c r="AY223" s="131" t="s">
        <v>2539</v>
      </c>
      <c r="AZ223" s="131"/>
    </row>
    <row r="224" spans="1:52" ht="14.45">
      <c r="A224" s="12">
        <v>44839</v>
      </c>
      <c r="B224" s="13" t="s">
        <v>2541</v>
      </c>
      <c r="C224" s="13" t="s">
        <v>128</v>
      </c>
      <c r="D224" s="17"/>
      <c r="E224" s="13"/>
      <c r="F224" s="14" t="s">
        <v>2536</v>
      </c>
      <c r="G224" s="13"/>
      <c r="H224" s="13"/>
      <c r="I224" s="13"/>
      <c r="J224" s="14"/>
      <c r="K224" s="14"/>
      <c r="L224" s="13">
        <v>1</v>
      </c>
      <c r="M224" s="13">
        <v>1</v>
      </c>
      <c r="N224" s="13"/>
      <c r="O224" s="14" t="s">
        <v>71</v>
      </c>
      <c r="P224" s="14" t="s">
        <v>72</v>
      </c>
      <c r="Q224" s="14" t="s">
        <v>233</v>
      </c>
      <c r="R224" s="14">
        <v>2</v>
      </c>
      <c r="S224" s="14">
        <v>2</v>
      </c>
      <c r="T224" s="14">
        <v>2</v>
      </c>
      <c r="U224" s="14" t="s">
        <v>21</v>
      </c>
      <c r="V224" s="14">
        <f t="shared" si="65"/>
        <v>0.01</v>
      </c>
      <c r="W224" s="14">
        <f t="shared" si="66"/>
        <v>1664.9999999999998</v>
      </c>
      <c r="X224" s="17"/>
      <c r="Y224" s="17"/>
      <c r="Z224" s="17" t="s">
        <v>2473</v>
      </c>
      <c r="AA224" s="18">
        <v>1.2999999999999999E-2</v>
      </c>
      <c r="AB224" s="13"/>
      <c r="AC224" s="13"/>
      <c r="AD224" s="13"/>
      <c r="AE224" s="13"/>
      <c r="AF224" s="13"/>
      <c r="AG224" s="13" t="s">
        <v>2542</v>
      </c>
      <c r="AH224" s="13"/>
      <c r="AI224" s="19"/>
      <c r="AJ224" s="14"/>
      <c r="AK224" s="13" t="s">
        <v>2474</v>
      </c>
      <c r="AL224" s="13" t="s">
        <v>2543</v>
      </c>
      <c r="AM224" s="13" t="s">
        <v>1851</v>
      </c>
      <c r="AN224" s="13" t="s">
        <v>72</v>
      </c>
      <c r="AO224" s="13" t="s">
        <v>2544</v>
      </c>
      <c r="AP224" s="20">
        <v>0.06</v>
      </c>
      <c r="AQ224" s="20">
        <f t="shared" si="67"/>
        <v>4.7E-2</v>
      </c>
      <c r="AR224" s="97">
        <f t="shared" si="68"/>
        <v>156.51</v>
      </c>
      <c r="AS224" s="130">
        <f t="shared" si="69"/>
        <v>78.254999999999995</v>
      </c>
      <c r="AT224" s="132" t="s">
        <v>72</v>
      </c>
      <c r="AU224" s="17" t="s">
        <v>2545</v>
      </c>
      <c r="AV224" s="17" t="s">
        <v>2546</v>
      </c>
      <c r="AW224" s="17" t="s">
        <v>2547</v>
      </c>
      <c r="AX224" s="131" t="s">
        <v>2538</v>
      </c>
      <c r="AY224" s="131" t="s">
        <v>2539</v>
      </c>
      <c r="AZ224" s="131" t="s">
        <v>2548</v>
      </c>
    </row>
    <row r="225" spans="1:52" ht="13.15">
      <c r="A225" s="12">
        <v>44840</v>
      </c>
      <c r="B225" s="13" t="s">
        <v>2549</v>
      </c>
      <c r="C225" s="13" t="s">
        <v>69</v>
      </c>
      <c r="D225" s="17"/>
      <c r="E225" s="13"/>
      <c r="F225" s="14" t="s">
        <v>2434</v>
      </c>
      <c r="G225" s="13"/>
      <c r="H225" s="13"/>
      <c r="I225" s="13"/>
      <c r="J225" s="14"/>
      <c r="K225" s="14"/>
      <c r="L225" s="13">
        <v>1</v>
      </c>
      <c r="M225" s="13">
        <v>1</v>
      </c>
      <c r="N225" s="13"/>
      <c r="O225" s="14" t="s">
        <v>71</v>
      </c>
      <c r="P225" s="14" t="s">
        <v>114</v>
      </c>
      <c r="Q225" s="14" t="s">
        <v>233</v>
      </c>
      <c r="R225" s="14">
        <v>1</v>
      </c>
      <c r="S225" s="14">
        <v>1</v>
      </c>
      <c r="T225" s="14">
        <v>1</v>
      </c>
      <c r="U225" s="14" t="s">
        <v>73</v>
      </c>
      <c r="V225" s="14">
        <f t="shared" si="65"/>
        <v>0.01</v>
      </c>
      <c r="W225" s="14">
        <f t="shared" si="66"/>
        <v>1664.9999999999998</v>
      </c>
      <c r="X225" s="17"/>
      <c r="Y225" s="17"/>
      <c r="Z225" s="28" t="s">
        <v>2456</v>
      </c>
      <c r="AA225" s="18">
        <v>0</v>
      </c>
      <c r="AB225" s="13"/>
      <c r="AC225" s="13"/>
      <c r="AD225" s="13"/>
      <c r="AE225" s="13"/>
      <c r="AF225" s="13"/>
      <c r="AG225" s="13"/>
      <c r="AH225" s="13"/>
      <c r="AI225" s="19"/>
      <c r="AJ225" s="14"/>
      <c r="AK225" s="13"/>
      <c r="AL225" s="13"/>
      <c r="AM225" s="13"/>
      <c r="AN225" s="13" t="s">
        <v>72</v>
      </c>
      <c r="AO225" s="13" t="s">
        <v>2550</v>
      </c>
      <c r="AP225" s="20">
        <v>0</v>
      </c>
      <c r="AQ225" s="20">
        <f t="shared" si="67"/>
        <v>0</v>
      </c>
      <c r="AR225" s="97">
        <f t="shared" si="68"/>
        <v>0</v>
      </c>
      <c r="AS225" s="21">
        <f t="shared" si="69"/>
        <v>0</v>
      </c>
      <c r="AT225" s="22" t="s">
        <v>92</v>
      </c>
      <c r="AU225" s="13" t="s">
        <v>2482</v>
      </c>
      <c r="AV225" s="13"/>
      <c r="AW225" s="13"/>
      <c r="AX225" s="13"/>
      <c r="AY225" s="13"/>
      <c r="AZ225" s="13"/>
    </row>
    <row r="226" spans="1:52" ht="14.45">
      <c r="A226" s="12">
        <v>44841</v>
      </c>
      <c r="B226" s="33">
        <v>0.41666666666666669</v>
      </c>
      <c r="C226" s="13" t="s">
        <v>88</v>
      </c>
      <c r="D226" s="17"/>
      <c r="E226" s="13"/>
      <c r="F226" s="14" t="s">
        <v>2536</v>
      </c>
      <c r="G226" s="13"/>
      <c r="H226" s="13"/>
      <c r="I226" s="13"/>
      <c r="J226" s="14"/>
      <c r="K226" s="14"/>
      <c r="L226" s="13">
        <v>1</v>
      </c>
      <c r="M226" s="13">
        <v>1</v>
      </c>
      <c r="N226" s="13"/>
      <c r="O226" s="14" t="s">
        <v>71</v>
      </c>
      <c r="P226" s="14" t="s">
        <v>72</v>
      </c>
      <c r="Q226" s="14" t="s">
        <v>233</v>
      </c>
      <c r="R226" s="14">
        <v>2</v>
      </c>
      <c r="S226" s="14">
        <v>2</v>
      </c>
      <c r="T226" s="14">
        <v>2</v>
      </c>
      <c r="U226" s="14" t="s">
        <v>21</v>
      </c>
      <c r="V226" s="14">
        <f t="shared" si="65"/>
        <v>0.01</v>
      </c>
      <c r="W226" s="14">
        <f t="shared" si="66"/>
        <v>1664.9999999999998</v>
      </c>
      <c r="X226" s="17"/>
      <c r="Y226" s="17"/>
      <c r="Z226" s="17" t="s">
        <v>2473</v>
      </c>
      <c r="AA226" s="18">
        <v>1.2999999999999999E-2</v>
      </c>
      <c r="AB226" s="13"/>
      <c r="AC226" s="13"/>
      <c r="AD226" s="13"/>
      <c r="AE226" s="13"/>
      <c r="AF226" s="13"/>
      <c r="AG226" s="13" t="s">
        <v>2542</v>
      </c>
      <c r="AH226" s="13"/>
      <c r="AI226" s="19"/>
      <c r="AJ226" s="14"/>
      <c r="AK226" s="13" t="s">
        <v>2474</v>
      </c>
      <c r="AL226" s="13" t="s">
        <v>2543</v>
      </c>
      <c r="AM226" s="13" t="s">
        <v>2551</v>
      </c>
      <c r="AN226" s="13" t="s">
        <v>72</v>
      </c>
      <c r="AO226" s="13" t="s">
        <v>2552</v>
      </c>
      <c r="AP226" s="20">
        <v>7.0000000000000007E-2</v>
      </c>
      <c r="AQ226" s="20">
        <f t="shared" si="67"/>
        <v>5.7000000000000009E-2</v>
      </c>
      <c r="AR226" s="97">
        <f t="shared" si="68"/>
        <v>189.81</v>
      </c>
      <c r="AS226" s="130">
        <f t="shared" si="69"/>
        <v>94.905000000000001</v>
      </c>
      <c r="AT226" s="132" t="s">
        <v>72</v>
      </c>
      <c r="AU226" s="17"/>
      <c r="AV226" s="17"/>
      <c r="AW226" s="17"/>
      <c r="AX226" s="131"/>
      <c r="AY226" s="131"/>
      <c r="AZ226" s="131"/>
    </row>
    <row r="227" spans="1:52" ht="14.45">
      <c r="A227" s="12">
        <v>44841</v>
      </c>
      <c r="B227" s="33">
        <v>0.41666666666666669</v>
      </c>
      <c r="C227" s="13" t="s">
        <v>88</v>
      </c>
      <c r="D227" s="17"/>
      <c r="E227" s="13"/>
      <c r="F227" s="14" t="s">
        <v>2536</v>
      </c>
      <c r="G227" s="13"/>
      <c r="H227" s="13"/>
      <c r="I227" s="13"/>
      <c r="J227" s="14"/>
      <c r="K227" s="14"/>
      <c r="L227" s="13">
        <v>1</v>
      </c>
      <c r="M227" s="13">
        <v>1</v>
      </c>
      <c r="N227" s="13"/>
      <c r="O227" s="14" t="s">
        <v>71</v>
      </c>
      <c r="P227" s="14" t="s">
        <v>72</v>
      </c>
      <c r="Q227" s="14" t="s">
        <v>233</v>
      </c>
      <c r="R227" s="14">
        <v>1</v>
      </c>
      <c r="S227" s="14">
        <v>1</v>
      </c>
      <c r="T227" s="14">
        <v>1</v>
      </c>
      <c r="U227" s="14" t="s">
        <v>21</v>
      </c>
      <c r="V227" s="14">
        <f t="shared" si="65"/>
        <v>0.01</v>
      </c>
      <c r="W227" s="14">
        <f t="shared" si="66"/>
        <v>1664.9999999999998</v>
      </c>
      <c r="X227" s="17"/>
      <c r="Y227" s="17"/>
      <c r="Z227" s="17" t="s">
        <v>2473</v>
      </c>
      <c r="AA227" s="18">
        <v>1.2999999999999999E-2</v>
      </c>
      <c r="AB227" s="13"/>
      <c r="AC227" s="13"/>
      <c r="AD227" s="13"/>
      <c r="AE227" s="13"/>
      <c r="AF227" s="13"/>
      <c r="AG227" s="13" t="s">
        <v>2542</v>
      </c>
      <c r="AH227" s="13"/>
      <c r="AI227" s="19"/>
      <c r="AJ227" s="14"/>
      <c r="AK227" s="13" t="s">
        <v>2474</v>
      </c>
      <c r="AL227" s="13" t="s">
        <v>2543</v>
      </c>
      <c r="AM227" s="13" t="s">
        <v>2551</v>
      </c>
      <c r="AN227" s="13" t="s">
        <v>72</v>
      </c>
      <c r="AO227" s="13" t="s">
        <v>2552</v>
      </c>
      <c r="AP227" s="20">
        <v>0.09</v>
      </c>
      <c r="AQ227" s="20">
        <f t="shared" si="67"/>
        <v>7.6999999999999999E-2</v>
      </c>
      <c r="AR227" s="97">
        <f t="shared" si="68"/>
        <v>128.20499999999998</v>
      </c>
      <c r="AS227" s="130">
        <f t="shared" si="69"/>
        <v>128.20499999999998</v>
      </c>
      <c r="AT227" s="132" t="s">
        <v>72</v>
      </c>
      <c r="AU227" s="17"/>
      <c r="AV227" s="17"/>
      <c r="AW227" s="17"/>
      <c r="AX227" s="131"/>
      <c r="AY227" s="131"/>
      <c r="AZ227" s="131"/>
    </row>
    <row r="228" spans="1:52" ht="13.15">
      <c r="A228" s="12">
        <v>44841</v>
      </c>
      <c r="B228" s="33">
        <v>0.75</v>
      </c>
      <c r="C228" s="13" t="s">
        <v>88</v>
      </c>
      <c r="D228" s="17" t="s">
        <v>2553</v>
      </c>
      <c r="E228" s="13" t="s">
        <v>2554</v>
      </c>
      <c r="F228" s="14"/>
      <c r="G228" s="13"/>
      <c r="H228" s="13"/>
      <c r="I228" s="13">
        <v>1</v>
      </c>
      <c r="J228" s="14"/>
      <c r="K228" s="14"/>
      <c r="L228" s="13"/>
      <c r="M228" s="13"/>
      <c r="N228" s="13"/>
      <c r="O228" s="14"/>
      <c r="P228" s="14"/>
      <c r="Q228" s="14"/>
      <c r="R228" s="14"/>
      <c r="S228" s="14"/>
      <c r="T228" s="14"/>
      <c r="U228" s="14"/>
      <c r="V228" s="14">
        <f t="shared" si="65"/>
        <v>0</v>
      </c>
      <c r="W228" s="14">
        <f t="shared" si="66"/>
        <v>0</v>
      </c>
      <c r="X228" s="17"/>
      <c r="Y228" s="17"/>
      <c r="Z228" s="17"/>
      <c r="AA228" s="18"/>
      <c r="AB228" s="13"/>
      <c r="AC228" s="13"/>
      <c r="AD228" s="13"/>
      <c r="AE228" s="13"/>
      <c r="AF228" s="13"/>
      <c r="AG228" s="13"/>
      <c r="AH228" s="13"/>
      <c r="AI228" s="19"/>
      <c r="AJ228" s="14"/>
      <c r="AK228" s="13"/>
      <c r="AL228" s="13"/>
      <c r="AM228" s="13"/>
      <c r="AN228" s="13"/>
      <c r="AO228" s="13"/>
      <c r="AP228" s="20"/>
      <c r="AQ228" s="13">
        <f t="shared" si="67"/>
        <v>0</v>
      </c>
      <c r="AR228" s="97">
        <f t="shared" si="68"/>
        <v>0</v>
      </c>
      <c r="AS228" s="130">
        <f t="shared" si="69"/>
        <v>0</v>
      </c>
      <c r="AT228" s="22"/>
      <c r="AU228" s="13"/>
      <c r="AV228" s="13"/>
      <c r="AW228" s="13"/>
      <c r="AX228" s="13"/>
      <c r="AY228" s="13"/>
      <c r="AZ228" s="13"/>
    </row>
    <row r="229" spans="1:52" ht="13.15">
      <c r="A229" s="12"/>
      <c r="B229" s="13"/>
      <c r="C229" s="13"/>
      <c r="D229" s="17" t="s">
        <v>2555</v>
      </c>
      <c r="E229" s="13"/>
      <c r="F229" s="14"/>
      <c r="G229" s="13"/>
      <c r="H229" s="13"/>
      <c r="I229" s="13">
        <v>1</v>
      </c>
      <c r="J229" s="14"/>
      <c r="K229" s="14"/>
      <c r="L229" s="13"/>
      <c r="M229" s="13"/>
      <c r="N229" s="13"/>
      <c r="O229" s="14"/>
      <c r="P229" s="14"/>
      <c r="Q229" s="14"/>
      <c r="R229" s="14"/>
      <c r="S229" s="14"/>
      <c r="T229" s="14"/>
      <c r="U229" s="14"/>
      <c r="V229" s="14">
        <f t="shared" si="65"/>
        <v>0</v>
      </c>
      <c r="W229" s="14">
        <f t="shared" si="66"/>
        <v>0</v>
      </c>
      <c r="X229" s="17"/>
      <c r="Y229" s="17"/>
      <c r="Z229" s="17"/>
      <c r="AA229" s="18"/>
      <c r="AB229" s="13"/>
      <c r="AC229" s="13"/>
      <c r="AD229" s="13"/>
      <c r="AE229" s="13"/>
      <c r="AF229" s="13"/>
      <c r="AG229" s="13"/>
      <c r="AH229" s="13"/>
      <c r="AI229" s="19"/>
      <c r="AJ229" s="14"/>
      <c r="AK229" s="13"/>
      <c r="AL229" s="13"/>
      <c r="AM229" s="13"/>
      <c r="AN229" s="13"/>
      <c r="AO229" s="13"/>
      <c r="AP229" s="20"/>
      <c r="AQ229" s="13">
        <f t="shared" si="67"/>
        <v>0</v>
      </c>
      <c r="AR229" s="97">
        <f t="shared" si="68"/>
        <v>0</v>
      </c>
      <c r="AS229" s="130">
        <f t="shared" si="69"/>
        <v>0</v>
      </c>
      <c r="AT229" s="22"/>
      <c r="AU229" s="13"/>
      <c r="AV229" s="13"/>
      <c r="AW229" s="13"/>
      <c r="AX229" s="13"/>
      <c r="AY229" s="13"/>
      <c r="AZ229" s="13"/>
    </row>
    <row r="230" spans="1:52" ht="13.15">
      <c r="A230" s="12"/>
      <c r="B230" s="13"/>
      <c r="C230" s="13"/>
      <c r="D230" s="17" t="s">
        <v>2556</v>
      </c>
      <c r="E230" s="13"/>
      <c r="F230" s="14"/>
      <c r="G230" s="13">
        <v>1</v>
      </c>
      <c r="H230" s="13"/>
      <c r="I230" s="13"/>
      <c r="J230" s="14"/>
      <c r="K230" s="14"/>
      <c r="L230" s="13"/>
      <c r="M230" s="13"/>
      <c r="N230" s="13"/>
      <c r="O230" s="14"/>
      <c r="P230" s="14"/>
      <c r="Q230" s="14"/>
      <c r="R230" s="14"/>
      <c r="S230" s="14"/>
      <c r="T230" s="14"/>
      <c r="U230" s="14"/>
      <c r="V230" s="14">
        <f t="shared" si="65"/>
        <v>0</v>
      </c>
      <c r="W230" s="14">
        <f t="shared" si="66"/>
        <v>0</v>
      </c>
      <c r="X230" s="17"/>
      <c r="Y230" s="17"/>
      <c r="Z230" s="17"/>
      <c r="AA230" s="18"/>
      <c r="AB230" s="13"/>
      <c r="AC230" s="13"/>
      <c r="AD230" s="13"/>
      <c r="AE230" s="13"/>
      <c r="AF230" s="13"/>
      <c r="AG230" s="13"/>
      <c r="AH230" s="13"/>
      <c r="AI230" s="19"/>
      <c r="AJ230" s="14"/>
      <c r="AK230" s="13"/>
      <c r="AL230" s="13"/>
      <c r="AM230" s="13"/>
      <c r="AN230" s="13"/>
      <c r="AO230" s="13"/>
      <c r="AP230" s="20"/>
      <c r="AQ230" s="13">
        <f t="shared" si="67"/>
        <v>0</v>
      </c>
      <c r="AR230" s="97">
        <f t="shared" si="68"/>
        <v>0</v>
      </c>
      <c r="AS230" s="130">
        <f t="shared" si="69"/>
        <v>0</v>
      </c>
      <c r="AT230" s="22"/>
      <c r="AU230" s="13"/>
      <c r="AV230" s="13"/>
      <c r="AW230" s="13"/>
      <c r="AX230" s="13"/>
      <c r="AY230" s="13"/>
      <c r="AZ230" s="13"/>
    </row>
    <row r="231" spans="1:52" ht="13.15">
      <c r="A231" s="12">
        <v>44845</v>
      </c>
      <c r="B231" s="13" t="s">
        <v>552</v>
      </c>
      <c r="C231" s="13" t="s">
        <v>123</v>
      </c>
      <c r="D231" s="17"/>
      <c r="E231" s="13"/>
      <c r="F231" s="14" t="s">
        <v>2536</v>
      </c>
      <c r="G231" s="13"/>
      <c r="H231" s="13"/>
      <c r="I231" s="13"/>
      <c r="J231" s="14"/>
      <c r="K231" s="14"/>
      <c r="L231" s="13"/>
      <c r="M231" s="13"/>
      <c r="N231" s="13"/>
      <c r="O231" s="14" t="s">
        <v>71</v>
      </c>
      <c r="P231" s="14" t="s">
        <v>72</v>
      </c>
      <c r="Q231" s="14" t="s">
        <v>233</v>
      </c>
      <c r="R231" s="14">
        <v>1</v>
      </c>
      <c r="S231" s="14">
        <v>1</v>
      </c>
      <c r="T231" s="14"/>
      <c r="U231" s="14" t="s">
        <v>21</v>
      </c>
      <c r="V231" s="14">
        <f t="shared" si="65"/>
        <v>0.01</v>
      </c>
      <c r="W231" s="14">
        <f t="shared" si="66"/>
        <v>1664.9999999999998</v>
      </c>
      <c r="X231" s="17"/>
      <c r="Y231" s="17"/>
      <c r="Z231" s="17" t="s">
        <v>2557</v>
      </c>
      <c r="AA231" s="18">
        <v>0.04</v>
      </c>
      <c r="AB231" s="13"/>
      <c r="AC231" s="13"/>
      <c r="AD231" s="13"/>
      <c r="AE231" s="13"/>
      <c r="AF231" s="13"/>
      <c r="AG231" s="13"/>
      <c r="AH231" s="13"/>
      <c r="AI231" s="19"/>
      <c r="AJ231" s="14"/>
      <c r="AK231" s="13"/>
      <c r="AL231" s="13"/>
      <c r="AM231" s="13"/>
      <c r="AN231" s="13"/>
      <c r="AO231" s="13"/>
      <c r="AP231" s="20"/>
      <c r="AQ231" s="13">
        <f t="shared" si="67"/>
        <v>0</v>
      </c>
      <c r="AR231" s="97">
        <f t="shared" si="68"/>
        <v>0</v>
      </c>
      <c r="AS231" s="130">
        <f t="shared" si="69"/>
        <v>0</v>
      </c>
      <c r="AT231" s="22"/>
      <c r="AU231" s="13" t="s">
        <v>2558</v>
      </c>
      <c r="AV231" s="13" t="s">
        <v>2559</v>
      </c>
      <c r="AW231" s="13" t="s">
        <v>2560</v>
      </c>
      <c r="AX231" s="13" t="s">
        <v>2561</v>
      </c>
      <c r="AY231" s="13"/>
      <c r="AZ231" s="13"/>
    </row>
    <row r="232" spans="1:52" ht="13.15">
      <c r="A232" s="12">
        <v>44845</v>
      </c>
      <c r="B232" s="13"/>
      <c r="C232" s="13" t="s">
        <v>123</v>
      </c>
      <c r="D232" s="17"/>
      <c r="E232" s="13"/>
      <c r="F232" s="14" t="s">
        <v>2536</v>
      </c>
      <c r="G232" s="13"/>
      <c r="H232" s="13"/>
      <c r="I232" s="13"/>
      <c r="J232" s="14"/>
      <c r="K232" s="14"/>
      <c r="L232" s="13">
        <v>1</v>
      </c>
      <c r="M232" s="13"/>
      <c r="N232" s="13"/>
      <c r="O232" s="14" t="s">
        <v>71</v>
      </c>
      <c r="P232" s="14" t="s">
        <v>72</v>
      </c>
      <c r="Q232" s="14" t="s">
        <v>233</v>
      </c>
      <c r="R232" s="14">
        <v>1</v>
      </c>
      <c r="S232" s="14">
        <v>1</v>
      </c>
      <c r="T232" s="14"/>
      <c r="U232" s="14" t="s">
        <v>21</v>
      </c>
      <c r="V232" s="14">
        <f t="shared" si="65"/>
        <v>0.01</v>
      </c>
      <c r="W232" s="14">
        <f t="shared" si="66"/>
        <v>1664.9999999999998</v>
      </c>
      <c r="X232" s="17"/>
      <c r="Y232" s="17"/>
      <c r="Z232" s="17" t="s">
        <v>2562</v>
      </c>
      <c r="AA232" s="18">
        <v>0.04</v>
      </c>
      <c r="AB232" s="13"/>
      <c r="AC232" s="13"/>
      <c r="AD232" s="13"/>
      <c r="AE232" s="13"/>
      <c r="AF232" s="13"/>
      <c r="AG232" s="13"/>
      <c r="AH232" s="13"/>
      <c r="AI232" s="19"/>
      <c r="AJ232" s="14"/>
      <c r="AK232" s="13"/>
      <c r="AL232" s="13"/>
      <c r="AM232" s="13"/>
      <c r="AN232" s="13"/>
      <c r="AO232" s="13"/>
      <c r="AP232" s="20"/>
      <c r="AQ232" s="13">
        <f t="shared" si="67"/>
        <v>0</v>
      </c>
      <c r="AR232" s="97">
        <f t="shared" si="68"/>
        <v>0</v>
      </c>
      <c r="AS232" s="130">
        <f t="shared" si="69"/>
        <v>0</v>
      </c>
      <c r="AT232" s="22"/>
      <c r="AU232" s="17" t="s">
        <v>2563</v>
      </c>
      <c r="AV232" s="13"/>
      <c r="AW232" s="13" t="s">
        <v>2560</v>
      </c>
      <c r="AX232" s="13"/>
      <c r="AY232" s="13"/>
      <c r="AZ232" s="13"/>
    </row>
    <row r="233" spans="1:52" ht="13.15">
      <c r="A233" s="12">
        <v>44845</v>
      </c>
      <c r="B233" s="13"/>
      <c r="C233" s="13" t="s">
        <v>123</v>
      </c>
      <c r="D233" s="17"/>
      <c r="E233" s="13"/>
      <c r="F233" s="14" t="s">
        <v>1908</v>
      </c>
      <c r="G233" s="13"/>
      <c r="H233" s="13"/>
      <c r="I233" s="13"/>
      <c r="J233" s="14"/>
      <c r="K233" s="14"/>
      <c r="L233" s="13">
        <v>1</v>
      </c>
      <c r="M233" s="13"/>
      <c r="N233" s="13"/>
      <c r="O233" s="14" t="s">
        <v>71</v>
      </c>
      <c r="P233" s="14" t="s">
        <v>72</v>
      </c>
      <c r="Q233" s="14" t="s">
        <v>233</v>
      </c>
      <c r="R233" s="14"/>
      <c r="S233" s="14"/>
      <c r="T233" s="14"/>
      <c r="U233" s="14"/>
      <c r="V233" s="14">
        <f t="shared" si="65"/>
        <v>0.01</v>
      </c>
      <c r="W233" s="14">
        <f t="shared" si="66"/>
        <v>1664.9999999999998</v>
      </c>
      <c r="X233" s="17"/>
      <c r="Y233" s="17"/>
      <c r="Z233" s="17"/>
      <c r="AA233" s="18"/>
      <c r="AB233" s="13"/>
      <c r="AC233" s="13"/>
      <c r="AD233" s="13"/>
      <c r="AE233" s="13"/>
      <c r="AF233" s="13"/>
      <c r="AG233" s="13"/>
      <c r="AH233" s="13"/>
      <c r="AI233" s="19"/>
      <c r="AJ233" s="14"/>
      <c r="AK233" s="13"/>
      <c r="AL233" s="13"/>
      <c r="AM233" s="13"/>
      <c r="AN233" s="13"/>
      <c r="AO233" s="13"/>
      <c r="AP233" s="20"/>
      <c r="AQ233" s="13">
        <f t="shared" si="67"/>
        <v>0</v>
      </c>
      <c r="AR233" s="97">
        <f t="shared" si="68"/>
        <v>0</v>
      </c>
      <c r="AS233" s="130">
        <f t="shared" si="69"/>
        <v>0</v>
      </c>
      <c r="AT233" s="22"/>
      <c r="AU233" s="13" t="s">
        <v>2564</v>
      </c>
      <c r="AV233" s="13" t="s">
        <v>2565</v>
      </c>
      <c r="AW233" s="13" t="s">
        <v>2560</v>
      </c>
      <c r="AX233" s="13"/>
      <c r="AY233" s="13"/>
      <c r="AZ233" s="13"/>
    </row>
    <row r="234" spans="1:52" ht="13.15">
      <c r="A234" s="12">
        <v>44845</v>
      </c>
      <c r="B234" s="13"/>
      <c r="C234" s="13" t="s">
        <v>123</v>
      </c>
      <c r="D234" s="17" t="s">
        <v>2566</v>
      </c>
      <c r="E234" s="13" t="s">
        <v>125</v>
      </c>
      <c r="F234" s="14"/>
      <c r="G234" s="13"/>
      <c r="H234" s="13"/>
      <c r="I234" s="13">
        <v>1</v>
      </c>
      <c r="J234" s="14"/>
      <c r="K234" s="14"/>
      <c r="L234" s="13"/>
      <c r="M234" s="13"/>
      <c r="N234" s="13"/>
      <c r="O234" s="14"/>
      <c r="P234" s="14"/>
      <c r="Q234" s="14"/>
      <c r="R234" s="14"/>
      <c r="S234" s="14"/>
      <c r="T234" s="14"/>
      <c r="U234" s="14"/>
      <c r="V234" s="14">
        <f t="shared" si="65"/>
        <v>0</v>
      </c>
      <c r="W234" s="14">
        <f t="shared" si="66"/>
        <v>0</v>
      </c>
      <c r="X234" s="17"/>
      <c r="Y234" s="17"/>
      <c r="Z234" s="17"/>
      <c r="AA234" s="18"/>
      <c r="AB234" s="13"/>
      <c r="AC234" s="13"/>
      <c r="AD234" s="13"/>
      <c r="AE234" s="13"/>
      <c r="AF234" s="13"/>
      <c r="AG234" s="13"/>
      <c r="AH234" s="13"/>
      <c r="AI234" s="19"/>
      <c r="AJ234" s="14"/>
      <c r="AK234" s="13"/>
      <c r="AL234" s="13"/>
      <c r="AM234" s="13"/>
      <c r="AN234" s="13"/>
      <c r="AO234" s="13"/>
      <c r="AP234" s="20"/>
      <c r="AQ234" s="13">
        <f t="shared" si="67"/>
        <v>0</v>
      </c>
      <c r="AR234" s="97">
        <f t="shared" si="68"/>
        <v>0</v>
      </c>
      <c r="AS234" s="130">
        <f t="shared" si="69"/>
        <v>0</v>
      </c>
      <c r="AT234" s="22"/>
      <c r="AU234" s="17"/>
      <c r="AV234" s="13"/>
      <c r="AW234" s="13"/>
      <c r="AX234" s="17" t="s">
        <v>126</v>
      </c>
      <c r="AY234" s="13" t="s">
        <v>127</v>
      </c>
      <c r="AZ234" s="13"/>
    </row>
    <row r="235" spans="1:52" ht="13.15">
      <c r="A235" s="12">
        <v>44845</v>
      </c>
      <c r="B235" s="13"/>
      <c r="C235" s="13" t="s">
        <v>123</v>
      </c>
      <c r="D235" s="17"/>
      <c r="E235" s="13"/>
      <c r="F235" s="14" t="s">
        <v>2567</v>
      </c>
      <c r="G235" s="13"/>
      <c r="H235" s="13"/>
      <c r="I235" s="13"/>
      <c r="J235" s="14"/>
      <c r="K235" s="14"/>
      <c r="L235" s="13"/>
      <c r="M235" s="13"/>
      <c r="N235" s="13"/>
      <c r="O235" s="14"/>
      <c r="P235" s="14"/>
      <c r="Q235" s="14"/>
      <c r="R235" s="14"/>
      <c r="S235" s="14"/>
      <c r="T235" s="14"/>
      <c r="U235" s="14"/>
      <c r="V235" s="14">
        <f t="shared" si="65"/>
        <v>0</v>
      </c>
      <c r="W235" s="14">
        <f t="shared" si="66"/>
        <v>0</v>
      </c>
      <c r="X235" s="17"/>
      <c r="Y235" s="17"/>
      <c r="Z235" s="17"/>
      <c r="AA235" s="18"/>
      <c r="AB235" s="13"/>
      <c r="AC235" s="13"/>
      <c r="AD235" s="13"/>
      <c r="AE235" s="13"/>
      <c r="AF235" s="13"/>
      <c r="AG235" s="13"/>
      <c r="AH235" s="13"/>
      <c r="AI235" s="19"/>
      <c r="AJ235" s="14"/>
      <c r="AK235" s="13"/>
      <c r="AL235" s="13"/>
      <c r="AM235" s="13"/>
      <c r="AN235" s="13"/>
      <c r="AO235" s="13"/>
      <c r="AP235" s="20"/>
      <c r="AQ235" s="13">
        <f t="shared" si="67"/>
        <v>0</v>
      </c>
      <c r="AR235" s="97">
        <f t="shared" si="68"/>
        <v>0</v>
      </c>
      <c r="AS235" s="130">
        <f t="shared" si="69"/>
        <v>0</v>
      </c>
      <c r="AT235" s="22"/>
      <c r="AU235" s="13" t="s">
        <v>2568</v>
      </c>
      <c r="AV235" s="13"/>
      <c r="AW235" s="13" t="s">
        <v>2560</v>
      </c>
      <c r="AX235" s="13"/>
      <c r="AY235" s="13"/>
      <c r="AZ235" s="13"/>
    </row>
    <row r="236" spans="1:52" ht="13.15">
      <c r="A236" s="12">
        <v>44846</v>
      </c>
      <c r="B236" s="13" t="s">
        <v>2569</v>
      </c>
      <c r="C236" s="13" t="s">
        <v>128</v>
      </c>
      <c r="D236" s="17" t="s">
        <v>2570</v>
      </c>
      <c r="E236" s="13" t="s">
        <v>2571</v>
      </c>
      <c r="F236" s="14"/>
      <c r="G236" s="13"/>
      <c r="H236" s="13"/>
      <c r="I236" s="13"/>
      <c r="J236" s="14"/>
      <c r="K236" s="14"/>
      <c r="L236" s="13"/>
      <c r="M236" s="13"/>
      <c r="N236" s="13"/>
      <c r="O236" s="14"/>
      <c r="P236" s="14"/>
      <c r="Q236" s="14"/>
      <c r="R236" s="14"/>
      <c r="S236" s="14"/>
      <c r="T236" s="14"/>
      <c r="U236" s="14"/>
      <c r="V236" s="14">
        <f t="shared" si="65"/>
        <v>0</v>
      </c>
      <c r="W236" s="14">
        <f t="shared" si="66"/>
        <v>0</v>
      </c>
      <c r="X236" s="17"/>
      <c r="Y236" s="17"/>
      <c r="Z236" s="17"/>
      <c r="AA236" s="18"/>
      <c r="AB236" s="13"/>
      <c r="AC236" s="13"/>
      <c r="AD236" s="13"/>
      <c r="AE236" s="13"/>
      <c r="AF236" s="13"/>
      <c r="AG236" s="13"/>
      <c r="AH236" s="13"/>
      <c r="AI236" s="19"/>
      <c r="AJ236" s="14"/>
      <c r="AK236" s="13"/>
      <c r="AL236" s="13"/>
      <c r="AM236" s="13"/>
      <c r="AN236" s="13"/>
      <c r="AO236" s="13"/>
      <c r="AP236" s="20"/>
      <c r="AQ236" s="13">
        <f t="shared" si="67"/>
        <v>0</v>
      </c>
      <c r="AR236" s="97">
        <f t="shared" si="68"/>
        <v>0</v>
      </c>
      <c r="AS236" s="130">
        <f t="shared" si="69"/>
        <v>0</v>
      </c>
      <c r="AT236" s="22"/>
      <c r="AU236" s="13"/>
      <c r="AV236" s="13"/>
      <c r="AW236" s="13"/>
      <c r="AX236" s="13"/>
      <c r="AY236" s="13"/>
      <c r="AZ236" s="13"/>
    </row>
    <row r="237" spans="1:52" ht="13.15">
      <c r="A237" s="12"/>
      <c r="B237" s="13"/>
      <c r="C237" s="13"/>
      <c r="D237" s="17" t="s">
        <v>2572</v>
      </c>
      <c r="E237" s="13"/>
      <c r="F237" s="14"/>
      <c r="G237" s="13"/>
      <c r="H237" s="13"/>
      <c r="I237" s="13"/>
      <c r="J237" s="14"/>
      <c r="K237" s="14"/>
      <c r="L237" s="13"/>
      <c r="M237" s="13"/>
      <c r="N237" s="13"/>
      <c r="O237" s="14"/>
      <c r="P237" s="14"/>
      <c r="Q237" s="14"/>
      <c r="R237" s="14"/>
      <c r="S237" s="14"/>
      <c r="T237" s="14"/>
      <c r="U237" s="14"/>
      <c r="V237" s="14">
        <f t="shared" si="65"/>
        <v>0</v>
      </c>
      <c r="W237" s="14">
        <f t="shared" si="66"/>
        <v>0</v>
      </c>
      <c r="X237" s="17"/>
      <c r="Y237" s="17"/>
      <c r="Z237" s="17"/>
      <c r="AA237" s="18"/>
      <c r="AB237" s="13"/>
      <c r="AC237" s="13"/>
      <c r="AD237" s="13"/>
      <c r="AE237" s="13"/>
      <c r="AF237" s="13"/>
      <c r="AG237" s="13"/>
      <c r="AH237" s="13"/>
      <c r="AI237" s="19"/>
      <c r="AJ237" s="14"/>
      <c r="AK237" s="13"/>
      <c r="AL237" s="13"/>
      <c r="AM237" s="13"/>
      <c r="AN237" s="13"/>
      <c r="AO237" s="13"/>
      <c r="AP237" s="20"/>
      <c r="AQ237" s="13">
        <f t="shared" si="67"/>
        <v>0</v>
      </c>
      <c r="AR237" s="97">
        <f t="shared" si="68"/>
        <v>0</v>
      </c>
      <c r="AS237" s="130">
        <f t="shared" si="69"/>
        <v>0</v>
      </c>
      <c r="AT237" s="22"/>
      <c r="AU237" s="13"/>
      <c r="AV237" s="13"/>
      <c r="AW237" s="13"/>
      <c r="AX237" s="13"/>
      <c r="AY237" s="13"/>
      <c r="AZ237" s="13"/>
    </row>
    <row r="238" spans="1:52" ht="13.15">
      <c r="A238" s="12">
        <v>44847</v>
      </c>
      <c r="B238" s="13"/>
      <c r="C238" s="13" t="s">
        <v>69</v>
      </c>
      <c r="D238" s="17" t="s">
        <v>2573</v>
      </c>
      <c r="E238" s="13"/>
      <c r="F238" s="14"/>
      <c r="G238" s="13"/>
      <c r="H238" s="13"/>
      <c r="I238" s="13"/>
      <c r="J238" s="14"/>
      <c r="K238" s="14"/>
      <c r="L238" s="13"/>
      <c r="M238" s="13"/>
      <c r="N238" s="13"/>
      <c r="O238" s="14"/>
      <c r="P238" s="14"/>
      <c r="Q238" s="14"/>
      <c r="R238" s="14"/>
      <c r="S238" s="14"/>
      <c r="T238" s="14"/>
      <c r="U238" s="14"/>
      <c r="V238" s="14">
        <f t="shared" si="65"/>
        <v>0</v>
      </c>
      <c r="W238" s="14">
        <f t="shared" si="66"/>
        <v>0</v>
      </c>
      <c r="X238" s="17"/>
      <c r="Y238" s="17"/>
      <c r="Z238" s="17"/>
      <c r="AA238" s="18"/>
      <c r="AB238" s="13"/>
      <c r="AC238" s="13"/>
      <c r="AD238" s="13"/>
      <c r="AE238" s="13"/>
      <c r="AF238" s="13"/>
      <c r="AG238" s="13"/>
      <c r="AH238" s="13"/>
      <c r="AI238" s="19"/>
      <c r="AJ238" s="14"/>
      <c r="AK238" s="13"/>
      <c r="AL238" s="13"/>
      <c r="AM238" s="13"/>
      <c r="AN238" s="13"/>
      <c r="AO238" s="13"/>
      <c r="AP238" s="20"/>
      <c r="AQ238" s="13">
        <f t="shared" si="67"/>
        <v>0</v>
      </c>
      <c r="AR238" s="97">
        <f t="shared" si="68"/>
        <v>0</v>
      </c>
      <c r="AS238" s="130">
        <f t="shared" si="69"/>
        <v>0</v>
      </c>
      <c r="AT238" s="22"/>
      <c r="AU238" s="17" t="s">
        <v>2574</v>
      </c>
      <c r="AV238" s="17" t="s">
        <v>2575</v>
      </c>
      <c r="AW238" s="13" t="s">
        <v>2576</v>
      </c>
      <c r="AX238" s="13"/>
      <c r="AY238" s="13"/>
      <c r="AZ238" s="13"/>
    </row>
    <row r="239" spans="1:52" ht="13.15">
      <c r="A239" s="26">
        <v>44847</v>
      </c>
      <c r="B239" s="13"/>
      <c r="C239" s="13" t="s">
        <v>69</v>
      </c>
      <c r="D239" s="17"/>
      <c r="E239" s="13"/>
      <c r="F239" s="14" t="s">
        <v>2417</v>
      </c>
      <c r="G239" s="13"/>
      <c r="H239" s="13"/>
      <c r="I239" s="13"/>
      <c r="J239" s="14"/>
      <c r="K239" s="14"/>
      <c r="L239" s="13">
        <v>1</v>
      </c>
      <c r="M239" s="13">
        <v>1</v>
      </c>
      <c r="N239" s="13"/>
      <c r="O239" s="14" t="s">
        <v>71</v>
      </c>
      <c r="P239" s="14" t="s">
        <v>114</v>
      </c>
      <c r="Q239" s="14" t="s">
        <v>233</v>
      </c>
      <c r="R239" s="14">
        <v>1</v>
      </c>
      <c r="S239" s="14">
        <v>1</v>
      </c>
      <c r="T239" s="14"/>
      <c r="U239" s="14" t="s">
        <v>73</v>
      </c>
      <c r="V239" s="14">
        <f t="shared" si="65"/>
        <v>0.01</v>
      </c>
      <c r="W239" s="14">
        <f t="shared" si="66"/>
        <v>1664.9999999999998</v>
      </c>
      <c r="X239" s="17"/>
      <c r="Y239" s="17"/>
      <c r="Z239" s="17" t="s">
        <v>2577</v>
      </c>
      <c r="AA239" s="18">
        <v>7.0000000000000007E-2</v>
      </c>
      <c r="AB239" s="13"/>
      <c r="AC239" s="13"/>
      <c r="AD239" s="13"/>
      <c r="AE239" s="13"/>
      <c r="AF239" s="13"/>
      <c r="AG239" s="13"/>
      <c r="AH239" s="13"/>
      <c r="AI239" s="19"/>
      <c r="AJ239" s="14"/>
      <c r="AK239" s="13"/>
      <c r="AL239" s="13"/>
      <c r="AM239" s="13"/>
      <c r="AN239" s="13"/>
      <c r="AO239" s="13"/>
      <c r="AP239" s="20"/>
      <c r="AQ239" s="13">
        <f t="shared" si="67"/>
        <v>0</v>
      </c>
      <c r="AR239" s="97">
        <f t="shared" si="68"/>
        <v>0</v>
      </c>
      <c r="AS239" s="130">
        <f t="shared" si="69"/>
        <v>0</v>
      </c>
      <c r="AT239" s="22"/>
      <c r="AU239" s="17" t="s">
        <v>2578</v>
      </c>
      <c r="AV239" s="17" t="s">
        <v>2579</v>
      </c>
      <c r="AW239" s="17" t="s">
        <v>2580</v>
      </c>
      <c r="AX239" s="13"/>
      <c r="AY239" s="13"/>
      <c r="AZ239" s="13"/>
    </row>
    <row r="240" spans="1:52" ht="13.15">
      <c r="A240" s="12">
        <v>44847</v>
      </c>
      <c r="B240" s="13"/>
      <c r="C240" s="13" t="s">
        <v>69</v>
      </c>
      <c r="D240" s="17"/>
      <c r="E240" s="13"/>
      <c r="F240" s="14"/>
      <c r="G240" s="13"/>
      <c r="H240" s="13"/>
      <c r="I240" s="13"/>
      <c r="J240" s="14"/>
      <c r="K240" s="14"/>
      <c r="L240" s="13"/>
      <c r="M240" s="13"/>
      <c r="N240" s="13"/>
      <c r="O240" s="14"/>
      <c r="P240" s="14"/>
      <c r="Q240" s="14"/>
      <c r="R240" s="14"/>
      <c r="S240" s="14"/>
      <c r="T240" s="14"/>
      <c r="U240" s="14"/>
      <c r="V240" s="14">
        <f t="shared" si="65"/>
        <v>0</v>
      </c>
      <c r="W240" s="14">
        <f t="shared" si="66"/>
        <v>0</v>
      </c>
      <c r="X240" s="17"/>
      <c r="Y240" s="17"/>
      <c r="Z240" s="17"/>
      <c r="AA240" s="18"/>
      <c r="AB240" s="13"/>
      <c r="AC240" s="13"/>
      <c r="AD240" s="13"/>
      <c r="AE240" s="13"/>
      <c r="AF240" s="13"/>
      <c r="AG240" s="13"/>
      <c r="AH240" s="13"/>
      <c r="AI240" s="19"/>
      <c r="AJ240" s="14"/>
      <c r="AK240" s="13"/>
      <c r="AL240" s="13"/>
      <c r="AM240" s="13"/>
      <c r="AN240" s="13"/>
      <c r="AO240" s="13"/>
      <c r="AP240" s="20"/>
      <c r="AQ240" s="13">
        <f t="shared" si="67"/>
        <v>0</v>
      </c>
      <c r="AR240" s="97">
        <f t="shared" si="68"/>
        <v>0</v>
      </c>
      <c r="AS240" s="130">
        <f t="shared" si="69"/>
        <v>0</v>
      </c>
      <c r="AT240" s="22"/>
      <c r="AU240" s="13"/>
      <c r="AV240" s="13"/>
      <c r="AW240" s="13"/>
      <c r="AX240" s="13"/>
      <c r="AY240" s="13"/>
      <c r="AZ240" s="13"/>
    </row>
    <row r="241" spans="1:52" ht="13.15">
      <c r="A241" s="12">
        <v>44847</v>
      </c>
      <c r="B241" s="33">
        <v>0.75</v>
      </c>
      <c r="C241" s="13" t="s">
        <v>69</v>
      </c>
      <c r="D241" s="17" t="s">
        <v>141</v>
      </c>
      <c r="E241" s="13" t="s">
        <v>142</v>
      </c>
      <c r="F241" s="14"/>
      <c r="G241" s="13">
        <v>1</v>
      </c>
      <c r="H241" s="13"/>
      <c r="I241" s="13"/>
      <c r="J241" s="14"/>
      <c r="K241" s="14"/>
      <c r="L241" s="13"/>
      <c r="M241" s="13"/>
      <c r="N241" s="13"/>
      <c r="O241" s="14"/>
      <c r="P241" s="14"/>
      <c r="Q241" s="14"/>
      <c r="R241" s="14"/>
      <c r="S241" s="14"/>
      <c r="T241" s="14"/>
      <c r="U241" s="14"/>
      <c r="V241" s="14">
        <f t="shared" si="65"/>
        <v>0</v>
      </c>
      <c r="W241" s="14">
        <f t="shared" si="66"/>
        <v>0</v>
      </c>
      <c r="X241" s="17"/>
      <c r="Y241" s="17"/>
      <c r="Z241" s="17"/>
      <c r="AA241" s="18"/>
      <c r="AB241" s="13"/>
      <c r="AC241" s="13"/>
      <c r="AD241" s="13"/>
      <c r="AE241" s="13"/>
      <c r="AF241" s="13"/>
      <c r="AG241" s="13"/>
      <c r="AH241" s="13"/>
      <c r="AI241" s="19"/>
      <c r="AJ241" s="19">
        <f t="shared" ref="AJ241:AJ242" si="70">AI241*R241</f>
        <v>0</v>
      </c>
      <c r="AK241" s="13"/>
      <c r="AL241" s="13"/>
      <c r="AM241" s="13"/>
      <c r="AN241" s="13"/>
      <c r="AO241" s="13"/>
      <c r="AP241" s="20"/>
      <c r="AQ241" s="13">
        <f t="shared" si="67"/>
        <v>0</v>
      </c>
      <c r="AR241" s="97">
        <f t="shared" si="68"/>
        <v>0</v>
      </c>
      <c r="AS241" s="130">
        <f t="shared" si="69"/>
        <v>0</v>
      </c>
      <c r="AT241" s="22"/>
      <c r="AU241" s="13" t="s">
        <v>143</v>
      </c>
      <c r="AV241" s="13" t="s">
        <v>144</v>
      </c>
      <c r="AW241" s="13"/>
      <c r="AX241" s="13"/>
      <c r="AY241" s="13"/>
      <c r="AZ241" s="13" t="s">
        <v>145</v>
      </c>
    </row>
    <row r="242" spans="1:52" ht="13.15">
      <c r="A242" s="12"/>
      <c r="B242" s="13"/>
      <c r="C242" s="13"/>
      <c r="D242" s="17" t="s">
        <v>146</v>
      </c>
      <c r="E242" s="13" t="s">
        <v>147</v>
      </c>
      <c r="F242" s="14"/>
      <c r="G242" s="13">
        <v>1</v>
      </c>
      <c r="H242" s="13"/>
      <c r="I242" s="13"/>
      <c r="J242" s="14"/>
      <c r="K242" s="14"/>
      <c r="L242" s="13"/>
      <c r="M242" s="13"/>
      <c r="N242" s="13"/>
      <c r="O242" s="14"/>
      <c r="P242" s="14"/>
      <c r="Q242" s="14"/>
      <c r="R242" s="14"/>
      <c r="S242" s="14"/>
      <c r="T242" s="14"/>
      <c r="U242" s="14"/>
      <c r="V242" s="14">
        <f t="shared" si="65"/>
        <v>0</v>
      </c>
      <c r="W242" s="14">
        <f t="shared" si="66"/>
        <v>0</v>
      </c>
      <c r="X242" s="17"/>
      <c r="Y242" s="17"/>
      <c r="Z242" s="17"/>
      <c r="AA242" s="18"/>
      <c r="AB242" s="13"/>
      <c r="AC242" s="13"/>
      <c r="AD242" s="13"/>
      <c r="AE242" s="13"/>
      <c r="AF242" s="13"/>
      <c r="AG242" s="13"/>
      <c r="AH242" s="13"/>
      <c r="AI242" s="19"/>
      <c r="AJ242" s="19">
        <f t="shared" si="70"/>
        <v>0</v>
      </c>
      <c r="AK242" s="13"/>
      <c r="AL242" s="13"/>
      <c r="AM242" s="13"/>
      <c r="AN242" s="13"/>
      <c r="AO242" s="13"/>
      <c r="AP242" s="20"/>
      <c r="AQ242" s="13">
        <f t="shared" si="67"/>
        <v>0</v>
      </c>
      <c r="AR242" s="97">
        <f t="shared" si="68"/>
        <v>0</v>
      </c>
      <c r="AS242" s="130">
        <f t="shared" si="69"/>
        <v>0</v>
      </c>
      <c r="AT242" s="22"/>
      <c r="AU242" s="13"/>
      <c r="AV242" s="13"/>
      <c r="AW242" s="13"/>
      <c r="AX242" s="13"/>
      <c r="AY242" s="13"/>
      <c r="AZ242" s="13"/>
    </row>
    <row r="243" spans="1:52" ht="13.15">
      <c r="A243" s="12"/>
      <c r="B243" s="13"/>
      <c r="C243" s="13"/>
      <c r="D243" s="17"/>
      <c r="E243" s="13" t="s">
        <v>2581</v>
      </c>
      <c r="F243" s="14"/>
      <c r="G243" s="13"/>
      <c r="H243" s="13"/>
      <c r="I243" s="13"/>
      <c r="J243" s="14"/>
      <c r="K243" s="14"/>
      <c r="L243" s="13"/>
      <c r="M243" s="13"/>
      <c r="N243" s="13"/>
      <c r="O243" s="14" t="s">
        <v>71</v>
      </c>
      <c r="P243" s="14"/>
      <c r="Q243" s="14"/>
      <c r="R243" s="14">
        <v>1</v>
      </c>
      <c r="S243" s="14">
        <v>1</v>
      </c>
      <c r="T243" s="14"/>
      <c r="U243" s="14" t="s">
        <v>21</v>
      </c>
      <c r="V243" s="14">
        <f t="shared" si="65"/>
        <v>0.01</v>
      </c>
      <c r="W243" s="14">
        <f t="shared" si="66"/>
        <v>1664.9999999999998</v>
      </c>
      <c r="X243" s="17"/>
      <c r="Y243" s="17"/>
      <c r="Z243" s="17" t="s">
        <v>75</v>
      </c>
      <c r="AA243" s="18"/>
      <c r="AB243" s="13"/>
      <c r="AC243" s="13"/>
      <c r="AD243" s="13"/>
      <c r="AE243" s="13"/>
      <c r="AF243" s="13"/>
      <c r="AG243" s="13"/>
      <c r="AH243" s="13"/>
      <c r="AI243" s="19"/>
      <c r="AJ243" s="14"/>
      <c r="AK243" s="13"/>
      <c r="AL243" s="13"/>
      <c r="AM243" s="13"/>
      <c r="AN243" s="13"/>
      <c r="AO243" s="13"/>
      <c r="AP243" s="20"/>
      <c r="AQ243" s="13">
        <f t="shared" si="67"/>
        <v>0</v>
      </c>
      <c r="AR243" s="97">
        <f t="shared" si="68"/>
        <v>0</v>
      </c>
      <c r="AS243" s="130">
        <f t="shared" si="69"/>
        <v>0</v>
      </c>
      <c r="AT243" s="22"/>
      <c r="AU243" s="13"/>
      <c r="AV243" s="13"/>
      <c r="AW243" s="13"/>
      <c r="AX243" s="13" t="s">
        <v>2581</v>
      </c>
      <c r="AY243" s="13"/>
      <c r="AZ243" s="13"/>
    </row>
    <row r="244" spans="1:52" ht="13.15">
      <c r="A244" s="12">
        <v>44858</v>
      </c>
      <c r="B244" s="33">
        <v>0.33333333333333331</v>
      </c>
      <c r="C244" s="13" t="s">
        <v>109</v>
      </c>
      <c r="D244" s="17"/>
      <c r="E244" s="13"/>
      <c r="F244" s="14" t="s">
        <v>113</v>
      </c>
      <c r="G244" s="13"/>
      <c r="H244" s="13"/>
      <c r="I244" s="13"/>
      <c r="J244" s="14"/>
      <c r="K244" s="14"/>
      <c r="L244" s="13"/>
      <c r="M244" s="13"/>
      <c r="N244" s="13"/>
      <c r="O244" s="14"/>
      <c r="P244" s="14"/>
      <c r="Q244" s="14"/>
      <c r="R244" s="14"/>
      <c r="S244" s="14"/>
      <c r="T244" s="14"/>
      <c r="U244" s="14"/>
      <c r="V244" s="14">
        <f t="shared" si="65"/>
        <v>0</v>
      </c>
      <c r="W244" s="14">
        <f t="shared" si="66"/>
        <v>0</v>
      </c>
      <c r="X244" s="17"/>
      <c r="Y244" s="17"/>
      <c r="Z244" s="17"/>
      <c r="AA244" s="18"/>
      <c r="AB244" s="13"/>
      <c r="AC244" s="13"/>
      <c r="AD244" s="13"/>
      <c r="AE244" s="13"/>
      <c r="AF244" s="13"/>
      <c r="AG244" s="13"/>
      <c r="AH244" s="13"/>
      <c r="AI244" s="19"/>
      <c r="AJ244" s="14"/>
      <c r="AK244" s="13"/>
      <c r="AL244" s="13"/>
      <c r="AM244" s="13"/>
      <c r="AN244" s="13"/>
      <c r="AO244" s="13"/>
      <c r="AP244" s="20"/>
      <c r="AQ244" s="13">
        <f t="shared" si="67"/>
        <v>0</v>
      </c>
      <c r="AR244" s="97">
        <f t="shared" si="68"/>
        <v>0</v>
      </c>
      <c r="AS244" s="130">
        <f t="shared" si="69"/>
        <v>0</v>
      </c>
      <c r="AT244" s="22"/>
      <c r="AU244" s="13" t="s">
        <v>2582</v>
      </c>
      <c r="AV244" s="13" t="s">
        <v>2583</v>
      </c>
      <c r="AW244" s="13"/>
      <c r="AX244" s="13"/>
      <c r="AY244" s="13"/>
      <c r="AZ244" s="13"/>
    </row>
    <row r="245" spans="1:52" ht="13.15">
      <c r="A245" s="12">
        <v>44861</v>
      </c>
      <c r="B245" s="13"/>
      <c r="C245" s="13" t="s">
        <v>69</v>
      </c>
      <c r="D245" s="142" t="s">
        <v>285</v>
      </c>
      <c r="E245" s="13"/>
      <c r="F245" s="14" t="s">
        <v>2584</v>
      </c>
      <c r="G245" s="13"/>
      <c r="H245" s="13"/>
      <c r="I245" s="13"/>
      <c r="J245" s="14"/>
      <c r="K245" s="14"/>
      <c r="L245" s="13">
        <v>1</v>
      </c>
      <c r="M245" s="13">
        <v>1</v>
      </c>
      <c r="N245" s="13"/>
      <c r="O245" s="14" t="s">
        <v>71</v>
      </c>
      <c r="P245" s="14" t="s">
        <v>72</v>
      </c>
      <c r="Q245" s="14" t="s">
        <v>73</v>
      </c>
      <c r="R245" s="14">
        <v>1</v>
      </c>
      <c r="S245" s="14">
        <v>1</v>
      </c>
      <c r="T245" s="14"/>
      <c r="U245" s="14" t="s">
        <v>21</v>
      </c>
      <c r="V245" s="14">
        <f t="shared" si="65"/>
        <v>0.01</v>
      </c>
      <c r="W245" s="14">
        <f t="shared" si="66"/>
        <v>1664.9999999999998</v>
      </c>
      <c r="X245" s="17"/>
      <c r="Y245" s="17" t="s">
        <v>2585</v>
      </c>
      <c r="Z245" s="17"/>
      <c r="AA245" s="18">
        <v>0.62</v>
      </c>
      <c r="AB245" s="13"/>
      <c r="AC245" s="13">
        <v>60</v>
      </c>
      <c r="AD245" s="13"/>
      <c r="AE245" s="13"/>
      <c r="AF245" s="13" t="s">
        <v>2586</v>
      </c>
      <c r="AG245" s="13"/>
      <c r="AH245" s="13"/>
      <c r="AI245" s="19"/>
      <c r="AJ245" s="14"/>
      <c r="AK245" s="13"/>
      <c r="AL245" s="13"/>
      <c r="AM245" s="13"/>
      <c r="AN245" s="13"/>
      <c r="AO245" s="13"/>
      <c r="AP245" s="20">
        <v>0.6</v>
      </c>
      <c r="AQ245" s="20">
        <f t="shared" si="67"/>
        <v>-2.0000000000000018E-2</v>
      </c>
      <c r="AR245" s="97">
        <f t="shared" si="68"/>
        <v>-33.300000000000026</v>
      </c>
      <c r="AS245" s="130">
        <f t="shared" si="69"/>
        <v>-33.300000000000026</v>
      </c>
      <c r="AT245" s="22" t="s">
        <v>206</v>
      </c>
      <c r="AU245" s="29" t="s">
        <v>2587</v>
      </c>
      <c r="AV245" s="13" t="s">
        <v>2588</v>
      </c>
      <c r="AW245" s="13" t="s">
        <v>2589</v>
      </c>
      <c r="AX245" s="13" t="s">
        <v>2590</v>
      </c>
      <c r="AY245" s="13"/>
      <c r="AZ245" s="13"/>
    </row>
    <row r="246" spans="1:52" ht="13.15">
      <c r="A246" s="12">
        <v>44861</v>
      </c>
      <c r="B246" s="13"/>
      <c r="C246" s="13" t="s">
        <v>69</v>
      </c>
      <c r="D246" s="17"/>
      <c r="E246" s="13"/>
      <c r="F246" s="116" t="s">
        <v>1220</v>
      </c>
      <c r="G246" s="13"/>
      <c r="H246" s="13"/>
      <c r="I246" s="13"/>
      <c r="J246" s="14"/>
      <c r="K246" s="14"/>
      <c r="L246" s="13"/>
      <c r="M246" s="13">
        <v>1</v>
      </c>
      <c r="N246" s="13"/>
      <c r="O246" s="14" t="s">
        <v>71</v>
      </c>
      <c r="P246" s="14" t="s">
        <v>72</v>
      </c>
      <c r="Q246" s="14" t="s">
        <v>233</v>
      </c>
      <c r="R246" s="14">
        <v>2</v>
      </c>
      <c r="S246" s="14">
        <v>2</v>
      </c>
      <c r="T246" s="14"/>
      <c r="U246" s="14" t="s">
        <v>21</v>
      </c>
      <c r="V246" s="14">
        <f t="shared" si="65"/>
        <v>0.01</v>
      </c>
      <c r="W246" s="14">
        <f t="shared" si="66"/>
        <v>1664.9999999999998</v>
      </c>
      <c r="X246" s="17"/>
      <c r="Y246" s="17"/>
      <c r="Z246" s="17" t="s">
        <v>2591</v>
      </c>
      <c r="AA246" s="18">
        <v>0.04</v>
      </c>
      <c r="AB246" s="28" t="s">
        <v>2592</v>
      </c>
      <c r="AC246" s="13"/>
      <c r="AD246" s="13"/>
      <c r="AE246" s="13">
        <v>6</v>
      </c>
      <c r="AF246" s="13"/>
      <c r="AG246" s="13"/>
      <c r="AH246" s="13"/>
      <c r="AI246" s="19"/>
      <c r="AJ246" s="14"/>
      <c r="AK246" s="13"/>
      <c r="AL246" s="13"/>
      <c r="AM246" s="13"/>
      <c r="AN246" s="13" t="s">
        <v>92</v>
      </c>
      <c r="AO246" s="13"/>
      <c r="AP246" s="20">
        <v>0.06</v>
      </c>
      <c r="AQ246" s="20">
        <f t="shared" si="67"/>
        <v>1.9999999999999997E-2</v>
      </c>
      <c r="AR246" s="97">
        <f t="shared" si="68"/>
        <v>66.59999999999998</v>
      </c>
      <c r="AS246" s="130">
        <f t="shared" si="69"/>
        <v>33.29999999999999</v>
      </c>
      <c r="AT246" s="22" t="s">
        <v>72</v>
      </c>
      <c r="AU246" s="13" t="s">
        <v>2593</v>
      </c>
      <c r="AV246" s="13" t="s">
        <v>2588</v>
      </c>
      <c r="AW246" s="13" t="s">
        <v>2594</v>
      </c>
      <c r="AX246" s="13" t="s">
        <v>2595</v>
      </c>
      <c r="AY246" s="13"/>
      <c r="AZ246" s="13"/>
    </row>
    <row r="247" spans="1:52" ht="13.15">
      <c r="A247" s="12">
        <v>44861</v>
      </c>
      <c r="B247" s="13"/>
      <c r="C247" s="13" t="s">
        <v>69</v>
      </c>
      <c r="D247" s="17"/>
      <c r="E247" s="13"/>
      <c r="F247" s="14" t="s">
        <v>2596</v>
      </c>
      <c r="G247" s="13"/>
      <c r="H247" s="13"/>
      <c r="I247" s="13"/>
      <c r="J247" s="14"/>
      <c r="K247" s="14"/>
      <c r="L247" s="13">
        <v>1</v>
      </c>
      <c r="M247" s="13"/>
      <c r="N247" s="13"/>
      <c r="O247" s="14" t="s">
        <v>71</v>
      </c>
      <c r="P247" s="14" t="s">
        <v>114</v>
      </c>
      <c r="Q247" s="14" t="s">
        <v>73</v>
      </c>
      <c r="R247" s="14">
        <v>1</v>
      </c>
      <c r="S247" s="14">
        <v>1</v>
      </c>
      <c r="T247" s="14"/>
      <c r="U247" s="14" t="s">
        <v>21</v>
      </c>
      <c r="V247" s="14">
        <f t="shared" si="65"/>
        <v>0.01</v>
      </c>
      <c r="W247" s="14">
        <f t="shared" si="66"/>
        <v>1664.9999999999998</v>
      </c>
      <c r="X247" s="17"/>
      <c r="Y247" s="17"/>
      <c r="Z247" s="17" t="s">
        <v>975</v>
      </c>
      <c r="AA247" s="18">
        <v>-0.08</v>
      </c>
      <c r="AB247" s="13"/>
      <c r="AC247" s="13">
        <v>-9</v>
      </c>
      <c r="AD247" s="13"/>
      <c r="AE247" s="13">
        <v>-7</v>
      </c>
      <c r="AF247" s="13"/>
      <c r="AG247" s="13"/>
      <c r="AH247" s="13"/>
      <c r="AI247" s="19"/>
      <c r="AJ247" s="14"/>
      <c r="AK247" s="13"/>
      <c r="AL247" s="13"/>
      <c r="AM247" s="13"/>
      <c r="AN247" s="13" t="s">
        <v>92</v>
      </c>
      <c r="AO247" s="13"/>
      <c r="AP247" s="20">
        <v>-0.08</v>
      </c>
      <c r="AQ247" s="20">
        <f t="shared" si="67"/>
        <v>0</v>
      </c>
      <c r="AR247" s="97">
        <f t="shared" si="68"/>
        <v>0</v>
      </c>
      <c r="AS247" s="130">
        <f t="shared" si="69"/>
        <v>0</v>
      </c>
      <c r="AT247" s="22" t="s">
        <v>92</v>
      </c>
      <c r="AU247" s="13"/>
      <c r="AV247" s="13"/>
      <c r="AW247" s="13"/>
      <c r="AX247" s="13"/>
      <c r="AY247" s="13"/>
      <c r="AZ247" s="13"/>
    </row>
    <row r="248" spans="1:52" ht="13.15">
      <c r="A248" s="12">
        <v>44861</v>
      </c>
      <c r="B248" s="13"/>
      <c r="C248" s="13" t="s">
        <v>69</v>
      </c>
      <c r="D248" s="17"/>
      <c r="E248" s="13"/>
      <c r="F248" s="14" t="s">
        <v>734</v>
      </c>
      <c r="G248" s="13"/>
      <c r="H248" s="13"/>
      <c r="I248" s="13"/>
      <c r="J248" s="14"/>
      <c r="K248" s="14"/>
      <c r="L248" s="13">
        <v>1</v>
      </c>
      <c r="M248" s="13"/>
      <c r="N248" s="13"/>
      <c r="O248" s="14" t="s">
        <v>71</v>
      </c>
      <c r="P248" s="14" t="s">
        <v>114</v>
      </c>
      <c r="Q248" s="14" t="s">
        <v>73</v>
      </c>
      <c r="R248" s="14">
        <v>1</v>
      </c>
      <c r="S248" s="14">
        <v>1</v>
      </c>
      <c r="T248" s="14"/>
      <c r="U248" s="14" t="s">
        <v>21</v>
      </c>
      <c r="V248" s="14">
        <f t="shared" si="65"/>
        <v>0.01</v>
      </c>
      <c r="W248" s="14">
        <f t="shared" si="66"/>
        <v>1664.9999999999998</v>
      </c>
      <c r="X248" s="17"/>
      <c r="Y248" s="17"/>
      <c r="Z248" s="17" t="s">
        <v>975</v>
      </c>
      <c r="AA248" s="18">
        <v>0.02</v>
      </c>
      <c r="AB248" s="13"/>
      <c r="AC248" s="13">
        <v>0</v>
      </c>
      <c r="AD248" s="13"/>
      <c r="AE248" s="13">
        <v>3</v>
      </c>
      <c r="AF248" s="13"/>
      <c r="AG248" s="13"/>
      <c r="AH248" s="13"/>
      <c r="AI248" s="19"/>
      <c r="AJ248" s="14"/>
      <c r="AK248" s="13"/>
      <c r="AL248" s="13"/>
      <c r="AM248" s="13"/>
      <c r="AN248" s="13"/>
      <c r="AO248" s="13"/>
      <c r="AP248" s="20">
        <v>0.03</v>
      </c>
      <c r="AQ248" s="20">
        <f t="shared" si="67"/>
        <v>9.9999999999999985E-3</v>
      </c>
      <c r="AR248" s="97">
        <f t="shared" si="68"/>
        <v>16.649999999999995</v>
      </c>
      <c r="AS248" s="130">
        <f t="shared" si="69"/>
        <v>16.649999999999995</v>
      </c>
      <c r="AT248" s="22" t="s">
        <v>72</v>
      </c>
      <c r="AU248" s="13" t="s">
        <v>2597</v>
      </c>
      <c r="AV248" s="13" t="s">
        <v>2588</v>
      </c>
      <c r="AW248" s="13"/>
      <c r="AX248" s="13"/>
      <c r="AY248" s="13"/>
      <c r="AZ248" s="13"/>
    </row>
    <row r="249" spans="1:52" ht="13.15">
      <c r="A249" s="12">
        <v>44861</v>
      </c>
      <c r="B249" s="13" t="s">
        <v>2598</v>
      </c>
      <c r="C249" s="13" t="s">
        <v>69</v>
      </c>
      <c r="D249" s="17"/>
      <c r="E249" s="13"/>
      <c r="F249" s="14" t="s">
        <v>113</v>
      </c>
      <c r="G249" s="13"/>
      <c r="H249" s="13"/>
      <c r="I249" s="13"/>
      <c r="J249" s="14"/>
      <c r="K249" s="14"/>
      <c r="L249" s="13">
        <v>1</v>
      </c>
      <c r="M249" s="13"/>
      <c r="N249" s="13"/>
      <c r="O249" s="14" t="s">
        <v>71</v>
      </c>
      <c r="P249" s="14" t="s">
        <v>114</v>
      </c>
      <c r="Q249" s="14" t="s">
        <v>73</v>
      </c>
      <c r="R249" s="14">
        <v>1</v>
      </c>
      <c r="S249" s="14">
        <v>1</v>
      </c>
      <c r="T249" s="14"/>
      <c r="U249" s="14" t="s">
        <v>21</v>
      </c>
      <c r="V249" s="14">
        <f t="shared" si="65"/>
        <v>0.01</v>
      </c>
      <c r="W249" s="14">
        <f t="shared" si="66"/>
        <v>1664.9999999999998</v>
      </c>
      <c r="X249" s="17"/>
      <c r="Y249" s="17"/>
      <c r="Z249" s="17" t="s">
        <v>975</v>
      </c>
      <c r="AA249" s="18">
        <v>-0.08</v>
      </c>
      <c r="AB249" s="13"/>
      <c r="AC249" s="13">
        <v>-10</v>
      </c>
      <c r="AD249" s="13"/>
      <c r="AE249" s="13">
        <v>-7</v>
      </c>
      <c r="AF249" s="13"/>
      <c r="AG249" s="13"/>
      <c r="AH249" s="13"/>
      <c r="AI249" s="19"/>
      <c r="AJ249" s="14"/>
      <c r="AK249" s="13"/>
      <c r="AL249" s="13"/>
      <c r="AM249" s="13"/>
      <c r="AN249" s="13" t="s">
        <v>92</v>
      </c>
      <c r="AO249" s="13"/>
      <c r="AP249" s="20">
        <v>-7.0000000000000007E-2</v>
      </c>
      <c r="AQ249" s="20">
        <f t="shared" si="67"/>
        <v>9.999999999999995E-3</v>
      </c>
      <c r="AR249" s="97">
        <f t="shared" si="68"/>
        <v>16.649999999999988</v>
      </c>
      <c r="AS249" s="130">
        <f t="shared" si="69"/>
        <v>16.649999999999988</v>
      </c>
      <c r="AT249" s="22" t="s">
        <v>72</v>
      </c>
      <c r="AU249" s="13"/>
      <c r="AV249" s="13"/>
      <c r="AW249" s="13"/>
      <c r="AX249" s="13"/>
      <c r="AY249" s="13"/>
      <c r="AZ249" s="13"/>
    </row>
    <row r="250" spans="1:52" ht="13.15">
      <c r="A250" s="12"/>
      <c r="B250" s="13"/>
      <c r="C250" s="13"/>
      <c r="D250" s="17"/>
      <c r="E250" s="13"/>
      <c r="F250" s="14"/>
      <c r="G250" s="13"/>
      <c r="H250" s="13"/>
      <c r="I250" s="13"/>
      <c r="J250" s="14"/>
      <c r="K250" s="14"/>
      <c r="L250" s="13"/>
      <c r="M250" s="13"/>
      <c r="N250" s="13"/>
      <c r="O250" s="14"/>
      <c r="P250" s="14"/>
      <c r="Q250" s="14"/>
      <c r="R250" s="14"/>
      <c r="S250" s="14"/>
      <c r="T250" s="14"/>
      <c r="U250" s="14"/>
      <c r="V250" s="14">
        <f t="shared" si="65"/>
        <v>0</v>
      </c>
      <c r="W250" s="14">
        <f t="shared" si="66"/>
        <v>0</v>
      </c>
      <c r="X250" s="17"/>
      <c r="Y250" s="17"/>
      <c r="Z250" s="17"/>
      <c r="AA250" s="18"/>
      <c r="AB250" s="13"/>
      <c r="AC250" s="13"/>
      <c r="AD250" s="13"/>
      <c r="AE250" s="13"/>
      <c r="AF250" s="13"/>
      <c r="AG250" s="13"/>
      <c r="AH250" s="13"/>
      <c r="AI250" s="19"/>
      <c r="AJ250" s="14"/>
      <c r="AK250" s="13"/>
      <c r="AL250" s="13"/>
      <c r="AM250" s="13"/>
      <c r="AN250" s="13"/>
      <c r="AO250" s="13"/>
      <c r="AP250" s="20"/>
      <c r="AQ250" s="13">
        <f t="shared" si="67"/>
        <v>0</v>
      </c>
      <c r="AR250" s="97">
        <f t="shared" si="68"/>
        <v>0</v>
      </c>
      <c r="AS250" s="130">
        <f t="shared" si="69"/>
        <v>0</v>
      </c>
      <c r="AT250" s="22"/>
      <c r="AU250" s="13"/>
      <c r="AV250" s="13"/>
      <c r="AW250" s="13"/>
      <c r="AX250" s="13"/>
      <c r="AY250" s="13"/>
      <c r="AZ250" s="13"/>
    </row>
    <row r="251" spans="1:52" ht="13.15">
      <c r="A251" s="12"/>
      <c r="B251" s="13"/>
      <c r="C251" s="13"/>
      <c r="D251" s="17"/>
      <c r="E251" s="13"/>
      <c r="F251" s="14"/>
      <c r="G251" s="13"/>
      <c r="H251" s="13"/>
      <c r="I251" s="13"/>
      <c r="J251" s="14"/>
      <c r="K251" s="14"/>
      <c r="L251" s="13"/>
      <c r="M251" s="13"/>
      <c r="N251" s="13"/>
      <c r="O251" s="14"/>
      <c r="P251" s="14"/>
      <c r="Q251" s="14"/>
      <c r="R251" s="14"/>
      <c r="S251" s="14"/>
      <c r="T251" s="14"/>
      <c r="U251" s="14"/>
      <c r="V251" s="14">
        <f t="shared" si="65"/>
        <v>0</v>
      </c>
      <c r="W251" s="14">
        <f t="shared" si="66"/>
        <v>0</v>
      </c>
      <c r="X251" s="17"/>
      <c r="Y251" s="17"/>
      <c r="Z251" s="17"/>
      <c r="AA251" s="18"/>
      <c r="AB251" s="13"/>
      <c r="AC251" s="13"/>
      <c r="AD251" s="13"/>
      <c r="AE251" s="13"/>
      <c r="AF251" s="13"/>
      <c r="AG251" s="13"/>
      <c r="AH251" s="13"/>
      <c r="AI251" s="19"/>
      <c r="AJ251" s="14"/>
      <c r="AK251" s="13"/>
      <c r="AL251" s="13"/>
      <c r="AM251" s="13"/>
      <c r="AN251" s="13"/>
      <c r="AO251" s="13"/>
      <c r="AP251" s="20"/>
      <c r="AQ251" s="13">
        <f t="shared" si="67"/>
        <v>0</v>
      </c>
      <c r="AR251" s="97">
        <f t="shared" si="68"/>
        <v>0</v>
      </c>
      <c r="AS251" s="130">
        <f t="shared" si="69"/>
        <v>0</v>
      </c>
      <c r="AT251" s="22"/>
      <c r="AU251" s="13"/>
      <c r="AV251" s="13"/>
      <c r="AW251" s="13"/>
      <c r="AX251" s="13"/>
      <c r="AY251" s="13"/>
      <c r="AZ251" s="13"/>
    </row>
    <row r="252" spans="1:52" ht="13.15">
      <c r="A252" s="12"/>
      <c r="B252" s="13"/>
      <c r="C252" s="13"/>
      <c r="D252" s="17"/>
      <c r="E252" s="13"/>
      <c r="F252" s="14"/>
      <c r="G252" s="13"/>
      <c r="H252" s="13"/>
      <c r="I252" s="13"/>
      <c r="J252" s="14"/>
      <c r="K252" s="14"/>
      <c r="L252" s="13"/>
      <c r="M252" s="13"/>
      <c r="N252" s="13"/>
      <c r="O252" s="14"/>
      <c r="P252" s="14"/>
      <c r="Q252" s="14"/>
      <c r="R252" s="14"/>
      <c r="S252" s="14"/>
      <c r="T252" s="14"/>
      <c r="U252" s="14"/>
      <c r="V252" s="14">
        <f t="shared" si="65"/>
        <v>0</v>
      </c>
      <c r="W252" s="14">
        <f t="shared" si="66"/>
        <v>0</v>
      </c>
      <c r="X252" s="17"/>
      <c r="Y252" s="17"/>
      <c r="Z252" s="17"/>
      <c r="AA252" s="18"/>
      <c r="AB252" s="13"/>
      <c r="AC252" s="13"/>
      <c r="AD252" s="13"/>
      <c r="AE252" s="13"/>
      <c r="AF252" s="13"/>
      <c r="AG252" s="13"/>
      <c r="AH252" s="13"/>
      <c r="AI252" s="19"/>
      <c r="AJ252" s="14"/>
      <c r="AK252" s="13"/>
      <c r="AL252" s="13"/>
      <c r="AM252" s="13"/>
      <c r="AN252" s="13"/>
      <c r="AO252" s="13"/>
      <c r="AP252" s="20"/>
      <c r="AQ252" s="13">
        <f t="shared" si="67"/>
        <v>0</v>
      </c>
      <c r="AR252" s="97">
        <f t="shared" si="68"/>
        <v>0</v>
      </c>
      <c r="AS252" s="130">
        <f t="shared" si="69"/>
        <v>0</v>
      </c>
      <c r="AT252" s="22"/>
      <c r="AU252" s="13"/>
      <c r="AV252" s="13"/>
      <c r="AW252" s="13"/>
      <c r="AX252" s="13"/>
      <c r="AY252" s="13"/>
      <c r="AZ252" s="13"/>
    </row>
    <row r="253" spans="1:52" ht="13.15">
      <c r="A253" s="12"/>
      <c r="B253" s="13"/>
      <c r="C253" s="13"/>
      <c r="D253" s="17"/>
      <c r="E253" s="13"/>
      <c r="F253" s="14"/>
      <c r="G253" s="13"/>
      <c r="H253" s="13"/>
      <c r="I253" s="13"/>
      <c r="J253" s="14"/>
      <c r="K253" s="14"/>
      <c r="L253" s="13"/>
      <c r="M253" s="13"/>
      <c r="N253" s="13"/>
      <c r="O253" s="14"/>
      <c r="P253" s="14"/>
      <c r="Q253" s="14"/>
      <c r="R253" s="14"/>
      <c r="S253" s="14"/>
      <c r="T253" s="14"/>
      <c r="U253" s="14"/>
      <c r="V253" s="14">
        <f t="shared" si="65"/>
        <v>0</v>
      </c>
      <c r="W253" s="14">
        <f t="shared" si="66"/>
        <v>0</v>
      </c>
      <c r="X253" s="17"/>
      <c r="Y253" s="17"/>
      <c r="Z253" s="17"/>
      <c r="AA253" s="18"/>
      <c r="AB253" s="13"/>
      <c r="AC253" s="13"/>
      <c r="AD253" s="13"/>
      <c r="AE253" s="13"/>
      <c r="AF253" s="13"/>
      <c r="AG253" s="13"/>
      <c r="AH253" s="13"/>
      <c r="AI253" s="19"/>
      <c r="AJ253" s="14"/>
      <c r="AK253" s="13"/>
      <c r="AL253" s="13"/>
      <c r="AM253" s="13"/>
      <c r="AN253" s="13"/>
      <c r="AO253" s="13"/>
      <c r="AP253" s="20"/>
      <c r="AQ253" s="13">
        <f t="shared" si="67"/>
        <v>0</v>
      </c>
      <c r="AR253" s="97">
        <f t="shared" si="68"/>
        <v>0</v>
      </c>
      <c r="AS253" s="130">
        <f t="shared" si="69"/>
        <v>0</v>
      </c>
      <c r="AT253" s="22"/>
      <c r="AU253" s="127" t="s">
        <v>2599</v>
      </c>
      <c r="AV253" s="127" t="s">
        <v>2600</v>
      </c>
      <c r="AW253" s="127" t="s">
        <v>2580</v>
      </c>
      <c r="AX253" s="127" t="s">
        <v>2601</v>
      </c>
      <c r="AY253" s="13"/>
      <c r="AZ253" s="13"/>
    </row>
    <row r="254" spans="1:52" ht="13.15">
      <c r="A254" s="86">
        <v>44887</v>
      </c>
      <c r="B254" s="124"/>
      <c r="C254" s="124"/>
      <c r="D254" s="135"/>
      <c r="E254" s="124"/>
      <c r="F254" s="136"/>
      <c r="G254" s="124"/>
      <c r="H254" s="124"/>
      <c r="I254" s="124"/>
      <c r="J254" s="124"/>
      <c r="K254" s="124"/>
      <c r="L254" s="124"/>
      <c r="M254" s="124"/>
      <c r="N254" s="124"/>
      <c r="O254" s="136"/>
      <c r="P254" s="136"/>
      <c r="Q254" s="136"/>
      <c r="R254" s="136"/>
      <c r="S254" s="136"/>
      <c r="T254" s="136"/>
      <c r="U254" s="136"/>
      <c r="V254" s="135">
        <f t="shared" si="65"/>
        <v>0</v>
      </c>
      <c r="W254" s="135">
        <f t="shared" si="66"/>
        <v>0</v>
      </c>
      <c r="X254" s="135"/>
      <c r="Y254" s="135"/>
      <c r="Z254" s="135"/>
      <c r="AA254" s="137"/>
      <c r="AB254" s="124"/>
      <c r="AC254" s="124"/>
      <c r="AD254" s="124"/>
      <c r="AE254" s="124"/>
      <c r="AF254" s="124"/>
      <c r="AG254" s="124"/>
      <c r="AH254" s="124"/>
      <c r="AI254" s="138"/>
      <c r="AJ254" s="136"/>
      <c r="AK254" s="124"/>
      <c r="AL254" s="124"/>
      <c r="AM254" s="124"/>
      <c r="AN254" s="124"/>
      <c r="AO254" s="124"/>
      <c r="AP254" s="139"/>
      <c r="AQ254" s="124">
        <f t="shared" si="67"/>
        <v>0</v>
      </c>
      <c r="AR254" s="124"/>
      <c r="AS254" s="124">
        <f t="shared" si="69"/>
        <v>0</v>
      </c>
      <c r="AT254" s="96"/>
      <c r="AU254" s="124"/>
      <c r="AV254" s="124"/>
      <c r="AW254" s="124"/>
      <c r="AX254" s="124"/>
      <c r="AY254" s="124"/>
      <c r="AZ254" s="124"/>
    </row>
    <row r="255" spans="1:52" ht="13.15">
      <c r="A255" s="12">
        <v>44866</v>
      </c>
      <c r="B255" s="13" t="s">
        <v>123</v>
      </c>
      <c r="C255" s="13" t="s">
        <v>2602</v>
      </c>
      <c r="D255" s="17"/>
      <c r="E255" s="13"/>
      <c r="F255" s="14" t="s">
        <v>2567</v>
      </c>
      <c r="G255" s="13"/>
      <c r="H255" s="13"/>
      <c r="I255" s="13"/>
      <c r="J255" s="14"/>
      <c r="K255" s="14"/>
      <c r="L255" s="13">
        <v>1</v>
      </c>
      <c r="M255" s="13"/>
      <c r="N255" s="13"/>
      <c r="O255" s="14" t="s">
        <v>71</v>
      </c>
      <c r="P255" s="14" t="s">
        <v>114</v>
      </c>
      <c r="Q255" s="14" t="s">
        <v>73</v>
      </c>
      <c r="R255" s="14">
        <v>2</v>
      </c>
      <c r="S255" s="14">
        <v>2</v>
      </c>
      <c r="T255" s="14"/>
      <c r="U255" s="15" t="s">
        <v>73</v>
      </c>
      <c r="V255" s="14">
        <f t="shared" si="65"/>
        <v>0.01</v>
      </c>
      <c r="W255" s="14">
        <f t="shared" si="66"/>
        <v>1664.9999999999998</v>
      </c>
      <c r="X255" s="17"/>
      <c r="Y255" s="17"/>
      <c r="Z255" s="17" t="s">
        <v>975</v>
      </c>
      <c r="AA255" s="18">
        <v>-0.03</v>
      </c>
      <c r="AB255" s="13"/>
      <c r="AC255" s="13"/>
      <c r="AD255" s="13"/>
      <c r="AE255" s="13"/>
      <c r="AF255" s="13"/>
      <c r="AG255" s="13"/>
      <c r="AH255" s="13"/>
      <c r="AI255" s="19"/>
      <c r="AJ255" s="14"/>
      <c r="AK255" s="13"/>
      <c r="AL255" s="13"/>
      <c r="AM255" s="13" t="s">
        <v>2603</v>
      </c>
      <c r="AN255" s="13" t="s">
        <v>371</v>
      </c>
      <c r="AO255" s="13"/>
      <c r="AP255" s="20">
        <v>-0.04</v>
      </c>
      <c r="AQ255" s="20">
        <f t="shared" si="67"/>
        <v>1.0000000000000002E-2</v>
      </c>
      <c r="AR255" s="97">
        <f t="shared" ref="AR255:AR263" si="71">AS255*R255</f>
        <v>33.300000000000004</v>
      </c>
      <c r="AS255" s="130">
        <f t="shared" si="69"/>
        <v>16.650000000000002</v>
      </c>
      <c r="AT255" s="22" t="s">
        <v>72</v>
      </c>
      <c r="AU255" s="13" t="s">
        <v>2604</v>
      </c>
      <c r="AV255" s="13" t="s">
        <v>2605</v>
      </c>
      <c r="AW255" s="13" t="s">
        <v>2606</v>
      </c>
      <c r="AX255" s="13" t="s">
        <v>2607</v>
      </c>
      <c r="AY255" s="13" t="s">
        <v>2608</v>
      </c>
      <c r="AZ255" s="13" t="s">
        <v>2609</v>
      </c>
    </row>
    <row r="256" spans="1:52" ht="13.15">
      <c r="A256" s="12">
        <v>44866</v>
      </c>
      <c r="B256" s="13" t="s">
        <v>123</v>
      </c>
      <c r="C256" s="13">
        <v>4.45</v>
      </c>
      <c r="D256" s="17"/>
      <c r="E256" s="13"/>
      <c r="F256" s="14" t="s">
        <v>342</v>
      </c>
      <c r="G256" s="13"/>
      <c r="H256" s="13"/>
      <c r="I256" s="13"/>
      <c r="J256" s="14"/>
      <c r="K256" s="14"/>
      <c r="L256" s="13">
        <v>1</v>
      </c>
      <c r="M256" s="13"/>
      <c r="N256" s="13"/>
      <c r="O256" s="14" t="s">
        <v>71</v>
      </c>
      <c r="P256" s="14" t="s">
        <v>114</v>
      </c>
      <c r="Q256" s="14" t="s">
        <v>73</v>
      </c>
      <c r="R256" s="14">
        <v>2</v>
      </c>
      <c r="S256" s="14">
        <v>2</v>
      </c>
      <c r="T256" s="14"/>
      <c r="U256" s="14" t="s">
        <v>21</v>
      </c>
      <c r="V256" s="14">
        <f t="shared" si="65"/>
        <v>0.01</v>
      </c>
      <c r="W256" s="14">
        <f t="shared" si="66"/>
        <v>1664.9999999999998</v>
      </c>
      <c r="X256" s="17"/>
      <c r="Y256" s="17"/>
      <c r="Z256" s="17" t="s">
        <v>975</v>
      </c>
      <c r="AA256" s="18">
        <v>-0.04</v>
      </c>
      <c r="AB256" s="13"/>
      <c r="AC256" s="13"/>
      <c r="AD256" s="13"/>
      <c r="AE256" s="13"/>
      <c r="AF256" s="13"/>
      <c r="AG256" s="13"/>
      <c r="AH256" s="13"/>
      <c r="AI256" s="19"/>
      <c r="AJ256" s="14"/>
      <c r="AK256" s="13"/>
      <c r="AL256" s="13"/>
      <c r="AM256" s="13" t="s">
        <v>2610</v>
      </c>
      <c r="AN256" s="13" t="s">
        <v>82</v>
      </c>
      <c r="AO256" s="13" t="s">
        <v>2611</v>
      </c>
      <c r="AP256" s="20">
        <v>-0.03</v>
      </c>
      <c r="AQ256" s="20">
        <f t="shared" si="67"/>
        <v>1.0000000000000002E-2</v>
      </c>
      <c r="AR256" s="97">
        <f t="shared" si="71"/>
        <v>33.300000000000004</v>
      </c>
      <c r="AS256" s="130">
        <f t="shared" si="69"/>
        <v>16.650000000000002</v>
      </c>
      <c r="AT256" s="22" t="s">
        <v>72</v>
      </c>
      <c r="AU256" s="13" t="s">
        <v>2607</v>
      </c>
      <c r="AV256" s="13" t="s">
        <v>2612</v>
      </c>
      <c r="AW256" s="13" t="s">
        <v>2613</v>
      </c>
      <c r="AX256" s="13"/>
      <c r="AY256" s="13"/>
      <c r="AZ256" s="13"/>
    </row>
    <row r="257" spans="1:52" ht="13.15">
      <c r="A257" s="12">
        <v>44866</v>
      </c>
      <c r="B257" s="13" t="s">
        <v>123</v>
      </c>
      <c r="C257" s="13">
        <v>4.45</v>
      </c>
      <c r="D257" s="17"/>
      <c r="E257" s="13"/>
      <c r="F257" s="14" t="s">
        <v>2614</v>
      </c>
      <c r="G257" s="13"/>
      <c r="H257" s="13"/>
      <c r="I257" s="13"/>
      <c r="J257" s="14"/>
      <c r="K257" s="14"/>
      <c r="L257" s="13">
        <v>1</v>
      </c>
      <c r="M257" s="13"/>
      <c r="N257" s="13"/>
      <c r="O257" s="14" t="s">
        <v>71</v>
      </c>
      <c r="P257" s="14" t="s">
        <v>72</v>
      </c>
      <c r="Q257" s="14" t="s">
        <v>73</v>
      </c>
      <c r="R257" s="14">
        <v>2</v>
      </c>
      <c r="S257" s="14">
        <v>2</v>
      </c>
      <c r="T257" s="14"/>
      <c r="U257" s="14" t="s">
        <v>21</v>
      </c>
      <c r="V257" s="14">
        <f t="shared" si="65"/>
        <v>0.01</v>
      </c>
      <c r="W257" s="14">
        <f t="shared" si="66"/>
        <v>1664.9999999999998</v>
      </c>
      <c r="X257" s="17"/>
      <c r="Y257" s="17"/>
      <c r="Z257" s="17" t="s">
        <v>975</v>
      </c>
      <c r="AA257" s="18">
        <v>0.01</v>
      </c>
      <c r="AB257" s="13"/>
      <c r="AC257" s="13"/>
      <c r="AD257" s="13"/>
      <c r="AE257" s="13"/>
      <c r="AF257" s="13"/>
      <c r="AG257" s="13"/>
      <c r="AH257" s="13"/>
      <c r="AI257" s="19"/>
      <c r="AJ257" s="14"/>
      <c r="AK257" s="13"/>
      <c r="AL257" s="13"/>
      <c r="AM257" s="13" t="s">
        <v>329</v>
      </c>
      <c r="AN257" s="13" t="s">
        <v>82</v>
      </c>
      <c r="AO257" s="32">
        <v>44867.208333333336</v>
      </c>
      <c r="AP257" s="20">
        <v>0.02</v>
      </c>
      <c r="AQ257" s="20">
        <f t="shared" si="67"/>
        <v>0.01</v>
      </c>
      <c r="AR257" s="97">
        <f t="shared" si="71"/>
        <v>33.299999999999997</v>
      </c>
      <c r="AS257" s="130">
        <f t="shared" si="69"/>
        <v>16.649999999999999</v>
      </c>
      <c r="AT257" s="22" t="s">
        <v>72</v>
      </c>
      <c r="AU257" s="13"/>
      <c r="AV257" s="13"/>
      <c r="AW257" s="13"/>
      <c r="AX257" s="13"/>
      <c r="AY257" s="13" t="s">
        <v>335</v>
      </c>
      <c r="AZ257" s="13"/>
    </row>
    <row r="258" spans="1:52" ht="13.15">
      <c r="A258" s="12">
        <v>44867</v>
      </c>
      <c r="B258" s="13" t="s">
        <v>128</v>
      </c>
      <c r="C258" s="13" t="s">
        <v>2615</v>
      </c>
      <c r="D258" s="17"/>
      <c r="E258" s="13"/>
      <c r="F258" s="14" t="s">
        <v>2616</v>
      </c>
      <c r="G258" s="13"/>
      <c r="H258" s="13"/>
      <c r="I258" s="13"/>
      <c r="J258" s="14"/>
      <c r="K258" s="14"/>
      <c r="L258" s="13">
        <v>1</v>
      </c>
      <c r="M258" s="13"/>
      <c r="N258" s="13"/>
      <c r="O258" s="14" t="s">
        <v>71</v>
      </c>
      <c r="P258" s="14" t="s">
        <v>114</v>
      </c>
      <c r="Q258" s="14" t="s">
        <v>73</v>
      </c>
      <c r="R258" s="14">
        <v>2</v>
      </c>
      <c r="S258" s="14">
        <v>2</v>
      </c>
      <c r="T258" s="14"/>
      <c r="U258" s="14" t="s">
        <v>21</v>
      </c>
      <c r="V258" s="14">
        <f t="shared" si="65"/>
        <v>0.01</v>
      </c>
      <c r="W258" s="14">
        <f t="shared" si="66"/>
        <v>1664.9999999999998</v>
      </c>
      <c r="X258" s="17"/>
      <c r="Y258" s="17"/>
      <c r="Z258" s="17" t="s">
        <v>975</v>
      </c>
      <c r="AA258" s="18">
        <v>-0.08</v>
      </c>
      <c r="AB258" s="13"/>
      <c r="AC258" s="13"/>
      <c r="AD258" s="13"/>
      <c r="AE258" s="13"/>
      <c r="AF258" s="13"/>
      <c r="AG258" s="13"/>
      <c r="AH258" s="13"/>
      <c r="AI258" s="19"/>
      <c r="AJ258" s="14"/>
      <c r="AK258" s="13"/>
      <c r="AL258" s="13"/>
      <c r="AM258" s="13" t="s">
        <v>2617</v>
      </c>
      <c r="AN258" s="13" t="s">
        <v>82</v>
      </c>
      <c r="AO258" s="13"/>
      <c r="AP258" s="20">
        <v>-7.0000000000000007E-2</v>
      </c>
      <c r="AQ258" s="20">
        <f t="shared" si="67"/>
        <v>9.999999999999995E-3</v>
      </c>
      <c r="AR258" s="97">
        <f t="shared" si="71"/>
        <v>33.299999999999976</v>
      </c>
      <c r="AS258" s="130">
        <f t="shared" si="69"/>
        <v>16.649999999999988</v>
      </c>
      <c r="AT258" s="22" t="s">
        <v>72</v>
      </c>
      <c r="AU258" s="13"/>
      <c r="AV258" s="13"/>
      <c r="AW258" s="13"/>
      <c r="AX258" s="13"/>
      <c r="AY258" s="13"/>
      <c r="AZ258" s="13"/>
    </row>
    <row r="259" spans="1:52" ht="13.15">
      <c r="A259" s="12">
        <v>44867</v>
      </c>
      <c r="B259" s="13" t="s">
        <v>128</v>
      </c>
      <c r="C259" s="13" t="s">
        <v>2615</v>
      </c>
      <c r="D259" s="17"/>
      <c r="E259" s="13"/>
      <c r="F259" s="14" t="s">
        <v>2618</v>
      </c>
      <c r="G259" s="13"/>
      <c r="H259" s="13"/>
      <c r="I259" s="13"/>
      <c r="J259" s="14"/>
      <c r="K259" s="14"/>
      <c r="L259" s="13">
        <v>1</v>
      </c>
      <c r="M259" s="13"/>
      <c r="N259" s="13"/>
      <c r="O259" s="14" t="s">
        <v>71</v>
      </c>
      <c r="P259" s="14" t="s">
        <v>114</v>
      </c>
      <c r="Q259" s="14" t="s">
        <v>73</v>
      </c>
      <c r="R259" s="14">
        <v>2</v>
      </c>
      <c r="S259" s="14">
        <v>2</v>
      </c>
      <c r="T259" s="14"/>
      <c r="U259" s="14" t="s">
        <v>21</v>
      </c>
      <c r="V259" s="14">
        <f t="shared" si="65"/>
        <v>0.01</v>
      </c>
      <c r="W259" s="14">
        <f t="shared" si="66"/>
        <v>1664.9999999999998</v>
      </c>
      <c r="X259" s="17"/>
      <c r="Y259" s="17"/>
      <c r="Z259" s="17" t="s">
        <v>975</v>
      </c>
      <c r="AA259" s="18">
        <v>-0.08</v>
      </c>
      <c r="AB259" s="13"/>
      <c r="AC259" s="13"/>
      <c r="AD259" s="13"/>
      <c r="AE259" s="13"/>
      <c r="AF259" s="13"/>
      <c r="AG259" s="13"/>
      <c r="AH259" s="13"/>
      <c r="AI259" s="19"/>
      <c r="AJ259" s="14"/>
      <c r="AK259" s="13"/>
      <c r="AL259" s="13"/>
      <c r="AM259" s="13" t="s">
        <v>2617</v>
      </c>
      <c r="AN259" s="13" t="s">
        <v>82</v>
      </c>
      <c r="AO259" s="13"/>
      <c r="AP259" s="20">
        <v>-7.0000000000000007E-2</v>
      </c>
      <c r="AQ259" s="20">
        <f t="shared" si="67"/>
        <v>9.999999999999995E-3</v>
      </c>
      <c r="AR259" s="97">
        <f t="shared" si="71"/>
        <v>33.299999999999976</v>
      </c>
      <c r="AS259" s="130">
        <f t="shared" si="69"/>
        <v>16.649999999999988</v>
      </c>
      <c r="AT259" s="22" t="s">
        <v>72</v>
      </c>
      <c r="AU259" s="13"/>
      <c r="AV259" s="13"/>
      <c r="AW259" s="13"/>
      <c r="AX259" s="13"/>
      <c r="AY259" s="13"/>
      <c r="AZ259" s="13"/>
    </row>
    <row r="260" spans="1:52" ht="13.15">
      <c r="A260" s="12">
        <v>44867</v>
      </c>
      <c r="B260" s="13" t="s">
        <v>128</v>
      </c>
      <c r="C260" s="13"/>
      <c r="D260" s="17"/>
      <c r="E260" s="13"/>
      <c r="F260" s="14" t="s">
        <v>2619</v>
      </c>
      <c r="G260" s="13"/>
      <c r="H260" s="13"/>
      <c r="I260" s="13"/>
      <c r="J260" s="14"/>
      <c r="K260" s="14"/>
      <c r="L260" s="13"/>
      <c r="M260" s="13"/>
      <c r="N260" s="13"/>
      <c r="O260" s="14"/>
      <c r="P260" s="14"/>
      <c r="Q260" s="14"/>
      <c r="R260" s="14"/>
      <c r="S260" s="14"/>
      <c r="T260" s="14"/>
      <c r="U260" s="14" t="s">
        <v>21</v>
      </c>
      <c r="V260" s="14">
        <f t="shared" si="65"/>
        <v>0</v>
      </c>
      <c r="W260" s="14">
        <f t="shared" si="66"/>
        <v>0</v>
      </c>
      <c r="X260" s="17"/>
      <c r="Y260" s="17"/>
      <c r="Z260" s="17" t="s">
        <v>2456</v>
      </c>
      <c r="AA260" s="18">
        <v>0.02</v>
      </c>
      <c r="AB260" s="13"/>
      <c r="AC260" s="13"/>
      <c r="AD260" s="13"/>
      <c r="AE260" s="13"/>
      <c r="AF260" s="13"/>
      <c r="AG260" s="13"/>
      <c r="AH260" s="13"/>
      <c r="AI260" s="19"/>
      <c r="AJ260" s="14"/>
      <c r="AK260" s="13"/>
      <c r="AL260" s="13"/>
      <c r="AM260" s="13"/>
      <c r="AN260" s="13"/>
      <c r="AO260" s="13"/>
      <c r="AP260" s="20"/>
      <c r="AQ260" s="13">
        <f t="shared" si="67"/>
        <v>0</v>
      </c>
      <c r="AR260" s="97">
        <f t="shared" si="71"/>
        <v>0</v>
      </c>
      <c r="AS260" s="130">
        <f t="shared" si="69"/>
        <v>0</v>
      </c>
      <c r="AT260" s="22"/>
      <c r="AU260" s="13" t="s">
        <v>2620</v>
      </c>
      <c r="AV260" s="13" t="s">
        <v>2621</v>
      </c>
      <c r="AW260" s="13" t="s">
        <v>2622</v>
      </c>
      <c r="AX260" s="13" t="s">
        <v>2623</v>
      </c>
      <c r="AY260" s="13" t="s">
        <v>2624</v>
      </c>
      <c r="AZ260" s="13"/>
    </row>
    <row r="261" spans="1:52" ht="13.15">
      <c r="A261" s="12">
        <v>44867</v>
      </c>
      <c r="B261" s="13" t="s">
        <v>128</v>
      </c>
      <c r="C261" s="13"/>
      <c r="D261" s="17"/>
      <c r="E261" s="13"/>
      <c r="F261" s="14" t="s">
        <v>2625</v>
      </c>
      <c r="G261" s="13"/>
      <c r="H261" s="13"/>
      <c r="I261" s="13"/>
      <c r="J261" s="14"/>
      <c r="K261" s="14"/>
      <c r="L261" s="13">
        <v>1</v>
      </c>
      <c r="M261" s="13"/>
      <c r="N261" s="13"/>
      <c r="O261" s="14" t="s">
        <v>71</v>
      </c>
      <c r="P261" s="14" t="s">
        <v>72</v>
      </c>
      <c r="Q261" s="14" t="s">
        <v>73</v>
      </c>
      <c r="R261" s="14">
        <v>2</v>
      </c>
      <c r="S261" s="14">
        <v>2</v>
      </c>
      <c r="T261" s="14"/>
      <c r="U261" s="14" t="s">
        <v>73</v>
      </c>
      <c r="V261" s="14">
        <f t="shared" si="65"/>
        <v>0.01</v>
      </c>
      <c r="W261" s="14">
        <f t="shared" si="66"/>
        <v>1664.9999999999998</v>
      </c>
      <c r="X261" s="17"/>
      <c r="Y261" s="17"/>
      <c r="Z261" s="17" t="s">
        <v>975</v>
      </c>
      <c r="AA261" s="18">
        <v>0.02</v>
      </c>
      <c r="AB261" s="13"/>
      <c r="AC261" s="13"/>
      <c r="AD261" s="13"/>
      <c r="AE261" s="13"/>
      <c r="AF261" s="13"/>
      <c r="AG261" s="13"/>
      <c r="AH261" s="13"/>
      <c r="AI261" s="19"/>
      <c r="AJ261" s="14"/>
      <c r="AK261" s="13"/>
      <c r="AL261" s="13"/>
      <c r="AM261" s="13"/>
      <c r="AN261" s="13"/>
      <c r="AO261" s="13"/>
      <c r="AP261" s="20">
        <v>0.02</v>
      </c>
      <c r="AQ261" s="20">
        <f t="shared" si="67"/>
        <v>0</v>
      </c>
      <c r="AR261" s="97">
        <f t="shared" si="71"/>
        <v>0</v>
      </c>
      <c r="AS261" s="130">
        <f t="shared" si="69"/>
        <v>0</v>
      </c>
      <c r="AT261" s="22" t="s">
        <v>92</v>
      </c>
      <c r="AU261" s="13"/>
      <c r="AV261" s="13"/>
      <c r="AW261" s="13"/>
      <c r="AX261" s="13"/>
      <c r="AY261" s="13"/>
      <c r="AZ261" s="13"/>
    </row>
    <row r="262" spans="1:52" ht="13.15">
      <c r="A262" s="12">
        <v>44867</v>
      </c>
      <c r="B262" s="13" t="s">
        <v>128</v>
      </c>
      <c r="C262" s="13"/>
      <c r="D262" s="17"/>
      <c r="E262" s="13"/>
      <c r="F262" s="14" t="s">
        <v>342</v>
      </c>
      <c r="G262" s="13"/>
      <c r="H262" s="13"/>
      <c r="I262" s="13"/>
      <c r="J262" s="14"/>
      <c r="K262" s="14"/>
      <c r="L262" s="13">
        <v>1</v>
      </c>
      <c r="M262" s="13"/>
      <c r="N262" s="13"/>
      <c r="O262" s="14" t="s">
        <v>71</v>
      </c>
      <c r="P262" s="14" t="s">
        <v>72</v>
      </c>
      <c r="Q262" s="14" t="s">
        <v>73</v>
      </c>
      <c r="R262" s="14">
        <v>2</v>
      </c>
      <c r="S262" s="14">
        <v>2</v>
      </c>
      <c r="T262" s="14"/>
      <c r="U262" s="15" t="s">
        <v>73</v>
      </c>
      <c r="V262" s="14">
        <f t="shared" si="65"/>
        <v>0.01</v>
      </c>
      <c r="W262" s="14">
        <f t="shared" si="66"/>
        <v>1664.9999999999998</v>
      </c>
      <c r="X262" s="17"/>
      <c r="Y262" s="17"/>
      <c r="Z262" s="17" t="s">
        <v>975</v>
      </c>
      <c r="AA262" s="18">
        <v>-0.02</v>
      </c>
      <c r="AB262" s="13"/>
      <c r="AC262" s="13"/>
      <c r="AD262" s="13"/>
      <c r="AE262" s="13"/>
      <c r="AF262" s="13"/>
      <c r="AG262" s="13"/>
      <c r="AH262" s="13"/>
      <c r="AI262" s="19"/>
      <c r="AJ262" s="14"/>
      <c r="AK262" s="13"/>
      <c r="AL262" s="13"/>
      <c r="AM262" s="13"/>
      <c r="AN262" s="13"/>
      <c r="AO262" s="13"/>
      <c r="AP262" s="20"/>
      <c r="AQ262" s="13">
        <f t="shared" si="67"/>
        <v>0</v>
      </c>
      <c r="AR262" s="97">
        <f t="shared" si="71"/>
        <v>0</v>
      </c>
      <c r="AS262" s="130">
        <f t="shared" si="69"/>
        <v>0</v>
      </c>
      <c r="AT262" s="22"/>
      <c r="AU262" s="13" t="s">
        <v>2626</v>
      </c>
      <c r="AV262" s="13"/>
      <c r="AW262" s="13"/>
      <c r="AX262" s="13"/>
      <c r="AY262" s="13"/>
      <c r="AZ262" s="13"/>
    </row>
    <row r="263" spans="1:52" ht="13.15">
      <c r="A263" s="12">
        <v>44874</v>
      </c>
      <c r="B263" s="13" t="s">
        <v>128</v>
      </c>
      <c r="C263" s="13"/>
      <c r="D263" s="17"/>
      <c r="E263" s="13"/>
      <c r="F263" s="14" t="s">
        <v>400</v>
      </c>
      <c r="G263" s="13"/>
      <c r="H263" s="13"/>
      <c r="I263" s="13"/>
      <c r="J263" s="14"/>
      <c r="K263" s="14"/>
      <c r="L263" s="13"/>
      <c r="M263" s="13">
        <v>1</v>
      </c>
      <c r="N263" s="13"/>
      <c r="O263" s="14" t="s">
        <v>71</v>
      </c>
      <c r="P263" s="14" t="s">
        <v>72</v>
      </c>
      <c r="Q263" s="14" t="s">
        <v>233</v>
      </c>
      <c r="R263" s="14">
        <v>2</v>
      </c>
      <c r="S263" s="14">
        <v>2</v>
      </c>
      <c r="T263" s="14">
        <v>1</v>
      </c>
      <c r="U263" s="14" t="s">
        <v>21</v>
      </c>
      <c r="V263" s="14">
        <f t="shared" si="65"/>
        <v>0.01</v>
      </c>
      <c r="W263" s="14">
        <f t="shared" si="66"/>
        <v>1664.9999999999998</v>
      </c>
      <c r="X263" s="17"/>
      <c r="Y263" s="17"/>
      <c r="Z263" s="17" t="s">
        <v>2456</v>
      </c>
      <c r="AA263" s="18">
        <v>0.03</v>
      </c>
      <c r="AB263" s="13"/>
      <c r="AC263" s="13"/>
      <c r="AD263" s="13"/>
      <c r="AE263" s="13"/>
      <c r="AF263" s="13"/>
      <c r="AG263" s="13"/>
      <c r="AH263" s="13"/>
      <c r="AI263" s="19"/>
      <c r="AJ263" s="14"/>
      <c r="AK263" s="13"/>
      <c r="AL263" s="13"/>
      <c r="AM263" s="13"/>
      <c r="AN263" s="13"/>
      <c r="AO263" s="13"/>
      <c r="AP263" s="20">
        <v>7.0000000000000007E-2</v>
      </c>
      <c r="AQ263" s="20">
        <f t="shared" si="67"/>
        <v>4.0000000000000008E-2</v>
      </c>
      <c r="AR263" s="97">
        <f t="shared" si="71"/>
        <v>133.20000000000002</v>
      </c>
      <c r="AS263" s="130">
        <f t="shared" si="69"/>
        <v>66.600000000000009</v>
      </c>
      <c r="AT263" s="22" t="s">
        <v>72</v>
      </c>
      <c r="AU263" s="13" t="s">
        <v>2627</v>
      </c>
      <c r="AV263" s="13"/>
      <c r="AW263" s="13"/>
      <c r="AX263" s="13"/>
      <c r="AY263" s="13"/>
      <c r="AZ263" s="13"/>
    </row>
    <row r="264" spans="1:52" ht="13.15">
      <c r="A264" s="143" t="s">
        <v>2628</v>
      </c>
      <c r="B264" s="144"/>
      <c r="C264" s="144"/>
      <c r="D264" s="145"/>
      <c r="E264" s="144"/>
      <c r="F264" s="146"/>
      <c r="G264" s="144"/>
      <c r="H264" s="144"/>
      <c r="I264" s="144"/>
      <c r="J264" s="144"/>
      <c r="K264" s="144"/>
      <c r="L264" s="144"/>
      <c r="M264" s="144"/>
      <c r="N264" s="144"/>
      <c r="O264" s="146"/>
      <c r="P264" s="146"/>
      <c r="Q264" s="146"/>
      <c r="R264" s="146"/>
      <c r="S264" s="146"/>
      <c r="T264" s="146"/>
      <c r="U264" s="146"/>
      <c r="V264" s="145">
        <f t="shared" si="65"/>
        <v>0</v>
      </c>
      <c r="W264" s="145">
        <f t="shared" si="66"/>
        <v>0</v>
      </c>
      <c r="X264" s="145"/>
      <c r="Y264" s="145"/>
      <c r="Z264" s="145"/>
      <c r="AA264" s="147"/>
      <c r="AB264" s="144"/>
      <c r="AC264" s="144"/>
      <c r="AD264" s="144"/>
      <c r="AE264" s="144"/>
      <c r="AF264" s="144"/>
      <c r="AG264" s="144"/>
      <c r="AH264" s="144"/>
      <c r="AI264" s="148"/>
      <c r="AJ264" s="146"/>
      <c r="AK264" s="144"/>
      <c r="AL264" s="144"/>
      <c r="AM264" s="144"/>
      <c r="AN264" s="144"/>
      <c r="AO264" s="144"/>
      <c r="AP264" s="149"/>
      <c r="AQ264" s="149"/>
      <c r="AR264" s="149"/>
      <c r="AS264" s="149"/>
      <c r="AT264" s="150"/>
      <c r="AU264" s="144"/>
      <c r="AV264" s="144"/>
      <c r="AW264" s="144"/>
      <c r="AX264" s="144"/>
      <c r="AY264" s="144"/>
      <c r="AZ264" s="144"/>
    </row>
    <row r="265" spans="1:52" ht="13.15">
      <c r="A265" s="17" t="s">
        <v>2629</v>
      </c>
      <c r="B265" s="13"/>
      <c r="C265" s="13"/>
      <c r="D265" s="17"/>
      <c r="E265" s="13"/>
      <c r="F265" s="14"/>
      <c r="G265" s="13"/>
      <c r="H265" s="13"/>
      <c r="I265" s="13"/>
      <c r="J265" s="14"/>
      <c r="K265" s="14"/>
      <c r="L265" s="13"/>
      <c r="M265" s="13"/>
      <c r="N265" s="13"/>
      <c r="O265" s="14"/>
      <c r="P265" s="14"/>
      <c r="Q265" s="14"/>
      <c r="R265" s="14"/>
      <c r="S265" s="14"/>
      <c r="T265" s="14"/>
      <c r="U265" s="14"/>
      <c r="V265" s="14">
        <f t="shared" si="65"/>
        <v>0</v>
      </c>
      <c r="W265" s="14">
        <f t="shared" si="66"/>
        <v>0</v>
      </c>
      <c r="X265" s="17"/>
      <c r="Y265" s="17"/>
      <c r="Z265" s="17"/>
      <c r="AA265" s="18"/>
      <c r="AB265" s="13"/>
      <c r="AC265" s="13"/>
      <c r="AD265" s="13"/>
      <c r="AE265" s="13"/>
      <c r="AF265" s="13"/>
      <c r="AG265" s="13"/>
      <c r="AH265" s="13"/>
      <c r="AI265" s="19"/>
      <c r="AJ265" s="14"/>
      <c r="AK265" s="13"/>
      <c r="AL265" s="13"/>
      <c r="AM265" s="13"/>
      <c r="AN265" s="13"/>
      <c r="AO265" s="13"/>
      <c r="AP265" s="20"/>
      <c r="AQ265" s="13">
        <f t="shared" ref="AQ265:AQ289" si="72">IF(ISBLANK(AP265),,IF(U265="S",AA265-AP265,AP265-AA265))</f>
        <v>0</v>
      </c>
      <c r="AR265" s="97">
        <f t="shared" ref="AR265:AR268" si="73">AS265*R265</f>
        <v>0</v>
      </c>
      <c r="AS265" s="130">
        <f t="shared" ref="AS265:AS289" si="74">IF(ISBLANK(AP265),,(AQ265*W265))</f>
        <v>0</v>
      </c>
      <c r="AT265" s="22"/>
      <c r="AU265" s="127" t="s">
        <v>2630</v>
      </c>
      <c r="AV265" s="127" t="s">
        <v>2631</v>
      </c>
      <c r="AW265" s="127" t="s">
        <v>2632</v>
      </c>
      <c r="AX265" s="127" t="s">
        <v>2633</v>
      </c>
      <c r="AY265" s="127" t="s">
        <v>494</v>
      </c>
      <c r="AZ265" s="13"/>
    </row>
    <row r="266" spans="1:52" ht="13.15">
      <c r="A266" s="12">
        <v>44887</v>
      </c>
      <c r="B266" s="13" t="s">
        <v>123</v>
      </c>
      <c r="C266" s="13"/>
      <c r="D266" s="17"/>
      <c r="E266" s="13"/>
      <c r="F266" s="14" t="s">
        <v>257</v>
      </c>
      <c r="G266" s="13"/>
      <c r="H266" s="13"/>
      <c r="I266" s="13"/>
      <c r="J266" s="14"/>
      <c r="K266" s="14"/>
      <c r="L266" s="13"/>
      <c r="M266" s="13"/>
      <c r="N266" s="13"/>
      <c r="O266" s="14" t="s">
        <v>71</v>
      </c>
      <c r="P266" s="14" t="s">
        <v>114</v>
      </c>
      <c r="Q266" s="14" t="s">
        <v>73</v>
      </c>
      <c r="R266" s="14">
        <v>5</v>
      </c>
      <c r="S266" s="14">
        <v>5</v>
      </c>
      <c r="T266" s="14">
        <v>5</v>
      </c>
      <c r="U266" s="14" t="s">
        <v>73</v>
      </c>
      <c r="V266" s="14">
        <f t="shared" si="65"/>
        <v>0.01</v>
      </c>
      <c r="W266" s="14">
        <f t="shared" si="66"/>
        <v>1664.9999999999998</v>
      </c>
      <c r="X266" s="17"/>
      <c r="Y266" s="17"/>
      <c r="Z266" s="17" t="s">
        <v>2634</v>
      </c>
      <c r="AA266" s="18">
        <v>-7.0000000000000007E-2</v>
      </c>
      <c r="AB266" s="13"/>
      <c r="AC266" s="13"/>
      <c r="AD266" s="13"/>
      <c r="AE266" s="13"/>
      <c r="AF266" s="13"/>
      <c r="AG266" s="13"/>
      <c r="AH266" s="13"/>
      <c r="AI266" s="19"/>
      <c r="AJ266" s="14"/>
      <c r="AK266" s="13"/>
      <c r="AL266" s="13"/>
      <c r="AM266" s="13"/>
      <c r="AN266" s="13"/>
      <c r="AO266" s="13"/>
      <c r="AP266" s="20">
        <v>-7.0000000000000007E-2</v>
      </c>
      <c r="AQ266" s="20">
        <f t="shared" si="72"/>
        <v>0</v>
      </c>
      <c r="AR266" s="97">
        <f t="shared" si="73"/>
        <v>0</v>
      </c>
      <c r="AS266" s="130">
        <f t="shared" si="74"/>
        <v>0</v>
      </c>
      <c r="AT266" s="22" t="s">
        <v>92</v>
      </c>
      <c r="AU266" s="13" t="s">
        <v>2635</v>
      </c>
      <c r="AV266" s="13" t="s">
        <v>2636</v>
      </c>
      <c r="AW266" s="13"/>
      <c r="AX266" s="13"/>
      <c r="AY266" s="13"/>
      <c r="AZ266" s="13"/>
    </row>
    <row r="267" spans="1:52" ht="13.15">
      <c r="A267" s="12">
        <v>44887</v>
      </c>
      <c r="B267" s="13" t="s">
        <v>123</v>
      </c>
      <c r="C267" s="13"/>
      <c r="D267" s="17"/>
      <c r="E267" s="13"/>
      <c r="F267" s="14" t="s">
        <v>110</v>
      </c>
      <c r="G267" s="13"/>
      <c r="H267" s="13"/>
      <c r="I267" s="13"/>
      <c r="J267" s="14"/>
      <c r="K267" s="14"/>
      <c r="L267" s="13"/>
      <c r="M267" s="13"/>
      <c r="N267" s="13"/>
      <c r="O267" s="14" t="s">
        <v>71</v>
      </c>
      <c r="P267" s="14" t="s">
        <v>114</v>
      </c>
      <c r="Q267" s="14" t="s">
        <v>73</v>
      </c>
      <c r="R267" s="14">
        <v>5</v>
      </c>
      <c r="S267" s="14">
        <v>5</v>
      </c>
      <c r="T267" s="14">
        <v>5</v>
      </c>
      <c r="U267" s="14" t="s">
        <v>73</v>
      </c>
      <c r="V267" s="14">
        <f t="shared" si="65"/>
        <v>0.01</v>
      </c>
      <c r="W267" s="14">
        <f t="shared" si="66"/>
        <v>1664.9999999999998</v>
      </c>
      <c r="X267" s="17"/>
      <c r="Y267" s="17"/>
      <c r="Z267" s="17" t="s">
        <v>2634</v>
      </c>
      <c r="AA267" s="18">
        <v>0.01</v>
      </c>
      <c r="AB267" s="13"/>
      <c r="AC267" s="13"/>
      <c r="AD267" s="13"/>
      <c r="AE267" s="13"/>
      <c r="AF267" s="13"/>
      <c r="AG267" s="13"/>
      <c r="AH267" s="13"/>
      <c r="AI267" s="19"/>
      <c r="AJ267" s="14"/>
      <c r="AK267" s="13"/>
      <c r="AL267" s="13"/>
      <c r="AM267" s="13"/>
      <c r="AN267" s="13"/>
      <c r="AO267" s="13"/>
      <c r="AP267" s="20">
        <v>0.01</v>
      </c>
      <c r="AQ267" s="20">
        <f t="shared" si="72"/>
        <v>0</v>
      </c>
      <c r="AR267" s="97">
        <f t="shared" si="73"/>
        <v>0</v>
      </c>
      <c r="AS267" s="130">
        <f t="shared" si="74"/>
        <v>0</v>
      </c>
      <c r="AT267" s="22" t="s">
        <v>92</v>
      </c>
      <c r="AU267" s="13" t="s">
        <v>2635</v>
      </c>
      <c r="AV267" s="13"/>
      <c r="AW267" s="13"/>
      <c r="AX267" s="13"/>
      <c r="AY267" s="13"/>
      <c r="AZ267" s="13"/>
    </row>
    <row r="268" spans="1:52" ht="13.15">
      <c r="A268" s="12">
        <v>44888</v>
      </c>
      <c r="B268" s="13" t="s">
        <v>128</v>
      </c>
      <c r="C268" s="13"/>
      <c r="D268" s="17"/>
      <c r="E268" s="13"/>
      <c r="F268" s="14" t="s">
        <v>187</v>
      </c>
      <c r="G268" s="13"/>
      <c r="H268" s="13"/>
      <c r="I268" s="13"/>
      <c r="J268" s="14"/>
      <c r="K268" s="14"/>
      <c r="L268" s="13"/>
      <c r="M268" s="13"/>
      <c r="N268" s="13"/>
      <c r="O268" s="14" t="s">
        <v>71</v>
      </c>
      <c r="P268" s="14" t="s">
        <v>72</v>
      </c>
      <c r="Q268" s="14" t="s">
        <v>73</v>
      </c>
      <c r="R268" s="14">
        <v>1</v>
      </c>
      <c r="S268" s="14">
        <v>1</v>
      </c>
      <c r="T268" s="14">
        <v>1</v>
      </c>
      <c r="U268" s="14" t="s">
        <v>21</v>
      </c>
      <c r="V268" s="14">
        <f t="shared" si="65"/>
        <v>0.01</v>
      </c>
      <c r="W268" s="14">
        <f t="shared" si="66"/>
        <v>1664.9999999999998</v>
      </c>
      <c r="X268" s="17" t="s">
        <v>2637</v>
      </c>
      <c r="Y268" s="17"/>
      <c r="Z268" s="17"/>
      <c r="AA268" s="18">
        <v>0.42</v>
      </c>
      <c r="AB268" s="13"/>
      <c r="AC268" s="13">
        <v>40</v>
      </c>
      <c r="AD268" s="13" t="s">
        <v>2638</v>
      </c>
      <c r="AE268" s="13">
        <v>44</v>
      </c>
      <c r="AF268" s="13" t="s">
        <v>2639</v>
      </c>
      <c r="AG268" s="13"/>
      <c r="AH268" s="13"/>
      <c r="AI268" s="19"/>
      <c r="AJ268" s="14"/>
      <c r="AK268" s="13"/>
      <c r="AL268" s="13"/>
      <c r="AM268" s="13"/>
      <c r="AN268" s="13" t="s">
        <v>82</v>
      </c>
      <c r="AO268" s="13"/>
      <c r="AP268" s="20">
        <v>0.44</v>
      </c>
      <c r="AQ268" s="20">
        <f t="shared" si="72"/>
        <v>2.0000000000000018E-2</v>
      </c>
      <c r="AR268" s="97">
        <f t="shared" si="73"/>
        <v>33.300000000000026</v>
      </c>
      <c r="AS268" s="130">
        <f t="shared" si="74"/>
        <v>33.300000000000026</v>
      </c>
      <c r="AT268" s="22" t="s">
        <v>72</v>
      </c>
      <c r="AU268" s="13"/>
      <c r="AV268" s="13"/>
      <c r="AW268" s="13"/>
      <c r="AX268" s="13"/>
      <c r="AY268" s="13"/>
      <c r="AZ268" s="13"/>
    </row>
    <row r="269" spans="1:52" ht="13.15">
      <c r="A269" s="12">
        <v>44888</v>
      </c>
      <c r="B269" s="13" t="s">
        <v>128</v>
      </c>
      <c r="C269" s="13" t="s">
        <v>477</v>
      </c>
      <c r="D269" s="17" t="s">
        <v>562</v>
      </c>
      <c r="E269" s="13"/>
      <c r="F269" s="14"/>
      <c r="G269" s="13"/>
      <c r="H269" s="13"/>
      <c r="I269" s="13"/>
      <c r="J269" s="14"/>
      <c r="K269" s="14"/>
      <c r="L269" s="13"/>
      <c r="M269" s="13"/>
      <c r="N269" s="13"/>
      <c r="O269" s="14"/>
      <c r="P269" s="14"/>
      <c r="Q269" s="14"/>
      <c r="R269" s="14"/>
      <c r="S269" s="14"/>
      <c r="T269" s="14"/>
      <c r="U269" s="14"/>
      <c r="V269" s="14">
        <f t="shared" si="65"/>
        <v>0</v>
      </c>
      <c r="W269" s="14">
        <f t="shared" si="66"/>
        <v>0</v>
      </c>
      <c r="X269" s="17"/>
      <c r="Y269" s="17"/>
      <c r="Z269" s="17"/>
      <c r="AA269" s="18"/>
      <c r="AB269" s="13"/>
      <c r="AC269" s="13"/>
      <c r="AD269" s="13"/>
      <c r="AE269" s="13"/>
      <c r="AF269" s="13"/>
      <c r="AG269" s="13"/>
      <c r="AH269" s="13"/>
      <c r="AI269" s="19"/>
      <c r="AJ269" s="14"/>
      <c r="AK269" s="13"/>
      <c r="AL269" s="13"/>
      <c r="AM269" s="13"/>
      <c r="AN269" s="13"/>
      <c r="AO269" s="13"/>
      <c r="AP269" s="20"/>
      <c r="AQ269" s="13">
        <f t="shared" si="72"/>
        <v>0</v>
      </c>
      <c r="AR269" s="97"/>
      <c r="AS269" s="130">
        <f t="shared" si="74"/>
        <v>0</v>
      </c>
      <c r="AT269" s="22"/>
      <c r="AU269" s="13"/>
      <c r="AV269" s="13" t="s">
        <v>2640</v>
      </c>
      <c r="AW269" s="13"/>
      <c r="AX269" s="13"/>
      <c r="AY269" s="13"/>
      <c r="AZ269" s="13"/>
    </row>
    <row r="270" spans="1:52" ht="13.15">
      <c r="A270" s="12">
        <v>44888</v>
      </c>
      <c r="B270" s="13" t="s">
        <v>128</v>
      </c>
      <c r="C270" s="13"/>
      <c r="D270" s="17"/>
      <c r="E270" s="13"/>
      <c r="F270" s="14" t="s">
        <v>2641</v>
      </c>
      <c r="G270" s="13"/>
      <c r="H270" s="13"/>
      <c r="I270" s="13"/>
      <c r="J270" s="14"/>
      <c r="K270" s="14"/>
      <c r="L270" s="13"/>
      <c r="M270" s="13"/>
      <c r="N270" s="13"/>
      <c r="O270" s="14" t="s">
        <v>71</v>
      </c>
      <c r="P270" s="14" t="s">
        <v>114</v>
      </c>
      <c r="Q270" s="14" t="s">
        <v>73</v>
      </c>
      <c r="R270" s="14">
        <v>5</v>
      </c>
      <c r="S270" s="14">
        <v>5</v>
      </c>
      <c r="T270" s="14">
        <v>5</v>
      </c>
      <c r="U270" s="14" t="s">
        <v>21</v>
      </c>
      <c r="V270" s="14">
        <f t="shared" si="65"/>
        <v>0.01</v>
      </c>
      <c r="W270" s="14">
        <f t="shared" si="66"/>
        <v>1664.9999999999998</v>
      </c>
      <c r="X270" s="17"/>
      <c r="Y270" s="17"/>
      <c r="Z270" s="17" t="s">
        <v>75</v>
      </c>
      <c r="AA270" s="18">
        <v>-0.08</v>
      </c>
      <c r="AB270" s="13"/>
      <c r="AC270" s="13">
        <v>-0.1</v>
      </c>
      <c r="AD270" s="13"/>
      <c r="AE270" s="13">
        <v>-7.0000000000000007E-2</v>
      </c>
      <c r="AF270" s="13"/>
      <c r="AG270" s="13"/>
      <c r="AH270" s="13"/>
      <c r="AI270" s="19"/>
      <c r="AJ270" s="14"/>
      <c r="AK270" s="13"/>
      <c r="AL270" s="13"/>
      <c r="AM270" s="13"/>
      <c r="AN270" s="13"/>
      <c r="AO270" s="13" t="s">
        <v>604</v>
      </c>
      <c r="AP270" s="20">
        <v>-0.09</v>
      </c>
      <c r="AQ270" s="20">
        <f t="shared" si="72"/>
        <v>-9.999999999999995E-3</v>
      </c>
      <c r="AR270" s="97">
        <f t="shared" ref="AR270:AR277" si="75">AS270*R270</f>
        <v>-83.249999999999943</v>
      </c>
      <c r="AS270" s="130">
        <f t="shared" si="74"/>
        <v>-16.649999999999988</v>
      </c>
      <c r="AT270" s="22" t="s">
        <v>206</v>
      </c>
      <c r="AU270" s="13"/>
      <c r="AV270" s="13"/>
      <c r="AW270" s="13"/>
      <c r="AX270" s="13"/>
      <c r="AY270" s="13"/>
      <c r="AZ270" s="13"/>
    </row>
    <row r="271" spans="1:52" ht="13.15">
      <c r="A271" s="12">
        <v>44888</v>
      </c>
      <c r="B271" s="13" t="s">
        <v>128</v>
      </c>
      <c r="C271" s="13"/>
      <c r="D271" s="17"/>
      <c r="E271" s="13"/>
      <c r="F271" s="14" t="s">
        <v>2642</v>
      </c>
      <c r="G271" s="13"/>
      <c r="H271" s="13"/>
      <c r="I271" s="13"/>
      <c r="J271" s="14"/>
      <c r="K271" s="14"/>
      <c r="L271" s="13"/>
      <c r="M271" s="13"/>
      <c r="N271" s="13"/>
      <c r="O271" s="14" t="s">
        <v>71</v>
      </c>
      <c r="P271" s="14" t="s">
        <v>114</v>
      </c>
      <c r="Q271" s="14" t="s">
        <v>73</v>
      </c>
      <c r="R271" s="14">
        <v>5</v>
      </c>
      <c r="S271" s="14">
        <v>5</v>
      </c>
      <c r="T271" s="14">
        <v>5</v>
      </c>
      <c r="U271" s="14" t="s">
        <v>21</v>
      </c>
      <c r="V271" s="14">
        <f t="shared" si="65"/>
        <v>0.01</v>
      </c>
      <c r="W271" s="14">
        <f t="shared" si="66"/>
        <v>1664.9999999999998</v>
      </c>
      <c r="X271" s="17"/>
      <c r="Y271" s="17"/>
      <c r="Z271" s="17" t="s">
        <v>75</v>
      </c>
      <c r="AA271" s="18">
        <v>-7.0000000000000007E-2</v>
      </c>
      <c r="AB271" s="13"/>
      <c r="AC271" s="13">
        <v>-0.11</v>
      </c>
      <c r="AD271" s="13"/>
      <c r="AE271" s="13">
        <v>-0.05</v>
      </c>
      <c r="AF271" s="13"/>
      <c r="AG271" s="13"/>
      <c r="AH271" s="13"/>
      <c r="AI271" s="19"/>
      <c r="AJ271" s="14"/>
      <c r="AK271" s="13"/>
      <c r="AL271" s="13"/>
      <c r="AM271" s="13" t="s">
        <v>2643</v>
      </c>
      <c r="AN271" s="13" t="s">
        <v>92</v>
      </c>
      <c r="AO271" s="13" t="s">
        <v>2644</v>
      </c>
      <c r="AP271" s="20">
        <v>-7.0000000000000007E-2</v>
      </c>
      <c r="AQ271" s="20">
        <f t="shared" si="72"/>
        <v>0</v>
      </c>
      <c r="AR271" s="97">
        <f t="shared" si="75"/>
        <v>0</v>
      </c>
      <c r="AS271" s="130">
        <f t="shared" si="74"/>
        <v>0</v>
      </c>
      <c r="AT271" s="22" t="s">
        <v>92</v>
      </c>
      <c r="AU271" s="13"/>
      <c r="AV271" s="13"/>
      <c r="AW271" s="13"/>
      <c r="AX271" s="13"/>
      <c r="AY271" s="13"/>
      <c r="AZ271" s="13"/>
    </row>
    <row r="272" spans="1:52" ht="13.15">
      <c r="A272" s="12">
        <v>44888</v>
      </c>
      <c r="B272" s="13" t="s">
        <v>128</v>
      </c>
      <c r="C272" s="13"/>
      <c r="D272" s="17"/>
      <c r="E272" s="13"/>
      <c r="F272" s="14" t="s">
        <v>2645</v>
      </c>
      <c r="G272" s="13"/>
      <c r="H272" s="13"/>
      <c r="I272" s="13"/>
      <c r="J272" s="14"/>
      <c r="K272" s="14"/>
      <c r="L272" s="13"/>
      <c r="M272" s="13"/>
      <c r="N272" s="13"/>
      <c r="O272" s="14" t="s">
        <v>71</v>
      </c>
      <c r="P272" s="14" t="s">
        <v>114</v>
      </c>
      <c r="Q272" s="14" t="s">
        <v>73</v>
      </c>
      <c r="R272" s="14">
        <v>5</v>
      </c>
      <c r="S272" s="14">
        <v>5</v>
      </c>
      <c r="T272" s="14">
        <v>5</v>
      </c>
      <c r="U272" s="14" t="s">
        <v>21</v>
      </c>
      <c r="V272" s="14">
        <f t="shared" si="65"/>
        <v>0.01</v>
      </c>
      <c r="W272" s="14">
        <f t="shared" si="66"/>
        <v>1664.9999999999998</v>
      </c>
      <c r="X272" s="17"/>
      <c r="Y272" s="17"/>
      <c r="Z272" s="17" t="s">
        <v>75</v>
      </c>
      <c r="AA272" s="18">
        <v>-0.09</v>
      </c>
      <c r="AB272" s="13"/>
      <c r="AC272" s="13">
        <v>-0.12</v>
      </c>
      <c r="AD272" s="13"/>
      <c r="AE272" s="13">
        <v>-7.0000000000000007E-2</v>
      </c>
      <c r="AF272" s="13"/>
      <c r="AG272" s="13"/>
      <c r="AH272" s="13"/>
      <c r="AI272" s="19"/>
      <c r="AJ272" s="14"/>
      <c r="AK272" s="13"/>
      <c r="AL272" s="13"/>
      <c r="AM272" s="13" t="s">
        <v>571</v>
      </c>
      <c r="AN272" s="13" t="s">
        <v>92</v>
      </c>
      <c r="AO272" s="13" t="s">
        <v>2646</v>
      </c>
      <c r="AP272" s="20">
        <v>-0.08</v>
      </c>
      <c r="AQ272" s="20">
        <f t="shared" si="72"/>
        <v>9.999999999999995E-3</v>
      </c>
      <c r="AR272" s="97">
        <f t="shared" si="75"/>
        <v>83.249999999999943</v>
      </c>
      <c r="AS272" s="130">
        <f t="shared" si="74"/>
        <v>16.649999999999988</v>
      </c>
      <c r="AT272" s="22" t="s">
        <v>72</v>
      </c>
      <c r="AU272" s="13" t="s">
        <v>2647</v>
      </c>
      <c r="AV272" s="13"/>
      <c r="AW272" s="13"/>
      <c r="AX272" s="13"/>
      <c r="AY272" s="13"/>
      <c r="AZ272" s="13"/>
    </row>
    <row r="273" spans="1:52" ht="13.15">
      <c r="A273" s="12">
        <v>44888</v>
      </c>
      <c r="B273" s="13" t="s">
        <v>128</v>
      </c>
      <c r="C273" s="13"/>
      <c r="D273" s="17"/>
      <c r="E273" s="13"/>
      <c r="F273" s="14" t="s">
        <v>187</v>
      </c>
      <c r="G273" s="13"/>
      <c r="H273" s="13"/>
      <c r="I273" s="13"/>
      <c r="J273" s="14"/>
      <c r="K273" s="14"/>
      <c r="L273" s="13"/>
      <c r="M273" s="13"/>
      <c r="N273" s="13"/>
      <c r="O273" s="14" t="s">
        <v>71</v>
      </c>
      <c r="P273" s="14" t="s">
        <v>72</v>
      </c>
      <c r="Q273" s="14" t="s">
        <v>73</v>
      </c>
      <c r="R273" s="14">
        <v>1</v>
      </c>
      <c r="S273" s="14">
        <v>1</v>
      </c>
      <c r="T273" s="14">
        <v>1</v>
      </c>
      <c r="U273" s="14" t="s">
        <v>21</v>
      </c>
      <c r="V273" s="14">
        <f t="shared" si="65"/>
        <v>0.01</v>
      </c>
      <c r="W273" s="14">
        <f t="shared" si="66"/>
        <v>1664.9999999999998</v>
      </c>
      <c r="X273" s="17" t="s">
        <v>2648</v>
      </c>
      <c r="Y273" s="17"/>
      <c r="Z273" s="17"/>
      <c r="AA273" s="18">
        <v>0.48499999999999999</v>
      </c>
      <c r="AB273" s="13"/>
      <c r="AC273" s="13">
        <v>0.46</v>
      </c>
      <c r="AD273" s="13" t="s">
        <v>2649</v>
      </c>
      <c r="AE273" s="13" t="s">
        <v>2650</v>
      </c>
      <c r="AF273" s="13"/>
      <c r="AG273" s="13"/>
      <c r="AH273" s="13"/>
      <c r="AI273" s="19"/>
      <c r="AJ273" s="14"/>
      <c r="AK273" s="13"/>
      <c r="AL273" s="13"/>
      <c r="AM273" s="13"/>
      <c r="AN273" s="13" t="s">
        <v>82</v>
      </c>
      <c r="AO273" s="13"/>
      <c r="AP273" s="20">
        <v>0.49</v>
      </c>
      <c r="AQ273" s="20">
        <f t="shared" si="72"/>
        <v>5.0000000000000044E-3</v>
      </c>
      <c r="AR273" s="97">
        <f t="shared" si="75"/>
        <v>8.3250000000000064</v>
      </c>
      <c r="AS273" s="130">
        <f t="shared" si="74"/>
        <v>8.3250000000000064</v>
      </c>
      <c r="AT273" s="22" t="s">
        <v>72</v>
      </c>
      <c r="AU273" s="13" t="s">
        <v>2651</v>
      </c>
      <c r="AV273" s="13" t="s">
        <v>2652</v>
      </c>
      <c r="AW273" s="13"/>
      <c r="AX273" s="13"/>
      <c r="AY273" s="13"/>
      <c r="AZ273" s="13"/>
    </row>
    <row r="274" spans="1:52" ht="13.15">
      <c r="A274" s="12">
        <v>44888</v>
      </c>
      <c r="B274" s="13" t="s">
        <v>128</v>
      </c>
      <c r="C274" s="13"/>
      <c r="D274" s="17"/>
      <c r="E274" s="13"/>
      <c r="F274" s="14" t="s">
        <v>2641</v>
      </c>
      <c r="G274" s="13"/>
      <c r="H274" s="13"/>
      <c r="I274" s="13"/>
      <c r="J274" s="14"/>
      <c r="K274" s="14"/>
      <c r="L274" s="13"/>
      <c r="M274" s="13"/>
      <c r="N274" s="13"/>
      <c r="O274" s="14" t="s">
        <v>71</v>
      </c>
      <c r="P274" s="14" t="s">
        <v>114</v>
      </c>
      <c r="Q274" s="14" t="s">
        <v>73</v>
      </c>
      <c r="R274" s="14">
        <v>5</v>
      </c>
      <c r="S274" s="14">
        <v>5</v>
      </c>
      <c r="T274" s="14">
        <v>5</v>
      </c>
      <c r="U274" s="14" t="s">
        <v>21</v>
      </c>
      <c r="V274" s="14">
        <f t="shared" si="65"/>
        <v>0.01</v>
      </c>
      <c r="W274" s="14">
        <f t="shared" si="66"/>
        <v>1664.9999999999998</v>
      </c>
      <c r="X274" s="17"/>
      <c r="Y274" s="17"/>
      <c r="Z274" s="17" t="s">
        <v>75</v>
      </c>
      <c r="AA274" s="18">
        <v>-0.09</v>
      </c>
      <c r="AB274" s="13"/>
      <c r="AC274" s="13">
        <v>-0.1</v>
      </c>
      <c r="AD274" s="13"/>
      <c r="AE274" s="13">
        <v>-7.0000000000000007E-2</v>
      </c>
      <c r="AF274" s="13"/>
      <c r="AG274" s="13"/>
      <c r="AH274" s="13"/>
      <c r="AI274" s="19"/>
      <c r="AJ274" s="14"/>
      <c r="AK274" s="13"/>
      <c r="AL274" s="13"/>
      <c r="AM274" s="13"/>
      <c r="AN274" s="13"/>
      <c r="AO274" s="13" t="s">
        <v>604</v>
      </c>
      <c r="AP274" s="20">
        <v>-0.09</v>
      </c>
      <c r="AQ274" s="20">
        <f t="shared" si="72"/>
        <v>0</v>
      </c>
      <c r="AR274" s="97">
        <f t="shared" si="75"/>
        <v>0</v>
      </c>
      <c r="AS274" s="130">
        <f t="shared" si="74"/>
        <v>0</v>
      </c>
      <c r="AT274" s="22" t="s">
        <v>92</v>
      </c>
      <c r="AU274" s="13"/>
      <c r="AV274" s="13"/>
      <c r="AW274" s="13"/>
      <c r="AX274" s="13"/>
      <c r="AY274" s="13"/>
      <c r="AZ274" s="13"/>
    </row>
    <row r="275" spans="1:52" ht="13.15">
      <c r="A275" s="13" t="s">
        <v>2653</v>
      </c>
      <c r="B275" s="13" t="s">
        <v>2654</v>
      </c>
      <c r="C275" s="13" t="s">
        <v>2655</v>
      </c>
      <c r="D275" s="17"/>
      <c r="E275" s="13"/>
      <c r="F275" s="14" t="s">
        <v>609</v>
      </c>
      <c r="G275" s="13"/>
      <c r="H275" s="13"/>
      <c r="I275" s="13"/>
      <c r="J275" s="14"/>
      <c r="K275" s="14"/>
      <c r="L275" s="13"/>
      <c r="M275" s="13"/>
      <c r="N275" s="13"/>
      <c r="O275" s="14" t="s">
        <v>71</v>
      </c>
      <c r="P275" s="14" t="s">
        <v>72</v>
      </c>
      <c r="Q275" s="14" t="s">
        <v>233</v>
      </c>
      <c r="R275" s="14">
        <v>3</v>
      </c>
      <c r="S275" s="14">
        <v>3</v>
      </c>
      <c r="T275" s="14">
        <v>1</v>
      </c>
      <c r="U275" s="14" t="s">
        <v>21</v>
      </c>
      <c r="V275" s="14">
        <f t="shared" si="65"/>
        <v>0.01</v>
      </c>
      <c r="W275" s="14">
        <f t="shared" si="66"/>
        <v>1664.9999999999998</v>
      </c>
      <c r="X275" s="17"/>
      <c r="Y275" s="17" t="s">
        <v>2656</v>
      </c>
      <c r="Z275" s="17" t="s">
        <v>2657</v>
      </c>
      <c r="AA275" s="18">
        <v>0</v>
      </c>
      <c r="AB275" s="13"/>
      <c r="AC275" s="13"/>
      <c r="AD275" s="13"/>
      <c r="AE275" s="13"/>
      <c r="AF275" s="13"/>
      <c r="AG275" s="13"/>
      <c r="AH275" s="13"/>
      <c r="AI275" s="19"/>
      <c r="AJ275" s="14"/>
      <c r="AK275" s="13"/>
      <c r="AL275" s="13"/>
      <c r="AM275" s="13"/>
      <c r="AN275" s="13"/>
      <c r="AO275" s="13"/>
      <c r="AP275" s="20">
        <v>0.09</v>
      </c>
      <c r="AQ275" s="20">
        <f t="shared" si="72"/>
        <v>0.09</v>
      </c>
      <c r="AR275" s="97">
        <f t="shared" si="75"/>
        <v>449.5499999999999</v>
      </c>
      <c r="AS275" s="130">
        <f t="shared" si="74"/>
        <v>149.84999999999997</v>
      </c>
      <c r="AT275" s="22" t="s">
        <v>72</v>
      </c>
      <c r="AU275" s="13" t="s">
        <v>2658</v>
      </c>
      <c r="AV275" s="13" t="s">
        <v>2659</v>
      </c>
      <c r="AW275" s="13"/>
      <c r="AX275" s="13"/>
      <c r="AY275" s="13"/>
      <c r="AZ275" s="13"/>
    </row>
    <row r="276" spans="1:52" ht="13.15">
      <c r="A276" s="12"/>
      <c r="B276" s="13"/>
      <c r="C276" s="13"/>
      <c r="D276" s="17"/>
      <c r="E276" s="13"/>
      <c r="F276" s="14"/>
      <c r="G276" s="13"/>
      <c r="H276" s="13"/>
      <c r="I276" s="13"/>
      <c r="J276" s="14"/>
      <c r="K276" s="14"/>
      <c r="L276" s="13"/>
      <c r="M276" s="13"/>
      <c r="N276" s="13"/>
      <c r="O276" s="14"/>
      <c r="P276" s="14"/>
      <c r="Q276" s="14"/>
      <c r="R276" s="14"/>
      <c r="S276" s="14"/>
      <c r="T276" s="14"/>
      <c r="U276" s="14"/>
      <c r="V276" s="14">
        <f t="shared" si="65"/>
        <v>0</v>
      </c>
      <c r="W276" s="14">
        <f t="shared" si="66"/>
        <v>0</v>
      </c>
      <c r="X276" s="17"/>
      <c r="Y276" s="17"/>
      <c r="Z276" s="17"/>
      <c r="AA276" s="18"/>
      <c r="AB276" s="13"/>
      <c r="AC276" s="13"/>
      <c r="AD276" s="13"/>
      <c r="AE276" s="13"/>
      <c r="AF276" s="13"/>
      <c r="AG276" s="13"/>
      <c r="AH276" s="13"/>
      <c r="AI276" s="19"/>
      <c r="AJ276" s="14"/>
      <c r="AK276" s="13"/>
      <c r="AL276" s="13"/>
      <c r="AM276" s="13"/>
      <c r="AN276" s="13"/>
      <c r="AO276" s="13"/>
      <c r="AP276" s="20"/>
      <c r="AQ276" s="13">
        <f t="shared" si="72"/>
        <v>0</v>
      </c>
      <c r="AR276" s="97">
        <f t="shared" si="75"/>
        <v>0</v>
      </c>
      <c r="AS276" s="130">
        <f t="shared" si="74"/>
        <v>0</v>
      </c>
      <c r="AT276" s="22"/>
      <c r="AU276" s="13"/>
      <c r="AV276" s="13"/>
      <c r="AW276" s="13"/>
      <c r="AX276" s="13"/>
      <c r="AY276" s="13"/>
      <c r="AZ276" s="13"/>
    </row>
    <row r="277" spans="1:52" ht="13.15">
      <c r="A277" s="12"/>
      <c r="B277" s="13"/>
      <c r="C277" s="13"/>
      <c r="D277" s="17"/>
      <c r="E277" s="13"/>
      <c r="F277" s="14"/>
      <c r="G277" s="13"/>
      <c r="H277" s="13"/>
      <c r="I277" s="13"/>
      <c r="J277" s="14"/>
      <c r="K277" s="14"/>
      <c r="L277" s="13"/>
      <c r="M277" s="13"/>
      <c r="N277" s="13"/>
      <c r="O277" s="14"/>
      <c r="P277" s="14"/>
      <c r="Q277" s="14"/>
      <c r="R277" s="14"/>
      <c r="S277" s="14"/>
      <c r="T277" s="14"/>
      <c r="U277" s="14"/>
      <c r="V277" s="14">
        <f t="shared" si="65"/>
        <v>0</v>
      </c>
      <c r="W277" s="14">
        <f t="shared" si="66"/>
        <v>0</v>
      </c>
      <c r="X277" s="17"/>
      <c r="Y277" s="17"/>
      <c r="Z277" s="17"/>
      <c r="AA277" s="18"/>
      <c r="AB277" s="13"/>
      <c r="AC277" s="13"/>
      <c r="AD277" s="13"/>
      <c r="AE277" s="13"/>
      <c r="AF277" s="13"/>
      <c r="AG277" s="13"/>
      <c r="AH277" s="13"/>
      <c r="AI277" s="19"/>
      <c r="AJ277" s="14"/>
      <c r="AK277" s="13"/>
      <c r="AL277" s="13"/>
      <c r="AM277" s="13"/>
      <c r="AN277" s="13"/>
      <c r="AO277" s="13"/>
      <c r="AP277" s="20"/>
      <c r="AQ277" s="13">
        <f t="shared" si="72"/>
        <v>0</v>
      </c>
      <c r="AR277" s="97">
        <f t="shared" si="75"/>
        <v>0</v>
      </c>
      <c r="AS277" s="130">
        <f t="shared" si="74"/>
        <v>0</v>
      </c>
      <c r="AT277" s="22"/>
      <c r="AU277" s="13"/>
      <c r="AV277" s="13"/>
      <c r="AW277" s="13"/>
      <c r="AX277" s="13"/>
      <c r="AY277" s="13"/>
      <c r="AZ277" s="13"/>
    </row>
    <row r="278" spans="1:52" ht="13.15">
      <c r="A278" s="86">
        <v>44917</v>
      </c>
      <c r="B278" s="124"/>
      <c r="C278" s="124"/>
      <c r="D278" s="135"/>
      <c r="E278" s="124"/>
      <c r="F278" s="136"/>
      <c r="G278" s="124"/>
      <c r="H278" s="124"/>
      <c r="I278" s="124"/>
      <c r="J278" s="124"/>
      <c r="K278" s="124"/>
      <c r="L278" s="124"/>
      <c r="M278" s="124"/>
      <c r="N278" s="124"/>
      <c r="O278" s="136"/>
      <c r="P278" s="136"/>
      <c r="Q278" s="136"/>
      <c r="R278" s="136"/>
      <c r="S278" s="136"/>
      <c r="T278" s="136"/>
      <c r="U278" s="136"/>
      <c r="V278" s="135"/>
      <c r="W278" s="135"/>
      <c r="X278" s="135"/>
      <c r="Y278" s="135"/>
      <c r="Z278" s="135"/>
      <c r="AA278" s="137"/>
      <c r="AB278" s="124"/>
      <c r="AC278" s="124"/>
      <c r="AD278" s="124"/>
      <c r="AE278" s="124"/>
      <c r="AF278" s="124"/>
      <c r="AG278" s="124"/>
      <c r="AH278" s="124"/>
      <c r="AI278" s="138"/>
      <c r="AJ278" s="136"/>
      <c r="AK278" s="124"/>
      <c r="AL278" s="124"/>
      <c r="AM278" s="124"/>
      <c r="AN278" s="124"/>
      <c r="AO278" s="124"/>
      <c r="AP278" s="139"/>
      <c r="AQ278" s="139">
        <f t="shared" si="72"/>
        <v>0</v>
      </c>
      <c r="AR278" s="139"/>
      <c r="AS278" s="139">
        <f t="shared" si="74"/>
        <v>0</v>
      </c>
      <c r="AT278" s="96"/>
      <c r="AU278" s="124"/>
      <c r="AV278" s="124"/>
      <c r="AW278" s="124"/>
      <c r="AX278" s="124"/>
      <c r="AY278" s="124"/>
      <c r="AZ278" s="124"/>
    </row>
    <row r="279" spans="1:52" ht="13.15">
      <c r="A279" s="12">
        <v>44896</v>
      </c>
      <c r="B279" s="13" t="s">
        <v>69</v>
      </c>
      <c r="C279" s="13" t="s">
        <v>2660</v>
      </c>
      <c r="D279" s="17"/>
      <c r="E279" s="13"/>
      <c r="F279" s="14" t="s">
        <v>1753</v>
      </c>
      <c r="G279" s="13"/>
      <c r="H279" s="13"/>
      <c r="I279" s="13"/>
      <c r="J279" s="14"/>
      <c r="K279" s="14"/>
      <c r="L279" s="13"/>
      <c r="M279" s="13"/>
      <c r="N279" s="13"/>
      <c r="O279" s="14" t="s">
        <v>71</v>
      </c>
      <c r="P279" s="14" t="s">
        <v>72</v>
      </c>
      <c r="Q279" s="14" t="s">
        <v>661</v>
      </c>
      <c r="R279" s="14">
        <v>1</v>
      </c>
      <c r="S279" s="14">
        <v>1</v>
      </c>
      <c r="T279" s="14">
        <v>1</v>
      </c>
      <c r="U279" s="14" t="s">
        <v>21</v>
      </c>
      <c r="V279" s="14">
        <f t="shared" ref="V279:V290" si="76">IF(ISBLANK(O279),,(IF(O279=UPPER("IB"),0.005,0.01)))</f>
        <v>0.01</v>
      </c>
      <c r="W279" s="14">
        <f t="shared" ref="W279:W290" si="77">IF(ISBLANK(O279),,IF(O279=UPPER("IB"),8.63*200,16.65*100))</f>
        <v>1664.9999999999998</v>
      </c>
      <c r="X279" s="17" t="s">
        <v>2661</v>
      </c>
      <c r="Y279" s="17"/>
      <c r="Z279" s="17"/>
      <c r="AA279" s="18">
        <v>96.26</v>
      </c>
      <c r="AB279" s="13"/>
      <c r="AC279" s="13"/>
      <c r="AD279" s="13"/>
      <c r="AE279" s="13"/>
      <c r="AF279" s="13"/>
      <c r="AG279" s="13"/>
      <c r="AH279" s="13"/>
      <c r="AI279" s="19"/>
      <c r="AJ279" s="14"/>
      <c r="AK279" s="13"/>
      <c r="AL279" s="13"/>
      <c r="AM279" s="13" t="s">
        <v>357</v>
      </c>
      <c r="AN279" s="13" t="s">
        <v>82</v>
      </c>
      <c r="AO279" s="13" t="s">
        <v>2662</v>
      </c>
      <c r="AP279" s="20">
        <v>96.23</v>
      </c>
      <c r="AQ279" s="20">
        <f t="shared" si="72"/>
        <v>-3.0000000000001137E-2</v>
      </c>
      <c r="AR279" s="97">
        <f t="shared" ref="AR279:AR289" si="78">AS279*R279</f>
        <v>-49.950000000001886</v>
      </c>
      <c r="AS279" s="130">
        <f t="shared" si="74"/>
        <v>-49.950000000001886</v>
      </c>
      <c r="AT279" s="22" t="s">
        <v>206</v>
      </c>
      <c r="AU279" s="13" t="s">
        <v>208</v>
      </c>
      <c r="AV279" s="13"/>
      <c r="AW279" s="13"/>
      <c r="AX279" s="13"/>
      <c r="AY279" s="13"/>
      <c r="AZ279" s="13"/>
    </row>
    <row r="280" spans="1:52" ht="13.15">
      <c r="A280" s="12">
        <v>44897</v>
      </c>
      <c r="B280" s="13" t="s">
        <v>88</v>
      </c>
      <c r="C280" s="33">
        <v>0.375</v>
      </c>
      <c r="D280" s="17"/>
      <c r="E280" s="13"/>
      <c r="F280" s="14" t="s">
        <v>2663</v>
      </c>
      <c r="G280" s="13"/>
      <c r="H280" s="13"/>
      <c r="I280" s="13"/>
      <c r="J280" s="14"/>
      <c r="K280" s="14"/>
      <c r="L280" s="13"/>
      <c r="M280" s="13"/>
      <c r="N280" s="13"/>
      <c r="O280" s="14" t="s">
        <v>1034</v>
      </c>
      <c r="P280" s="14"/>
      <c r="Q280" s="14"/>
      <c r="R280" s="14">
        <v>1</v>
      </c>
      <c r="S280" s="14">
        <v>1</v>
      </c>
      <c r="T280" s="14">
        <v>1</v>
      </c>
      <c r="U280" s="14" t="s">
        <v>73</v>
      </c>
      <c r="V280" s="14">
        <f t="shared" si="76"/>
        <v>5.0000000000000001E-3</v>
      </c>
      <c r="W280" s="14">
        <f t="shared" si="77"/>
        <v>1726.0000000000002</v>
      </c>
      <c r="X280" s="17"/>
      <c r="Y280" s="17" t="s">
        <v>2664</v>
      </c>
      <c r="Z280" s="17"/>
      <c r="AA280" s="18">
        <v>96.88</v>
      </c>
      <c r="AB280" s="13"/>
      <c r="AC280" s="13"/>
      <c r="AD280" s="13"/>
      <c r="AE280" s="13"/>
      <c r="AF280" s="13"/>
      <c r="AG280" s="13"/>
      <c r="AH280" s="13"/>
      <c r="AI280" s="19"/>
      <c r="AJ280" s="14"/>
      <c r="AK280" s="13"/>
      <c r="AL280" s="13"/>
      <c r="AM280" s="13"/>
      <c r="AN280" s="13"/>
      <c r="AO280" s="13"/>
      <c r="AP280" s="20">
        <v>96.825000000000003</v>
      </c>
      <c r="AQ280" s="20">
        <f t="shared" si="72"/>
        <v>5.499999999999261E-2</v>
      </c>
      <c r="AR280" s="97">
        <f t="shared" si="78"/>
        <v>94.92999999998726</v>
      </c>
      <c r="AS280" s="130">
        <f t="shared" si="74"/>
        <v>94.92999999998726</v>
      </c>
      <c r="AT280" s="22" t="s">
        <v>72</v>
      </c>
      <c r="AU280" s="13" t="s">
        <v>2665</v>
      </c>
      <c r="AV280" s="13"/>
      <c r="AW280" s="13"/>
      <c r="AX280" s="13"/>
      <c r="AY280" s="13"/>
      <c r="AZ280" s="13"/>
    </row>
    <row r="281" spans="1:52" ht="13.15">
      <c r="A281" s="12">
        <v>44897</v>
      </c>
      <c r="B281" s="13" t="s">
        <v>88</v>
      </c>
      <c r="C281" s="33">
        <v>0.375</v>
      </c>
      <c r="D281" s="17"/>
      <c r="E281" s="13"/>
      <c r="F281" s="14" t="s">
        <v>2666</v>
      </c>
      <c r="G281" s="13"/>
      <c r="H281" s="13"/>
      <c r="I281" s="13"/>
      <c r="J281" s="14"/>
      <c r="K281" s="14"/>
      <c r="L281" s="13"/>
      <c r="M281" s="13"/>
      <c r="N281" s="13"/>
      <c r="O281" s="14" t="s">
        <v>1034</v>
      </c>
      <c r="P281" s="14"/>
      <c r="Q281" s="14"/>
      <c r="R281" s="14">
        <v>1</v>
      </c>
      <c r="S281" s="14">
        <v>1</v>
      </c>
      <c r="T281" s="14">
        <v>1</v>
      </c>
      <c r="U281" s="14" t="s">
        <v>73</v>
      </c>
      <c r="V281" s="14">
        <f t="shared" si="76"/>
        <v>5.0000000000000001E-3</v>
      </c>
      <c r="W281" s="14">
        <f t="shared" si="77"/>
        <v>1726.0000000000002</v>
      </c>
      <c r="X281" s="17"/>
      <c r="Y281" s="17" t="s">
        <v>2664</v>
      </c>
      <c r="Z281" s="17"/>
      <c r="AA281" s="18">
        <v>97.034999999999997</v>
      </c>
      <c r="AB281" s="13"/>
      <c r="AC281" s="13"/>
      <c r="AD281" s="13"/>
      <c r="AE281" s="13"/>
      <c r="AF281" s="13"/>
      <c r="AG281" s="13"/>
      <c r="AH281" s="13"/>
      <c r="AI281" s="19"/>
      <c r="AJ281" s="14"/>
      <c r="AK281" s="13"/>
      <c r="AL281" s="13"/>
      <c r="AM281" s="13"/>
      <c r="AN281" s="13"/>
      <c r="AO281" s="13"/>
      <c r="AP281" s="20">
        <v>96.99</v>
      </c>
      <c r="AQ281" s="20">
        <f t="shared" si="72"/>
        <v>4.5000000000001705E-2</v>
      </c>
      <c r="AR281" s="97">
        <f t="shared" si="78"/>
        <v>77.670000000002958</v>
      </c>
      <c r="AS281" s="130">
        <f t="shared" si="74"/>
        <v>77.670000000002958</v>
      </c>
      <c r="AT281" s="22" t="s">
        <v>72</v>
      </c>
      <c r="AU281" s="13"/>
      <c r="AV281" s="13"/>
      <c r="AW281" s="13"/>
      <c r="AX281" s="13"/>
      <c r="AY281" s="13"/>
      <c r="AZ281" s="13"/>
    </row>
    <row r="282" spans="1:52" ht="16.149999999999999">
      <c r="A282" s="23">
        <v>44908</v>
      </c>
      <c r="B282" s="24" t="s">
        <v>698</v>
      </c>
      <c r="C282" s="24" t="s">
        <v>123</v>
      </c>
      <c r="D282" s="31" t="s">
        <v>699</v>
      </c>
      <c r="E282" s="24" t="s">
        <v>700</v>
      </c>
      <c r="F282" s="25" t="s">
        <v>248</v>
      </c>
      <c r="G282" s="13"/>
      <c r="H282" s="13"/>
      <c r="I282" s="13">
        <v>1</v>
      </c>
      <c r="J282" s="14" t="s">
        <v>92</v>
      </c>
      <c r="K282" s="14"/>
      <c r="L282" s="14"/>
      <c r="M282" s="13">
        <v>1</v>
      </c>
      <c r="N282" s="13">
        <v>1</v>
      </c>
      <c r="O282" s="13"/>
      <c r="P282" s="14"/>
      <c r="Q282" s="14"/>
      <c r="R282" s="14"/>
      <c r="S282" s="14"/>
      <c r="T282" s="14"/>
      <c r="U282" s="14"/>
      <c r="V282" s="14">
        <f t="shared" si="76"/>
        <v>0</v>
      </c>
      <c r="W282" s="14">
        <f t="shared" si="77"/>
        <v>0</v>
      </c>
      <c r="X282" s="16"/>
      <c r="Y282" s="17"/>
      <c r="Z282" s="17"/>
      <c r="AA282" s="17"/>
      <c r="AB282" s="18"/>
      <c r="AC282" s="13"/>
      <c r="AD282" s="13"/>
      <c r="AE282" s="13"/>
      <c r="AF282" s="13"/>
      <c r="AG282" s="13"/>
      <c r="AH282" s="13"/>
      <c r="AI282" s="13"/>
      <c r="AJ282" s="19"/>
      <c r="AK282" s="14"/>
      <c r="AL282" s="13"/>
      <c r="AM282" s="13"/>
      <c r="AN282" s="13"/>
      <c r="AO282" s="13"/>
      <c r="AP282" s="13"/>
      <c r="AQ282" s="13">
        <f t="shared" si="72"/>
        <v>0</v>
      </c>
      <c r="AR282" s="97">
        <f t="shared" si="78"/>
        <v>0</v>
      </c>
      <c r="AS282" s="130">
        <f t="shared" si="74"/>
        <v>0</v>
      </c>
      <c r="AT282" s="21"/>
      <c r="AU282" s="22"/>
      <c r="AV282" s="13"/>
      <c r="AW282" s="13"/>
      <c r="AX282" s="13"/>
      <c r="AY282" s="13"/>
      <c r="AZ282" s="13"/>
    </row>
    <row r="283" spans="1:52" ht="13.15">
      <c r="A283" s="23"/>
      <c r="B283" s="24"/>
      <c r="C283" s="24"/>
      <c r="D283" s="31" t="s">
        <v>701</v>
      </c>
      <c r="E283" s="24" t="s">
        <v>702</v>
      </c>
      <c r="F283" s="25"/>
      <c r="G283" s="13"/>
      <c r="H283" s="13"/>
      <c r="I283" s="13">
        <v>1</v>
      </c>
      <c r="J283" s="14" t="s">
        <v>92</v>
      </c>
      <c r="K283" s="14"/>
      <c r="L283" s="14"/>
      <c r="M283" s="13"/>
      <c r="N283" s="13"/>
      <c r="O283" s="13"/>
      <c r="P283" s="14"/>
      <c r="Q283" s="14"/>
      <c r="R283" s="14"/>
      <c r="S283" s="14"/>
      <c r="T283" s="14"/>
      <c r="U283" s="14"/>
      <c r="V283" s="14">
        <f t="shared" si="76"/>
        <v>0</v>
      </c>
      <c r="W283" s="14">
        <f t="shared" si="77"/>
        <v>0</v>
      </c>
      <c r="X283" s="14"/>
      <c r="Y283" s="17"/>
      <c r="Z283" s="17"/>
      <c r="AA283" s="17"/>
      <c r="AB283" s="18"/>
      <c r="AC283" s="13"/>
      <c r="AD283" s="13"/>
      <c r="AE283" s="13"/>
      <c r="AF283" s="13"/>
      <c r="AG283" s="13"/>
      <c r="AH283" s="13"/>
      <c r="AI283" s="13"/>
      <c r="AJ283" s="19"/>
      <c r="AK283" s="14"/>
      <c r="AL283" s="13"/>
      <c r="AM283" s="13"/>
      <c r="AN283" s="13"/>
      <c r="AO283" s="13"/>
      <c r="AP283" s="13"/>
      <c r="AQ283" s="13">
        <f t="shared" si="72"/>
        <v>0</v>
      </c>
      <c r="AR283" s="97">
        <f t="shared" si="78"/>
        <v>0</v>
      </c>
      <c r="AS283" s="130">
        <f t="shared" si="74"/>
        <v>0</v>
      </c>
      <c r="AT283" s="21"/>
      <c r="AU283" s="22"/>
      <c r="AV283" s="13"/>
      <c r="AW283" s="13"/>
      <c r="AX283" s="13"/>
      <c r="AY283" s="13"/>
      <c r="AZ283" s="13"/>
    </row>
    <row r="284" spans="1:52" ht="13.15">
      <c r="A284" s="23">
        <v>44908</v>
      </c>
      <c r="B284" s="33">
        <v>0.79166666666666663</v>
      </c>
      <c r="C284" s="13" t="s">
        <v>123</v>
      </c>
      <c r="D284" s="17"/>
      <c r="E284" s="13"/>
      <c r="F284" s="14" t="s">
        <v>1180</v>
      </c>
      <c r="G284" s="13"/>
      <c r="H284" s="13"/>
      <c r="I284" s="13"/>
      <c r="J284" s="14"/>
      <c r="K284" s="14" t="s">
        <v>19</v>
      </c>
      <c r="L284" s="13"/>
      <c r="M284" s="13"/>
      <c r="N284" s="13">
        <v>1</v>
      </c>
      <c r="O284" s="14" t="s">
        <v>71</v>
      </c>
      <c r="P284" s="14" t="s">
        <v>114</v>
      </c>
      <c r="Q284" s="14" t="s">
        <v>661</v>
      </c>
      <c r="R284" s="14">
        <v>1</v>
      </c>
      <c r="S284" s="14">
        <v>1</v>
      </c>
      <c r="T284" s="14">
        <v>1</v>
      </c>
      <c r="U284" s="14" t="s">
        <v>73</v>
      </c>
      <c r="V284" s="14">
        <f t="shared" si="76"/>
        <v>0.01</v>
      </c>
      <c r="W284" s="14">
        <f t="shared" si="77"/>
        <v>1664.9999999999998</v>
      </c>
      <c r="X284" s="17" t="s">
        <v>2667</v>
      </c>
      <c r="Y284" s="17"/>
      <c r="Z284" s="17"/>
      <c r="AA284" s="18">
        <v>96.35</v>
      </c>
      <c r="AB284" s="13" t="s">
        <v>2668</v>
      </c>
      <c r="AC284" s="13"/>
      <c r="AD284" s="13"/>
      <c r="AE284" s="13"/>
      <c r="AF284" s="13"/>
      <c r="AG284" s="13"/>
      <c r="AH284" s="13"/>
      <c r="AI284" s="19"/>
      <c r="AJ284" s="14"/>
      <c r="AK284" s="13"/>
      <c r="AL284" s="13"/>
      <c r="AM284" s="13"/>
      <c r="AN284" s="13"/>
      <c r="AO284" s="13" t="s">
        <v>2669</v>
      </c>
      <c r="AP284" s="20">
        <v>96.34</v>
      </c>
      <c r="AQ284" s="20">
        <f t="shared" si="72"/>
        <v>9.9999999999909051E-3</v>
      </c>
      <c r="AR284" s="97">
        <f t="shared" si="78"/>
        <v>16.649999999984853</v>
      </c>
      <c r="AS284" s="130">
        <f t="shared" si="74"/>
        <v>16.649999999984853</v>
      </c>
      <c r="AT284" s="22" t="s">
        <v>72</v>
      </c>
      <c r="AU284" s="13"/>
      <c r="AV284" s="13" t="s">
        <v>2670</v>
      </c>
      <c r="AW284" s="13"/>
      <c r="AX284" s="13" t="s">
        <v>2671</v>
      </c>
      <c r="AY284" s="13" t="s">
        <v>2672</v>
      </c>
      <c r="AZ284" s="13" t="s">
        <v>2673</v>
      </c>
    </row>
    <row r="285" spans="1:52" ht="13.15">
      <c r="A285" s="23">
        <v>44908</v>
      </c>
      <c r="B285" s="33">
        <v>0.79166666666666663</v>
      </c>
      <c r="C285" s="13" t="s">
        <v>123</v>
      </c>
      <c r="D285" s="17"/>
      <c r="E285" s="13"/>
      <c r="F285" s="14" t="s">
        <v>808</v>
      </c>
      <c r="G285" s="13"/>
      <c r="H285" s="13"/>
      <c r="I285" s="13"/>
      <c r="J285" s="14"/>
      <c r="K285" s="14" t="s">
        <v>19</v>
      </c>
      <c r="L285" s="13"/>
      <c r="M285" s="13"/>
      <c r="N285" s="13">
        <v>1</v>
      </c>
      <c r="O285" s="14" t="s">
        <v>71</v>
      </c>
      <c r="P285" s="14" t="s">
        <v>114</v>
      </c>
      <c r="Q285" s="14" t="s">
        <v>661</v>
      </c>
      <c r="R285" s="14">
        <v>1</v>
      </c>
      <c r="S285" s="14">
        <v>1</v>
      </c>
      <c r="T285" s="14">
        <v>1</v>
      </c>
      <c r="U285" s="14" t="s">
        <v>73</v>
      </c>
      <c r="V285" s="14">
        <f t="shared" si="76"/>
        <v>0.01</v>
      </c>
      <c r="W285" s="14">
        <f t="shared" si="77"/>
        <v>1664.9999999999998</v>
      </c>
      <c r="X285" s="17" t="s">
        <v>2667</v>
      </c>
      <c r="Y285" s="17"/>
      <c r="Z285" s="17"/>
      <c r="AA285" s="18">
        <v>96.28</v>
      </c>
      <c r="AB285" s="13" t="s">
        <v>2668</v>
      </c>
      <c r="AC285" s="13"/>
      <c r="AD285" s="13"/>
      <c r="AE285" s="13"/>
      <c r="AF285" s="13"/>
      <c r="AG285" s="13"/>
      <c r="AH285" s="13"/>
      <c r="AI285" s="19"/>
      <c r="AJ285" s="14"/>
      <c r="AK285" s="13"/>
      <c r="AL285" s="13"/>
      <c r="AM285" s="13"/>
      <c r="AN285" s="13"/>
      <c r="AO285" s="13" t="s">
        <v>2669</v>
      </c>
      <c r="AP285" s="20">
        <v>96.25</v>
      </c>
      <c r="AQ285" s="20">
        <f t="shared" si="72"/>
        <v>3.0000000000001137E-2</v>
      </c>
      <c r="AR285" s="97">
        <f t="shared" si="78"/>
        <v>49.950000000001886</v>
      </c>
      <c r="AS285" s="130">
        <f t="shared" si="74"/>
        <v>49.950000000001886</v>
      </c>
      <c r="AT285" s="22" t="s">
        <v>72</v>
      </c>
      <c r="AU285" s="13"/>
      <c r="AV285" s="13" t="s">
        <v>2674</v>
      </c>
      <c r="AW285" s="13"/>
      <c r="AX285" s="13" t="s">
        <v>2675</v>
      </c>
      <c r="AY285" s="13" t="s">
        <v>2676</v>
      </c>
      <c r="AZ285" s="13"/>
    </row>
    <row r="286" spans="1:52" ht="13.15">
      <c r="A286" s="23">
        <v>44908</v>
      </c>
      <c r="B286" s="13" t="s">
        <v>2677</v>
      </c>
      <c r="C286" s="13" t="s">
        <v>123</v>
      </c>
      <c r="D286" s="17"/>
      <c r="E286" s="13"/>
      <c r="F286" s="14" t="s">
        <v>922</v>
      </c>
      <c r="G286" s="13"/>
      <c r="H286" s="13"/>
      <c r="I286" s="13"/>
      <c r="J286" s="14"/>
      <c r="K286" s="14" t="s">
        <v>19</v>
      </c>
      <c r="L286" s="13"/>
      <c r="M286" s="13"/>
      <c r="N286" s="13">
        <v>1</v>
      </c>
      <c r="O286" s="14" t="s">
        <v>71</v>
      </c>
      <c r="P286" s="14" t="s">
        <v>114</v>
      </c>
      <c r="Q286" s="14" t="s">
        <v>661</v>
      </c>
      <c r="R286" s="14">
        <v>1</v>
      </c>
      <c r="S286" s="14">
        <v>1</v>
      </c>
      <c r="T286" s="14">
        <v>1</v>
      </c>
      <c r="U286" s="14" t="s">
        <v>73</v>
      </c>
      <c r="V286" s="14">
        <f t="shared" si="76"/>
        <v>0.01</v>
      </c>
      <c r="W286" s="14">
        <f t="shared" si="77"/>
        <v>1664.9999999999998</v>
      </c>
      <c r="X286" s="17" t="s">
        <v>2667</v>
      </c>
      <c r="Y286" s="17"/>
      <c r="Z286" s="17"/>
      <c r="AA286" s="18">
        <v>96.44</v>
      </c>
      <c r="AB286" s="13" t="s">
        <v>2668</v>
      </c>
      <c r="AC286" s="13"/>
      <c r="AD286" s="13"/>
      <c r="AE286" s="13"/>
      <c r="AF286" s="13"/>
      <c r="AG286" s="13"/>
      <c r="AH286" s="13"/>
      <c r="AI286" s="19"/>
      <c r="AJ286" s="14"/>
      <c r="AK286" s="13"/>
      <c r="AL286" s="13"/>
      <c r="AM286" s="13"/>
      <c r="AN286" s="13"/>
      <c r="AO286" s="13" t="s">
        <v>2669</v>
      </c>
      <c r="AP286" s="20">
        <v>96.41</v>
      </c>
      <c r="AQ286" s="20">
        <f t="shared" si="72"/>
        <v>3.0000000000001137E-2</v>
      </c>
      <c r="AR286" s="97">
        <f t="shared" si="78"/>
        <v>49.950000000001886</v>
      </c>
      <c r="AS286" s="130">
        <f t="shared" si="74"/>
        <v>49.950000000001886</v>
      </c>
      <c r="AT286" s="22" t="s">
        <v>72</v>
      </c>
      <c r="AU286" s="13"/>
      <c r="AV286" s="13" t="s">
        <v>2678</v>
      </c>
      <c r="AW286" s="13"/>
      <c r="AX286" s="13"/>
      <c r="AY286" s="13"/>
      <c r="AZ286" s="13"/>
    </row>
    <row r="287" spans="1:52" ht="13.15">
      <c r="A287" s="23">
        <v>44908</v>
      </c>
      <c r="B287" s="13" t="s">
        <v>979</v>
      </c>
      <c r="C287" s="13" t="s">
        <v>123</v>
      </c>
      <c r="D287" s="17"/>
      <c r="E287" s="13"/>
      <c r="F287" s="14" t="s">
        <v>1180</v>
      </c>
      <c r="G287" s="13"/>
      <c r="H287" s="13"/>
      <c r="I287" s="13"/>
      <c r="J287" s="14"/>
      <c r="K287" s="14" t="s">
        <v>19</v>
      </c>
      <c r="L287" s="13"/>
      <c r="M287" s="13"/>
      <c r="N287" s="13">
        <v>1</v>
      </c>
      <c r="O287" s="14" t="s">
        <v>71</v>
      </c>
      <c r="P287" s="14" t="s">
        <v>114</v>
      </c>
      <c r="Q287" s="14" t="s">
        <v>661</v>
      </c>
      <c r="R287" s="14">
        <v>1</v>
      </c>
      <c r="S287" s="14">
        <v>1</v>
      </c>
      <c r="T287" s="14">
        <v>1</v>
      </c>
      <c r="U287" s="14" t="s">
        <v>73</v>
      </c>
      <c r="V287" s="14">
        <f t="shared" si="76"/>
        <v>0.01</v>
      </c>
      <c r="W287" s="14">
        <f t="shared" si="77"/>
        <v>1664.9999999999998</v>
      </c>
      <c r="X287" s="17" t="s">
        <v>2667</v>
      </c>
      <c r="Y287" s="17"/>
      <c r="Z287" s="17"/>
      <c r="AA287" s="18">
        <v>96.38</v>
      </c>
      <c r="AB287" s="13" t="s">
        <v>2679</v>
      </c>
      <c r="AC287" s="13"/>
      <c r="AD287" s="13"/>
      <c r="AE287" s="13"/>
      <c r="AF287" s="13"/>
      <c r="AG287" s="13"/>
      <c r="AH287" s="13"/>
      <c r="AI287" s="19"/>
      <c r="AJ287" s="14"/>
      <c r="AK287" s="13"/>
      <c r="AL287" s="13"/>
      <c r="AM287" s="13"/>
      <c r="AN287" s="13"/>
      <c r="AO287" s="13" t="s">
        <v>2669</v>
      </c>
      <c r="AP287" s="20">
        <v>96.34</v>
      </c>
      <c r="AQ287" s="20">
        <f t="shared" si="72"/>
        <v>3.9999999999992042E-2</v>
      </c>
      <c r="AR287" s="97">
        <f t="shared" si="78"/>
        <v>66.599999999986736</v>
      </c>
      <c r="AS287" s="130">
        <f t="shared" si="74"/>
        <v>66.599999999986736</v>
      </c>
      <c r="AT287" s="22" t="s">
        <v>72</v>
      </c>
      <c r="AU287" s="13"/>
      <c r="AV287" s="13" t="s">
        <v>2670</v>
      </c>
      <c r="AW287" s="13"/>
      <c r="AX287" s="13"/>
      <c r="AY287" s="13"/>
      <c r="AZ287" s="13"/>
    </row>
    <row r="288" spans="1:52" ht="13.15">
      <c r="A288" s="23">
        <v>44908</v>
      </c>
      <c r="B288" s="13" t="s">
        <v>2680</v>
      </c>
      <c r="C288" s="13" t="s">
        <v>123</v>
      </c>
      <c r="D288" s="17"/>
      <c r="E288" s="13"/>
      <c r="F288" s="14" t="s">
        <v>808</v>
      </c>
      <c r="G288" s="13"/>
      <c r="H288" s="13"/>
      <c r="I288" s="13"/>
      <c r="J288" s="14"/>
      <c r="K288" s="14" t="s">
        <v>19</v>
      </c>
      <c r="L288" s="13"/>
      <c r="M288" s="13"/>
      <c r="N288" s="13">
        <v>1</v>
      </c>
      <c r="O288" s="14" t="s">
        <v>71</v>
      </c>
      <c r="P288" s="14" t="s">
        <v>114</v>
      </c>
      <c r="Q288" s="14" t="s">
        <v>661</v>
      </c>
      <c r="R288" s="14">
        <v>1</v>
      </c>
      <c r="S288" s="14">
        <v>1</v>
      </c>
      <c r="T288" s="14">
        <v>1</v>
      </c>
      <c r="U288" s="14" t="s">
        <v>73</v>
      </c>
      <c r="V288" s="14">
        <f t="shared" si="76"/>
        <v>0.01</v>
      </c>
      <c r="W288" s="14">
        <f t="shared" si="77"/>
        <v>1664.9999999999998</v>
      </c>
      <c r="X288" s="17" t="s">
        <v>2667</v>
      </c>
      <c r="Y288" s="17"/>
      <c r="Z288" s="17"/>
      <c r="AA288" s="18">
        <v>96.3</v>
      </c>
      <c r="AB288" s="13" t="s">
        <v>2679</v>
      </c>
      <c r="AC288" s="13"/>
      <c r="AD288" s="13"/>
      <c r="AE288" s="13"/>
      <c r="AF288" s="13"/>
      <c r="AG288" s="13"/>
      <c r="AH288" s="13"/>
      <c r="AI288" s="19"/>
      <c r="AJ288" s="14"/>
      <c r="AK288" s="13"/>
      <c r="AL288" s="13"/>
      <c r="AM288" s="13"/>
      <c r="AN288" s="13"/>
      <c r="AO288" s="13" t="s">
        <v>2669</v>
      </c>
      <c r="AP288" s="20">
        <v>96.25</v>
      </c>
      <c r="AQ288" s="20">
        <f t="shared" si="72"/>
        <v>4.9999999999997158E-2</v>
      </c>
      <c r="AR288" s="97">
        <f t="shared" si="78"/>
        <v>83.249999999995254</v>
      </c>
      <c r="AS288" s="130">
        <f t="shared" si="74"/>
        <v>83.249999999995254</v>
      </c>
      <c r="AT288" s="22" t="s">
        <v>72</v>
      </c>
      <c r="AU288" s="13"/>
      <c r="AV288" s="13" t="s">
        <v>2674</v>
      </c>
      <c r="AW288" s="13"/>
      <c r="AX288" s="13"/>
      <c r="AY288" s="13"/>
      <c r="AZ288" s="13"/>
    </row>
    <row r="289" spans="1:52" ht="13.15">
      <c r="A289" s="23">
        <v>44908</v>
      </c>
      <c r="B289" s="13" t="s">
        <v>2681</v>
      </c>
      <c r="C289" s="13" t="s">
        <v>123</v>
      </c>
      <c r="D289" s="17"/>
      <c r="E289" s="13"/>
      <c r="F289" s="14" t="s">
        <v>922</v>
      </c>
      <c r="G289" s="13"/>
      <c r="H289" s="13"/>
      <c r="I289" s="13"/>
      <c r="J289" s="14"/>
      <c r="K289" s="14" t="s">
        <v>19</v>
      </c>
      <c r="L289" s="13"/>
      <c r="M289" s="13"/>
      <c r="N289" s="13">
        <v>1</v>
      </c>
      <c r="O289" s="14" t="s">
        <v>71</v>
      </c>
      <c r="P289" s="14" t="s">
        <v>114</v>
      </c>
      <c r="Q289" s="14" t="s">
        <v>661</v>
      </c>
      <c r="R289" s="14">
        <v>1</v>
      </c>
      <c r="S289" s="14">
        <v>1</v>
      </c>
      <c r="T289" s="14">
        <v>1</v>
      </c>
      <c r="U289" s="14" t="s">
        <v>73</v>
      </c>
      <c r="V289" s="14">
        <f t="shared" si="76"/>
        <v>0.01</v>
      </c>
      <c r="W289" s="14">
        <f t="shared" si="77"/>
        <v>1664.9999999999998</v>
      </c>
      <c r="X289" s="17" t="s">
        <v>2667</v>
      </c>
      <c r="Y289" s="17"/>
      <c r="Z289" s="17"/>
      <c r="AA289" s="18">
        <v>96.47</v>
      </c>
      <c r="AB289" s="13" t="s">
        <v>2679</v>
      </c>
      <c r="AC289" s="13"/>
      <c r="AD289" s="13"/>
      <c r="AE289" s="13"/>
      <c r="AF289" s="13"/>
      <c r="AG289" s="13"/>
      <c r="AH289" s="13"/>
      <c r="AI289" s="19"/>
      <c r="AJ289" s="14"/>
      <c r="AK289" s="13"/>
      <c r="AL289" s="13"/>
      <c r="AM289" s="13"/>
      <c r="AN289" s="13"/>
      <c r="AO289" s="13" t="s">
        <v>2669</v>
      </c>
      <c r="AP289" s="20">
        <v>96.41</v>
      </c>
      <c r="AQ289" s="20">
        <f t="shared" si="72"/>
        <v>6.0000000000002274E-2</v>
      </c>
      <c r="AR289" s="97">
        <f t="shared" si="78"/>
        <v>99.900000000003772</v>
      </c>
      <c r="AS289" s="130">
        <f t="shared" si="74"/>
        <v>99.900000000003772</v>
      </c>
      <c r="AT289" s="22" t="s">
        <v>72</v>
      </c>
      <c r="AU289" s="13"/>
      <c r="AV289" s="13" t="s">
        <v>2678</v>
      </c>
      <c r="AW289" s="13"/>
      <c r="AX289" s="13"/>
      <c r="AY289" s="13"/>
      <c r="AZ289" s="13"/>
    </row>
    <row r="290" spans="1:52" ht="13.15">
      <c r="A290" s="23">
        <v>44908</v>
      </c>
      <c r="B290" s="13" t="s">
        <v>698</v>
      </c>
      <c r="C290" s="13" t="s">
        <v>123</v>
      </c>
      <c r="D290" s="17"/>
      <c r="E290" s="13"/>
      <c r="F290" s="14" t="s">
        <v>960</v>
      </c>
      <c r="G290" s="13"/>
      <c r="H290" s="13"/>
      <c r="I290" s="13"/>
      <c r="J290" s="14"/>
      <c r="K290" s="14" t="s">
        <v>19</v>
      </c>
      <c r="L290" s="13"/>
      <c r="M290" s="13"/>
      <c r="N290" s="13">
        <v>1</v>
      </c>
      <c r="O290" s="14" t="s">
        <v>71</v>
      </c>
      <c r="P290" s="14" t="s">
        <v>72</v>
      </c>
      <c r="Q290" s="14" t="s">
        <v>661</v>
      </c>
      <c r="R290" s="14">
        <v>1</v>
      </c>
      <c r="S290" s="14">
        <v>1</v>
      </c>
      <c r="T290" s="14">
        <v>1</v>
      </c>
      <c r="U290" s="14" t="s">
        <v>73</v>
      </c>
      <c r="V290" s="14">
        <f t="shared" si="76"/>
        <v>0.01</v>
      </c>
      <c r="W290" s="14">
        <f t="shared" si="77"/>
        <v>1664.9999999999998</v>
      </c>
      <c r="X290" s="17" t="s">
        <v>2667</v>
      </c>
      <c r="Y290" s="17"/>
      <c r="Z290" s="17"/>
      <c r="AA290" s="18">
        <v>96.25</v>
      </c>
      <c r="AB290" s="13" t="s">
        <v>2668</v>
      </c>
      <c r="AC290" s="13"/>
      <c r="AD290" s="13"/>
      <c r="AE290" s="13"/>
      <c r="AF290" s="13"/>
      <c r="AG290" s="13"/>
      <c r="AH290" s="13"/>
      <c r="AI290" s="19"/>
      <c r="AJ290" s="14"/>
      <c r="AK290" s="13"/>
      <c r="AL290" s="13"/>
      <c r="AM290" s="13"/>
      <c r="AN290" s="13"/>
      <c r="AO290" s="13" t="s">
        <v>2669</v>
      </c>
      <c r="AP290" s="20">
        <v>96.2</v>
      </c>
      <c r="AQ290" s="20"/>
      <c r="AR290" s="97"/>
      <c r="AS290" s="130"/>
      <c r="AT290" s="22" t="s">
        <v>72</v>
      </c>
      <c r="AU290" s="13"/>
      <c r="AV290" s="13" t="s">
        <v>2682</v>
      </c>
      <c r="AW290" s="13"/>
      <c r="AX290" s="13"/>
      <c r="AY290" s="13"/>
      <c r="AZ290" s="13"/>
    </row>
    <row r="291" spans="1:52" ht="13.15">
      <c r="A291" s="12">
        <v>44910</v>
      </c>
      <c r="B291" s="27">
        <v>0.25</v>
      </c>
      <c r="C291" s="24" t="s">
        <v>69</v>
      </c>
      <c r="D291" s="31" t="s">
        <v>729</v>
      </c>
      <c r="E291" s="13"/>
      <c r="F291" s="14" t="s">
        <v>2683</v>
      </c>
      <c r="G291" s="13"/>
      <c r="H291" s="13"/>
      <c r="I291" s="13"/>
      <c r="J291" s="14"/>
      <c r="K291" s="14" t="s">
        <v>19</v>
      </c>
      <c r="L291" s="13"/>
      <c r="M291" s="13"/>
      <c r="N291" s="13"/>
      <c r="O291" s="14"/>
      <c r="P291" s="14"/>
      <c r="Q291" s="14"/>
      <c r="R291" s="14"/>
      <c r="S291" s="14"/>
      <c r="T291" s="14"/>
      <c r="U291" s="14"/>
      <c r="V291" s="14">
        <f>IF(ISBLANK(O291),,(IF(O291=UPPER("IB"),0.005,0.01)))</f>
        <v>0</v>
      </c>
      <c r="W291" s="14">
        <f>IF(ISBLANK(O291),,IF(O291=UPPER("IB"),8.63*200,16.65*100))</f>
        <v>0</v>
      </c>
      <c r="X291" s="17" t="s">
        <v>2684</v>
      </c>
      <c r="Y291" s="17"/>
      <c r="Z291" s="17"/>
      <c r="AA291" s="18">
        <v>96.12</v>
      </c>
      <c r="AB291" s="13" t="s">
        <v>2685</v>
      </c>
      <c r="AC291" s="13"/>
      <c r="AD291" s="13"/>
      <c r="AE291" s="13"/>
      <c r="AF291" s="13"/>
      <c r="AG291" s="13"/>
      <c r="AH291" s="13"/>
      <c r="AI291" s="19"/>
      <c r="AJ291" s="14"/>
      <c r="AK291" s="13"/>
      <c r="AL291" s="13"/>
      <c r="AM291" s="13"/>
      <c r="AN291" s="13"/>
      <c r="AO291" s="13"/>
      <c r="AP291" s="20"/>
      <c r="AQ291" s="20"/>
      <c r="AR291" s="97"/>
      <c r="AS291" s="130"/>
      <c r="AT291" s="22"/>
      <c r="AU291" s="13"/>
      <c r="AV291" s="13" t="s">
        <v>2686</v>
      </c>
      <c r="AW291" s="13" t="s">
        <v>2687</v>
      </c>
      <c r="AX291" s="13"/>
      <c r="AY291" s="13"/>
      <c r="AZ291" s="13"/>
    </row>
    <row r="292" spans="1:52" ht="13.15">
      <c r="A292" s="12"/>
      <c r="B292" s="24"/>
      <c r="C292" s="24"/>
      <c r="D292" s="31" t="s">
        <v>732</v>
      </c>
      <c r="E292" s="13"/>
      <c r="F292" s="14"/>
      <c r="G292" s="13"/>
      <c r="H292" s="13"/>
      <c r="I292" s="13"/>
      <c r="J292" s="14"/>
      <c r="K292" s="14"/>
      <c r="L292" s="13"/>
      <c r="M292" s="13"/>
      <c r="N292" s="13"/>
      <c r="O292" s="14"/>
      <c r="P292" s="14"/>
      <c r="Q292" s="14"/>
      <c r="R292" s="14"/>
      <c r="S292" s="14"/>
      <c r="T292" s="14"/>
      <c r="U292" s="14"/>
      <c r="V292" s="14">
        <f>IF(ISBLANK(O292),,(IF(O292=UPPER("IB"),0.005,0.01)))</f>
        <v>0</v>
      </c>
      <c r="W292" s="14">
        <f>IF(ISBLANK(O292),,IF(O292=UPPER("IB"),8.63*200,16.65*100))</f>
        <v>0</v>
      </c>
      <c r="X292" s="17"/>
      <c r="Y292" s="17"/>
      <c r="Z292" s="17"/>
      <c r="AA292" s="18"/>
      <c r="AB292" s="13"/>
      <c r="AC292" s="13"/>
      <c r="AD292" s="13"/>
      <c r="AE292" s="13"/>
      <c r="AF292" s="13"/>
      <c r="AG292" s="13"/>
      <c r="AH292" s="13"/>
      <c r="AI292" s="19"/>
      <c r="AJ292" s="14"/>
      <c r="AK292" s="13"/>
      <c r="AL292" s="13"/>
      <c r="AM292" s="13"/>
      <c r="AN292" s="13"/>
      <c r="AO292" s="13"/>
      <c r="AP292" s="20"/>
      <c r="AQ292" s="20"/>
      <c r="AR292" s="97"/>
      <c r="AS292" s="130"/>
      <c r="AT292" s="22"/>
      <c r="AU292" s="13"/>
      <c r="AV292" s="13"/>
      <c r="AW292" s="13"/>
      <c r="AX292" s="13"/>
      <c r="AY292" s="13"/>
      <c r="AZ292" s="13"/>
    </row>
    <row r="293" spans="1:52" ht="13.15">
      <c r="A293" s="12"/>
      <c r="B293" s="13"/>
      <c r="C293" s="13"/>
      <c r="D293" s="17"/>
      <c r="E293" s="13"/>
      <c r="F293" s="14"/>
      <c r="G293" s="13"/>
      <c r="H293" s="13"/>
      <c r="I293" s="13"/>
      <c r="J293" s="14"/>
      <c r="K293" s="14"/>
      <c r="L293" s="13"/>
      <c r="M293" s="13"/>
      <c r="N293" s="13"/>
      <c r="O293" s="14"/>
      <c r="P293" s="14"/>
      <c r="Q293" s="14"/>
      <c r="R293" s="14"/>
      <c r="S293" s="14"/>
      <c r="T293" s="14"/>
      <c r="U293" s="14"/>
      <c r="V293" s="14">
        <f>IF(ISBLANK(O293),,(IF(O293=UPPER("IB"),0.005,0.01)))</f>
        <v>0</v>
      </c>
      <c r="W293" s="14">
        <f>IF(ISBLANK(O293),,IF(O293=UPPER("IB"),8.63*200,16.65*100))</f>
        <v>0</v>
      </c>
      <c r="X293" s="17"/>
      <c r="Y293" s="17"/>
      <c r="Z293" s="17"/>
      <c r="AA293" s="18"/>
      <c r="AB293" s="13"/>
      <c r="AC293" s="13"/>
      <c r="AD293" s="13"/>
      <c r="AE293" s="13"/>
      <c r="AF293" s="13"/>
      <c r="AG293" s="13"/>
      <c r="AH293" s="13"/>
      <c r="AI293" s="19"/>
      <c r="AJ293" s="14"/>
      <c r="AK293" s="13"/>
      <c r="AL293" s="13"/>
      <c r="AM293" s="13"/>
      <c r="AN293" s="13"/>
      <c r="AO293" s="13"/>
      <c r="AP293" s="20"/>
      <c r="AQ293" s="20"/>
      <c r="AR293" s="97"/>
      <c r="AS293" s="130"/>
      <c r="AT293" s="22"/>
      <c r="AU293" s="30" t="s">
        <v>2688</v>
      </c>
      <c r="AV293" s="30" t="s">
        <v>2689</v>
      </c>
      <c r="AW293" s="30" t="s">
        <v>2690</v>
      </c>
      <c r="AX293" s="13"/>
      <c r="AY293" s="13"/>
      <c r="AZ293" s="13"/>
    </row>
    <row r="294" spans="1:52" ht="13.15">
      <c r="A294" s="86">
        <v>44980</v>
      </c>
      <c r="B294" s="124"/>
      <c r="C294" s="124"/>
      <c r="D294" s="135"/>
      <c r="E294" s="124"/>
      <c r="F294" s="136"/>
      <c r="G294" s="124"/>
      <c r="H294" s="124"/>
      <c r="I294" s="124"/>
      <c r="J294" s="124"/>
      <c r="K294" s="124"/>
      <c r="L294" s="124"/>
      <c r="M294" s="124"/>
      <c r="N294" s="124"/>
      <c r="O294" s="136"/>
      <c r="P294" s="136"/>
      <c r="Q294" s="136"/>
      <c r="R294" s="136"/>
      <c r="S294" s="136"/>
      <c r="T294" s="136"/>
      <c r="U294" s="136"/>
      <c r="V294" s="135"/>
      <c r="W294" s="135"/>
      <c r="X294" s="135"/>
      <c r="Y294" s="135"/>
      <c r="Z294" s="135"/>
      <c r="AA294" s="137"/>
      <c r="AB294" s="124"/>
      <c r="AC294" s="124"/>
      <c r="AD294" s="124"/>
      <c r="AE294" s="124"/>
      <c r="AF294" s="124"/>
      <c r="AG294" s="124"/>
      <c r="AH294" s="124"/>
      <c r="AI294" s="138"/>
      <c r="AJ294" s="136"/>
      <c r="AK294" s="124"/>
      <c r="AL294" s="124"/>
      <c r="AM294" s="124"/>
      <c r="AN294" s="124"/>
      <c r="AO294" s="124"/>
      <c r="AP294" s="139"/>
      <c r="AQ294" s="139"/>
      <c r="AR294" s="139"/>
      <c r="AS294" s="139"/>
      <c r="AT294" s="96"/>
      <c r="AU294" s="124"/>
      <c r="AV294" s="124"/>
      <c r="AW294" s="124"/>
      <c r="AX294" s="124"/>
      <c r="AY294" s="124"/>
      <c r="AZ294" s="124"/>
    </row>
    <row r="295" spans="1:52" ht="13.15">
      <c r="A295" s="12">
        <v>44985</v>
      </c>
      <c r="B295" s="13" t="s">
        <v>2691</v>
      </c>
      <c r="C295" s="13" t="s">
        <v>123</v>
      </c>
      <c r="D295" s="17"/>
      <c r="E295" s="13"/>
      <c r="F295" s="14" t="s">
        <v>2692</v>
      </c>
      <c r="G295" s="13"/>
      <c r="H295" s="13"/>
      <c r="I295" s="13"/>
      <c r="J295" s="14"/>
      <c r="K295" s="14"/>
      <c r="L295" s="13">
        <v>1</v>
      </c>
      <c r="M295" s="13"/>
      <c r="N295" s="13"/>
      <c r="O295" s="14" t="s">
        <v>71</v>
      </c>
      <c r="P295" s="14" t="s">
        <v>72</v>
      </c>
      <c r="Q295" s="14" t="s">
        <v>73</v>
      </c>
      <c r="R295" s="14">
        <v>1</v>
      </c>
      <c r="S295" s="14">
        <v>1</v>
      </c>
      <c r="T295" s="14">
        <v>1</v>
      </c>
      <c r="U295" s="14" t="s">
        <v>73</v>
      </c>
      <c r="V295" s="14">
        <f>IF(ISBLANK(O295),,(IF(O295=UPPER("IB"),0.005,0.01)))</f>
        <v>0.01</v>
      </c>
      <c r="W295" s="14">
        <f>IF(ISBLANK(O295),,IF(O295=UPPER("IB"),8.63*200,16.65*100))</f>
        <v>1664.9999999999998</v>
      </c>
      <c r="X295" s="17"/>
      <c r="Y295" s="17"/>
      <c r="Z295" s="17" t="s">
        <v>2693</v>
      </c>
      <c r="AA295" s="18">
        <v>0.24</v>
      </c>
      <c r="AB295" s="13"/>
      <c r="AC295" s="13"/>
      <c r="AD295" s="13"/>
      <c r="AE295" s="13"/>
      <c r="AF295" s="13"/>
      <c r="AG295" s="13"/>
      <c r="AH295" s="13"/>
      <c r="AI295" s="19"/>
      <c r="AJ295" s="14"/>
      <c r="AK295" s="13"/>
      <c r="AL295" s="13"/>
      <c r="AM295" s="13"/>
      <c r="AN295" s="13"/>
      <c r="AO295" s="13"/>
      <c r="AP295" s="20">
        <v>0.27</v>
      </c>
      <c r="AQ295" s="20">
        <f t="shared" ref="AQ295" si="79">IF(ISBLANK(AP295),,IF(U295="S",AA295-AP295,AP295-AA295))</f>
        <v>-3.0000000000000027E-2</v>
      </c>
      <c r="AR295" s="97">
        <f t="shared" ref="AR295" si="80">AS295*R295</f>
        <v>-49.950000000000038</v>
      </c>
      <c r="AS295" s="130">
        <f t="shared" ref="AS295" si="81">IF(ISBLANK(AP295),,(AQ295*W295))</f>
        <v>-49.950000000000038</v>
      </c>
      <c r="AT295" s="22" t="s">
        <v>206</v>
      </c>
      <c r="AU295" s="13" t="s">
        <v>2694</v>
      </c>
      <c r="AV295" s="13"/>
      <c r="AW295" s="13"/>
      <c r="AX295" s="13"/>
      <c r="AY295" s="13"/>
      <c r="AZ295" s="13"/>
    </row>
    <row r="296" spans="1:52" ht="13.15">
      <c r="A296" s="385">
        <v>45008</v>
      </c>
      <c r="B296" s="124"/>
      <c r="C296" s="124"/>
      <c r="D296" s="135"/>
      <c r="E296" s="124"/>
      <c r="F296" s="136"/>
      <c r="G296" s="124"/>
      <c r="H296" s="124"/>
      <c r="I296" s="124"/>
      <c r="J296" s="124"/>
      <c r="K296" s="124"/>
      <c r="L296" s="124"/>
      <c r="M296" s="124"/>
      <c r="N296" s="124"/>
      <c r="O296" s="136"/>
      <c r="P296" s="136"/>
      <c r="Q296" s="136"/>
      <c r="R296" s="136"/>
      <c r="S296" s="136"/>
      <c r="T296" s="136"/>
      <c r="U296" s="136"/>
      <c r="V296" s="135"/>
      <c r="W296" s="135"/>
      <c r="X296" s="135"/>
      <c r="Y296" s="135"/>
      <c r="Z296" s="135"/>
      <c r="AA296" s="137"/>
      <c r="AB296" s="124"/>
      <c r="AC296" s="124"/>
      <c r="AD296" s="124"/>
      <c r="AE296" s="124"/>
      <c r="AF296" s="124"/>
      <c r="AG296" s="124"/>
      <c r="AH296" s="124"/>
      <c r="AI296" s="138"/>
      <c r="AJ296" s="136"/>
      <c r="AK296" s="124"/>
      <c r="AL296" s="124"/>
      <c r="AM296" s="124"/>
      <c r="AN296" s="124"/>
      <c r="AO296" s="124"/>
      <c r="AP296" s="139"/>
      <c r="AQ296" s="139"/>
      <c r="AR296" s="139"/>
      <c r="AS296" s="139"/>
      <c r="AT296" s="96"/>
      <c r="AU296" s="124"/>
      <c r="AV296" s="124"/>
      <c r="AW296" s="124"/>
      <c r="AX296" s="124"/>
      <c r="AY296" s="124"/>
      <c r="AZ296" s="124"/>
    </row>
    <row r="297" spans="1:52" ht="13.15">
      <c r="A297" s="12">
        <v>44986</v>
      </c>
      <c r="B297" s="13" t="s">
        <v>2695</v>
      </c>
      <c r="C297" s="13"/>
      <c r="D297" s="17"/>
      <c r="E297" s="13"/>
      <c r="F297" s="14" t="s">
        <v>808</v>
      </c>
      <c r="G297" s="13"/>
      <c r="H297" s="13"/>
      <c r="I297" s="13"/>
      <c r="J297" s="14"/>
      <c r="K297" s="14"/>
      <c r="L297" s="13">
        <v>1</v>
      </c>
      <c r="M297" s="13"/>
      <c r="N297" s="13"/>
      <c r="O297" s="14" t="s">
        <v>71</v>
      </c>
      <c r="P297" s="14" t="s">
        <v>114</v>
      </c>
      <c r="Q297" s="14" t="s">
        <v>661</v>
      </c>
      <c r="R297" s="14">
        <v>7</v>
      </c>
      <c r="S297" s="14">
        <v>7</v>
      </c>
      <c r="T297" s="14">
        <v>7</v>
      </c>
      <c r="U297" s="14" t="s">
        <v>73</v>
      </c>
      <c r="V297" s="14">
        <f t="shared" ref="V297" si="82">IF(ISBLANK(O297),,(IF(O297=UPPER("IB"),0.005,0.01)))</f>
        <v>0.01</v>
      </c>
      <c r="W297" s="14">
        <f t="shared" ref="W297" si="83">IF(ISBLANK(O297),,IF(O297=UPPER("IB"),8.63*200,16.65*100))</f>
        <v>1664.9999999999998</v>
      </c>
      <c r="X297" s="17" t="s">
        <v>2696</v>
      </c>
      <c r="Y297" s="17"/>
      <c r="Z297" s="17"/>
      <c r="AA297" s="18">
        <v>95.74</v>
      </c>
      <c r="AB297" s="13"/>
      <c r="AC297" s="13"/>
      <c r="AD297" s="13"/>
      <c r="AE297" s="13"/>
      <c r="AF297" s="13"/>
      <c r="AG297" s="13"/>
      <c r="AH297" s="13"/>
      <c r="AI297" s="19"/>
      <c r="AJ297" s="14"/>
      <c r="AK297" s="13"/>
      <c r="AL297" s="13"/>
      <c r="AM297" s="13"/>
      <c r="AN297" s="13"/>
      <c r="AO297" s="13"/>
      <c r="AP297" s="20"/>
      <c r="AQ297" s="20"/>
      <c r="AR297" s="97"/>
      <c r="AS297" s="130"/>
      <c r="AT297" s="22"/>
      <c r="AU297" s="13"/>
      <c r="AV297" s="13"/>
      <c r="AW297" s="13"/>
      <c r="AX297" s="13"/>
      <c r="AY297" s="13"/>
      <c r="AZ297" s="13"/>
    </row>
    <row r="298" spans="1:52" ht="13.15">
      <c r="A298" s="12">
        <v>44987</v>
      </c>
      <c r="B298" s="13" t="s">
        <v>2697</v>
      </c>
      <c r="C298" s="13"/>
      <c r="D298" s="17"/>
      <c r="E298" s="13"/>
      <c r="F298" s="14" t="s">
        <v>2692</v>
      </c>
      <c r="G298" s="13"/>
      <c r="H298" s="13"/>
      <c r="I298" s="13"/>
      <c r="J298" s="14"/>
      <c r="K298" s="14"/>
      <c r="L298" s="13">
        <v>1</v>
      </c>
      <c r="M298" s="13"/>
      <c r="N298" s="13"/>
      <c r="O298" s="14" t="s">
        <v>71</v>
      </c>
      <c r="P298" s="14" t="s">
        <v>72</v>
      </c>
      <c r="Q298" s="14" t="s">
        <v>73</v>
      </c>
      <c r="R298" s="14">
        <v>1</v>
      </c>
      <c r="S298" s="14">
        <v>1</v>
      </c>
      <c r="T298" s="14">
        <v>1</v>
      </c>
      <c r="U298" s="14" t="s">
        <v>21</v>
      </c>
      <c r="V298" s="14">
        <f t="shared" ref="V298" si="84">IF(ISBLANK(O298),,(IF(O298=UPPER("IB"),0.005,0.01)))</f>
        <v>0.01</v>
      </c>
      <c r="W298" s="14">
        <f t="shared" ref="W298" si="85">IF(ISBLANK(O298),,IF(O298=UPPER("IB"),8.63*200,16.65*100))</f>
        <v>1664.9999999999998</v>
      </c>
      <c r="X298" s="17"/>
      <c r="Y298" s="17" t="s">
        <v>2698</v>
      </c>
      <c r="Z298" s="17"/>
      <c r="AA298" s="18">
        <f>(96.44-96.155)</f>
        <v>0.28499999999999659</v>
      </c>
      <c r="AB298" s="13"/>
      <c r="AC298" s="13"/>
      <c r="AD298" s="13"/>
      <c r="AE298" s="13"/>
      <c r="AF298" s="13"/>
      <c r="AG298" s="13"/>
      <c r="AH298" s="13"/>
      <c r="AI298" s="19"/>
      <c r="AJ298" s="14"/>
      <c r="AK298" s="13"/>
      <c r="AL298" s="13"/>
      <c r="AM298" s="13"/>
      <c r="AN298" s="13"/>
      <c r="AO298" s="13"/>
      <c r="AP298" s="20">
        <v>0.25</v>
      </c>
      <c r="AQ298" s="20">
        <f t="shared" ref="AQ298" si="86">IF(ISBLANK(AP298),,IF(U298="S",AA298-AP298,AP298-AA298))</f>
        <v>-3.4999999999996589E-2</v>
      </c>
      <c r="AR298" s="97">
        <f t="shared" ref="AR298" si="87">AS298*R298</f>
        <v>-58.274999999994314</v>
      </c>
      <c r="AS298" s="130">
        <f t="shared" ref="AS298" si="88">IF(ISBLANK(AP298),,(AQ298*W298))</f>
        <v>-58.274999999994314</v>
      </c>
      <c r="AT298" s="22" t="s">
        <v>206</v>
      </c>
      <c r="AU298" s="13" t="s">
        <v>2699</v>
      </c>
      <c r="AV298" s="13"/>
      <c r="AW298" s="13"/>
      <c r="AX298" s="13"/>
      <c r="AY298" s="13"/>
      <c r="AZ298" s="13"/>
    </row>
    <row r="299" spans="1:52" ht="13.15">
      <c r="A299" s="12">
        <v>44991</v>
      </c>
      <c r="B299" s="13" t="s">
        <v>2700</v>
      </c>
      <c r="C299" s="13" t="s">
        <v>109</v>
      </c>
      <c r="D299" s="17"/>
      <c r="E299" s="13"/>
      <c r="F299" s="14" t="s">
        <v>2692</v>
      </c>
      <c r="G299" s="13"/>
      <c r="H299" s="13"/>
      <c r="I299" s="13"/>
      <c r="J299" s="14"/>
      <c r="K299" s="14"/>
      <c r="L299" s="13"/>
      <c r="M299" s="13"/>
      <c r="N299" s="13"/>
      <c r="O299" s="14"/>
      <c r="P299" s="14"/>
      <c r="Q299" s="14"/>
      <c r="R299" s="14"/>
      <c r="S299" s="14"/>
      <c r="T299" s="14"/>
      <c r="U299" s="14"/>
      <c r="V299" s="14">
        <f t="shared" ref="V299:V300" si="89">IF(ISBLANK(O299),,(IF(O299=UPPER("IB"),0.005,0.01)))</f>
        <v>0</v>
      </c>
      <c r="W299" s="14">
        <f t="shared" ref="W299:W300" si="90">IF(ISBLANK(O299),,IF(O299=UPPER("IB"),8.63*200,16.65*100))</f>
        <v>0</v>
      </c>
      <c r="X299" s="17"/>
      <c r="Y299" s="17"/>
      <c r="Z299" s="17"/>
      <c r="AA299" s="18"/>
      <c r="AB299" s="13"/>
      <c r="AC299" s="13"/>
      <c r="AD299" s="13"/>
      <c r="AE299" s="13"/>
      <c r="AF299" s="13"/>
      <c r="AG299" s="13"/>
      <c r="AH299" s="13"/>
      <c r="AI299" s="19"/>
      <c r="AJ299" s="14"/>
      <c r="AK299" s="13"/>
      <c r="AL299" s="13"/>
      <c r="AM299" s="13"/>
      <c r="AN299" s="13"/>
      <c r="AO299" s="13"/>
      <c r="AP299" s="20"/>
      <c r="AQ299" s="20">
        <f t="shared" ref="AQ299:AQ300" si="91">IF(ISBLANK(AP299),,IF(U299="S",AA299-AP299,AP299-AA299))</f>
        <v>0</v>
      </c>
      <c r="AR299" s="97">
        <f t="shared" ref="AR299:AR300" si="92">AS299*R299</f>
        <v>0</v>
      </c>
      <c r="AS299" s="130">
        <f t="shared" ref="AS299:AS300" si="93">IF(ISBLANK(AP299),,(AQ299*W299))</f>
        <v>0</v>
      </c>
      <c r="AT299" s="22"/>
      <c r="AU299" s="13" t="s">
        <v>2701</v>
      </c>
      <c r="AV299" s="13"/>
      <c r="AW299" s="13"/>
      <c r="AX299" s="13" t="s">
        <v>2702</v>
      </c>
      <c r="AY299" s="13"/>
      <c r="AZ299" s="13"/>
    </row>
    <row r="300" spans="1:52" ht="13.15">
      <c r="A300" s="12">
        <v>44993</v>
      </c>
      <c r="B300" s="13" t="s">
        <v>2703</v>
      </c>
      <c r="C300" s="13" t="s">
        <v>128</v>
      </c>
      <c r="D300" s="17"/>
      <c r="E300" s="13"/>
      <c r="F300" s="14" t="s">
        <v>2692</v>
      </c>
      <c r="G300" s="13"/>
      <c r="H300" s="13"/>
      <c r="I300" s="13"/>
      <c r="J300" s="14"/>
      <c r="K300" s="14"/>
      <c r="L300" s="13">
        <v>1</v>
      </c>
      <c r="M300" s="13">
        <v>1</v>
      </c>
      <c r="N300" s="13"/>
      <c r="O300" s="14" t="s">
        <v>71</v>
      </c>
      <c r="P300" s="14" t="s">
        <v>72</v>
      </c>
      <c r="Q300" s="14" t="s">
        <v>73</v>
      </c>
      <c r="R300" s="14">
        <v>1</v>
      </c>
      <c r="S300" s="14">
        <v>1</v>
      </c>
      <c r="T300" s="14">
        <v>1</v>
      </c>
      <c r="U300" s="14" t="s">
        <v>21</v>
      </c>
      <c r="V300" s="14">
        <f t="shared" si="89"/>
        <v>0.01</v>
      </c>
      <c r="W300" s="14">
        <f t="shared" si="90"/>
        <v>1664.9999999999998</v>
      </c>
      <c r="X300" s="17"/>
      <c r="Y300" s="17" t="s">
        <v>2704</v>
      </c>
      <c r="Z300" s="17" t="s">
        <v>506</v>
      </c>
      <c r="AA300" s="18">
        <v>0.27</v>
      </c>
      <c r="AB300" s="13"/>
      <c r="AC300" s="13">
        <v>0.24</v>
      </c>
      <c r="AD300" s="13" t="s">
        <v>716</v>
      </c>
      <c r="AE300" s="13">
        <v>0.31</v>
      </c>
      <c r="AF300" s="13" t="s">
        <v>2705</v>
      </c>
      <c r="AG300" s="13" t="s">
        <v>506</v>
      </c>
      <c r="AH300" s="13"/>
      <c r="AI300" s="19"/>
      <c r="AJ300" s="14"/>
      <c r="AK300" s="13"/>
      <c r="AL300" s="13"/>
      <c r="AM300" s="13"/>
      <c r="AN300" s="13"/>
      <c r="AO300" s="13"/>
      <c r="AP300" s="20">
        <v>0.29499999999999998</v>
      </c>
      <c r="AQ300" s="20">
        <f t="shared" si="91"/>
        <v>2.4999999999999967E-2</v>
      </c>
      <c r="AR300" s="97">
        <f t="shared" si="92"/>
        <v>41.624999999999936</v>
      </c>
      <c r="AS300" s="130">
        <f t="shared" si="93"/>
        <v>41.624999999999936</v>
      </c>
      <c r="AT300" s="22" t="s">
        <v>72</v>
      </c>
      <c r="AU300" s="13"/>
      <c r="AV300" s="13"/>
      <c r="AW300" s="13"/>
      <c r="AX300" s="13"/>
      <c r="AY300" s="13"/>
      <c r="AZ300" s="13"/>
    </row>
    <row r="301" spans="1:52" ht="13.15">
      <c r="A301" s="12">
        <v>45008</v>
      </c>
      <c r="B301" s="13" t="s">
        <v>2706</v>
      </c>
      <c r="C301" s="13" t="s">
        <v>69</v>
      </c>
      <c r="D301" s="17"/>
      <c r="E301" s="13"/>
      <c r="F301" s="14"/>
      <c r="G301" s="13"/>
      <c r="H301" s="13"/>
      <c r="I301" s="13"/>
      <c r="J301" s="14"/>
      <c r="K301" s="14"/>
      <c r="L301" s="13"/>
      <c r="M301" s="13"/>
      <c r="N301" s="13"/>
      <c r="O301" s="14"/>
      <c r="P301" s="14"/>
      <c r="Q301" s="14"/>
      <c r="R301" s="14"/>
      <c r="S301" s="14"/>
      <c r="T301" s="14"/>
      <c r="U301" s="14"/>
      <c r="V301" s="14"/>
      <c r="W301" s="14"/>
      <c r="X301" s="17"/>
      <c r="Y301" s="17"/>
      <c r="Z301" s="17"/>
      <c r="AA301" s="18"/>
      <c r="AB301" s="13"/>
      <c r="AC301" s="13"/>
      <c r="AD301" s="13"/>
      <c r="AE301" s="13"/>
      <c r="AF301" s="13"/>
      <c r="AG301" s="13"/>
      <c r="AH301" s="13"/>
      <c r="AI301" s="19"/>
      <c r="AJ301" s="14"/>
      <c r="AK301" s="13"/>
      <c r="AL301" s="13"/>
      <c r="AM301" s="13"/>
      <c r="AN301" s="13"/>
      <c r="AO301" s="13"/>
      <c r="AP301" s="20"/>
      <c r="AQ301" s="13"/>
      <c r="AR301" s="82"/>
      <c r="AS301" s="21"/>
      <c r="AT301" s="22"/>
      <c r="AU301" s="13"/>
      <c r="AV301" s="13"/>
      <c r="AW301" s="13"/>
      <c r="AX301" s="13"/>
      <c r="AY301" s="13"/>
      <c r="AZ301" s="13"/>
    </row>
    <row r="302" spans="1:52" ht="13.15">
      <c r="A302" s="12"/>
      <c r="B302" s="13"/>
      <c r="C302" s="13"/>
      <c r="D302" s="17"/>
      <c r="E302" s="13"/>
      <c r="F302" s="14"/>
      <c r="G302" s="13"/>
      <c r="H302" s="13"/>
      <c r="I302" s="13"/>
      <c r="J302" s="14"/>
      <c r="K302" s="14"/>
      <c r="L302" s="13"/>
      <c r="M302" s="13"/>
      <c r="N302" s="13"/>
      <c r="O302" s="14"/>
      <c r="P302" s="14"/>
      <c r="Q302" s="14"/>
      <c r="R302" s="14"/>
      <c r="S302" s="14"/>
      <c r="T302" s="14"/>
      <c r="U302" s="14"/>
      <c r="V302" s="14"/>
      <c r="W302" s="14"/>
      <c r="X302" s="17"/>
      <c r="Y302" s="17"/>
      <c r="Z302" s="17"/>
      <c r="AA302" s="18"/>
      <c r="AB302" s="13"/>
      <c r="AC302" s="13"/>
      <c r="AD302" s="13"/>
      <c r="AE302" s="13"/>
      <c r="AF302" s="13"/>
      <c r="AG302" s="13"/>
      <c r="AH302" s="13"/>
      <c r="AI302" s="19"/>
      <c r="AJ302" s="14"/>
      <c r="AK302" s="13"/>
      <c r="AL302" s="13"/>
      <c r="AM302" s="13"/>
      <c r="AN302" s="13"/>
      <c r="AO302" s="13"/>
      <c r="AP302" s="20"/>
      <c r="AQ302" s="13"/>
      <c r="AR302" s="82"/>
      <c r="AS302" s="21"/>
      <c r="AT302" s="22"/>
      <c r="AU302" s="13"/>
      <c r="AV302" s="13"/>
      <c r="AW302" s="13"/>
      <c r="AX302" s="13"/>
      <c r="AY302" s="13"/>
      <c r="AZ302" s="13"/>
    </row>
    <row r="303" spans="1:52" ht="13.15">
      <c r="A303" s="12"/>
      <c r="B303" s="13"/>
      <c r="C303" s="13"/>
      <c r="D303" s="17"/>
      <c r="E303" s="13"/>
      <c r="F303" s="14"/>
      <c r="G303" s="13"/>
      <c r="H303" s="13"/>
      <c r="I303" s="13"/>
      <c r="J303" s="14"/>
      <c r="K303" s="14"/>
      <c r="L303" s="13"/>
      <c r="M303" s="13"/>
      <c r="N303" s="13"/>
      <c r="O303" s="14"/>
      <c r="P303" s="14"/>
      <c r="Q303" s="14"/>
      <c r="R303" s="14"/>
      <c r="S303" s="14"/>
      <c r="T303" s="14"/>
      <c r="U303" s="14"/>
      <c r="V303" s="14"/>
      <c r="W303" s="14"/>
      <c r="X303" s="17"/>
      <c r="Y303" s="17"/>
      <c r="Z303" s="17"/>
      <c r="AA303" s="18"/>
      <c r="AB303" s="13"/>
      <c r="AC303" s="13"/>
      <c r="AD303" s="13"/>
      <c r="AE303" s="13"/>
      <c r="AF303" s="13"/>
      <c r="AG303" s="13"/>
      <c r="AH303" s="13"/>
      <c r="AI303" s="19"/>
      <c r="AJ303" s="14"/>
      <c r="AK303" s="13"/>
      <c r="AL303" s="13"/>
      <c r="AM303" s="13"/>
      <c r="AN303" s="13"/>
      <c r="AO303" s="13"/>
      <c r="AP303" s="20"/>
      <c r="AQ303" s="13"/>
      <c r="AR303" s="82"/>
      <c r="AS303" s="21"/>
      <c r="AT303" s="22"/>
      <c r="AU303" s="13"/>
      <c r="AV303" s="13"/>
      <c r="AW303" s="13"/>
      <c r="AX303" s="13"/>
      <c r="AY303" s="13"/>
      <c r="AZ303" s="13"/>
    </row>
    <row r="304" spans="1:52" ht="13.15">
      <c r="A304" s="12"/>
      <c r="B304" s="13"/>
      <c r="C304" s="13"/>
      <c r="D304" s="17"/>
      <c r="E304" s="13"/>
      <c r="F304" s="14"/>
      <c r="G304" s="13"/>
      <c r="H304" s="13"/>
      <c r="I304" s="13"/>
      <c r="J304" s="14"/>
      <c r="K304" s="14"/>
      <c r="L304" s="13"/>
      <c r="M304" s="13"/>
      <c r="N304" s="13"/>
      <c r="O304" s="14"/>
      <c r="P304" s="14"/>
      <c r="Q304" s="14"/>
      <c r="R304" s="14"/>
      <c r="S304" s="14"/>
      <c r="T304" s="14"/>
      <c r="U304" s="14"/>
      <c r="V304" s="14"/>
      <c r="W304" s="14"/>
      <c r="X304" s="17"/>
      <c r="Y304" s="17"/>
      <c r="Z304" s="17"/>
      <c r="AA304" s="18"/>
      <c r="AB304" s="13"/>
      <c r="AC304" s="13"/>
      <c r="AD304" s="13"/>
      <c r="AE304" s="13"/>
      <c r="AF304" s="13"/>
      <c r="AG304" s="13"/>
      <c r="AH304" s="13"/>
      <c r="AI304" s="19"/>
      <c r="AJ304" s="14"/>
      <c r="AK304" s="13"/>
      <c r="AL304" s="13"/>
      <c r="AM304" s="13"/>
      <c r="AN304" s="13"/>
      <c r="AO304" s="13"/>
      <c r="AP304" s="20"/>
      <c r="AQ304" s="13"/>
      <c r="AR304" s="82"/>
      <c r="AS304" s="21"/>
      <c r="AT304" s="22"/>
      <c r="AU304" s="13"/>
      <c r="AV304" s="13"/>
      <c r="AW304" s="13"/>
      <c r="AX304" s="13"/>
      <c r="AY304" s="13"/>
      <c r="AZ304" s="13"/>
    </row>
    <row r="305" spans="1:52" ht="13.15">
      <c r="A305" s="12"/>
      <c r="B305" s="13"/>
      <c r="C305" s="13"/>
      <c r="D305" s="17"/>
      <c r="E305" s="13"/>
      <c r="F305" s="14"/>
      <c r="G305" s="13"/>
      <c r="H305" s="13"/>
      <c r="I305" s="13"/>
      <c r="J305" s="14"/>
      <c r="K305" s="14"/>
      <c r="L305" s="13"/>
      <c r="M305" s="13"/>
      <c r="N305" s="13"/>
      <c r="O305" s="14"/>
      <c r="P305" s="14"/>
      <c r="Q305" s="14"/>
      <c r="R305" s="14"/>
      <c r="S305" s="14"/>
      <c r="T305" s="14"/>
      <c r="U305" s="14"/>
      <c r="V305" s="14"/>
      <c r="W305" s="14"/>
      <c r="X305" s="17"/>
      <c r="Y305" s="17"/>
      <c r="Z305" s="17"/>
      <c r="AA305" s="18"/>
      <c r="AB305" s="13"/>
      <c r="AC305" s="13"/>
      <c r="AD305" s="13"/>
      <c r="AE305" s="13"/>
      <c r="AF305" s="13"/>
      <c r="AG305" s="13"/>
      <c r="AH305" s="13"/>
      <c r="AI305" s="19"/>
      <c r="AJ305" s="14"/>
      <c r="AK305" s="13"/>
      <c r="AL305" s="13"/>
      <c r="AM305" s="13"/>
      <c r="AN305" s="13"/>
      <c r="AO305" s="13"/>
      <c r="AP305" s="20"/>
      <c r="AQ305" s="13"/>
      <c r="AR305" s="82"/>
      <c r="AS305" s="21"/>
      <c r="AT305" s="22"/>
      <c r="AU305" s="13"/>
      <c r="AV305" s="13"/>
      <c r="AW305" s="13"/>
      <c r="AX305" s="13"/>
      <c r="AY305" s="13"/>
      <c r="AZ305" s="13"/>
    </row>
    <row r="306" spans="1:52" ht="13.15">
      <c r="A306" s="385">
        <v>45039</v>
      </c>
      <c r="B306" s="124"/>
      <c r="C306" s="124"/>
      <c r="D306" s="135"/>
      <c r="E306" s="124"/>
      <c r="F306" s="136"/>
      <c r="G306" s="124"/>
      <c r="H306" s="124"/>
      <c r="I306" s="124"/>
      <c r="J306" s="124"/>
      <c r="K306" s="124"/>
      <c r="L306" s="124"/>
      <c r="M306" s="124"/>
      <c r="N306" s="124"/>
      <c r="O306" s="136"/>
      <c r="P306" s="136"/>
      <c r="Q306" s="136"/>
      <c r="R306" s="136"/>
      <c r="S306" s="136"/>
      <c r="T306" s="136"/>
      <c r="U306" s="136"/>
      <c r="V306" s="135"/>
      <c r="W306" s="135"/>
      <c r="X306" s="135"/>
      <c r="Y306" s="135"/>
      <c r="Z306" s="135"/>
      <c r="AA306" s="137"/>
      <c r="AB306" s="124"/>
      <c r="AC306" s="124"/>
      <c r="AD306" s="124"/>
      <c r="AE306" s="124"/>
      <c r="AF306" s="124"/>
      <c r="AG306" s="124"/>
      <c r="AH306" s="124"/>
      <c r="AI306" s="138"/>
      <c r="AJ306" s="136"/>
      <c r="AK306" s="124"/>
      <c r="AL306" s="124"/>
      <c r="AM306" s="124"/>
      <c r="AN306" s="124"/>
      <c r="AO306" s="124"/>
      <c r="AP306" s="139"/>
      <c r="AQ306" s="139"/>
      <c r="AR306" s="139"/>
      <c r="AS306" s="139"/>
      <c r="AT306" s="96"/>
      <c r="AU306" s="124"/>
      <c r="AV306" s="124"/>
      <c r="AW306" s="124"/>
      <c r="AX306" s="124"/>
      <c r="AY306" s="124"/>
      <c r="AZ306" s="124"/>
    </row>
    <row r="307" spans="1:52" ht="13.15">
      <c r="A307" s="12"/>
      <c r="B307" s="13"/>
      <c r="C307" s="13"/>
      <c r="D307" s="17"/>
      <c r="E307" s="13"/>
      <c r="F307" s="14"/>
      <c r="G307" s="13"/>
      <c r="H307" s="13"/>
      <c r="I307" s="13"/>
      <c r="J307" s="14"/>
      <c r="K307" s="14"/>
      <c r="L307" s="13"/>
      <c r="M307" s="13"/>
      <c r="N307" s="13"/>
      <c r="O307" s="14"/>
      <c r="P307" s="14"/>
      <c r="Q307" s="14"/>
      <c r="R307" s="14"/>
      <c r="S307" s="14"/>
      <c r="T307" s="14"/>
      <c r="U307" s="14"/>
      <c r="V307" s="14"/>
      <c r="W307" s="14"/>
      <c r="X307" s="17"/>
      <c r="Y307" s="17"/>
      <c r="Z307" s="17"/>
      <c r="AA307" s="18"/>
      <c r="AB307" s="13"/>
      <c r="AC307" s="13"/>
      <c r="AD307" s="13"/>
      <c r="AE307" s="13"/>
      <c r="AF307" s="13"/>
      <c r="AG307" s="13"/>
      <c r="AH307" s="13"/>
      <c r="AI307" s="19"/>
      <c r="AJ307" s="14"/>
      <c r="AK307" s="13"/>
      <c r="AL307" s="13"/>
      <c r="AM307" s="13"/>
      <c r="AN307" s="13"/>
      <c r="AO307" s="13"/>
      <c r="AP307" s="20"/>
      <c r="AQ307" s="13"/>
      <c r="AR307" s="82"/>
      <c r="AS307" s="21"/>
      <c r="AT307" s="22"/>
      <c r="AU307" s="13"/>
      <c r="AV307" s="13"/>
      <c r="AW307" s="13"/>
      <c r="AX307" s="13"/>
      <c r="AY307" s="13"/>
      <c r="AZ307" s="13"/>
    </row>
    <row r="308" spans="1:52" ht="13.15">
      <c r="A308" s="12"/>
      <c r="B308" s="13"/>
      <c r="C308" s="13"/>
      <c r="D308" s="17"/>
      <c r="E308" s="13"/>
      <c r="F308" s="14"/>
      <c r="G308" s="13"/>
      <c r="H308" s="13"/>
      <c r="I308" s="13"/>
      <c r="J308" s="14"/>
      <c r="K308" s="14"/>
      <c r="L308" s="13"/>
      <c r="M308" s="13"/>
      <c r="N308" s="13"/>
      <c r="O308" s="14"/>
      <c r="P308" s="14"/>
      <c r="Q308" s="14"/>
      <c r="R308" s="14"/>
      <c r="S308" s="14"/>
      <c r="T308" s="14"/>
      <c r="U308" s="14"/>
      <c r="V308" s="14"/>
      <c r="W308" s="14"/>
      <c r="X308" s="17"/>
      <c r="Y308" s="17"/>
      <c r="Z308" s="17"/>
      <c r="AA308" s="18"/>
      <c r="AB308" s="13"/>
      <c r="AC308" s="13"/>
      <c r="AD308" s="13"/>
      <c r="AE308" s="13"/>
      <c r="AF308" s="13"/>
      <c r="AG308" s="13"/>
      <c r="AH308" s="13"/>
      <c r="AI308" s="19"/>
      <c r="AJ308" s="14"/>
      <c r="AK308" s="13"/>
      <c r="AL308" s="13"/>
      <c r="AM308" s="13"/>
      <c r="AN308" s="13"/>
      <c r="AO308" s="13"/>
      <c r="AP308" s="20"/>
      <c r="AQ308" s="13"/>
      <c r="AR308" s="82"/>
      <c r="AS308" s="21"/>
      <c r="AT308" s="22"/>
      <c r="AU308" s="13"/>
      <c r="AV308" s="13"/>
      <c r="AW308" s="13"/>
      <c r="AX308" s="13"/>
      <c r="AY308" s="13"/>
      <c r="AZ308" s="13"/>
    </row>
    <row r="309" spans="1:52" ht="13.15">
      <c r="A309" s="12"/>
      <c r="B309" s="13"/>
      <c r="C309" s="13"/>
      <c r="D309" s="17"/>
      <c r="E309" s="13"/>
      <c r="F309" s="14"/>
      <c r="G309" s="13"/>
      <c r="H309" s="13"/>
      <c r="I309" s="13"/>
      <c r="J309" s="14"/>
      <c r="K309" s="14"/>
      <c r="L309" s="13"/>
      <c r="M309" s="13"/>
      <c r="N309" s="13"/>
      <c r="O309" s="14"/>
      <c r="P309" s="14"/>
      <c r="Q309" s="14"/>
      <c r="R309" s="14"/>
      <c r="S309" s="14"/>
      <c r="T309" s="14"/>
      <c r="U309" s="14"/>
      <c r="V309" s="14"/>
      <c r="W309" s="14"/>
      <c r="X309" s="17"/>
      <c r="Y309" s="17"/>
      <c r="Z309" s="17"/>
      <c r="AA309" s="18"/>
      <c r="AB309" s="13"/>
      <c r="AC309" s="13"/>
      <c r="AD309" s="13"/>
      <c r="AE309" s="13"/>
      <c r="AF309" s="13"/>
      <c r="AG309" s="13"/>
      <c r="AH309" s="13"/>
      <c r="AI309" s="19"/>
      <c r="AJ309" s="14"/>
      <c r="AK309" s="13"/>
      <c r="AL309" s="13"/>
      <c r="AM309" s="13"/>
      <c r="AN309" s="13"/>
      <c r="AO309" s="13"/>
      <c r="AP309" s="20"/>
      <c r="AQ309" s="13"/>
      <c r="AR309" s="82"/>
      <c r="AS309" s="21"/>
      <c r="AT309" s="22"/>
      <c r="AU309" s="13"/>
      <c r="AV309" s="13"/>
      <c r="AW309" s="13"/>
      <c r="AX309" s="13"/>
      <c r="AY309" s="13"/>
      <c r="AZ309" s="13"/>
    </row>
    <row r="310" spans="1:52" ht="13.15">
      <c r="A310" s="38"/>
      <c r="B310" s="38"/>
      <c r="C310" s="38"/>
      <c r="D310" s="39"/>
      <c r="E310" s="38"/>
      <c r="F310" s="40"/>
      <c r="G310" s="38"/>
      <c r="H310" s="38"/>
      <c r="I310" s="70"/>
      <c r="J310" s="14"/>
      <c r="K310" s="14"/>
      <c r="L310" s="38"/>
      <c r="M310" s="38"/>
      <c r="N310" s="38"/>
      <c r="O310" s="40"/>
      <c r="P310" s="40"/>
      <c r="Q310" s="40"/>
      <c r="R310" s="40"/>
      <c r="S310" s="40"/>
      <c r="T310" s="40"/>
      <c r="U310" s="40"/>
      <c r="V310" s="40">
        <f>IF(ISBLANK(O310),,(IF(O310=UPPER("IB"),0.005,0.01)))</f>
        <v>0</v>
      </c>
      <c r="W310" s="40">
        <f>IF(ISBLANK(O310),,IF(O310=UPPER("IB"),8.52,16.65))</f>
        <v>0</v>
      </c>
      <c r="X310" s="39"/>
      <c r="Y310" s="39"/>
      <c r="Z310" s="39"/>
      <c r="AA310" s="41"/>
      <c r="AB310" s="38"/>
      <c r="AC310" s="38"/>
      <c r="AD310" s="38"/>
      <c r="AE310" s="38"/>
      <c r="AF310" s="38"/>
      <c r="AG310" s="38"/>
      <c r="AH310" s="38"/>
      <c r="AI310" s="38"/>
      <c r="AJ310" s="38"/>
      <c r="AK310" s="38"/>
      <c r="AL310" s="38"/>
      <c r="AM310" s="38"/>
      <c r="AN310" s="38"/>
      <c r="AO310" s="38"/>
      <c r="AP310" s="42"/>
      <c r="AQ310" s="38">
        <f>IF(ISBLANK(AP310),,IF(U310="S",AA310-AP310,AP310-AA310))</f>
        <v>0</v>
      </c>
      <c r="AR310" s="43"/>
      <c r="AS310" s="44"/>
      <c r="AT310" s="40"/>
      <c r="AU310" s="38"/>
      <c r="AV310" s="38"/>
      <c r="AW310" s="38"/>
      <c r="AX310" s="38"/>
      <c r="AY310" s="38"/>
      <c r="AZ310" s="38"/>
    </row>
    <row r="311" spans="1:52" ht="13.15">
      <c r="A311" s="38"/>
      <c r="B311" s="38"/>
      <c r="C311" s="38"/>
      <c r="D311" s="39"/>
      <c r="E311" s="38"/>
      <c r="F311" s="40"/>
      <c r="G311" s="38"/>
      <c r="H311" s="38"/>
      <c r="I311" s="39" t="s">
        <v>2707</v>
      </c>
      <c r="J311" s="14"/>
      <c r="K311" s="14"/>
      <c r="L311" s="38">
        <f>SUM(L4:L310)</f>
        <v>182</v>
      </c>
      <c r="M311" s="38">
        <f>SUM(M4:M310)</f>
        <v>113</v>
      </c>
      <c r="N311" s="38">
        <f>SUM(N4:N310)</f>
        <v>63</v>
      </c>
      <c r="O311" s="40"/>
      <c r="P311" s="40"/>
      <c r="Q311" s="40"/>
      <c r="R311" s="40"/>
      <c r="S311" s="40"/>
      <c r="T311" s="40">
        <f>COUNTIF(U4:U310,"B")</f>
        <v>105</v>
      </c>
      <c r="U311" s="39" t="s">
        <v>21</v>
      </c>
      <c r="V311" s="40"/>
      <c r="W311" s="45" t="s">
        <v>2708</v>
      </c>
      <c r="X311" s="39">
        <f>COUNTA(X4:X310)</f>
        <v>75</v>
      </c>
      <c r="Y311" s="39">
        <f>COUNTA(Y4:Y310)</f>
        <v>35</v>
      </c>
      <c r="Z311" s="39">
        <f>COUNTA(Z4:Z310)</f>
        <v>100</v>
      </c>
      <c r="AA311" s="41"/>
      <c r="AB311" s="38"/>
      <c r="AC311" s="38"/>
      <c r="AD311" s="38"/>
      <c r="AE311" s="38"/>
      <c r="AF311" s="38"/>
      <c r="AG311" s="38"/>
      <c r="AH311" s="38"/>
      <c r="AI311" s="38"/>
      <c r="AJ311" s="38"/>
      <c r="AK311" s="38"/>
      <c r="AL311" s="38"/>
      <c r="AM311" s="38" t="s">
        <v>371</v>
      </c>
      <c r="AN311" s="38">
        <f>COUNTIF(AN4:AN307,"M")</f>
        <v>16</v>
      </c>
      <c r="AO311" s="38"/>
      <c r="AP311" s="42"/>
      <c r="AQ311" s="38"/>
      <c r="AR311" s="151">
        <f>SUM(AR4:AR310)</f>
        <v>-5809.8911999999764</v>
      </c>
      <c r="AS311" s="48"/>
      <c r="AT311" s="40"/>
      <c r="AU311" s="38"/>
      <c r="AV311" s="38"/>
      <c r="AW311" s="38"/>
      <c r="AX311" s="38"/>
      <c r="AY311" s="38"/>
      <c r="AZ311" s="38"/>
    </row>
    <row r="312" spans="1:52" ht="13.15">
      <c r="A312" s="38"/>
      <c r="B312" s="38"/>
      <c r="C312" s="38"/>
      <c r="D312" s="39"/>
      <c r="E312" s="38"/>
      <c r="F312" s="40"/>
      <c r="G312" s="38"/>
      <c r="H312" s="38"/>
      <c r="I312" s="39"/>
      <c r="J312" s="14"/>
      <c r="K312" s="14"/>
      <c r="L312" s="39"/>
      <c r="M312" s="39"/>
      <c r="N312" s="39"/>
      <c r="O312" s="40"/>
      <c r="P312" s="40"/>
      <c r="Q312" s="40"/>
      <c r="R312" s="40"/>
      <c r="S312" s="40"/>
      <c r="T312" s="40"/>
      <c r="U312" s="39"/>
      <c r="V312" s="40"/>
      <c r="W312" s="45"/>
      <c r="X312" s="39"/>
      <c r="Y312" s="39"/>
      <c r="Z312" s="39"/>
      <c r="AA312" s="41"/>
      <c r="AB312" s="38"/>
      <c r="AC312" s="38"/>
      <c r="AD312" s="38"/>
      <c r="AE312" s="38"/>
      <c r="AF312" s="38"/>
      <c r="AG312" s="38"/>
      <c r="AH312" s="38"/>
      <c r="AI312" s="38"/>
      <c r="AJ312" s="38"/>
      <c r="AK312" s="38"/>
      <c r="AL312" s="38"/>
      <c r="AM312" s="38"/>
      <c r="AN312" s="38"/>
      <c r="AO312" s="38"/>
      <c r="AP312" s="42"/>
      <c r="AQ312" s="38"/>
      <c r="AR312" s="43"/>
      <c r="AS312" s="44"/>
      <c r="AT312" s="40"/>
      <c r="AU312" s="38"/>
      <c r="AV312" s="38"/>
      <c r="AW312" s="38"/>
      <c r="AX312" s="38"/>
      <c r="AY312" s="38"/>
      <c r="AZ312" s="38"/>
    </row>
    <row r="313" spans="1:52" ht="13.15">
      <c r="A313" s="38"/>
      <c r="B313" s="38"/>
      <c r="C313" s="38"/>
      <c r="D313" s="39"/>
      <c r="E313" s="38"/>
      <c r="F313" s="40"/>
      <c r="G313" s="38"/>
      <c r="H313" s="38"/>
      <c r="I313" s="39" t="s">
        <v>2708</v>
      </c>
      <c r="J313" s="14"/>
      <c r="K313" s="14"/>
      <c r="L313" s="39">
        <f>COUNTA(L4:L310)</f>
        <v>135</v>
      </c>
      <c r="M313" s="39">
        <f>COUNTA(M4:M310)</f>
        <v>65</v>
      </c>
      <c r="N313" s="39">
        <f>COUNTA(N4:N310)</f>
        <v>43</v>
      </c>
      <c r="O313" s="40"/>
      <c r="P313" s="40"/>
      <c r="Q313" s="40"/>
      <c r="R313" s="40"/>
      <c r="S313" s="40"/>
      <c r="T313" s="40">
        <f>COUNTIF(U4:U310,"S")</f>
        <v>94</v>
      </c>
      <c r="U313" s="39" t="s">
        <v>73</v>
      </c>
      <c r="V313" s="40"/>
      <c r="W313" s="45" t="s">
        <v>1658</v>
      </c>
      <c r="X313" s="39">
        <f>COUNTIFS(X4:X310,"&lt;&gt;",$AT4:$AT310,"W")</f>
        <v>32</v>
      </c>
      <c r="Y313" s="39">
        <f>COUNTIFS(Y4:Y310,"&lt;&gt;",$AT4:$AT310,"W")</f>
        <v>9</v>
      </c>
      <c r="Z313" s="39">
        <f>COUNTIFS(Z4:Z310,"&lt;&gt;",$AT4:$AT310,"W")</f>
        <v>58</v>
      </c>
      <c r="AA313" s="41"/>
      <c r="AB313" s="38"/>
      <c r="AC313" s="38"/>
      <c r="AD313" s="38"/>
      <c r="AE313" s="38"/>
      <c r="AF313" s="38"/>
      <c r="AG313" s="38"/>
      <c r="AH313" s="38"/>
      <c r="AI313" s="38"/>
      <c r="AJ313" s="38"/>
      <c r="AK313" s="38"/>
      <c r="AL313" s="38"/>
      <c r="AM313" s="38" t="s">
        <v>82</v>
      </c>
      <c r="AN313" s="38">
        <f>COUNTIF(AN5:AN310,"H")</f>
        <v>63</v>
      </c>
      <c r="AO313" s="38"/>
      <c r="AP313" s="42"/>
      <c r="AQ313" s="38"/>
      <c r="AR313" s="43"/>
      <c r="AS313" s="44"/>
      <c r="AT313" s="40"/>
      <c r="AU313" s="38"/>
      <c r="AV313" s="38"/>
      <c r="AW313" s="38"/>
      <c r="AX313" s="38"/>
      <c r="AY313" s="38"/>
      <c r="AZ313" s="38"/>
    </row>
    <row r="314" spans="1:52" ht="14.45">
      <c r="A314" s="38"/>
      <c r="B314" s="38"/>
      <c r="C314" s="38"/>
      <c r="D314" s="39"/>
      <c r="E314" s="38"/>
      <c r="F314" s="40"/>
      <c r="G314" s="38"/>
      <c r="H314" s="38"/>
      <c r="I314" s="39" t="s">
        <v>2709</v>
      </c>
      <c r="J314" s="14"/>
      <c r="K314" s="14"/>
      <c r="L314" s="39">
        <f t="shared" ref="L314:N314" si="94">L313*3</f>
        <v>405</v>
      </c>
      <c r="M314" s="39">
        <f t="shared" si="94"/>
        <v>195</v>
      </c>
      <c r="N314" s="39">
        <f t="shared" si="94"/>
        <v>129</v>
      </c>
      <c r="O314" s="40"/>
      <c r="P314" s="40">
        <f>COUNTIF(P4:P307,"W")</f>
        <v>93</v>
      </c>
      <c r="Q314" s="40"/>
      <c r="R314" s="40"/>
      <c r="S314" s="40"/>
      <c r="T314" s="40">
        <f>COUNTIFS(U4:U310,"B",$AT4:$AT310,"W")</f>
        <v>53</v>
      </c>
      <c r="U314" s="38" t="s">
        <v>2710</v>
      </c>
      <c r="V314" s="40"/>
      <c r="W314" s="45" t="s">
        <v>2711</v>
      </c>
      <c r="X314" s="53">
        <f>COUNTIFS(X4:X310,"&lt;&gt;",$AT4:$AT310,"L")</f>
        <v>22</v>
      </c>
      <c r="Y314" s="53">
        <f>COUNTIFS(Y4:Y310,"&lt;&gt;",$AT4:$AT310,"L")</f>
        <v>14</v>
      </c>
      <c r="Z314" s="53">
        <f>COUNTIFS(Z4:Z307,"&lt;&gt;",$AT4:$AT307,"L")</f>
        <v>5</v>
      </c>
      <c r="AA314" s="41"/>
      <c r="AB314" s="38"/>
      <c r="AC314" s="38"/>
      <c r="AD314" s="38"/>
      <c r="AE314" s="38"/>
      <c r="AF314" s="38"/>
      <c r="AG314" s="38"/>
      <c r="AH314" s="38"/>
      <c r="AI314" s="38"/>
      <c r="AJ314" s="38"/>
      <c r="AK314" s="38"/>
      <c r="AL314" s="38"/>
      <c r="AM314" s="38" t="s">
        <v>92</v>
      </c>
      <c r="AN314" s="38">
        <f>COUNTIF(AN6:AN311,"D")</f>
        <v>34</v>
      </c>
      <c r="AO314" s="38"/>
      <c r="AP314" s="42"/>
      <c r="AQ314" s="38"/>
      <c r="AR314" s="152">
        <f>SUM(AR71:AR307)</f>
        <v>-3653.7162000000776</v>
      </c>
      <c r="AS314" s="44"/>
      <c r="AT314" s="40"/>
      <c r="AU314" s="38"/>
      <c r="AV314" s="38"/>
      <c r="AW314" s="38"/>
      <c r="AX314" s="38"/>
      <c r="AY314" s="38"/>
      <c r="AZ314" s="38"/>
    </row>
    <row r="315" spans="1:52" ht="14.45">
      <c r="A315" s="38"/>
      <c r="B315" s="38"/>
      <c r="C315" s="38"/>
      <c r="D315" s="39"/>
      <c r="E315" s="38"/>
      <c r="F315" s="40"/>
      <c r="G315" s="38"/>
      <c r="H315" s="38"/>
      <c r="I315" s="39" t="s">
        <v>1658</v>
      </c>
      <c r="J315" s="14"/>
      <c r="K315" s="14"/>
      <c r="L315" s="38">
        <f>COUNTIFS($AT4:$AT310,"W",L4:L310,1)+COUNTIFS($AT4:$AT310,"W",L4:L310,2)+COUNTIFS($AT4:$AT310,"W",L4:L310,3)</f>
        <v>72</v>
      </c>
      <c r="M315" s="38">
        <f>COUNTIFS($AT4:$AT310,"W",M4:M310,1)+COUNTIFS($AT4:$AT310,"W",M4:M310,2)+COUNTIFS($AT4:$AT310,"W",M4:M310,3)</f>
        <v>19</v>
      </c>
      <c r="N315" s="38">
        <f>COUNTIFS($AT4:$AT310,"W",N4:N310,1)+COUNTIFS($AT4:$AT310,"W",N4:N310,2)+COUNTIFS($AT4:$AT310,"W",N4:N310,3)</f>
        <v>18</v>
      </c>
      <c r="O315" s="40"/>
      <c r="P315" s="40">
        <f>COUNTIFS(P4:P307,"W",AT4:AT307,"W")</f>
        <v>35</v>
      </c>
      <c r="Q315" s="40"/>
      <c r="R315" s="40"/>
      <c r="S315" s="40"/>
      <c r="T315" s="40">
        <f>COUNTIFS(U4:U310,"S",$AT4:$AT310,"W")</f>
        <v>40</v>
      </c>
      <c r="U315" s="38" t="s">
        <v>2712</v>
      </c>
      <c r="V315" s="40"/>
      <c r="W315" s="45" t="s">
        <v>2713</v>
      </c>
      <c r="X315" s="57">
        <f>COUNTIFS(X4:X307,"&lt;&gt;",Y4:Y307,"&lt;&gt;")</f>
        <v>12</v>
      </c>
      <c r="Y315" s="57">
        <f>COUNTIFS(Y4:Y310,"&lt;&gt;",X4:X310,"&lt;&gt;",$AT4:$AT310,"W")</f>
        <v>3</v>
      </c>
      <c r="Z315" s="57">
        <f>COUNTIFS(X4:X307,"&lt;&gt;",Y4:Y307,"&lt;&gt;",$AT4:$AT307,"L")</f>
        <v>3</v>
      </c>
      <c r="AA315" s="53"/>
      <c r="AB315" s="38"/>
      <c r="AC315" s="38"/>
      <c r="AD315" s="38"/>
      <c r="AE315" s="38"/>
      <c r="AF315" s="38"/>
      <c r="AG315" s="38"/>
      <c r="AH315" s="38"/>
      <c r="AI315" s="38"/>
      <c r="AJ315" s="38"/>
      <c r="AK315" s="38"/>
      <c r="AL315" s="38"/>
      <c r="AM315" s="38" t="s">
        <v>72</v>
      </c>
      <c r="AN315" s="38">
        <f>COUNTIF(AN7:AN313,"W")</f>
        <v>8</v>
      </c>
      <c r="AO315" s="38"/>
      <c r="AP315" s="42"/>
      <c r="AQ315" s="38"/>
      <c r="AR315" s="43"/>
      <c r="AS315" s="44"/>
      <c r="AT315" s="40"/>
      <c r="AU315" s="38"/>
      <c r="AV315" s="38"/>
      <c r="AW315" s="38"/>
      <c r="AX315" s="38"/>
      <c r="AY315" s="38"/>
      <c r="AZ315" s="38"/>
    </row>
    <row r="316" spans="1:52" ht="14.45">
      <c r="A316" s="38"/>
      <c r="B316" s="38"/>
      <c r="C316" s="38"/>
      <c r="D316" s="39"/>
      <c r="E316" s="38"/>
      <c r="F316" s="40"/>
      <c r="G316" s="38"/>
      <c r="H316" s="38"/>
      <c r="I316" s="39" t="s">
        <v>2711</v>
      </c>
      <c r="J316" s="14"/>
      <c r="K316" s="14"/>
      <c r="L316" s="53">
        <f>COUNTIFS($AT4:$AT310,"L",L4:L310,1)+COUNTIFS($AT4:$AT310,"L",L4:L310,2)+COUNTIFS($AT4:$AT310,"L",L4:L310,3)</f>
        <v>19</v>
      </c>
      <c r="M316" s="53">
        <f>COUNTIFS($AT4:$AT310,"L",M4:M310,1)+COUNTIFS($AT4:$AT310,"L",M4:M310,2)+COUNTIFS($AT4:$AT310,"L",M4:M310,3)</f>
        <v>18</v>
      </c>
      <c r="N316" s="53">
        <f>COUNTIFS($AT4:$AT310,"L",N4:N310,1)+COUNTIFS($AT4:$AT310,"L",N4:N310,2)+COUNTIFS($AT4:$AT310,"L",N4:N310,3)</f>
        <v>9</v>
      </c>
      <c r="O316" s="40"/>
      <c r="P316" s="40">
        <f>COUNTIFS(P4:P307,"W",AT4:AT307,"L")</f>
        <v>24</v>
      </c>
      <c r="Q316" s="40"/>
      <c r="R316" s="40"/>
      <c r="S316" s="40"/>
      <c r="T316" s="40">
        <f>COUNTIFS(U4:U310,"B",$AT4:$AT310,"L")</f>
        <v>22</v>
      </c>
      <c r="U316" s="38" t="s">
        <v>2714</v>
      </c>
      <c r="V316" s="40"/>
      <c r="W316" s="45" t="s">
        <v>2715</v>
      </c>
      <c r="X316" s="57">
        <f>COUNTIFS(X4:X307,"&lt;&gt;",Z4:Z307,"&lt;&gt;")</f>
        <v>3</v>
      </c>
      <c r="Y316" s="57">
        <f>COUNTIFS(X4:X307,"&lt;&gt;",Z4:Z307,"&lt;&gt;",$AT4:$AT307,"W")</f>
        <v>1</v>
      </c>
      <c r="Z316" s="57">
        <f>COUNTIFS(X4:X307,"&lt;&gt;",Z4:Z307,"&lt;&gt;",$AT4:$AT307,"L")</f>
        <v>0</v>
      </c>
      <c r="AA316" s="41"/>
      <c r="AB316" s="38"/>
      <c r="AC316" s="38"/>
      <c r="AD316" s="38"/>
      <c r="AE316" s="38"/>
      <c r="AF316" s="38"/>
      <c r="AG316" s="38"/>
      <c r="AH316" s="38"/>
      <c r="AI316" s="38"/>
      <c r="AJ316" s="38"/>
      <c r="AK316" s="38"/>
      <c r="AL316" s="38"/>
      <c r="AM316" s="38" t="s">
        <v>1658</v>
      </c>
      <c r="AN316" s="38"/>
      <c r="AO316" s="38"/>
      <c r="AP316" s="42"/>
      <c r="AQ316" s="38"/>
      <c r="AR316" s="43"/>
      <c r="AS316" s="44"/>
      <c r="AT316" s="40"/>
      <c r="AU316" s="38"/>
      <c r="AV316" s="38"/>
      <c r="AW316" s="38"/>
      <c r="AX316" s="38"/>
      <c r="AY316" s="38"/>
      <c r="AZ316" s="38"/>
    </row>
    <row r="317" spans="1:52" ht="14.45">
      <c r="I317" s="38" t="s">
        <v>2716</v>
      </c>
      <c r="J317" s="14"/>
      <c r="K317" s="14"/>
      <c r="L317" s="39">
        <f>SUMIFS(L4:L310,$AT4:$AT310,"W")</f>
        <v>98</v>
      </c>
      <c r="M317" s="39">
        <f>SUMIFS(M4:M310,$AT4:$AT310,"W")</f>
        <v>28</v>
      </c>
      <c r="N317" s="39">
        <f>SUMIFS(N4:N310,$AT4:$AT310,"W")</f>
        <v>20</v>
      </c>
      <c r="O317" s="40"/>
      <c r="P317" s="49">
        <f>COUNTIF(P4:P307,"R")</f>
        <v>102</v>
      </c>
      <c r="Q317" s="40"/>
      <c r="R317" s="40"/>
      <c r="S317" s="40"/>
      <c r="T317" s="40">
        <f>COUNTIFS(U4:U310,"S",$AT4:$AT310,"L")</f>
        <v>19</v>
      </c>
      <c r="U317" s="38" t="s">
        <v>2717</v>
      </c>
      <c r="V317" s="40"/>
      <c r="W317" s="45" t="s">
        <v>2718</v>
      </c>
      <c r="X317" s="57">
        <f>COUNTIFS(Z4:Z307,"&lt;&gt;",Y4:Y307,"&lt;&gt;")</f>
        <v>7</v>
      </c>
      <c r="Y317" s="57">
        <f>COUNTIFS(Z4:Z307,"&lt;&gt;",Y4:Y307,"&lt;&gt;",$AT4:$AT307,"W")</f>
        <v>5</v>
      </c>
      <c r="Z317" s="57">
        <f>COUNTIFS(Y4:Y307,"&lt;&gt;",Z4:Z307,"&lt;&gt;",$AT4:$AT307,"L")</f>
        <v>0</v>
      </c>
      <c r="AA317" s="41"/>
      <c r="AB317" s="38"/>
      <c r="AC317" s="38"/>
      <c r="AD317" s="38"/>
      <c r="AE317" s="38"/>
      <c r="AF317" s="38"/>
      <c r="AG317" s="38"/>
      <c r="AH317" s="38"/>
      <c r="AI317" s="38"/>
      <c r="AJ317" s="38"/>
      <c r="AK317" s="38"/>
      <c r="AL317" s="38"/>
      <c r="AM317" s="38" t="s">
        <v>371</v>
      </c>
      <c r="AN317" s="38">
        <f>COUNTIFS(AN4:AN307,"M",AT4:AT307,"W")</f>
        <v>12</v>
      </c>
      <c r="AO317" s="38"/>
      <c r="AP317" s="42"/>
      <c r="AQ317" s="38" t="s">
        <v>2719</v>
      </c>
      <c r="AR317" s="73">
        <f>SUM(AR173:AR307)</f>
        <v>3182.3454999999344</v>
      </c>
    </row>
    <row r="318" spans="1:52" ht="14.45">
      <c r="I318" s="38" t="s">
        <v>2720</v>
      </c>
      <c r="J318" s="14"/>
      <c r="K318" s="14"/>
      <c r="L318" s="53">
        <f>SUMIFS(L4:L310,$AT4:$AT310,"L")</f>
        <v>26</v>
      </c>
      <c r="M318" s="53">
        <f>SUMIFS(M4:M310,$AT4:$AT310,"L")</f>
        <v>38</v>
      </c>
      <c r="N318" s="53">
        <f>SUMIFS(N4:N310,$AT4:$AT310,"L")</f>
        <v>18</v>
      </c>
      <c r="O318" s="40"/>
      <c r="P318" s="40">
        <f>COUNTIFS(P4:P307,"R",AT4:AT307,"W")</f>
        <v>56</v>
      </c>
      <c r="Q318" s="40"/>
      <c r="R318" s="40"/>
      <c r="S318" s="40"/>
      <c r="T318" s="40"/>
      <c r="U318" s="40"/>
      <c r="V318" s="40"/>
      <c r="W318" s="45" t="s">
        <v>2721</v>
      </c>
      <c r="X318" s="57">
        <f>COUNTIFS(X4:X307,"&lt;&gt;",Y4:Y307,"&lt;&gt;",Z4:Z307,"&lt;&gt;")</f>
        <v>2</v>
      </c>
      <c r="Y318" s="57">
        <f>COUNTIFS(X4:X307,"&lt;&gt;",Y4:Y307,"&lt;&gt;",Z4:Z307,"&lt;&gt;", $AT4:$AT307,"W")</f>
        <v>1</v>
      </c>
      <c r="Z318" s="57">
        <f>COUNTIFS(X4:X307,"&lt;&gt;",Y4:Y307,"&lt;&gt;",Z4:Z307,"&lt;&gt;",$AT4:$AT307,"L")</f>
        <v>0</v>
      </c>
      <c r="AA318" s="41"/>
      <c r="AB318" s="38"/>
      <c r="AC318" s="38"/>
      <c r="AD318" s="38"/>
      <c r="AE318" s="38"/>
      <c r="AF318" s="38"/>
      <c r="AG318" s="38"/>
      <c r="AH318" s="38"/>
      <c r="AI318" s="38"/>
      <c r="AJ318" s="38"/>
      <c r="AK318" s="38"/>
      <c r="AL318" s="38"/>
      <c r="AM318" s="38" t="s">
        <v>82</v>
      </c>
      <c r="AN318" s="38">
        <f>COUNTIFS(AN5:AN310,"H",AT5:AT310,"W")</f>
        <v>40</v>
      </c>
      <c r="AO318" s="38"/>
      <c r="AP318" s="42"/>
      <c r="AQ318" s="38"/>
      <c r="AR318" s="43"/>
    </row>
    <row r="319" spans="1:52" ht="13.15">
      <c r="I319" s="38" t="s">
        <v>2722</v>
      </c>
      <c r="J319" s="14"/>
      <c r="K319" s="14"/>
      <c r="L319" s="39">
        <f t="shared" ref="L319:N319" si="95">L315*3</f>
        <v>216</v>
      </c>
      <c r="M319" s="39">
        <f t="shared" si="95"/>
        <v>57</v>
      </c>
      <c r="N319" s="39">
        <f t="shared" si="95"/>
        <v>54</v>
      </c>
      <c r="O319" s="40"/>
      <c r="P319" s="40">
        <f>COUNTIFS(P4:P307,"R",AT4:AT307,"L")</f>
        <v>11</v>
      </c>
      <c r="Q319" s="40"/>
      <c r="R319" s="40"/>
      <c r="S319" s="40"/>
      <c r="T319" s="40">
        <f>SUMIFS(AS4:AS307,AT4:AT307,"W",U4:U307,"B")</f>
        <v>3669.1605000000127</v>
      </c>
      <c r="U319" s="40" t="s">
        <v>2723</v>
      </c>
      <c r="V319" s="40"/>
      <c r="W319" s="40"/>
      <c r="X319" s="39"/>
      <c r="Y319" s="39"/>
      <c r="Z319" s="39"/>
      <c r="AA319" s="41"/>
      <c r="AB319" s="38"/>
      <c r="AC319" s="38"/>
      <c r="AD319" s="38"/>
      <c r="AE319" s="38"/>
      <c r="AF319" s="38"/>
      <c r="AG319" s="38"/>
      <c r="AH319" s="38"/>
      <c r="AI319" s="38"/>
      <c r="AJ319" s="38"/>
      <c r="AK319" s="38"/>
      <c r="AL319" s="38"/>
      <c r="AM319" s="38" t="s">
        <v>92</v>
      </c>
      <c r="AN319" s="38">
        <f>COUNTIFS(AN6:AN311,"D",AT6:AT311,"W")</f>
        <v>21</v>
      </c>
      <c r="AO319" s="38"/>
      <c r="AP319" s="42"/>
      <c r="AQ319" s="38"/>
      <c r="AR319" s="43"/>
    </row>
    <row r="320" spans="1:52" ht="14.45">
      <c r="I320" s="38" t="s">
        <v>2724</v>
      </c>
      <c r="J320" s="14"/>
      <c r="K320" s="14"/>
      <c r="L320" s="39">
        <f t="shared" ref="L320:N320" si="96">L316*3</f>
        <v>57</v>
      </c>
      <c r="M320" s="39">
        <f t="shared" si="96"/>
        <v>54</v>
      </c>
      <c r="N320" s="39">
        <f t="shared" si="96"/>
        <v>27</v>
      </c>
      <c r="O320" s="40"/>
      <c r="P320" s="49">
        <f>COUNTIF(P4:P307,"G")</f>
        <v>2</v>
      </c>
      <c r="Q320" s="40"/>
      <c r="R320" s="40"/>
      <c r="S320" s="40"/>
      <c r="T320" s="68">
        <f>SUMIFS(AS4:AS307,AT4:AT307,"L",U4:U307,"B")</f>
        <v>-1641.5500000000352</v>
      </c>
      <c r="U320" s="40" t="s">
        <v>2714</v>
      </c>
      <c r="V320" s="40"/>
      <c r="W320" s="40"/>
      <c r="X320" s="39"/>
      <c r="Y320" s="39"/>
      <c r="Z320" s="39"/>
      <c r="AA320" s="41"/>
      <c r="AB320" s="38"/>
      <c r="AC320" s="38"/>
      <c r="AD320" s="38"/>
      <c r="AE320" s="38"/>
      <c r="AF320" s="38"/>
      <c r="AG320" s="38"/>
      <c r="AH320" s="38"/>
      <c r="AI320" s="38"/>
      <c r="AJ320" s="38"/>
      <c r="AK320" s="38"/>
      <c r="AL320" s="38"/>
      <c r="AM320" s="38" t="s">
        <v>72</v>
      </c>
      <c r="AN320" s="38">
        <f>COUNTIFS(AN7:AN313,"W",AT7:AT313,"W")</f>
        <v>6</v>
      </c>
      <c r="AO320" s="38"/>
      <c r="AP320" s="42"/>
      <c r="AQ320" s="38"/>
      <c r="AR320" s="43"/>
    </row>
    <row r="321" spans="9:44" ht="13.15">
      <c r="I321" s="38"/>
      <c r="J321" s="14"/>
      <c r="K321" s="14"/>
      <c r="L321" s="38"/>
      <c r="M321" s="38"/>
      <c r="N321" s="38"/>
      <c r="O321" s="40"/>
      <c r="P321" s="40">
        <f>COUNTIFS(P4:P307,"G",AT4:AT307,"W")</f>
        <v>0</v>
      </c>
      <c r="Q321" s="40"/>
      <c r="R321" s="40"/>
      <c r="S321" s="40"/>
      <c r="T321" s="40"/>
      <c r="U321" s="40"/>
      <c r="V321" s="40"/>
      <c r="W321" s="40"/>
      <c r="X321" s="39"/>
      <c r="Y321" s="39"/>
      <c r="Z321" s="39"/>
      <c r="AA321" s="41"/>
      <c r="AB321" s="38"/>
      <c r="AC321" s="38"/>
      <c r="AD321" s="38"/>
      <c r="AE321" s="38"/>
      <c r="AF321" s="38"/>
      <c r="AG321" s="38"/>
      <c r="AH321" s="38"/>
      <c r="AI321" s="38"/>
      <c r="AJ321" s="38"/>
      <c r="AK321" s="38"/>
      <c r="AL321" s="38"/>
      <c r="AM321" s="38" t="s">
        <v>2711</v>
      </c>
      <c r="AN321" s="38"/>
      <c r="AO321" s="38"/>
      <c r="AP321" s="42"/>
      <c r="AQ321" s="38"/>
      <c r="AR321" s="43"/>
    </row>
    <row r="322" spans="9:44" ht="14.45">
      <c r="I322" s="38"/>
      <c r="J322" s="14"/>
      <c r="K322" s="14"/>
      <c r="L322" s="38"/>
      <c r="M322" s="38"/>
      <c r="N322" s="38"/>
      <c r="O322" s="40"/>
      <c r="P322" s="40">
        <f>COUNTIFS(P4:P307,"G",AT4:AT307,"L")</f>
        <v>2</v>
      </c>
      <c r="Q322" s="40"/>
      <c r="R322" s="40"/>
      <c r="S322" s="40"/>
      <c r="T322" s="68">
        <f>SUMIFS(AS4:AS307,AT4:AT307,"W",U4:U307,"S")</f>
        <v>1487.9499999999796</v>
      </c>
      <c r="U322" s="40" t="s">
        <v>2725</v>
      </c>
      <c r="V322" s="40"/>
      <c r="W322" s="40"/>
      <c r="X322" s="39"/>
      <c r="Y322" s="39"/>
      <c r="Z322" s="39"/>
      <c r="AA322" s="41"/>
      <c r="AB322" s="38"/>
      <c r="AC322" s="38"/>
      <c r="AD322" s="38"/>
      <c r="AE322" s="38"/>
      <c r="AF322" s="38"/>
      <c r="AG322" s="38"/>
      <c r="AH322" s="38"/>
      <c r="AI322" s="38"/>
      <c r="AJ322" s="38"/>
      <c r="AK322" s="38"/>
      <c r="AL322" s="38"/>
      <c r="AM322" s="38" t="s">
        <v>371</v>
      </c>
      <c r="AN322" s="57">
        <f>COUNTIFS(AN4:AN307,"M",AT4:AT307,"L")</f>
        <v>4</v>
      </c>
      <c r="AO322" s="38"/>
      <c r="AP322" s="42"/>
      <c r="AQ322" s="38"/>
      <c r="AR322" s="43"/>
    </row>
    <row r="323" spans="9:44" ht="14.45">
      <c r="I323" s="38"/>
      <c r="J323" s="14"/>
      <c r="K323" s="14"/>
      <c r="L323" s="38"/>
      <c r="M323" s="38"/>
      <c r="N323" s="38"/>
      <c r="O323" s="40"/>
      <c r="P323" s="40"/>
      <c r="Q323" s="40"/>
      <c r="R323" s="40"/>
      <c r="S323" s="40"/>
      <c r="T323" s="68">
        <f>SUMIFS(AS4:AS307,AT4:AT307,"L",U4:U307,"S")</f>
        <v>-1260.2794500000325</v>
      </c>
      <c r="U323" s="40" t="s">
        <v>2717</v>
      </c>
      <c r="V323" s="40"/>
      <c r="W323" s="40"/>
      <c r="X323" s="39"/>
      <c r="Y323" s="39"/>
      <c r="Z323" s="39"/>
      <c r="AA323" s="41"/>
      <c r="AB323" s="38"/>
      <c r="AC323" s="38"/>
      <c r="AD323" s="38"/>
      <c r="AE323" s="38"/>
      <c r="AF323" s="38"/>
      <c r="AG323" s="38"/>
      <c r="AH323" s="38"/>
      <c r="AI323" s="38"/>
      <c r="AJ323" s="38"/>
      <c r="AK323" s="38"/>
      <c r="AL323" s="38"/>
      <c r="AM323" s="38" t="s">
        <v>82</v>
      </c>
      <c r="AN323" s="57">
        <f>COUNTIFS(AN5:AN310,"H",AT5:AT310,"L")</f>
        <v>22</v>
      </c>
      <c r="AO323" s="38"/>
      <c r="AP323" s="42"/>
      <c r="AQ323" s="38"/>
      <c r="AR323" s="43"/>
    </row>
    <row r="324" spans="9:44" ht="14.45">
      <c r="I324" s="38" t="s">
        <v>2726</v>
      </c>
      <c r="J324" s="14"/>
      <c r="K324" s="14"/>
      <c r="L324" s="38"/>
      <c r="M324" s="38"/>
      <c r="N324" s="38"/>
      <c r="O324" s="40"/>
      <c r="P324" s="40"/>
      <c r="Q324" s="40"/>
      <c r="R324" s="40"/>
      <c r="S324" s="40"/>
      <c r="T324" s="40"/>
      <c r="U324" s="40"/>
      <c r="V324" s="40"/>
      <c r="W324" s="40" t="s">
        <v>2726</v>
      </c>
      <c r="X324" s="39">
        <f>SUMIFS(AS4:AS307,AT4:AT307,"W",X4:X307,"&lt;&gt;")</f>
        <v>3095.2349999999892</v>
      </c>
      <c r="Y324" s="57">
        <f>SUMIFS(AS4:AS307,AT4:AT307,"W",Y4:Y307,"&lt;&gt;")</f>
        <v>647.12499999998147</v>
      </c>
      <c r="Z324" s="57">
        <f>SUMIFS(AS4:AS307,AT4:AT307,"W",Z4:Z307,"&lt;&gt;")</f>
        <v>1872.6255000000037</v>
      </c>
      <c r="AA324" s="41"/>
      <c r="AB324" s="38"/>
      <c r="AC324" s="38"/>
      <c r="AD324" s="38"/>
      <c r="AE324" s="38"/>
      <c r="AF324" s="38"/>
      <c r="AG324" s="38"/>
      <c r="AH324" s="38"/>
      <c r="AI324" s="38"/>
      <c r="AJ324" s="38"/>
      <c r="AK324" s="38"/>
      <c r="AL324" s="38"/>
      <c r="AM324" s="38" t="s">
        <v>92</v>
      </c>
      <c r="AN324" s="57">
        <f>COUNTIFS(AN6:AN311,"D",AT6:AT311,"L")</f>
        <v>7</v>
      </c>
      <c r="AO324" s="38"/>
      <c r="AP324" s="42"/>
      <c r="AQ324" s="38"/>
      <c r="AR324" s="43"/>
    </row>
    <row r="325" spans="9:44" ht="14.45">
      <c r="I325" s="38" t="s">
        <v>114</v>
      </c>
      <c r="J325" s="14"/>
      <c r="K325" s="14"/>
      <c r="L325" s="38">
        <f>SUMIFS(AS4:AS307,AT4:AT307,"W",L4:L307,"&lt;&gt;")</f>
        <v>3907.2555000000352</v>
      </c>
      <c r="M325" s="38"/>
      <c r="N325" s="38"/>
      <c r="O325" s="49"/>
      <c r="P325" s="49" t="s">
        <v>661</v>
      </c>
      <c r="Q325" s="49">
        <f>COUNTIF(Q4:Q307,"O")</f>
        <v>65</v>
      </c>
      <c r="R325" s="49"/>
      <c r="S325" s="40"/>
      <c r="T325" s="40"/>
      <c r="U325" s="40"/>
      <c r="V325" s="40"/>
      <c r="W325" s="40" t="s">
        <v>2711</v>
      </c>
      <c r="X325" s="57">
        <f>SUMIFS(AS4:AS307,AT4:AT307,"L",X4:X307,"&lt;&gt;")</f>
        <v>-1865.3494500000174</v>
      </c>
      <c r="Y325" s="57">
        <f>SUMIFS(AS4:AS307,AT4:AT307,"L",Y4:Y307,"&lt;&gt;")</f>
        <v>-1171.8944500000143</v>
      </c>
      <c r="Z325" s="57">
        <f>SUMIFS(AS4:AS307,AT4:AT307,"L",Z4:Z307,"&lt;&gt;")</f>
        <v>-124.87500000000853</v>
      </c>
      <c r="AA325" s="41"/>
      <c r="AB325" s="38"/>
      <c r="AC325" s="38"/>
      <c r="AD325" s="38"/>
      <c r="AE325" s="38"/>
      <c r="AF325" s="38"/>
      <c r="AG325" s="38"/>
      <c r="AH325" s="38"/>
      <c r="AI325" s="38"/>
      <c r="AJ325" s="38"/>
      <c r="AK325" s="38"/>
      <c r="AL325" s="38"/>
      <c r="AM325" s="38" t="s">
        <v>72</v>
      </c>
      <c r="AN325" s="57">
        <f>COUNTIFS(AN7:AN313,"W",AT7:AT313,"L")</f>
        <v>1</v>
      </c>
      <c r="AO325" s="38"/>
      <c r="AP325" s="42"/>
      <c r="AQ325" s="38"/>
      <c r="AR325" s="43"/>
    </row>
    <row r="326" spans="9:44" ht="13.15">
      <c r="I326" s="38" t="s">
        <v>2727</v>
      </c>
      <c r="J326" s="14"/>
      <c r="K326" s="14"/>
      <c r="L326" s="38">
        <f>SUMIFS(AS4:AS307,AT4:AT307,"W",M4:M307,"&lt;&gt;")</f>
        <v>993.50550000000089</v>
      </c>
      <c r="M326" s="38"/>
      <c r="N326" s="38"/>
      <c r="O326" s="49"/>
      <c r="P326" s="49" t="s">
        <v>2728</v>
      </c>
      <c r="Q326" s="49">
        <f>COUNTIFS(Q4:Q307,"O",AT4:AT307,"W")</f>
        <v>32</v>
      </c>
      <c r="R326" s="49">
        <f>SUMIFS(AS4:AS307,AT4:AT307,"W",Q4:Q307,"O")</f>
        <v>3145.1849999999845</v>
      </c>
      <c r="S326" s="40"/>
      <c r="T326" s="40"/>
      <c r="U326" s="40"/>
      <c r="V326" s="40"/>
      <c r="W326" s="40"/>
      <c r="X326" s="39"/>
      <c r="Y326" s="39"/>
      <c r="Z326" s="39"/>
      <c r="AA326" s="41"/>
      <c r="AB326" s="38"/>
      <c r="AC326" s="38"/>
      <c r="AD326" s="38"/>
      <c r="AE326" s="38"/>
      <c r="AF326" s="38"/>
      <c r="AG326" s="38"/>
      <c r="AH326" s="38"/>
      <c r="AI326" s="38"/>
      <c r="AJ326" s="38"/>
      <c r="AK326" s="38"/>
      <c r="AL326" s="38"/>
      <c r="AM326" s="38"/>
      <c r="AN326" s="38"/>
      <c r="AO326" s="38"/>
      <c r="AP326" s="42"/>
      <c r="AQ326" s="38"/>
      <c r="AR326" s="43"/>
    </row>
    <row r="327" spans="9:44" ht="14.45">
      <c r="I327" s="38" t="s">
        <v>73</v>
      </c>
      <c r="J327" s="14"/>
      <c r="K327" s="14"/>
      <c r="L327" s="57">
        <f>SUMIFS(AS4:AS307,AT4:AT307,"W",N4:N307,"&lt;&gt;")</f>
        <v>857.47499999998456</v>
      </c>
      <c r="M327" s="38"/>
      <c r="N327" s="38"/>
      <c r="O327" s="49"/>
      <c r="P327" s="49" t="s">
        <v>2729</v>
      </c>
      <c r="Q327" s="49">
        <f>COUNTIFS(Q4:Q307,"O",AT4:AT307,"L")</f>
        <v>31</v>
      </c>
      <c r="R327" s="49">
        <f>SUMIFS(AS4:AS307,AT4:AT307,"L",Q4:Q307,"O")</f>
        <v>-2505.0100000000707</v>
      </c>
      <c r="S327" s="40"/>
      <c r="T327" s="40"/>
      <c r="U327" s="40"/>
      <c r="V327" s="40"/>
      <c r="W327" s="40"/>
      <c r="X327" s="39"/>
      <c r="Y327" s="39"/>
      <c r="Z327" s="39"/>
      <c r="AA327" s="41"/>
      <c r="AB327" s="38"/>
      <c r="AC327" s="38"/>
      <c r="AD327" s="38"/>
      <c r="AE327" s="38"/>
      <c r="AF327" s="38"/>
      <c r="AG327" s="38"/>
      <c r="AH327" s="38"/>
      <c r="AI327" s="38"/>
      <c r="AJ327" s="38"/>
      <c r="AK327" s="38"/>
      <c r="AL327" s="38"/>
      <c r="AM327" s="38" t="s">
        <v>2726</v>
      </c>
      <c r="AN327" s="38"/>
      <c r="AO327" s="38"/>
      <c r="AP327" s="42"/>
      <c r="AQ327" s="38"/>
      <c r="AR327" s="43"/>
    </row>
    <row r="328" spans="9:44" ht="13.15">
      <c r="I328" s="38"/>
      <c r="J328" s="14"/>
      <c r="K328" s="14"/>
      <c r="L328" s="38"/>
      <c r="M328" s="38"/>
      <c r="N328" s="38"/>
      <c r="O328" s="49"/>
      <c r="P328" s="78"/>
      <c r="Q328" s="49"/>
      <c r="R328" s="49"/>
      <c r="S328" s="40"/>
      <c r="T328" s="40"/>
      <c r="U328" s="40"/>
      <c r="V328" s="40"/>
      <c r="W328" s="40"/>
      <c r="X328" s="39"/>
      <c r="Y328" s="39"/>
      <c r="Z328" s="39"/>
      <c r="AA328" s="41"/>
      <c r="AB328" s="38"/>
      <c r="AC328" s="38"/>
      <c r="AD328" s="38"/>
      <c r="AE328" s="38"/>
      <c r="AF328" s="38"/>
      <c r="AG328" s="38"/>
      <c r="AH328" s="38"/>
      <c r="AI328" s="38"/>
      <c r="AJ328" s="38"/>
      <c r="AK328" s="38"/>
      <c r="AL328" s="38"/>
      <c r="AM328" s="38" t="s">
        <v>371</v>
      </c>
      <c r="AN328" s="38">
        <f>SUMIFS(AS4:AS307,AT4:AT307,"W",AN4:AN307,"M")</f>
        <v>264.73500000003173</v>
      </c>
      <c r="AO328" s="38"/>
      <c r="AP328" s="42"/>
      <c r="AQ328" s="38"/>
      <c r="AR328" s="43"/>
    </row>
    <row r="329" spans="9:44" ht="13.15">
      <c r="I329" s="38" t="s">
        <v>2711</v>
      </c>
      <c r="J329" s="14"/>
      <c r="K329" s="14"/>
      <c r="L329" s="38"/>
      <c r="M329" s="38"/>
      <c r="N329" s="38"/>
      <c r="O329" s="49"/>
      <c r="P329" s="49" t="s">
        <v>73</v>
      </c>
      <c r="Q329" s="49">
        <f>COUNTIFS(Q4:Q307,"S")</f>
        <v>62</v>
      </c>
      <c r="R329" s="49"/>
      <c r="S329" s="40"/>
      <c r="T329" s="40"/>
      <c r="U329" s="40"/>
      <c r="V329" s="40"/>
      <c r="W329" s="40"/>
      <c r="X329" s="39"/>
      <c r="Y329" s="39"/>
      <c r="Z329" s="39"/>
      <c r="AA329" s="41"/>
      <c r="AB329" s="38"/>
      <c r="AC329" s="38"/>
      <c r="AD329" s="38"/>
      <c r="AE329" s="38"/>
      <c r="AF329" s="38"/>
      <c r="AG329" s="38"/>
      <c r="AH329" s="38"/>
      <c r="AI329" s="38"/>
      <c r="AJ329" s="38"/>
      <c r="AK329" s="38"/>
      <c r="AL329" s="38"/>
      <c r="AM329" s="38" t="s">
        <v>82</v>
      </c>
      <c r="AN329" s="38">
        <f>SUMIFS(AS4:AS307,AT4:AT307,"W",AN4:AN307,"H")</f>
        <v>1022.3099999999865</v>
      </c>
      <c r="AO329" s="38"/>
      <c r="AP329" s="42"/>
      <c r="AQ329" s="38"/>
      <c r="AR329" s="43"/>
    </row>
    <row r="330" spans="9:44" ht="16.149999999999999">
      <c r="I330" s="38" t="s">
        <v>2727</v>
      </c>
      <c r="J330" s="14"/>
      <c r="K330" s="14"/>
      <c r="L330" s="38">
        <f>SUMIFS(AS4:AS307,AT4:AT307,"L",L4:L307,"&lt;&gt;")</f>
        <v>-1462.0849999999916</v>
      </c>
      <c r="M330" s="38"/>
      <c r="N330" s="38"/>
      <c r="O330" s="49"/>
      <c r="P330" s="49" t="s">
        <v>2730</v>
      </c>
      <c r="Q330" s="49">
        <f>COUNTIFS(Q4:Q307,"S",AT4:AT307,"W")</f>
        <v>42</v>
      </c>
      <c r="R330" s="79">
        <f>SUMIFS(AS4:AS307,AT4:AT307,"W",Q4:Q307,"S")</f>
        <v>759.24000000000808</v>
      </c>
      <c r="S330" s="40"/>
      <c r="T330" s="40"/>
      <c r="U330" s="40"/>
      <c r="V330" s="40"/>
      <c r="W330" s="40"/>
      <c r="X330" s="39"/>
      <c r="Y330" s="39"/>
      <c r="Z330" s="39"/>
      <c r="AA330" s="41"/>
      <c r="AB330" s="38"/>
      <c r="AC330" s="38"/>
      <c r="AD330" s="38"/>
      <c r="AE330" s="38"/>
      <c r="AF330" s="38"/>
      <c r="AG330" s="38"/>
      <c r="AH330" s="38"/>
      <c r="AI330" s="38"/>
      <c r="AJ330" s="38"/>
      <c r="AK330" s="38"/>
      <c r="AL330" s="38"/>
      <c r="AM330" s="38" t="s">
        <v>92</v>
      </c>
      <c r="AN330" s="38">
        <f>SUMIFS(AS4:AS307,AT4:AT307,"W",AN4:AN307,"D")</f>
        <v>2505.3255000000217</v>
      </c>
      <c r="AO330" s="38"/>
      <c r="AP330" s="42"/>
      <c r="AQ330" s="38"/>
      <c r="AR330" s="43"/>
    </row>
    <row r="331" spans="9:44" ht="14.45">
      <c r="I331" s="38" t="s">
        <v>114</v>
      </c>
      <c r="J331" s="14"/>
      <c r="K331" s="14"/>
      <c r="L331" s="57">
        <f>SUMIFS(AS4:AS307,AT4:AT307,"L",M4:M307,"&lt;&gt;")</f>
        <v>-1481.5844500000494</v>
      </c>
      <c r="M331" s="38"/>
      <c r="N331" s="38"/>
      <c r="O331" s="49"/>
      <c r="P331" s="49" t="s">
        <v>2731</v>
      </c>
      <c r="Q331" s="49">
        <f>COUNTIFS(Q4:Q307,"S",AT4:AT307,"L")</f>
        <v>9</v>
      </c>
      <c r="R331" s="49">
        <f>SUMIFS(AS4:AS307,AT4:AT307,"L",Q4:Q307,"S")</f>
        <v>-380.16944999998771</v>
      </c>
      <c r="S331" s="40"/>
      <c r="T331" s="40"/>
      <c r="U331" s="40"/>
      <c r="V331" s="40"/>
      <c r="W331" s="40"/>
      <c r="X331" s="39"/>
      <c r="Y331" s="39"/>
      <c r="Z331" s="39"/>
      <c r="AA331" s="41"/>
      <c r="AB331" s="38"/>
      <c r="AC331" s="38"/>
      <c r="AD331" s="38"/>
      <c r="AE331" s="38"/>
      <c r="AF331" s="38"/>
      <c r="AG331" s="38"/>
      <c r="AH331" s="38"/>
      <c r="AI331" s="38"/>
      <c r="AJ331" s="38"/>
      <c r="AK331" s="38"/>
      <c r="AL331" s="38"/>
      <c r="AM331" s="38" t="s">
        <v>72</v>
      </c>
      <c r="AN331" s="38">
        <f>SUMIFS(AS4:AS307,AT4:AT307,"W",AN4:AN307,"W")</f>
        <v>484.51499999999993</v>
      </c>
      <c r="AO331" s="38"/>
      <c r="AP331" s="42"/>
      <c r="AQ331" s="38"/>
      <c r="AR331" s="43"/>
    </row>
    <row r="332" spans="9:44" ht="14.45">
      <c r="I332" s="38" t="s">
        <v>73</v>
      </c>
      <c r="J332" s="14"/>
      <c r="K332" s="14"/>
      <c r="L332" s="57">
        <f>SUMIFS(AS4:AS307,AT4:AT307,"L",N4:N307,"&lt;&gt;")</f>
        <v>-646.56944999997154</v>
      </c>
      <c r="M332" s="38"/>
      <c r="N332" s="38"/>
      <c r="O332" s="49"/>
      <c r="P332" s="78"/>
      <c r="Q332" s="49"/>
      <c r="R332" s="49"/>
      <c r="S332" s="40"/>
      <c r="T332" s="40"/>
      <c r="U332" s="40"/>
      <c r="V332" s="40"/>
      <c r="W332" s="40"/>
      <c r="X332" s="39"/>
      <c r="Y332" s="39"/>
      <c r="Z332" s="39"/>
      <c r="AA332" s="41"/>
      <c r="AB332" s="38"/>
      <c r="AC332" s="38"/>
      <c r="AD332" s="38"/>
      <c r="AE332" s="38"/>
      <c r="AF332" s="38"/>
      <c r="AG332" s="38"/>
      <c r="AH332" s="38"/>
      <c r="AI332" s="38"/>
      <c r="AJ332" s="38"/>
      <c r="AK332" s="38"/>
      <c r="AL332" s="38"/>
      <c r="AM332" s="38" t="s">
        <v>2711</v>
      </c>
      <c r="AN332" s="38"/>
      <c r="AO332" s="38"/>
      <c r="AP332" s="42"/>
      <c r="AQ332" s="38"/>
      <c r="AR332" s="43"/>
    </row>
    <row r="333" spans="9:44" ht="14.45">
      <c r="P333" s="49" t="s">
        <v>233</v>
      </c>
      <c r="Q333" s="49">
        <f>COUNTIFS(Q4:Q307,"F")</f>
        <v>32</v>
      </c>
      <c r="R333" s="49"/>
      <c r="S333" s="40"/>
      <c r="T333" s="40"/>
      <c r="U333" s="40"/>
      <c r="V333" s="40"/>
      <c r="W333" s="40"/>
      <c r="X333" s="39"/>
      <c r="Y333" s="39"/>
      <c r="Z333" s="39"/>
      <c r="AA333" s="41"/>
      <c r="AB333" s="38"/>
      <c r="AC333" s="38"/>
      <c r="AD333" s="38"/>
      <c r="AE333" s="38"/>
      <c r="AF333" s="38"/>
      <c r="AG333" s="38"/>
      <c r="AH333" s="38"/>
      <c r="AI333" s="38"/>
      <c r="AJ333" s="38"/>
      <c r="AK333" s="38"/>
      <c r="AL333" s="38"/>
      <c r="AM333" s="38" t="s">
        <v>371</v>
      </c>
      <c r="AN333" s="57">
        <f>SUMIFS(AS4:AS307,AT4:AT307,"L",AN4:AN307,"M")</f>
        <v>-322.47500000000309</v>
      </c>
    </row>
    <row r="334" spans="9:44" ht="16.149999999999999">
      <c r="P334" s="49" t="s">
        <v>2732</v>
      </c>
      <c r="Q334" s="49">
        <f>COUNTIFS(Q4:Q307,"F",AT4:AT307,"W")</f>
        <v>17</v>
      </c>
      <c r="R334" s="79">
        <f>SUMIFS(AS4:AS307,AT4:AT307,"W",Q4:Q307,"F")</f>
        <v>1080.0855000000086</v>
      </c>
      <c r="S334" s="40"/>
      <c r="T334" s="40"/>
      <c r="U334" s="80"/>
      <c r="V334" s="80"/>
      <c r="W334" s="80"/>
      <c r="X334" s="37"/>
      <c r="Y334" s="37"/>
      <c r="Z334" s="37"/>
      <c r="AA334" s="81"/>
      <c r="AB334" s="62"/>
      <c r="AC334" s="62"/>
      <c r="AD334" s="62"/>
      <c r="AE334" s="62"/>
      <c r="AF334" s="62"/>
      <c r="AG334" s="62"/>
      <c r="AH334" s="62"/>
      <c r="AI334" s="62"/>
      <c r="AJ334" s="62"/>
      <c r="AK334" s="62"/>
      <c r="AL334" s="38"/>
      <c r="AM334" s="38" t="s">
        <v>82</v>
      </c>
      <c r="AN334" s="57">
        <f>SUMIFS(AS4:AS307,AT4:AT307,"L",AN4:AN307,"H")</f>
        <v>-1262.4794500000689</v>
      </c>
    </row>
    <row r="335" spans="9:44" ht="14.45">
      <c r="P335" s="49" t="s">
        <v>2733</v>
      </c>
      <c r="Q335" s="49">
        <f>COUNTIFS(Q4:Q307,"F",AT4:AT307,"L")</f>
        <v>1</v>
      </c>
      <c r="R335" s="40">
        <f>SUMIFS(AS4:AS307,AT4:AT307,"L",Q4:Q307,"F")</f>
        <v>-16.650000000008514</v>
      </c>
      <c r="S335" s="40"/>
      <c r="T335" s="40"/>
      <c r="U335" s="80"/>
      <c r="V335" s="80"/>
      <c r="W335" s="80"/>
      <c r="X335" s="37"/>
      <c r="Y335" s="37"/>
      <c r="Z335" s="37"/>
      <c r="AA335" s="81"/>
      <c r="AB335" s="62"/>
      <c r="AC335" s="62"/>
      <c r="AD335" s="62"/>
      <c r="AE335" s="62"/>
      <c r="AF335" s="62"/>
      <c r="AG335" s="62"/>
      <c r="AH335" s="62"/>
      <c r="AI335" s="62"/>
      <c r="AJ335" s="62"/>
      <c r="AK335" s="62"/>
      <c r="AL335" s="38"/>
      <c r="AM335" s="38" t="s">
        <v>92</v>
      </c>
      <c r="AN335" s="57">
        <f>SUMIFS(AS4:AS307,AT4:AT307,"L",AN4:AN307,"D")</f>
        <v>-859.00000000001364</v>
      </c>
    </row>
    <row r="336" spans="9:44" ht="14.45">
      <c r="P336" s="40"/>
      <c r="Q336" s="40"/>
      <c r="R336" s="40"/>
      <c r="S336" s="40"/>
      <c r="T336" s="40"/>
      <c r="U336" s="80"/>
      <c r="V336" s="80"/>
      <c r="W336" s="80"/>
      <c r="X336" s="37"/>
      <c r="Y336" s="37"/>
      <c r="Z336" s="37"/>
      <c r="AA336" s="81"/>
      <c r="AB336" s="62"/>
      <c r="AC336" s="62"/>
      <c r="AD336" s="62"/>
      <c r="AE336" s="62"/>
      <c r="AF336" s="62"/>
      <c r="AG336" s="62"/>
      <c r="AH336" s="62"/>
      <c r="AI336" s="62"/>
      <c r="AJ336" s="62"/>
      <c r="AK336" s="62"/>
      <c r="AL336" s="38"/>
      <c r="AM336" s="38" t="s">
        <v>72</v>
      </c>
      <c r="AN336" s="57">
        <f>SUMIFS(AS4:AS307,AT4:AT307,"L",AN4:AN307,"W")</f>
        <v>-83.250000000018915</v>
      </c>
    </row>
  </sheetData>
  <autoFilter ref="A2:AZ307" xr:uid="{00000000-0009-0000-0000-000001000000}"/>
  <mergeCells count="9">
    <mergeCell ref="A1:E1"/>
    <mergeCell ref="AU1:AW1"/>
    <mergeCell ref="AX1:AZ1"/>
    <mergeCell ref="G1:I1"/>
    <mergeCell ref="L1:N1"/>
    <mergeCell ref="O1:W1"/>
    <mergeCell ref="X1:Z1"/>
    <mergeCell ref="AA1:AP1"/>
    <mergeCell ref="AQ1:AT1"/>
  </mergeCells>
  <conditionalFormatting sqref="A3:AT295 A296:AZ309 AU3:AU292 AV3:AZ295 AU294:AU295">
    <cfRule type="expression" dxfId="141" priority="12">
      <formula>$AT3="L"</formula>
    </cfRule>
  </conditionalFormatting>
  <conditionalFormatting sqref="A241:AZ242">
    <cfRule type="expression" dxfId="140" priority="16">
      <formula>$AT241="W"</formula>
    </cfRule>
  </conditionalFormatting>
  <conditionalFormatting sqref="B291:D292">
    <cfRule type="expression" dxfId="139" priority="3">
      <formula>$AS291="W"</formula>
    </cfRule>
    <cfRule type="expression" dxfId="138" priority="4">
      <formula>$AS291="L"</formula>
    </cfRule>
  </conditionalFormatting>
  <conditionalFormatting sqref="B282:BD283 AY265 A282:A290">
    <cfRule type="expression" dxfId="137" priority="9">
      <formula>$AU265="W"</formula>
    </cfRule>
  </conditionalFormatting>
  <conditionalFormatting sqref="G3:I295 J46:L46 J107:K107 J110:L110 J216:K216 J254:K254 J264:K264 J278:K278 J294:K294 G296:K296 G297:I305 G306:K306 G307:I309 G310:H1309 I321:I1309">
    <cfRule type="cellIs" dxfId="136" priority="17" operator="equal">
      <formula>1</formula>
    </cfRule>
  </conditionalFormatting>
  <conditionalFormatting sqref="J279:J309">
    <cfRule type="containsText" dxfId="135" priority="11" operator="containsText" text="H">
      <formula>NOT(ISERROR(SEARCH(("H"),(J279))))</formula>
    </cfRule>
    <cfRule type="containsText" dxfId="134" priority="28" operator="containsText" text="D">
      <formula>NOT(ISERROR(SEARCH(("D"),(J279))))</formula>
    </cfRule>
  </conditionalFormatting>
  <conditionalFormatting sqref="J3:K124 D245">
    <cfRule type="expression" dxfId="133" priority="14">
      <formula>$AT3="W"</formula>
    </cfRule>
    <cfRule type="expression" dxfId="132" priority="15">
      <formula>$AT3="L"</formula>
    </cfRule>
  </conditionalFormatting>
  <conditionalFormatting sqref="J9:K9">
    <cfRule type="expression" dxfId="131" priority="5">
      <formula>$AW9="W"</formula>
    </cfRule>
    <cfRule type="expression" dxfId="130" priority="6">
      <formula>$AW9="L"</formula>
    </cfRule>
  </conditionalFormatting>
  <conditionalFormatting sqref="K4:K124">
    <cfRule type="containsText" dxfId="129" priority="7" operator="containsText" text="A">
      <formula>NOT(ISERROR(SEARCH(("A"),(K4))))</formula>
    </cfRule>
  </conditionalFormatting>
  <conditionalFormatting sqref="Q3:R309">
    <cfRule type="cellIs" dxfId="128" priority="20" operator="greaterThanOrEqual">
      <formula>6</formula>
    </cfRule>
  </conditionalFormatting>
  <conditionalFormatting sqref="S282:T283">
    <cfRule type="cellIs" dxfId="127" priority="8" operator="greaterThanOrEqual">
      <formula>7</formula>
    </cfRule>
  </conditionalFormatting>
  <conditionalFormatting sqref="T3:T309 U282:U283">
    <cfRule type="cellIs" dxfId="126" priority="23" operator="greaterThan">
      <formula>3</formula>
    </cfRule>
  </conditionalFormatting>
  <conditionalFormatting sqref="U3:U310 V282:V283 U318:U1309">
    <cfRule type="cellIs" dxfId="125" priority="24" operator="equal">
      <formula>"B"</formula>
    </cfRule>
    <cfRule type="cellIs" dxfId="124" priority="25" operator="equal">
      <formula>"S"</formula>
    </cfRule>
  </conditionalFormatting>
  <conditionalFormatting sqref="AI3:AI309 AJ282:AJ283">
    <cfRule type="cellIs" dxfId="123" priority="21" operator="lessThanOrEqual">
      <formula>-50</formula>
    </cfRule>
  </conditionalFormatting>
  <conditionalFormatting sqref="AJ3:AJ309 AK282:AK283">
    <cfRule type="cellIs" dxfId="122" priority="22" operator="lessThanOrEqual">
      <formula>-66</formula>
    </cfRule>
  </conditionalFormatting>
  <conditionalFormatting sqref="AR3:AR309 AS282:AS283 AR310:AS310">
    <cfRule type="cellIs" dxfId="121" priority="26" operator="greaterThan">
      <formula>0</formula>
    </cfRule>
    <cfRule type="cellIs" dxfId="120" priority="27" operator="lessThan">
      <formula>0</formula>
    </cfRule>
  </conditionalFormatting>
  <conditionalFormatting sqref="AT3:AT1309 AU282:AU283">
    <cfRule type="cellIs" dxfId="119" priority="18" operator="equal">
      <formula>"W"</formula>
    </cfRule>
    <cfRule type="cellIs" dxfId="118" priority="19" operator="equal">
      <formula>"L"</formula>
    </cfRule>
  </conditionalFormatting>
  <conditionalFormatting sqref="AU3:AU292 A3:AT295 AV3:AZ295 AU294:AU295 A296:AZ309">
    <cfRule type="expression" dxfId="117" priority="13">
      <formula>$AT3="W"</formula>
    </cfRule>
  </conditionalFormatting>
  <conditionalFormatting sqref="AU293:AW293">
    <cfRule type="expression" dxfId="116" priority="1">
      <formula>#REF!="W"</formula>
    </cfRule>
    <cfRule type="expression" dxfId="115" priority="2">
      <formula>#REF!="L"</formula>
    </cfRule>
  </conditionalFormatting>
  <conditionalFormatting sqref="AY265 B282:BD283 A282:A290">
    <cfRule type="expression" dxfId="114" priority="10">
      <formula>$AU265="L"</formula>
    </cfRule>
  </conditionalFormatting>
  <dataValidations count="9">
    <dataValidation type="list" allowBlank="1" sqref="Q3:Q281 R282:R283 Q284:Q309" xr:uid="{00000000-0002-0000-0100-000000000000}">
      <formula1>"O,S,F"</formula1>
    </dataValidation>
    <dataValidation type="list" allowBlank="1" sqref="J4:K13 J15:K45 J47:K106 J108:K109 J111:K124 J279:J293 J295 J297:J305 J307:J309" xr:uid="{00000000-0002-0000-0100-000001000000}">
      <formula1>"D,H"</formula1>
    </dataValidation>
    <dataValidation type="list" allowBlank="1" sqref="U3:U281 U284:U309" xr:uid="{00000000-0002-0000-0100-000002000000}">
      <formula1>"B,S"</formula1>
    </dataValidation>
    <dataValidation type="list" allowBlank="1" sqref="P3:P281 Q282:Q283 P284:P309" xr:uid="{00000000-0002-0000-0100-000003000000}">
      <formula1>"W,R,G"</formula1>
    </dataValidation>
    <dataValidation type="list" allowBlank="1" sqref="AN4:AN281 AO282:AO283 AN284:AN309" xr:uid="{00000000-0002-0000-0100-000004000000}">
      <formula1>"M,H,D,W"</formula1>
    </dataValidation>
    <dataValidation type="list" allowBlank="1" sqref="AT3" xr:uid="{00000000-0002-0000-0100-000005000000}">
      <formula1>"W,L"</formula1>
    </dataValidation>
    <dataValidation type="list" allowBlank="1" sqref="K279:K293 K295 K297:K305 K307:K309" xr:uid="{00000000-0002-0000-0100-000006000000}">
      <formula1>"A,B"</formula1>
    </dataValidation>
    <dataValidation type="list" allowBlank="1" sqref="O3:O281 P282:P283 O284:O309" xr:uid="{00000000-0002-0000-0100-000007000000}">
      <formula1>"IB,IR"</formula1>
    </dataValidation>
    <dataValidation type="list" allowBlank="1" sqref="AT4:AT281 AU282:AU283 AT284:AT309" xr:uid="{00000000-0002-0000-0100-000008000000}">
      <formula1>"W,L,D"</formula1>
    </dataValidation>
  </dataValidations>
  <hyperlinks>
    <hyperlink ref="D63" r:id="rId1" xr:uid="{00000000-0004-0000-0100-000000000000}"/>
    <hyperlink ref="D64" r:id="rId2" xr:uid="{00000000-0004-0000-0100-000001000000}"/>
    <hyperlink ref="D92" r:id="rId3" xr:uid="{00000000-0004-0000-0100-000002000000}"/>
    <hyperlink ref="D93" r:id="rId4" xr:uid="{00000000-0004-0000-0100-000003000000}"/>
    <hyperlink ref="D94" r:id="rId5" xr:uid="{00000000-0004-0000-0100-000004000000}"/>
    <hyperlink ref="D95" r:id="rId6" xr:uid="{00000000-0004-0000-0100-000005000000}"/>
    <hyperlink ref="AU100" r:id="rId7" location="lean" xr:uid="{00000000-0004-0000-0100-000006000000}"/>
    <hyperlink ref="AX100" r:id="rId8" location="lean" xr:uid="{00000000-0004-0000-0100-000007000000}"/>
    <hyperlink ref="D127" r:id="rId9" xr:uid="{00000000-0004-0000-0100-000008000000}"/>
    <hyperlink ref="D128" r:id="rId10" xr:uid="{00000000-0004-0000-0100-000009000000}"/>
    <hyperlink ref="D129" r:id="rId11" xr:uid="{00000000-0004-0000-0100-00000A000000}"/>
    <hyperlink ref="D149" r:id="rId12" xr:uid="{00000000-0004-0000-0100-00000B000000}"/>
    <hyperlink ref="D150" r:id="rId13" xr:uid="{00000000-0004-0000-0100-00000C000000}"/>
    <hyperlink ref="D151" r:id="rId14" xr:uid="{00000000-0004-0000-0100-00000D000000}"/>
    <hyperlink ref="D158" r:id="rId15" xr:uid="{00000000-0004-0000-0100-00000E000000}"/>
    <hyperlink ref="D161" r:id="rId16" xr:uid="{00000000-0004-0000-0100-00000F000000}"/>
    <hyperlink ref="D164" r:id="rId17" xr:uid="{00000000-0004-0000-0100-000010000000}"/>
    <hyperlink ref="D165" r:id="rId18" xr:uid="{00000000-0004-0000-0100-000011000000}"/>
    <hyperlink ref="D166" r:id="rId19" xr:uid="{00000000-0004-0000-0100-000012000000}"/>
    <hyperlink ref="D171" r:id="rId20" xr:uid="{00000000-0004-0000-0100-000013000000}"/>
    <hyperlink ref="D213" r:id="rId21" xr:uid="{00000000-0004-0000-0100-000014000000}"/>
    <hyperlink ref="D228" r:id="rId22" xr:uid="{00000000-0004-0000-0100-000015000000}"/>
    <hyperlink ref="D229" r:id="rId23" xr:uid="{00000000-0004-0000-0100-000016000000}"/>
    <hyperlink ref="D230" r:id="rId24" xr:uid="{00000000-0004-0000-0100-000017000000}"/>
    <hyperlink ref="D234" r:id="rId25" xr:uid="{00000000-0004-0000-0100-000018000000}"/>
    <hyperlink ref="F1" location="'Journal Training'!A300" display="PRESENT" xr:uid="{AA305020-F172-41DF-BA13-8397D8DA9CF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14789-CFE0-4862-9D65-9E16B83CBA7A}">
  <sheetPr>
    <tabColor rgb="FF002060"/>
    <outlinePr summaryBelow="0" summaryRight="0"/>
  </sheetPr>
  <dimension ref="A1:BM1034"/>
  <sheetViews>
    <sheetView showGridLines="0" tabSelected="1" zoomScale="90" zoomScaleNormal="90" workbookViewId="0">
      <selection activeCell="G18" sqref="G18"/>
    </sheetView>
  </sheetViews>
  <sheetFormatPr defaultColWidth="12.5703125" defaultRowHeight="15.75" customHeight="1"/>
  <cols>
    <col min="1" max="1" width="25" customWidth="1"/>
    <col min="2" max="2" width="41.7109375" customWidth="1"/>
    <col min="3" max="3" width="32.85546875" customWidth="1"/>
    <col min="4" max="4" width="61.5703125" customWidth="1"/>
    <col min="5" max="5" width="32.42578125" customWidth="1"/>
    <col min="6" max="6" width="23.42578125" customWidth="1"/>
    <col min="7" max="7" width="23.28515625" customWidth="1"/>
    <col min="8" max="8" width="25.5703125" customWidth="1"/>
    <col min="9" max="9" width="26.7109375" customWidth="1"/>
    <col min="10" max="10" width="35.42578125" customWidth="1"/>
    <col min="11" max="11" width="18.140625" bestFit="1" customWidth="1"/>
    <col min="12" max="12" width="16.140625" bestFit="1" customWidth="1"/>
    <col min="17" max="17" width="24.7109375" customWidth="1"/>
    <col min="21" max="21" width="28.5703125" customWidth="1"/>
    <col min="22" max="22" width="34" customWidth="1"/>
    <col min="24" max="24" width="66.5703125" customWidth="1"/>
    <col min="25" max="25" width="21.140625" customWidth="1"/>
    <col min="26" max="26" width="12.28515625" customWidth="1"/>
    <col min="27" max="27" width="59.85546875" customWidth="1"/>
    <col min="28" max="28" width="21.7109375" customWidth="1"/>
    <col min="29" max="29" width="20.42578125" customWidth="1"/>
    <col min="30" max="30" width="18" customWidth="1"/>
    <col min="31" max="31" width="11.28515625" customWidth="1"/>
    <col min="32" max="32" width="16.7109375" customWidth="1"/>
    <col min="33" max="33" width="20.28515625" customWidth="1"/>
    <col min="34" max="34" width="21.5703125" customWidth="1"/>
    <col min="35" max="35" width="17.7109375" bestFit="1" customWidth="1"/>
    <col min="37" max="37" width="14.140625" bestFit="1" customWidth="1"/>
    <col min="38" max="38" width="13.7109375" customWidth="1"/>
    <col min="39" max="39" width="12.42578125" customWidth="1"/>
    <col min="40" max="40" width="38.42578125" customWidth="1"/>
    <col min="41" max="41" width="37.85546875" customWidth="1"/>
    <col min="42" max="42" width="15.85546875" customWidth="1"/>
    <col min="43" max="43" width="17.28515625" customWidth="1"/>
    <col min="44" max="44" width="16.140625" customWidth="1"/>
    <col min="45" max="45" width="19.140625" customWidth="1"/>
    <col min="46" max="46" width="19.85546875" customWidth="1"/>
    <col min="48" max="48" width="45" customWidth="1"/>
    <col min="49" max="49" width="16" customWidth="1"/>
    <col min="51" max="51" width="36.28515625" customWidth="1"/>
    <col min="52" max="52" width="18.5703125" customWidth="1"/>
    <col min="53" max="53" width="21.42578125" customWidth="1"/>
    <col min="54" max="54" width="29.85546875" customWidth="1"/>
    <col min="55" max="55" width="15.7109375" customWidth="1"/>
    <col min="56" max="56" width="18.5703125" customWidth="1"/>
    <col min="57" max="57" width="20.28515625" customWidth="1"/>
    <col min="58" max="58" width="21.5703125" customWidth="1"/>
    <col min="59" max="59" width="21" customWidth="1"/>
    <col min="60" max="60" width="14.5703125" customWidth="1"/>
    <col min="61" max="61" width="16.85546875" customWidth="1"/>
    <col min="62" max="62" width="20.42578125" customWidth="1"/>
    <col min="63" max="63" width="27.140625" customWidth="1"/>
    <col min="64" max="64" width="18.42578125" customWidth="1"/>
    <col min="65" max="65" width="19" customWidth="1"/>
  </cols>
  <sheetData>
    <row r="1" spans="1:21" s="635" customFormat="1" ht="51.75" customHeight="1">
      <c r="A1" s="635" t="s">
        <v>2734</v>
      </c>
    </row>
    <row r="2" spans="1:21" s="501" customFormat="1" ht="23.25" customHeight="1">
      <c r="A2" s="502" t="s">
        <v>2735</v>
      </c>
    </row>
    <row r="3" spans="1:21" s="500" customFormat="1" ht="23.25" customHeight="1">
      <c r="A3" s="537" t="s">
        <v>2736</v>
      </c>
    </row>
    <row r="4" spans="1:21" s="500" customFormat="1" ht="23.25" customHeight="1">
      <c r="A4" s="597" t="s">
        <v>2737</v>
      </c>
    </row>
    <row r="5" spans="1:21" ht="24" customHeight="1">
      <c r="A5" s="636" t="s">
        <v>2738</v>
      </c>
      <c r="B5" s="653"/>
      <c r="C5" s="653"/>
      <c r="D5" s="62"/>
      <c r="E5" s="637" t="s">
        <v>2739</v>
      </c>
      <c r="F5" s="656"/>
      <c r="G5" s="656"/>
      <c r="H5" s="656"/>
      <c r="I5" s="62"/>
      <c r="J5" s="638" t="s">
        <v>2740</v>
      </c>
      <c r="K5" s="638"/>
      <c r="L5" s="638"/>
      <c r="M5" s="638"/>
      <c r="N5" s="414">
        <v>1000</v>
      </c>
      <c r="O5" t="s">
        <v>2741</v>
      </c>
      <c r="P5" s="389"/>
      <c r="Q5" s="389"/>
      <c r="U5" s="489"/>
    </row>
    <row r="6" spans="1:21">
      <c r="A6" s="37" t="s">
        <v>2742</v>
      </c>
      <c r="B6" s="492">
        <v>700</v>
      </c>
      <c r="C6" s="62" t="s">
        <v>2743</v>
      </c>
      <c r="D6" s="62"/>
      <c r="E6" s="390">
        <v>400</v>
      </c>
      <c r="F6" s="390">
        <v>16</v>
      </c>
      <c r="G6" s="390">
        <f>$E$6*3</f>
        <v>1200</v>
      </c>
      <c r="H6" s="391">
        <f>MAX(G12:G16)</f>
        <v>12</v>
      </c>
      <c r="I6" s="62"/>
      <c r="J6" s="639" t="s">
        <v>2744</v>
      </c>
      <c r="K6" s="639"/>
      <c r="L6" s="415">
        <v>48</v>
      </c>
      <c r="M6" s="394">
        <f>L6/N5</f>
        <v>4.8000000000000001E-2</v>
      </c>
      <c r="U6" s="489"/>
    </row>
    <row r="7" spans="1:21">
      <c r="A7" s="37" t="s">
        <v>2745</v>
      </c>
      <c r="B7" s="491">
        <f>0.2*B6</f>
        <v>140</v>
      </c>
      <c r="C7" s="396" t="s">
        <v>2746</v>
      </c>
      <c r="D7" s="62"/>
      <c r="E7" s="46"/>
      <c r="F7" s="62" t="s">
        <v>2747</v>
      </c>
      <c r="G7" s="62"/>
      <c r="H7" s="391">
        <f>MAX(E12:E17)-1</f>
        <v>5</v>
      </c>
      <c r="I7" s="62"/>
      <c r="J7" s="392" t="s">
        <v>2748</v>
      </c>
      <c r="K7" s="392"/>
      <c r="L7" s="393">
        <v>200</v>
      </c>
      <c r="M7" s="394">
        <f>L7/N5</f>
        <v>0.2</v>
      </c>
      <c r="U7" s="489"/>
    </row>
    <row r="8" spans="1:21">
      <c r="A8" s="37" t="s">
        <v>2749</v>
      </c>
      <c r="B8" s="491">
        <f>0.5*$B$6</f>
        <v>350</v>
      </c>
      <c r="C8" s="396" t="s">
        <v>2750</v>
      </c>
      <c r="D8" s="62"/>
      <c r="E8" s="46"/>
      <c r="F8" s="62"/>
      <c r="G8" s="62"/>
      <c r="H8" s="62"/>
      <c r="I8" s="62"/>
      <c r="J8" s="392"/>
      <c r="K8" s="392"/>
      <c r="L8" s="393"/>
      <c r="M8" s="394"/>
      <c r="U8" s="489"/>
    </row>
    <row r="9" spans="1:21">
      <c r="A9" s="37" t="s">
        <v>2751</v>
      </c>
      <c r="B9" s="491">
        <f>0.75*B6</f>
        <v>525</v>
      </c>
      <c r="C9" s="396" t="s">
        <v>2752</v>
      </c>
      <c r="D9" s="62" t="s">
        <v>2753</v>
      </c>
      <c r="E9" s="46"/>
      <c r="F9" s="62"/>
      <c r="G9" s="62"/>
      <c r="H9" s="62"/>
      <c r="I9" s="62"/>
      <c r="J9" s="392"/>
      <c r="K9" s="392"/>
      <c r="L9" s="393"/>
      <c r="M9" s="394"/>
      <c r="U9" s="489"/>
    </row>
    <row r="10" spans="1:21" ht="18">
      <c r="A10" s="37" t="s">
        <v>2754</v>
      </c>
      <c r="B10" s="493">
        <f>$B$6-$B7</f>
        <v>560</v>
      </c>
      <c r="C10" s="396" t="s">
        <v>2746</v>
      </c>
      <c r="D10" s="62" t="s">
        <v>2755</v>
      </c>
      <c r="E10" s="141" t="s">
        <v>2756</v>
      </c>
      <c r="F10" s="62" t="s">
        <v>2757</v>
      </c>
      <c r="G10" s="62"/>
      <c r="H10" s="62"/>
      <c r="I10" s="62"/>
      <c r="J10" s="397"/>
      <c r="K10" s="397"/>
      <c r="L10" s="397"/>
      <c r="M10" s="397"/>
      <c r="U10" s="489"/>
    </row>
    <row r="11" spans="1:21" ht="18">
      <c r="A11" s="62"/>
      <c r="B11" s="493">
        <f t="shared" ref="B11:B12" si="0">$B$6-$B8</f>
        <v>350</v>
      </c>
      <c r="C11" s="396" t="s">
        <v>2750</v>
      </c>
      <c r="D11" s="569" t="s">
        <v>2758</v>
      </c>
      <c r="E11" s="398" t="s">
        <v>2759</v>
      </c>
      <c r="F11" s="398" t="s">
        <v>2760</v>
      </c>
      <c r="G11" s="398" t="s">
        <v>2761</v>
      </c>
      <c r="H11" s="398" t="s">
        <v>2762</v>
      </c>
      <c r="I11" s="62"/>
      <c r="J11" s="399" t="s">
        <v>2763</v>
      </c>
      <c r="K11" s="399" t="s">
        <v>2764</v>
      </c>
      <c r="L11" s="399" t="s">
        <v>2765</v>
      </c>
      <c r="M11" s="399" t="s">
        <v>2766</v>
      </c>
      <c r="N11" s="399" t="s">
        <v>2767</v>
      </c>
      <c r="O11" s="399"/>
      <c r="U11" s="489"/>
    </row>
    <row r="12" spans="1:21" ht="18">
      <c r="A12" s="419"/>
      <c r="B12" s="493">
        <f t="shared" si="0"/>
        <v>175</v>
      </c>
      <c r="C12" s="396" t="s">
        <v>2752</v>
      </c>
      <c r="D12" s="62"/>
      <c r="E12" s="523">
        <v>6</v>
      </c>
      <c r="F12" s="400">
        <f>$F$6*E12</f>
        <v>96</v>
      </c>
      <c r="G12" s="524">
        <v>4</v>
      </c>
      <c r="H12" s="402">
        <f t="shared" ref="H12:H17" si="1">G12*F12</f>
        <v>384</v>
      </c>
      <c r="I12" s="62"/>
      <c r="J12" s="409">
        <v>1</v>
      </c>
      <c r="K12" s="410">
        <f>$M$7</f>
        <v>0.2</v>
      </c>
      <c r="L12" s="411">
        <f>K12*$N$5</f>
        <v>200</v>
      </c>
      <c r="M12" s="410">
        <f>$M$6</f>
        <v>4.8000000000000001E-2</v>
      </c>
      <c r="N12" s="412">
        <f>M12*$N$5</f>
        <v>48</v>
      </c>
      <c r="O12" s="412"/>
      <c r="U12" s="489"/>
    </row>
    <row r="13" spans="1:21" ht="15">
      <c r="A13" s="420"/>
      <c r="B13" s="395"/>
      <c r="C13" s="62"/>
      <c r="D13" s="62"/>
      <c r="E13" s="458">
        <v>5</v>
      </c>
      <c r="F13" s="400">
        <f t="shared" ref="F12:F17" si="2">$F$6*E13</f>
        <v>80</v>
      </c>
      <c r="G13" s="524">
        <v>5</v>
      </c>
      <c r="H13" s="402">
        <f t="shared" si="1"/>
        <v>400</v>
      </c>
      <c r="I13" s="62"/>
      <c r="J13" s="413">
        <v>12</v>
      </c>
      <c r="K13" s="406">
        <f>$K$12*J13</f>
        <v>2.4000000000000004</v>
      </c>
      <c r="L13" s="404">
        <f>K13*$N$5</f>
        <v>2400.0000000000005</v>
      </c>
      <c r="M13" s="406">
        <f>$M$12*J13</f>
        <v>0.57600000000000007</v>
      </c>
      <c r="N13" s="405">
        <f>M13*$N$5</f>
        <v>576.00000000000011</v>
      </c>
      <c r="O13" s="405"/>
      <c r="U13" s="489"/>
    </row>
    <row r="14" spans="1:21" ht="15">
      <c r="A14" s="62"/>
      <c r="B14" s="395"/>
      <c r="C14" s="62"/>
      <c r="D14" s="62"/>
      <c r="E14" s="522">
        <v>4</v>
      </c>
      <c r="F14" s="400">
        <f t="shared" si="2"/>
        <v>64</v>
      </c>
      <c r="G14" s="525">
        <v>6</v>
      </c>
      <c r="H14" s="402">
        <f t="shared" si="1"/>
        <v>384</v>
      </c>
      <c r="I14" s="62"/>
      <c r="J14" s="413">
        <v>15</v>
      </c>
      <c r="K14" s="406">
        <f>$K$12*J14</f>
        <v>3</v>
      </c>
      <c r="L14" s="404">
        <f t="shared" ref="L13:L16" si="3">K14*$N$5</f>
        <v>3000</v>
      </c>
      <c r="M14" s="406">
        <f>$M$12*J14</f>
        <v>0.72</v>
      </c>
      <c r="N14" s="405">
        <f t="shared" ref="N13:N16" si="4">M14*$N$5</f>
        <v>720</v>
      </c>
      <c r="O14" s="405"/>
      <c r="U14" s="489"/>
    </row>
    <row r="15" spans="1:21" ht="15">
      <c r="A15" s="569"/>
      <c r="B15" s="395"/>
      <c r="C15" s="62"/>
      <c r="D15" s="62"/>
      <c r="E15" s="522">
        <v>3</v>
      </c>
      <c r="F15" s="400">
        <f t="shared" si="2"/>
        <v>48</v>
      </c>
      <c r="G15" s="525">
        <v>8</v>
      </c>
      <c r="H15" s="407">
        <f t="shared" si="1"/>
        <v>384</v>
      </c>
      <c r="I15" s="62"/>
      <c r="J15" s="413">
        <v>20</v>
      </c>
      <c r="K15" s="406">
        <f>$K$12*J15</f>
        <v>4</v>
      </c>
      <c r="L15" s="404">
        <f>K15*$N$5</f>
        <v>4000</v>
      </c>
      <c r="M15" s="406">
        <f>$M$12*J15</f>
        <v>0.96</v>
      </c>
      <c r="N15" s="405">
        <f t="shared" si="4"/>
        <v>960</v>
      </c>
      <c r="O15" s="405"/>
      <c r="U15" s="489"/>
    </row>
    <row r="16" spans="1:21" ht="15">
      <c r="A16" s="62"/>
      <c r="B16" s="395"/>
      <c r="C16" s="62"/>
      <c r="D16" s="62"/>
      <c r="E16" s="456">
        <v>2</v>
      </c>
      <c r="F16" s="400">
        <f t="shared" si="2"/>
        <v>32</v>
      </c>
      <c r="G16" s="526">
        <v>12</v>
      </c>
      <c r="H16" s="407">
        <f t="shared" si="1"/>
        <v>384</v>
      </c>
      <c r="I16" s="62"/>
      <c r="J16" s="413">
        <v>40</v>
      </c>
      <c r="K16" s="406">
        <f>$K$12*J16</f>
        <v>8</v>
      </c>
      <c r="L16" s="404">
        <f t="shared" si="3"/>
        <v>8000</v>
      </c>
      <c r="M16" s="406">
        <f>$M$12*J16</f>
        <v>1.92</v>
      </c>
      <c r="N16" s="405">
        <f>M16*$N$5</f>
        <v>1920</v>
      </c>
      <c r="O16" s="405"/>
      <c r="U16" s="489"/>
    </row>
    <row r="17" spans="1:65" ht="15">
      <c r="A17" s="62"/>
      <c r="B17" s="62"/>
      <c r="C17" s="62"/>
      <c r="D17" s="62"/>
      <c r="E17" s="22">
        <v>1</v>
      </c>
      <c r="F17" s="400">
        <f t="shared" si="2"/>
        <v>16</v>
      </c>
      <c r="G17" s="527">
        <v>24</v>
      </c>
      <c r="H17" s="407">
        <f t="shared" si="1"/>
        <v>384</v>
      </c>
      <c r="I17" s="62"/>
      <c r="J17" s="413">
        <v>100</v>
      </c>
      <c r="K17" s="406">
        <f>$K$12*J17</f>
        <v>20</v>
      </c>
      <c r="L17" s="404">
        <f t="shared" ref="L17" si="5">K17*$N$5</f>
        <v>20000</v>
      </c>
      <c r="M17" s="406">
        <f>$M$12*J17</f>
        <v>4.8</v>
      </c>
      <c r="N17" s="405">
        <f t="shared" ref="N17" si="6">M17*$N$5</f>
        <v>4800</v>
      </c>
      <c r="O17" s="405"/>
      <c r="U17" s="489"/>
    </row>
    <row r="18" spans="1:65" ht="12.75">
      <c r="A18" s="62"/>
      <c r="B18" s="62"/>
      <c r="C18" s="62"/>
      <c r="D18" s="62"/>
      <c r="E18" s="22"/>
      <c r="F18" s="400"/>
      <c r="G18" s="401"/>
      <c r="H18" s="407"/>
      <c r="I18" s="62"/>
      <c r="U18" s="489"/>
    </row>
    <row r="19" spans="1:65" ht="12.75">
      <c r="A19" s="62"/>
      <c r="B19" s="62"/>
      <c r="C19" s="62"/>
      <c r="D19" s="62"/>
      <c r="E19" s="22"/>
      <c r="F19" s="400"/>
      <c r="G19" s="401"/>
      <c r="H19" s="407"/>
      <c r="I19" s="62"/>
      <c r="J19" s="640" t="s">
        <v>2768</v>
      </c>
      <c r="U19" s="489"/>
    </row>
    <row r="20" spans="1:65" ht="12.75">
      <c r="A20" s="62"/>
      <c r="B20" s="62"/>
      <c r="C20" s="62"/>
      <c r="D20" s="62"/>
      <c r="E20" s="22"/>
      <c r="F20" s="400"/>
      <c r="G20" s="401"/>
      <c r="H20" s="407"/>
      <c r="I20" s="62"/>
      <c r="J20" s="640"/>
      <c r="U20" s="489"/>
    </row>
    <row r="21" spans="1:65" ht="12.75">
      <c r="A21" s="62"/>
      <c r="B21" s="62"/>
      <c r="C21" s="62"/>
      <c r="D21" s="62"/>
      <c r="E21" s="22"/>
      <c r="F21" s="408"/>
      <c r="G21" s="401"/>
      <c r="H21" s="407"/>
      <c r="I21" s="62"/>
      <c r="J21" s="421" t="s">
        <v>2769</v>
      </c>
      <c r="U21" s="489"/>
    </row>
    <row r="22" spans="1:65" ht="12.75">
      <c r="A22" s="62"/>
      <c r="B22" s="62"/>
      <c r="C22" s="62"/>
      <c r="D22" s="62"/>
      <c r="E22" s="22"/>
      <c r="F22" s="408"/>
      <c r="G22" s="401"/>
      <c r="H22" s="407"/>
      <c r="I22" s="62"/>
      <c r="J22" s="421" t="s">
        <v>2770</v>
      </c>
      <c r="U22" s="489"/>
    </row>
    <row r="23" spans="1:65" s="634" customFormat="1" ht="12.75"/>
    <row r="24" spans="1:65" ht="20.25">
      <c r="A24" s="591" t="s">
        <v>2771</v>
      </c>
      <c r="B24" s="594"/>
      <c r="C24" s="595"/>
      <c r="D24" s="489"/>
      <c r="E24" s="489"/>
      <c r="F24" s="596"/>
      <c r="G24" s="401"/>
      <c r="H24" s="407"/>
      <c r="I24" s="62"/>
      <c r="J24" s="638" t="s">
        <v>2772</v>
      </c>
      <c r="K24" s="638"/>
      <c r="L24" s="638"/>
      <c r="M24" s="638"/>
      <c r="N24" s="638"/>
      <c r="O24" s="638"/>
      <c r="P24" s="638"/>
      <c r="Q24" s="638"/>
      <c r="R24" s="638"/>
      <c r="S24" s="638"/>
      <c r="T24" s="638"/>
      <c r="U24" s="638"/>
      <c r="V24" s="638"/>
      <c r="W24" s="638"/>
      <c r="X24" s="638"/>
      <c r="Y24" s="638"/>
      <c r="Z24" s="638"/>
      <c r="AA24" s="638"/>
      <c r="AB24" s="638"/>
      <c r="AC24" s="638"/>
      <c r="AD24" s="638"/>
      <c r="AE24" s="638"/>
      <c r="AF24" s="638"/>
      <c r="AG24" s="638"/>
      <c r="AH24" s="638"/>
      <c r="AI24" s="638"/>
      <c r="AJ24" s="638"/>
      <c r="AK24" s="638"/>
      <c r="AL24" s="638"/>
      <c r="AM24" s="638"/>
      <c r="AN24" s="638"/>
      <c r="AO24" s="638"/>
      <c r="AP24" s="638"/>
      <c r="AQ24" s="638"/>
      <c r="AR24" s="638"/>
      <c r="AS24" s="638"/>
      <c r="AT24" s="638"/>
      <c r="AU24" s="638"/>
      <c r="AV24" s="638"/>
      <c r="AW24" s="638"/>
      <c r="AX24" s="638"/>
      <c r="AY24" s="638"/>
      <c r="AZ24" s="638"/>
      <c r="BA24" s="638"/>
      <c r="BB24" s="638"/>
      <c r="BC24" s="638"/>
      <c r="BD24" s="638"/>
      <c r="BE24" s="638"/>
      <c r="BF24" s="638"/>
      <c r="BG24" s="638"/>
      <c r="BH24" s="638"/>
    </row>
    <row r="25" spans="1:65" ht="12.75">
      <c r="A25" s="509" t="s">
        <v>2773</v>
      </c>
      <c r="B25" s="450"/>
      <c r="C25" s="510"/>
      <c r="G25" s="62"/>
      <c r="H25" s="62"/>
      <c r="I25" s="62"/>
      <c r="J25" t="s">
        <v>2774</v>
      </c>
    </row>
    <row r="26" spans="1:65" ht="18" customHeight="1">
      <c r="A26" s="632" t="s">
        <v>2773</v>
      </c>
      <c r="B26" s="633">
        <v>2.5</v>
      </c>
      <c r="C26" s="512" t="s">
        <v>2775</v>
      </c>
      <c r="E26" s="468" t="s">
        <v>2776</v>
      </c>
      <c r="J26" t="s">
        <v>2777</v>
      </c>
      <c r="X26" s="468" t="s">
        <v>2778</v>
      </c>
    </row>
    <row r="27" spans="1:65" ht="18" customHeight="1">
      <c r="A27" s="632"/>
      <c r="B27" s="633"/>
      <c r="C27" s="583"/>
      <c r="E27" s="468"/>
      <c r="X27" s="468"/>
    </row>
    <row r="28" spans="1:65" ht="20.25">
      <c r="A28" s="511" t="s">
        <v>2779</v>
      </c>
      <c r="B28" s="528">
        <v>0.78</v>
      </c>
      <c r="C28" s="513" t="s">
        <v>2780</v>
      </c>
      <c r="D28" s="513" t="s">
        <v>2781</v>
      </c>
      <c r="E28" s="472">
        <v>0.12</v>
      </c>
      <c r="F28" s="473">
        <f>$B$28*E28</f>
        <v>9.3600000000000003E-2</v>
      </c>
      <c r="AP28" t="s">
        <v>2782</v>
      </c>
    </row>
    <row r="29" spans="1:65" ht="15">
      <c r="A29" s="548">
        <v>0.2</v>
      </c>
      <c r="B29" s="549">
        <f>A29*$B$28</f>
        <v>0.15600000000000003</v>
      </c>
      <c r="C29" s="550">
        <v>1</v>
      </c>
      <c r="D29" t="s">
        <v>2783</v>
      </c>
      <c r="E29" s="472">
        <v>0.15</v>
      </c>
      <c r="F29" s="473">
        <f>$B$28*E29</f>
        <v>0.11699999999999999</v>
      </c>
      <c r="X29" s="479" t="s">
        <v>2784</v>
      </c>
      <c r="Y29" s="572">
        <v>0.78</v>
      </c>
      <c r="AP29" t="s">
        <v>2785</v>
      </c>
      <c r="AR29" t="s">
        <v>2786</v>
      </c>
      <c r="AV29" t="s">
        <v>2787</v>
      </c>
      <c r="AW29" s="572">
        <f>$B$28</f>
        <v>0.78</v>
      </c>
      <c r="BL29" t="s">
        <v>2788</v>
      </c>
    </row>
    <row r="30" spans="1:65" ht="15">
      <c r="A30" s="551">
        <v>0.3</v>
      </c>
      <c r="B30" s="549">
        <f t="shared" ref="B30:B31" si="7">A30*$B$28</f>
        <v>0.23399999999999999</v>
      </c>
      <c r="C30" s="550">
        <v>2</v>
      </c>
      <c r="D30" t="s">
        <v>2789</v>
      </c>
      <c r="E30" s="472">
        <v>0.15</v>
      </c>
      <c r="F30" s="473">
        <f>E30*$B$51</f>
        <v>0.23249999999999998</v>
      </c>
      <c r="J30" s="507" t="s">
        <v>2790</v>
      </c>
      <c r="K30" s="507" t="s">
        <v>2791</v>
      </c>
      <c r="L30" s="507" t="s">
        <v>2792</v>
      </c>
      <c r="M30" s="507" t="s">
        <v>2793</v>
      </c>
      <c r="N30" s="507" t="s">
        <v>2794</v>
      </c>
      <c r="O30" s="507" t="s">
        <v>2795</v>
      </c>
      <c r="P30" s="399" t="s">
        <v>2796</v>
      </c>
      <c r="Q30" s="485" t="s">
        <v>2797</v>
      </c>
      <c r="R30" s="417" t="s">
        <v>2798</v>
      </c>
      <c r="S30" s="399" t="s">
        <v>37</v>
      </c>
      <c r="T30" s="399" t="s">
        <v>2799</v>
      </c>
      <c r="U30" s="587" t="s">
        <v>2800</v>
      </c>
      <c r="V30" s="588" t="s">
        <v>2801</v>
      </c>
      <c r="X30" s="568" t="s">
        <v>2802</v>
      </c>
      <c r="Y30" s="570" t="s">
        <v>2803</v>
      </c>
      <c r="Z30" s="570" t="s">
        <v>2804</v>
      </c>
      <c r="AA30" s="579" t="s">
        <v>2805</v>
      </c>
      <c r="AB30" s="570" t="s">
        <v>2806</v>
      </c>
      <c r="AC30" s="537" t="s">
        <v>2807</v>
      </c>
      <c r="AD30" s="537" t="s">
        <v>2808</v>
      </c>
      <c r="AE30" s="537" t="s">
        <v>2809</v>
      </c>
      <c r="AF30" s="537" t="s">
        <v>2810</v>
      </c>
      <c r="AG30" s="537" t="s">
        <v>2811</v>
      </c>
      <c r="AH30" s="537" t="s">
        <v>2812</v>
      </c>
      <c r="AI30" s="537" t="s">
        <v>2813</v>
      </c>
      <c r="AJ30" s="574" t="s">
        <v>2791</v>
      </c>
      <c r="AK30" s="574" t="s">
        <v>2814</v>
      </c>
      <c r="AL30" s="574" t="s">
        <v>2815</v>
      </c>
      <c r="AM30" s="537" t="s">
        <v>2816</v>
      </c>
      <c r="AN30" s="584" t="s">
        <v>2800</v>
      </c>
      <c r="AO30" s="585" t="s">
        <v>2801</v>
      </c>
      <c r="AP30" s="537" t="s">
        <v>2817</v>
      </c>
      <c r="AQ30" s="537" t="s">
        <v>2818</v>
      </c>
      <c r="AR30" s="537" t="s">
        <v>2819</v>
      </c>
      <c r="AS30" s="537" t="s">
        <v>2820</v>
      </c>
      <c r="AV30" s="576" t="s">
        <v>2821</v>
      </c>
      <c r="AW30" s="570" t="s">
        <v>2803</v>
      </c>
      <c r="AX30" s="570" t="s">
        <v>2804</v>
      </c>
      <c r="AY30" s="579" t="s">
        <v>2822</v>
      </c>
      <c r="AZ30" s="570" t="s">
        <v>2806</v>
      </c>
      <c r="BA30" s="537" t="s">
        <v>2807</v>
      </c>
      <c r="BB30" s="537" t="s">
        <v>2808</v>
      </c>
      <c r="BC30" s="537" t="s">
        <v>2809</v>
      </c>
      <c r="BD30" s="537" t="s">
        <v>2823</v>
      </c>
      <c r="BE30" s="537" t="s">
        <v>2811</v>
      </c>
      <c r="BF30" s="537" t="s">
        <v>2812</v>
      </c>
      <c r="BG30" s="537" t="s">
        <v>2813</v>
      </c>
      <c r="BH30" s="574" t="s">
        <v>2791</v>
      </c>
      <c r="BI30" s="574" t="s">
        <v>2814</v>
      </c>
      <c r="BJ30" s="574" t="s">
        <v>2815</v>
      </c>
      <c r="BK30" s="537" t="s">
        <v>2816</v>
      </c>
      <c r="BL30" s="601" t="s">
        <v>2824</v>
      </c>
      <c r="BM30" s="601" t="s">
        <v>2825</v>
      </c>
    </row>
    <row r="31" spans="1:65" ht="15">
      <c r="A31" s="552">
        <v>0.5</v>
      </c>
      <c r="B31" s="549">
        <f>A31*$B$28</f>
        <v>0.39</v>
      </c>
      <c r="C31" s="550">
        <v>4</v>
      </c>
      <c r="D31" t="s">
        <v>2826</v>
      </c>
      <c r="E31" s="479" t="s">
        <v>2827</v>
      </c>
      <c r="F31" s="484">
        <f>$B$28*0.7</f>
        <v>0.54599999999999993</v>
      </c>
      <c r="J31" s="438" t="s">
        <v>2828</v>
      </c>
      <c r="K31">
        <v>48</v>
      </c>
      <c r="L31">
        <v>200</v>
      </c>
      <c r="M31" s="442">
        <f>L31/K31</f>
        <v>4.166666666666667</v>
      </c>
      <c r="N31" s="435">
        <v>0.5</v>
      </c>
      <c r="O31" s="416">
        <v>4</v>
      </c>
      <c r="P31" s="389"/>
      <c r="Q31" s="487" t="s">
        <v>2727</v>
      </c>
      <c r="R31" s="486">
        <v>150</v>
      </c>
      <c r="S31" s="488">
        <f>Table4[[#This Row],[MAX]]/Table4[[#This Row],['# of entries]]</f>
        <v>75</v>
      </c>
      <c r="T31">
        <v>2</v>
      </c>
      <c r="U31" s="567" t="s">
        <v>2829</v>
      </c>
      <c r="V31" s="567" t="s">
        <v>2830</v>
      </c>
      <c r="X31" t="s">
        <v>2831</v>
      </c>
      <c r="Y31" s="488">
        <v>64</v>
      </c>
      <c r="Z31" s="488">
        <v>200</v>
      </c>
      <c r="AA31" s="468" t="s">
        <v>2832</v>
      </c>
      <c r="AB31" s="571">
        <v>0.5</v>
      </c>
      <c r="AC31">
        <f>(AB31*$Y$29)*1000</f>
        <v>390</v>
      </c>
      <c r="AD31" s="573">
        <f>$Z31/AC31</f>
        <v>0.51282051282051277</v>
      </c>
      <c r="AE31" s="573">
        <f>$Y31/AC31</f>
        <v>0.1641025641025641</v>
      </c>
      <c r="AF31" s="575">
        <v>6</v>
      </c>
      <c r="AG31" s="403">
        <f>AF31*AD31</f>
        <v>3.0769230769230766</v>
      </c>
      <c r="AH31">
        <f>AG31*AC31</f>
        <v>1200</v>
      </c>
      <c r="AI31" s="403">
        <f>AE31*AF31</f>
        <v>0.98461538461538467</v>
      </c>
      <c r="AJ31" s="488">
        <f>AI31*AC31</f>
        <v>384</v>
      </c>
      <c r="AK31" s="581">
        <v>1</v>
      </c>
      <c r="AL31" s="488">
        <f>AK31*AJ31</f>
        <v>384</v>
      </c>
      <c r="AM31">
        <f>AH31-AL31</f>
        <v>816</v>
      </c>
      <c r="AN31" t="s">
        <v>2833</v>
      </c>
      <c r="AO31" s="586" t="s">
        <v>2830</v>
      </c>
      <c r="AP31" s="599">
        <f>Table6[[#This Row],[LOT SIZE (ratio 1 lots so 1:3 will become lots below: 3 x lots below)]]/2.5</f>
        <v>2.4</v>
      </c>
      <c r="AQ31" s="600">
        <f>Table6[[#This Row],[LOT SIZE (ratio 1 lots so 1:3 will become lots below: 3 x lots below)]]-Table6[[#This Row],[ENTRY 1 (x)]]</f>
        <v>3.6</v>
      </c>
      <c r="AR31" s="599">
        <f>Table6[[#This Row],[LOT SIZE (ratio 1 lots so 1:3 will become lots below: 3 x lots below)]]/2.25</f>
        <v>2.6666666666666665</v>
      </c>
      <c r="AS31" s="600">
        <f>Table6[[#This Row],[LOT SIZE (ratio 1 lots so 1:3 will become lots below: 3 x lots below)]]-Table6[[#This Row],[ENTRY 1a (x)]]</f>
        <v>3.3333333333333335</v>
      </c>
      <c r="AT31" s="586"/>
      <c r="AV31" t="s">
        <v>2834</v>
      </c>
      <c r="AW31">
        <v>48</v>
      </c>
      <c r="AX31">
        <v>128</v>
      </c>
      <c r="AY31" t="s">
        <v>2835</v>
      </c>
      <c r="AZ31" s="403">
        <v>0.4</v>
      </c>
      <c r="BA31">
        <f>(AZ31*$AW$29)*1000</f>
        <v>312.00000000000006</v>
      </c>
      <c r="BB31" s="403">
        <f>AX31/BA31</f>
        <v>0.41025641025641019</v>
      </c>
      <c r="BC31" s="403">
        <f>AW31/BA31</f>
        <v>0.15384615384615383</v>
      </c>
      <c r="BD31" s="575">
        <v>6</v>
      </c>
      <c r="BE31" s="403">
        <f>BD31*BB31</f>
        <v>2.4615384615384612</v>
      </c>
      <c r="BF31">
        <f>BE31*BA31</f>
        <v>768</v>
      </c>
      <c r="BG31" s="580">
        <f>BD31*BC31</f>
        <v>0.92307692307692291</v>
      </c>
      <c r="BH31">
        <f>BG31*BA31</f>
        <v>288</v>
      </c>
      <c r="BI31" s="581">
        <v>1</v>
      </c>
      <c r="BJ31">
        <f>BI31*BH31</f>
        <v>288</v>
      </c>
      <c r="BK31">
        <f>BF31-BJ31</f>
        <v>480</v>
      </c>
      <c r="BL31" s="599">
        <f>0.4*Table5[[#This Row],[LOT SIZE]]</f>
        <v>2.4000000000000004</v>
      </c>
      <c r="BM31" s="602">
        <f>Table5[[#This Row],[LOT SIZE]]-Table5[[#This Row],[ENTRY1]]</f>
        <v>3.5999999999999996</v>
      </c>
    </row>
    <row r="32" spans="1:65" ht="15">
      <c r="A32" s="553"/>
      <c r="B32" s="554"/>
      <c r="C32" s="555"/>
      <c r="E32" s="462"/>
      <c r="F32" s="484"/>
      <c r="J32" s="438" t="s">
        <v>2836</v>
      </c>
      <c r="K32" s="418">
        <v>64</v>
      </c>
      <c r="L32" s="418">
        <v>128</v>
      </c>
      <c r="M32" s="442">
        <f>L32/K32</f>
        <v>2</v>
      </c>
      <c r="N32" s="435">
        <v>0.5</v>
      </c>
      <c r="O32" s="416">
        <v>3</v>
      </c>
      <c r="P32" s="389"/>
      <c r="Q32" s="487" t="s">
        <v>2837</v>
      </c>
      <c r="R32" s="486">
        <v>96</v>
      </c>
      <c r="S32" s="488">
        <f>Table4[[#This Row],[MAX]]/Table4[[#This Row],['# of entries]]</f>
        <v>48</v>
      </c>
      <c r="T32">
        <v>2</v>
      </c>
      <c r="U32" t="s">
        <v>2838</v>
      </c>
      <c r="V32" s="567"/>
      <c r="X32" s="603" t="s">
        <v>2839</v>
      </c>
      <c r="Y32" s="488">
        <v>64</v>
      </c>
      <c r="Z32" s="488">
        <v>128</v>
      </c>
      <c r="AA32" s="578" t="s">
        <v>2840</v>
      </c>
      <c r="AB32" s="571">
        <v>0.5</v>
      </c>
      <c r="AC32">
        <f>(AB32*$Y$29)*1000</f>
        <v>390</v>
      </c>
      <c r="AD32" s="573">
        <f t="shared" ref="AD32:AD36" si="8">$Z32/AC32</f>
        <v>0.3282051282051282</v>
      </c>
      <c r="AE32" s="573">
        <f t="shared" ref="AE32:AE36" si="9">$Y32/AC32</f>
        <v>0.1641025641025641</v>
      </c>
      <c r="AF32" s="575">
        <v>6</v>
      </c>
      <c r="AG32" s="403">
        <f t="shared" ref="AG32:AG35" si="10">AF32*AD32</f>
        <v>1.9692307692307693</v>
      </c>
      <c r="AH32">
        <f t="shared" ref="AH32:AH35" si="11">AG32*AC32</f>
        <v>768</v>
      </c>
      <c r="AI32" s="403">
        <f t="shared" ref="AI32:AI35" si="12">AE32*AF32</f>
        <v>0.98461538461538467</v>
      </c>
      <c r="AJ32" s="488">
        <f t="shared" ref="AJ32:AJ35" si="13">AI32*AC32</f>
        <v>384</v>
      </c>
      <c r="AK32" s="581">
        <v>1</v>
      </c>
      <c r="AL32" s="488">
        <f t="shared" ref="AL32:AL34" si="14">AK32*AJ32</f>
        <v>384</v>
      </c>
      <c r="AM32">
        <f t="shared" ref="AM32:AM35" si="15">AH32-AL32</f>
        <v>384</v>
      </c>
      <c r="AO32" s="586" t="s">
        <v>2841</v>
      </c>
      <c r="AP32" s="599">
        <f>Table6[[#This Row],[LOT SIZE (ratio 1 lots so 1:3 will become lots below: 3 x lots below)]]/2.5</f>
        <v>2.4</v>
      </c>
      <c r="AQ32" s="600">
        <f>Table6[[#This Row],[LOT SIZE (ratio 1 lots so 1:3 will become lots below: 3 x lots below)]]-Table6[[#This Row],[ENTRY 1 (x)]]</f>
        <v>3.6</v>
      </c>
      <c r="AR32" s="599">
        <f>Table6[[#This Row],[LOT SIZE (ratio 1 lots so 1:3 will become lots below: 3 x lots below)]]/2.25</f>
        <v>2.6666666666666665</v>
      </c>
      <c r="AS32" s="600">
        <f>Table6[[#This Row],[LOT SIZE (ratio 1 lots so 1:3 will become lots below: 3 x lots below)]]-Table6[[#This Row],[ENTRY 1a (x)]]</f>
        <v>3.3333333333333335</v>
      </c>
      <c r="AT32" s="586"/>
      <c r="AV32" t="s">
        <v>2842</v>
      </c>
      <c r="AW32">
        <v>48</v>
      </c>
      <c r="AX32">
        <v>128</v>
      </c>
      <c r="AY32" t="s">
        <v>2843</v>
      </c>
      <c r="AZ32" s="403">
        <v>0.4</v>
      </c>
      <c r="BA32">
        <f>(AZ32*$AW$29)*1000</f>
        <v>312.00000000000006</v>
      </c>
      <c r="BB32" s="403">
        <f t="shared" ref="BB32:BB36" si="16">AX32/BA32</f>
        <v>0.41025641025641019</v>
      </c>
      <c r="BC32" s="403">
        <f>AW32/BA32</f>
        <v>0.15384615384615383</v>
      </c>
      <c r="BD32" s="575">
        <v>6</v>
      </c>
      <c r="BE32" s="403">
        <f>BD32*BB32</f>
        <v>2.4615384615384612</v>
      </c>
      <c r="BF32">
        <f>BE32*BA32</f>
        <v>768</v>
      </c>
      <c r="BG32" s="580">
        <f>BD32*BC32</f>
        <v>0.92307692307692291</v>
      </c>
      <c r="BH32">
        <f>BG32*BA32</f>
        <v>288</v>
      </c>
      <c r="BI32" s="581">
        <v>1</v>
      </c>
      <c r="BJ32">
        <f>BI32*BH32</f>
        <v>288</v>
      </c>
      <c r="BK32">
        <f>BF32-BJ32</f>
        <v>480</v>
      </c>
      <c r="BL32" s="599">
        <f>0.4*Table5[[#This Row],[LOT SIZE]]</f>
        <v>2.4000000000000004</v>
      </c>
      <c r="BM32" s="602">
        <f>Table5[[#This Row],[LOT SIZE]]-Table5[[#This Row],[ENTRY1]]</f>
        <v>3.5999999999999996</v>
      </c>
    </row>
    <row r="33" spans="1:65" ht="15">
      <c r="A33" s="551">
        <v>0.4</v>
      </c>
      <c r="B33" s="549">
        <f>A33*B28</f>
        <v>0.31200000000000006</v>
      </c>
      <c r="C33" s="550">
        <v>3</v>
      </c>
      <c r="D33" t="s">
        <v>2844</v>
      </c>
      <c r="J33" s="443" t="s">
        <v>2845</v>
      </c>
      <c r="K33" s="418">
        <v>64</v>
      </c>
      <c r="L33" s="418">
        <v>288</v>
      </c>
      <c r="M33" s="442">
        <f>L33/K33</f>
        <v>4.5</v>
      </c>
      <c r="N33" s="434">
        <v>0.4</v>
      </c>
      <c r="O33" s="416">
        <v>3</v>
      </c>
      <c r="P33" s="389"/>
      <c r="Q33" s="487" t="s">
        <v>2846</v>
      </c>
      <c r="R33" s="486">
        <v>18</v>
      </c>
      <c r="S33" s="488">
        <f>Table4[[#This Row],[MAX]]/Table4[[#This Row],['# of entries]]</f>
        <v>9</v>
      </c>
      <c r="T33">
        <v>2</v>
      </c>
      <c r="U33" s="567" t="s">
        <v>2847</v>
      </c>
      <c r="V33" s="567" t="s">
        <v>2830</v>
      </c>
      <c r="X33" t="s">
        <v>2848</v>
      </c>
      <c r="Y33" s="488">
        <v>48</v>
      </c>
      <c r="Z33" s="488">
        <v>128</v>
      </c>
      <c r="AA33" s="468" t="s">
        <v>2849</v>
      </c>
      <c r="AB33" s="571">
        <v>0.5</v>
      </c>
      <c r="AC33">
        <f t="shared" ref="AC32:AC36" si="17">(AB33*$Y$29)*1000</f>
        <v>390</v>
      </c>
      <c r="AD33" s="573">
        <f t="shared" si="8"/>
        <v>0.3282051282051282</v>
      </c>
      <c r="AE33" s="573">
        <f t="shared" si="9"/>
        <v>0.12307692307692308</v>
      </c>
      <c r="AF33" s="575">
        <v>8</v>
      </c>
      <c r="AG33" s="403">
        <f t="shared" si="10"/>
        <v>2.6256410256410256</v>
      </c>
      <c r="AH33">
        <f t="shared" si="11"/>
        <v>1024</v>
      </c>
      <c r="AI33" s="403">
        <f t="shared" si="12"/>
        <v>0.98461538461538467</v>
      </c>
      <c r="AJ33" s="488">
        <f t="shared" si="13"/>
        <v>384</v>
      </c>
      <c r="AK33" s="581">
        <v>1</v>
      </c>
      <c r="AL33" s="488">
        <f t="shared" si="14"/>
        <v>384</v>
      </c>
      <c r="AM33">
        <f t="shared" si="15"/>
        <v>640</v>
      </c>
      <c r="AN33" t="s">
        <v>2850</v>
      </c>
      <c r="AO33" s="586" t="s">
        <v>2851</v>
      </c>
      <c r="AP33" s="599">
        <f>Table6[[#This Row],[LOT SIZE (ratio 1 lots so 1:3 will become lots below: 3 x lots below)]]/2.5</f>
        <v>3.2</v>
      </c>
      <c r="AQ33" s="600">
        <f>Table6[[#This Row],[LOT SIZE (ratio 1 lots so 1:3 will become lots below: 3 x lots below)]]-Table6[[#This Row],[ENTRY 1 (x)]]</f>
        <v>4.8</v>
      </c>
      <c r="AR33" s="599">
        <f>Table6[[#This Row],[LOT SIZE (ratio 1 lots so 1:3 will become lots below: 3 x lots below)]]/2.25</f>
        <v>3.5555555555555554</v>
      </c>
      <c r="AS33" s="600">
        <f>Table6[[#This Row],[LOT SIZE (ratio 1 lots so 1:3 will become lots below: 3 x lots below)]]-Table6[[#This Row],[ENTRY 1a (x)]]</f>
        <v>4.4444444444444446</v>
      </c>
      <c r="AT33" s="586"/>
      <c r="AV33" t="s">
        <v>2852</v>
      </c>
      <c r="AW33">
        <v>64</v>
      </c>
      <c r="AX33">
        <v>288</v>
      </c>
      <c r="AY33" t="s">
        <v>2853</v>
      </c>
      <c r="AZ33" s="403">
        <v>0.4</v>
      </c>
      <c r="BA33">
        <f>(AZ33*$AW$29)*1000</f>
        <v>312.00000000000006</v>
      </c>
      <c r="BB33" s="403">
        <f t="shared" si="16"/>
        <v>0.92307692307692291</v>
      </c>
      <c r="BC33" s="403">
        <f t="shared" ref="BC32:BC36" si="18">AW33/BA33</f>
        <v>0.20512820512820509</v>
      </c>
      <c r="BD33" s="575">
        <v>4</v>
      </c>
      <c r="BE33" s="403">
        <f t="shared" ref="BE32:BE36" si="19">BD33*BB33</f>
        <v>3.6923076923076916</v>
      </c>
      <c r="BF33">
        <f t="shared" ref="BF32:BF37" si="20">BE33*BA33</f>
        <v>1152</v>
      </c>
      <c r="BG33" s="580">
        <f>BD33*BC33</f>
        <v>0.82051282051282037</v>
      </c>
      <c r="BH33">
        <f>BG33*BA33</f>
        <v>256</v>
      </c>
      <c r="BI33" s="581">
        <v>1</v>
      </c>
      <c r="BJ33">
        <f>BI33*BH33</f>
        <v>256</v>
      </c>
      <c r="BK33">
        <f>BF33-BJ33</f>
        <v>896</v>
      </c>
      <c r="BL33" s="599">
        <f>0.4*Table5[[#This Row],[LOT SIZE]]</f>
        <v>1.6</v>
      </c>
      <c r="BM33" s="602">
        <f>Table5[[#This Row],[LOT SIZE]]-Table5[[#This Row],[ENTRY1]]</f>
        <v>2.4</v>
      </c>
    </row>
    <row r="34" spans="1:65" ht="15">
      <c r="A34" s="556">
        <v>0.6</v>
      </c>
      <c r="B34" s="557">
        <f>A34*B28</f>
        <v>0.46799999999999997</v>
      </c>
      <c r="C34" s="558">
        <v>5</v>
      </c>
      <c r="D34" t="s">
        <v>2854</v>
      </c>
      <c r="J34" s="436" t="s">
        <v>2855</v>
      </c>
      <c r="K34">
        <v>64</v>
      </c>
      <c r="L34">
        <v>100</v>
      </c>
      <c r="M34" s="442">
        <f>L34/K34</f>
        <v>1.5625</v>
      </c>
      <c r="N34" s="434">
        <v>0.3</v>
      </c>
      <c r="O34" s="416">
        <v>2</v>
      </c>
      <c r="P34" s="389"/>
      <c r="Q34" s="487" t="s">
        <v>2846</v>
      </c>
      <c r="R34" s="486">
        <v>18</v>
      </c>
      <c r="S34" s="488">
        <f>Table4[[#This Row],[MAX]]/Table4[[#This Row],['# of entries]]</f>
        <v>9</v>
      </c>
      <c r="T34">
        <v>2</v>
      </c>
      <c r="V34" s="567" t="s">
        <v>2830</v>
      </c>
      <c r="X34" t="s">
        <v>2856</v>
      </c>
      <c r="Y34" s="488">
        <v>64</v>
      </c>
      <c r="Z34" s="488">
        <v>64</v>
      </c>
      <c r="AA34" s="468" t="s">
        <v>2857</v>
      </c>
      <c r="AB34" s="571">
        <v>0.3</v>
      </c>
      <c r="AC34">
        <f t="shared" si="17"/>
        <v>234</v>
      </c>
      <c r="AD34" s="573">
        <f t="shared" si="8"/>
        <v>0.27350427350427353</v>
      </c>
      <c r="AE34" s="573">
        <f t="shared" si="9"/>
        <v>0.27350427350427353</v>
      </c>
      <c r="AF34" s="575">
        <v>3</v>
      </c>
      <c r="AG34" s="403">
        <f t="shared" si="10"/>
        <v>0.8205128205128206</v>
      </c>
      <c r="AH34">
        <f t="shared" si="11"/>
        <v>192.00000000000003</v>
      </c>
      <c r="AI34" s="403">
        <f>AE34*AF34</f>
        <v>0.8205128205128206</v>
      </c>
      <c r="AJ34" s="488">
        <f t="shared" si="13"/>
        <v>192.00000000000003</v>
      </c>
      <c r="AK34" s="581">
        <v>1</v>
      </c>
      <c r="AL34" s="488">
        <f t="shared" si="14"/>
        <v>192.00000000000003</v>
      </c>
      <c r="AM34">
        <f t="shared" si="15"/>
        <v>0</v>
      </c>
      <c r="AN34" t="s">
        <v>2858</v>
      </c>
      <c r="AO34" s="586" t="s">
        <v>2859</v>
      </c>
      <c r="AP34" s="599">
        <f>Table6[[#This Row],[LOT SIZE (ratio 1 lots so 1:3 will become lots below: 3 x lots below)]]/2.5</f>
        <v>1.2</v>
      </c>
      <c r="AQ34" s="600">
        <f>Table6[[#This Row],[LOT SIZE (ratio 1 lots so 1:3 will become lots below: 3 x lots below)]]-Table6[[#This Row],[ENTRY 1 (x)]]</f>
        <v>1.8</v>
      </c>
      <c r="AR34" s="599">
        <f>Table6[[#This Row],[LOT SIZE (ratio 1 lots so 1:3 will become lots below: 3 x lots below)]]/2.25</f>
        <v>1.3333333333333333</v>
      </c>
      <c r="AS34" s="600">
        <f>Table6[[#This Row],[LOT SIZE (ratio 1 lots so 1:3 will become lots below: 3 x lots below)]]-Table6[[#This Row],[ENTRY 1a (x)]]</f>
        <v>1.6666666666666667</v>
      </c>
      <c r="AT34" s="586"/>
      <c r="AV34" t="s">
        <v>2860</v>
      </c>
      <c r="AW34">
        <v>80</v>
      </c>
      <c r="AX34">
        <v>144</v>
      </c>
      <c r="AY34" t="s">
        <v>2861</v>
      </c>
      <c r="AZ34" s="403">
        <v>0.3</v>
      </c>
      <c r="BA34">
        <f>(AZ34*$AW$29)*1000</f>
        <v>234</v>
      </c>
      <c r="BB34" s="403">
        <f t="shared" si="16"/>
        <v>0.61538461538461542</v>
      </c>
      <c r="BC34" s="403">
        <f t="shared" si="18"/>
        <v>0.34188034188034189</v>
      </c>
      <c r="BD34" s="575">
        <v>2</v>
      </c>
      <c r="BE34" s="403">
        <f t="shared" si="19"/>
        <v>1.2307692307692308</v>
      </c>
      <c r="BF34">
        <f t="shared" si="20"/>
        <v>288</v>
      </c>
      <c r="BG34" s="580">
        <f>BD34*BC34</f>
        <v>0.68376068376068377</v>
      </c>
      <c r="BH34">
        <f>BG34*BA34</f>
        <v>160</v>
      </c>
      <c r="BI34" s="581">
        <v>3</v>
      </c>
      <c r="BJ34">
        <f>BI34*BH34</f>
        <v>480</v>
      </c>
      <c r="BK34">
        <f>BF34-BJ34</f>
        <v>-192</v>
      </c>
      <c r="BL34" s="599">
        <f>0.4*Table5[[#This Row],[LOT SIZE]]</f>
        <v>0.8</v>
      </c>
      <c r="BM34" s="602">
        <f>Table5[[#This Row],[LOT SIZE]]-Table5[[#This Row],[ENTRY1]]</f>
        <v>1.2</v>
      </c>
    </row>
    <row r="35" spans="1:65" ht="12.75">
      <c r="J35" s="443" t="s">
        <v>2862</v>
      </c>
      <c r="K35">
        <v>64</v>
      </c>
      <c r="L35">
        <v>128</v>
      </c>
      <c r="M35" s="442">
        <f>L35/K35</f>
        <v>2</v>
      </c>
      <c r="N35" s="435">
        <v>0.5</v>
      </c>
      <c r="O35" s="416">
        <v>2</v>
      </c>
      <c r="P35" s="389"/>
      <c r="Q35" s="487" t="s">
        <v>2727</v>
      </c>
      <c r="R35" s="486">
        <v>20</v>
      </c>
      <c r="S35" s="488">
        <f>Table4[[#This Row],[MAX]]/Table4[[#This Row],['# of entries]]</f>
        <v>10</v>
      </c>
      <c r="T35">
        <v>2</v>
      </c>
      <c r="U35" s="567" t="s">
        <v>2829</v>
      </c>
      <c r="V35" s="567" t="s">
        <v>2830</v>
      </c>
      <c r="X35" s="603" t="s">
        <v>2863</v>
      </c>
      <c r="Y35" s="488">
        <v>48</v>
      </c>
      <c r="Z35" s="488">
        <v>200</v>
      </c>
      <c r="AA35" s="468" t="s">
        <v>2864</v>
      </c>
      <c r="AB35" s="571">
        <v>0.5</v>
      </c>
      <c r="AC35">
        <f t="shared" si="17"/>
        <v>390</v>
      </c>
      <c r="AD35" s="573">
        <f t="shared" si="8"/>
        <v>0.51282051282051277</v>
      </c>
      <c r="AE35" s="573">
        <f t="shared" si="9"/>
        <v>0.12307692307692308</v>
      </c>
      <c r="AF35" s="575">
        <v>8</v>
      </c>
      <c r="AG35" s="403">
        <f t="shared" si="10"/>
        <v>4.1025641025641022</v>
      </c>
      <c r="AH35">
        <f t="shared" si="11"/>
        <v>1599.9999999999998</v>
      </c>
      <c r="AI35" s="403">
        <f t="shared" si="12"/>
        <v>0.98461538461538467</v>
      </c>
      <c r="AJ35" s="488">
        <f t="shared" si="13"/>
        <v>384</v>
      </c>
      <c r="AK35" s="581">
        <v>1</v>
      </c>
      <c r="AL35" s="488">
        <f>AK35*AJ35</f>
        <v>384</v>
      </c>
      <c r="AM35">
        <f t="shared" si="15"/>
        <v>1215.9999999999998</v>
      </c>
      <c r="AO35" s="586"/>
      <c r="AP35" s="599">
        <f>Table6[[#This Row],[LOT SIZE (ratio 1 lots so 1:3 will become lots below: 3 x lots below)]]/2.5</f>
        <v>3.2</v>
      </c>
      <c r="AQ35" s="600">
        <f>Table6[[#This Row],[LOT SIZE (ratio 1 lots so 1:3 will become lots below: 3 x lots below)]]-Table6[[#This Row],[ENTRY 1 (x)]]</f>
        <v>4.8</v>
      </c>
      <c r="AR35" s="599">
        <f>Table6[[#This Row],[LOT SIZE (ratio 1 lots so 1:3 will become lots below: 3 x lots below)]]/2.25</f>
        <v>3.5555555555555554</v>
      </c>
      <c r="AS35" s="600">
        <f>Table6[[#This Row],[LOT SIZE (ratio 1 lots so 1:3 will become lots below: 3 x lots below)]]-Table6[[#This Row],[ENTRY 1a (x)]]</f>
        <v>4.4444444444444446</v>
      </c>
      <c r="AT35" s="586"/>
      <c r="AV35" t="s">
        <v>2865</v>
      </c>
      <c r="AW35">
        <v>80</v>
      </c>
      <c r="AX35">
        <v>128</v>
      </c>
      <c r="AY35" t="s">
        <v>2866</v>
      </c>
      <c r="AZ35" s="403">
        <v>0.4</v>
      </c>
      <c r="BA35">
        <f>(AZ35*$AW$29)*1000</f>
        <v>312.00000000000006</v>
      </c>
      <c r="BB35" s="403">
        <f t="shared" si="16"/>
        <v>0.41025641025641019</v>
      </c>
      <c r="BC35" s="403">
        <f t="shared" si="18"/>
        <v>0.25641025641025639</v>
      </c>
      <c r="BD35" s="575">
        <v>3</v>
      </c>
      <c r="BE35" s="403">
        <f t="shared" si="19"/>
        <v>1.2307692307692306</v>
      </c>
      <c r="BF35">
        <f t="shared" si="20"/>
        <v>384</v>
      </c>
      <c r="BG35" s="580">
        <f t="shared" ref="BG35:BG36" si="21">BD35*BC35</f>
        <v>0.76923076923076916</v>
      </c>
      <c r="BH35">
        <f t="shared" ref="BH35:BH36" si="22">BG35*BA35</f>
        <v>240.00000000000003</v>
      </c>
      <c r="BI35" s="581">
        <v>2</v>
      </c>
      <c r="BJ35">
        <f t="shared" ref="BJ35:BJ36" si="23">BI35*BH35</f>
        <v>480.00000000000006</v>
      </c>
      <c r="BK35">
        <f t="shared" ref="BK35:BK36" si="24">BF35-BJ35</f>
        <v>-96.000000000000057</v>
      </c>
      <c r="BL35" s="599">
        <f>0.4*Table5[[#This Row],[LOT SIZE]]</f>
        <v>1.2000000000000002</v>
      </c>
      <c r="BM35" s="602">
        <f>Table5[[#This Row],[LOT SIZE]]-Table5[[#This Row],[ENTRY1]]</f>
        <v>1.7999999999999998</v>
      </c>
    </row>
    <row r="36" spans="1:65" ht="12.75">
      <c r="J36" s="506" t="s">
        <v>2867</v>
      </c>
      <c r="K36">
        <v>48</v>
      </c>
      <c r="L36">
        <v>128</v>
      </c>
      <c r="M36" s="442">
        <f>L36/K36</f>
        <v>2.6666666666666665</v>
      </c>
      <c r="N36" s="434">
        <v>0.4</v>
      </c>
      <c r="O36" s="416">
        <v>2</v>
      </c>
      <c r="P36" s="389"/>
      <c r="Q36" s="487" t="s">
        <v>2837</v>
      </c>
      <c r="R36" s="486"/>
      <c r="S36" s="488">
        <f>Table4[[#This Row],[MAX]]/Table4[[#This Row],['# of entries]]</f>
        <v>0</v>
      </c>
      <c r="T36">
        <v>2</v>
      </c>
      <c r="U36" s="567" t="s">
        <v>2829</v>
      </c>
      <c r="V36" s="567" t="s">
        <v>2830</v>
      </c>
      <c r="X36" t="s">
        <v>2868</v>
      </c>
      <c r="Y36" s="488">
        <v>80</v>
      </c>
      <c r="Z36" s="488">
        <v>80</v>
      </c>
      <c r="AA36" s="468" t="s">
        <v>2869</v>
      </c>
      <c r="AB36" s="571">
        <v>0.3</v>
      </c>
      <c r="AC36">
        <f t="shared" si="17"/>
        <v>234</v>
      </c>
      <c r="AD36" s="573">
        <f t="shared" si="8"/>
        <v>0.34188034188034189</v>
      </c>
      <c r="AE36" s="573">
        <f t="shared" si="9"/>
        <v>0.34188034188034189</v>
      </c>
      <c r="AF36" s="575">
        <v>2</v>
      </c>
      <c r="AG36" s="403">
        <f t="shared" ref="AG36" si="25">AF36*AD36</f>
        <v>0.68376068376068377</v>
      </c>
      <c r="AH36">
        <f t="shared" ref="AH36" si="26">AG36*AC36</f>
        <v>160</v>
      </c>
      <c r="AI36" s="403">
        <f t="shared" ref="AI36" si="27">AE36*AF36</f>
        <v>0.68376068376068377</v>
      </c>
      <c r="AJ36" s="488">
        <f t="shared" ref="AJ36" si="28">AI36*AC36</f>
        <v>160</v>
      </c>
      <c r="AK36" s="581">
        <v>2</v>
      </c>
      <c r="AL36" s="488">
        <f>AK36*AJ36</f>
        <v>320</v>
      </c>
      <c r="AM36">
        <f t="shared" ref="AM36" si="29">AH36-AL36</f>
        <v>-160</v>
      </c>
      <c r="AO36" s="586"/>
      <c r="AP36" s="599">
        <f>Table6[[#This Row],[LOT SIZE (ratio 1 lots so 1:3 will become lots below: 3 x lots below)]]/2.5</f>
        <v>0.8</v>
      </c>
      <c r="AQ36" s="600">
        <f>Table6[[#This Row],[LOT SIZE (ratio 1 lots so 1:3 will become lots below: 3 x lots below)]]-Table6[[#This Row],[ENTRY 1 (x)]]</f>
        <v>1.2</v>
      </c>
      <c r="AR36" s="599">
        <f>Table6[[#This Row],[LOT SIZE (ratio 1 lots so 1:3 will become lots below: 3 x lots below)]]/2.25</f>
        <v>0.88888888888888884</v>
      </c>
      <c r="AS36" s="600">
        <f>Table6[[#This Row],[LOT SIZE (ratio 1 lots so 1:3 will become lots below: 3 x lots below)]]-Table6[[#This Row],[ENTRY 1a (x)]]</f>
        <v>1.1111111111111112</v>
      </c>
      <c r="AT36" s="586"/>
      <c r="AV36" t="s">
        <v>2870</v>
      </c>
      <c r="AW36">
        <v>64</v>
      </c>
      <c r="AX36">
        <v>128</v>
      </c>
      <c r="AY36" t="s">
        <v>2871</v>
      </c>
      <c r="AZ36" s="403">
        <v>0.4</v>
      </c>
      <c r="BA36">
        <f>(AZ36*$AW$29)*1000</f>
        <v>312.00000000000006</v>
      </c>
      <c r="BB36" s="403">
        <f t="shared" si="16"/>
        <v>0.41025641025641019</v>
      </c>
      <c r="BC36" s="403">
        <f t="shared" si="18"/>
        <v>0.20512820512820509</v>
      </c>
      <c r="BD36" s="575">
        <v>4</v>
      </c>
      <c r="BE36" s="403">
        <f t="shared" si="19"/>
        <v>1.6410256410256407</v>
      </c>
      <c r="BF36">
        <f>BE36*BA36</f>
        <v>512</v>
      </c>
      <c r="BG36" s="580">
        <f t="shared" si="21"/>
        <v>0.82051282051282037</v>
      </c>
      <c r="BH36">
        <f t="shared" si="22"/>
        <v>256</v>
      </c>
      <c r="BI36" s="581">
        <v>1</v>
      </c>
      <c r="BJ36">
        <f t="shared" si="23"/>
        <v>256</v>
      </c>
      <c r="BK36">
        <f t="shared" si="24"/>
        <v>256</v>
      </c>
      <c r="BL36" s="599">
        <f>0.4*Table5[[#This Row],[LOT SIZE]]</f>
        <v>1.6</v>
      </c>
      <c r="BM36" s="602">
        <f>Table5[[#This Row],[LOT SIZE]]-Table5[[#This Row],[ENTRY1]]</f>
        <v>2.4</v>
      </c>
    </row>
    <row r="37" spans="1:65" ht="12.75">
      <c r="A37" t="s">
        <v>2872</v>
      </c>
      <c r="J37" t="s">
        <v>2873</v>
      </c>
      <c r="K37">
        <f>29*5</f>
        <v>145</v>
      </c>
      <c r="L37">
        <v>700</v>
      </c>
      <c r="M37" s="442">
        <f>L37/K37</f>
        <v>4.8275862068965516</v>
      </c>
      <c r="N37" s="434">
        <v>0.3</v>
      </c>
      <c r="O37" s="416">
        <v>2</v>
      </c>
      <c r="P37" s="389"/>
      <c r="Q37" s="487" t="s">
        <v>2846</v>
      </c>
      <c r="R37" s="486"/>
      <c r="S37" s="488">
        <f>Table4[[#This Row],[MAX]]/Table4[[#This Row],['# of entries]]</f>
        <v>0</v>
      </c>
      <c r="T37">
        <v>2</v>
      </c>
      <c r="V37" s="567" t="s">
        <v>2830</v>
      </c>
      <c r="AZ37" s="403"/>
    </row>
    <row r="38" spans="1:65" ht="12.75">
      <c r="A38" t="s">
        <v>2874</v>
      </c>
      <c r="J38" t="s">
        <v>2875</v>
      </c>
      <c r="M38" s="442"/>
      <c r="N38" s="433">
        <v>0.25</v>
      </c>
      <c r="O38" s="416">
        <v>1</v>
      </c>
      <c r="P38" s="389"/>
      <c r="Q38" s="487" t="s">
        <v>2846</v>
      </c>
      <c r="R38" s="486">
        <v>3</v>
      </c>
      <c r="S38" s="488">
        <f>Table4[[#This Row],[MAX]]/Table4[[#This Row],['# of entries]]</f>
        <v>1.5</v>
      </c>
      <c r="T38">
        <v>2</v>
      </c>
      <c r="V38" s="567" t="s">
        <v>2830</v>
      </c>
      <c r="AV38" s="577" t="s">
        <v>2876</v>
      </c>
      <c r="AW38" s="570" t="s">
        <v>2803</v>
      </c>
      <c r="AX38" s="570" t="s">
        <v>2804</v>
      </c>
      <c r="AY38" s="579" t="s">
        <v>2822</v>
      </c>
      <c r="AZ38" s="570" t="s">
        <v>2806</v>
      </c>
      <c r="BA38" s="537" t="s">
        <v>2807</v>
      </c>
      <c r="BB38" s="537" t="s">
        <v>2808</v>
      </c>
      <c r="BC38" s="582" t="s">
        <v>2809</v>
      </c>
      <c r="BD38" s="537" t="s">
        <v>2823</v>
      </c>
      <c r="BE38" s="537" t="s">
        <v>2811</v>
      </c>
      <c r="BF38" s="537" t="s">
        <v>2812</v>
      </c>
      <c r="BG38" s="537" t="s">
        <v>2813</v>
      </c>
      <c r="BH38" s="574" t="s">
        <v>2791</v>
      </c>
      <c r="BI38" s="574" t="s">
        <v>2814</v>
      </c>
      <c r="BJ38" s="574" t="s">
        <v>2815</v>
      </c>
      <c r="BK38" s="537" t="s">
        <v>2816</v>
      </c>
    </row>
    <row r="39" spans="1:65" ht="12.75">
      <c r="A39" t="s">
        <v>2877</v>
      </c>
      <c r="J39" s="443" t="s">
        <v>2878</v>
      </c>
      <c r="K39">
        <v>130</v>
      </c>
      <c r="L39">
        <v>400</v>
      </c>
      <c r="M39" s="442">
        <f>L39/K39</f>
        <v>3.0769230769230771</v>
      </c>
      <c r="N39" s="434">
        <v>0.4</v>
      </c>
      <c r="O39" s="416">
        <v>1</v>
      </c>
      <c r="P39" s="389"/>
      <c r="Q39" s="487" t="s">
        <v>2846</v>
      </c>
      <c r="R39" s="486">
        <v>6</v>
      </c>
      <c r="S39" s="488">
        <f>Table4[[#This Row],[MAX]]/Table4[[#This Row],['# of entries]]</f>
        <v>3</v>
      </c>
      <c r="T39">
        <v>2</v>
      </c>
      <c r="V39" s="567" t="s">
        <v>2830</v>
      </c>
      <c r="X39" t="s">
        <v>2879</v>
      </c>
      <c r="AV39" t="s">
        <v>2873</v>
      </c>
      <c r="AW39">
        <v>145</v>
      </c>
      <c r="AX39">
        <v>700</v>
      </c>
      <c r="AZ39" s="403">
        <v>0.2</v>
      </c>
      <c r="BA39">
        <f>(Table7[[#This Row],[% ALLOCATION]]*$AW$29)*1000</f>
        <v>156.00000000000003</v>
      </c>
      <c r="BB39" s="403">
        <f>Table7[[#This Row],[P/M / LOT]]/Table7[[#This Row],[ALLOCATION AMT]]</f>
        <v>4.4871794871794863</v>
      </c>
      <c r="BC39" s="403">
        <f>Table7[[#This Row],[MAX DD / LOT]]/Table7[[#This Row],[ALLOCATION AMT]]</f>
        <v>0.92948717948717929</v>
      </c>
      <c r="BD39" s="575">
        <v>1</v>
      </c>
      <c r="BE39" s="403">
        <f>Table7[[#This Row],[LOT SIZE]]*Table7[[#This Row],[PROFIT / MONTH % PER LOT]]</f>
        <v>4.4871794871794863</v>
      </c>
      <c r="BF39">
        <f>Table7[[#This Row],[PROFIT PER PLAY]]*Table7[[#This Row],[LOT SIZE]]</f>
        <v>4.4871794871794863</v>
      </c>
      <c r="BG39" s="403">
        <f>Table7[[#This Row],[LOT SIZE]]*Table7[[#This Row],[DD% PER LOT]]</f>
        <v>0.92948717948717929</v>
      </c>
      <c r="BH39">
        <f>Table7[[#This Row],[DD% PER PLAY]]*Table7[[#This Row],[ALLOCATION AMT]]</f>
        <v>145</v>
      </c>
      <c r="BI39">
        <v>4</v>
      </c>
      <c r="BJ39">
        <f>Table7[[#This Row],['# DD / PLAY]]*Table7[[#This Row],[MAX DD]]</f>
        <v>580</v>
      </c>
      <c r="BK39" s="465">
        <f>Table7[[#This Row],[PROFIT AMT / PLAY]]-Table7[[#This Row],[TOTAL MAX DD]]</f>
        <v>-575.51282051282055</v>
      </c>
    </row>
    <row r="40" spans="1:65" ht="12.75">
      <c r="A40" t="s">
        <v>2880</v>
      </c>
      <c r="J40" s="437" t="s">
        <v>2881</v>
      </c>
      <c r="K40" s="418">
        <v>64</v>
      </c>
      <c r="L40" s="418">
        <v>80</v>
      </c>
      <c r="M40" s="442">
        <f>L40/K40</f>
        <v>1.25</v>
      </c>
      <c r="N40" s="433">
        <v>0.2</v>
      </c>
      <c r="O40" s="416">
        <v>1</v>
      </c>
      <c r="Q40" s="486" t="s">
        <v>2846</v>
      </c>
      <c r="R40" s="486">
        <v>12</v>
      </c>
      <c r="S40" s="488">
        <f>Table4[[#This Row],[MAX]]/Table4[[#This Row],['# of entries]]</f>
        <v>6</v>
      </c>
      <c r="T40">
        <v>2</v>
      </c>
      <c r="V40" s="567" t="s">
        <v>2830</v>
      </c>
      <c r="X40" s="468" t="s">
        <v>2882</v>
      </c>
      <c r="AV40" s="603" t="s">
        <v>2883</v>
      </c>
      <c r="AW40">
        <v>64</v>
      </c>
      <c r="AX40">
        <v>80</v>
      </c>
      <c r="AZ40" s="403">
        <v>0.25</v>
      </c>
      <c r="BA40">
        <f>(Table7[[#This Row],[% ALLOCATION]]*$AW$29)*1000</f>
        <v>195</v>
      </c>
      <c r="BB40" s="403">
        <f>Table7[[#This Row],[P/M / LOT]]/Table7[[#This Row],[ALLOCATION AMT]]</f>
        <v>0.41025641025641024</v>
      </c>
      <c r="BC40" s="403">
        <f>Table7[[#This Row],[MAX DD / LOT]]/Table7[[#This Row],[ALLOCATION AMT]]</f>
        <v>0.3282051282051282</v>
      </c>
      <c r="BD40" s="575">
        <v>3</v>
      </c>
      <c r="BE40" s="403">
        <f>Table7[[#This Row],[LOT SIZE]]*Table7[[#This Row],[PROFIT / MONTH % PER LOT]]</f>
        <v>1.2307692307692308</v>
      </c>
      <c r="BF40">
        <f>Table7[[#This Row],[PROFIT PER PLAY]]*Table7[[#This Row],[LOT SIZE]]</f>
        <v>3.6923076923076925</v>
      </c>
      <c r="BG40" s="403">
        <f>Table7[[#This Row],[LOT SIZE]]*Table7[[#This Row],[DD% PER LOT]]</f>
        <v>0.98461538461538467</v>
      </c>
      <c r="BH40">
        <f>Table7[[#This Row],[DD% PER PLAY]]*Table7[[#This Row],[ALLOCATION AMT]]</f>
        <v>192</v>
      </c>
      <c r="BI40">
        <v>1</v>
      </c>
      <c r="BJ40">
        <f>Table7[[#This Row],['# DD / PLAY]]*Table7[[#This Row],[MAX DD]]</f>
        <v>192</v>
      </c>
      <c r="BK40" s="465">
        <f>Table7[[#This Row],[PROFIT AMT / PLAY]]-Table7[[#This Row],[TOTAL MAX DD]]</f>
        <v>-188.30769230769232</v>
      </c>
    </row>
    <row r="41" spans="1:65" ht="12.75">
      <c r="A41" t="s">
        <v>2884</v>
      </c>
      <c r="J41" t="s">
        <v>2885</v>
      </c>
      <c r="K41">
        <v>64</v>
      </c>
      <c r="L41">
        <v>128</v>
      </c>
      <c r="M41" s="442">
        <f>L41/K41</f>
        <v>2</v>
      </c>
      <c r="N41" s="435">
        <v>0.5</v>
      </c>
      <c r="O41" s="416">
        <v>1</v>
      </c>
      <c r="P41" s="389"/>
      <c r="Q41" s="487" t="s">
        <v>2727</v>
      </c>
      <c r="R41" s="486">
        <v>20</v>
      </c>
      <c r="S41" s="488">
        <f>Table4[[#This Row],[MAX]]/Table4[[#This Row],['# of entries]]</f>
        <v>10</v>
      </c>
      <c r="T41">
        <v>2</v>
      </c>
      <c r="U41" s="567" t="s">
        <v>2829</v>
      </c>
      <c r="V41" s="567" t="s">
        <v>2830</v>
      </c>
      <c r="X41" t="s">
        <v>2886</v>
      </c>
      <c r="AV41" t="s">
        <v>2887</v>
      </c>
      <c r="AW41">
        <v>160</v>
      </c>
      <c r="AX41">
        <v>640</v>
      </c>
      <c r="AZ41" s="403">
        <v>0.25</v>
      </c>
      <c r="BA41">
        <f>(Table7[[#This Row],[% ALLOCATION]]*$AW$29)*1000</f>
        <v>195</v>
      </c>
      <c r="BB41" s="403">
        <f>Table7[[#This Row],[P/M / LOT]]/Table7[[#This Row],[ALLOCATION AMT]]</f>
        <v>3.2820512820512819</v>
      </c>
      <c r="BC41" s="403">
        <f>Table7[[#This Row],[MAX DD / LOT]]/Table7[[#This Row],[ALLOCATION AMT]]</f>
        <v>0.82051282051282048</v>
      </c>
      <c r="BD41" s="575">
        <v>1</v>
      </c>
      <c r="BE41" s="403">
        <f>Table7[[#This Row],[LOT SIZE]]*Table7[[#This Row],[PROFIT / MONTH % PER LOT]]</f>
        <v>3.2820512820512819</v>
      </c>
      <c r="BF41">
        <f>Table7[[#This Row],[PROFIT PER PLAY]]*Table7[[#This Row],[LOT SIZE]]</f>
        <v>3.2820512820512819</v>
      </c>
      <c r="BG41" s="403">
        <f>Table7[[#This Row],[LOT SIZE]]*Table7[[#This Row],[DD% PER LOT]]</f>
        <v>0.82051282051282048</v>
      </c>
      <c r="BH41">
        <f>Table7[[#This Row],[DD% PER PLAY]]*Table7[[#This Row],[ALLOCATION AMT]]</f>
        <v>160</v>
      </c>
      <c r="BI41">
        <v>1</v>
      </c>
      <c r="BJ41">
        <f>Table7[[#This Row],['# DD / PLAY]]*Table7[[#This Row],[MAX DD]]</f>
        <v>160</v>
      </c>
      <c r="BK41" s="465">
        <f>Table7[[#This Row],[PROFIT AMT / PLAY]]-Table7[[#This Row],[TOTAL MAX DD]]</f>
        <v>-156.71794871794873</v>
      </c>
    </row>
    <row r="42" spans="1:65" ht="15">
      <c r="J42" s="437" t="s">
        <v>2888</v>
      </c>
      <c r="K42">
        <v>48</v>
      </c>
      <c r="L42">
        <v>80</v>
      </c>
      <c r="M42" s="442">
        <f>L42/K42</f>
        <v>1.6666666666666667</v>
      </c>
      <c r="N42" s="433">
        <v>0.2</v>
      </c>
      <c r="O42" s="416">
        <v>1</v>
      </c>
      <c r="P42" s="389"/>
      <c r="Q42" s="487" t="s">
        <v>2846</v>
      </c>
      <c r="R42" s="486"/>
      <c r="S42" s="488">
        <f>Table4[[#This Row],[MAX]]/Table4[[#This Row],['# of entries]]</f>
        <v>0</v>
      </c>
      <c r="T42">
        <v>2</v>
      </c>
      <c r="V42" s="567" t="s">
        <v>2830</v>
      </c>
      <c r="X42" s="598" t="s">
        <v>2889</v>
      </c>
      <c r="AV42" t="s">
        <v>2890</v>
      </c>
      <c r="AW42">
        <v>1500</v>
      </c>
      <c r="AX42">
        <v>1200</v>
      </c>
      <c r="AZ42" s="403">
        <v>0.25</v>
      </c>
      <c r="BA42">
        <f>(Table7[[#This Row],[% ALLOCATION]]*$AW$29)*1000</f>
        <v>195</v>
      </c>
      <c r="BB42" s="403">
        <f>Table7[[#This Row],[P/M / LOT]]/Table7[[#This Row],[ALLOCATION AMT]]</f>
        <v>6.1538461538461542</v>
      </c>
      <c r="BC42" s="403">
        <f>Table7[[#This Row],[MAX DD / LOT]]/Table7[[#This Row],[ALLOCATION AMT]]</f>
        <v>7.6923076923076925</v>
      </c>
      <c r="BD42" s="575">
        <v>0</v>
      </c>
      <c r="BE42" s="403">
        <f>Table7[[#This Row],[LOT SIZE]]*Table7[[#This Row],[PROFIT / MONTH % PER LOT]]</f>
        <v>0</v>
      </c>
      <c r="BF42">
        <f>Table7[[#This Row],[PROFIT PER PLAY]]*Table7[[#This Row],[LOT SIZE]]</f>
        <v>0</v>
      </c>
      <c r="BG42" s="403">
        <f>Table7[[#This Row],[LOT SIZE]]*Table7[[#This Row],[DD% PER LOT]]</f>
        <v>0</v>
      </c>
      <c r="BH42">
        <f>Table7[[#This Row],[DD% PER PLAY]]*Table7[[#This Row],[ALLOCATION AMT]]</f>
        <v>0</v>
      </c>
      <c r="BI42">
        <v>1</v>
      </c>
      <c r="BJ42">
        <f>Table7[[#This Row],['# DD / PLAY]]*Table7[[#This Row],[MAX DD]]</f>
        <v>0</v>
      </c>
      <c r="BK42" s="465">
        <f>Table7[[#This Row],[PROFIT AMT / PLAY]]-Table7[[#This Row],[TOTAL MAX DD]]</f>
        <v>0</v>
      </c>
    </row>
    <row r="43" spans="1:65" ht="15">
      <c r="J43" s="436" t="s">
        <v>2891</v>
      </c>
      <c r="K43">
        <v>160</v>
      </c>
      <c r="L43">
        <v>640</v>
      </c>
      <c r="M43" s="442">
        <f>L43/K43</f>
        <v>4</v>
      </c>
      <c r="N43" s="434">
        <v>0.3</v>
      </c>
      <c r="O43" s="416">
        <v>1</v>
      </c>
      <c r="P43" s="389"/>
      <c r="Q43" s="487" t="s">
        <v>2846</v>
      </c>
      <c r="R43" s="486">
        <v>2</v>
      </c>
      <c r="S43" s="488">
        <f>Table4[[#This Row],[MAX]]/Table4[[#This Row],['# of entries]]</f>
        <v>1</v>
      </c>
      <c r="T43">
        <v>2</v>
      </c>
      <c r="V43" s="567" t="s">
        <v>2830</v>
      </c>
      <c r="X43" s="569" t="s">
        <v>2892</v>
      </c>
      <c r="AV43" s="603" t="s">
        <v>2893</v>
      </c>
      <c r="AW43">
        <v>80</v>
      </c>
      <c r="AX43">
        <v>128</v>
      </c>
      <c r="AZ43" s="403">
        <v>0.25</v>
      </c>
      <c r="BA43">
        <f>(Table7[[#This Row],[% ALLOCATION]]*$AW$29)*1000</f>
        <v>195</v>
      </c>
      <c r="BB43" s="403">
        <f>Table7[[#This Row],[P/M / LOT]]/Table7[[#This Row],[ALLOCATION AMT]]</f>
        <v>0.65641025641025641</v>
      </c>
      <c r="BC43" s="403">
        <f>Table7[[#This Row],[MAX DD / LOT]]/Table7[[#This Row],[ALLOCATION AMT]]</f>
        <v>0.41025641025641024</v>
      </c>
      <c r="BD43" s="575">
        <v>2</v>
      </c>
      <c r="BE43" s="403">
        <f>Table7[[#This Row],[LOT SIZE]]*Table7[[#This Row],[PROFIT / MONTH % PER LOT]]</f>
        <v>1.3128205128205128</v>
      </c>
      <c r="BF43">
        <f>Table7[[#This Row],[PROFIT PER PLAY]]*Table7[[#This Row],[LOT SIZE]]</f>
        <v>2.6256410256410256</v>
      </c>
      <c r="BG43" s="403">
        <f>Table7[[#This Row],[LOT SIZE]]*Table7[[#This Row],[DD% PER LOT]]</f>
        <v>0.82051282051282048</v>
      </c>
      <c r="BH43">
        <f>Table7[[#This Row],[DD% PER PLAY]]*Table7[[#This Row],[ALLOCATION AMT]]</f>
        <v>160</v>
      </c>
      <c r="BI43">
        <v>1</v>
      </c>
      <c r="BJ43">
        <f>Table7[[#This Row],['# DD / PLAY]]*Table7[[#This Row],[MAX DD]]</f>
        <v>160</v>
      </c>
      <c r="BK43" s="465">
        <f>Table7[[#This Row],[PROFIT AMT / PLAY]]-Table7[[#This Row],[TOTAL MAX DD]]</f>
        <v>-157.37435897435898</v>
      </c>
    </row>
    <row r="44" spans="1:65" ht="15">
      <c r="J44" t="s">
        <v>2890</v>
      </c>
      <c r="K44">
        <v>1500</v>
      </c>
      <c r="L44">
        <v>1200</v>
      </c>
      <c r="M44" s="442">
        <f>L44/K44</f>
        <v>0.8</v>
      </c>
      <c r="N44" s="433">
        <v>0.1</v>
      </c>
      <c r="O44" s="416">
        <v>1</v>
      </c>
      <c r="P44" s="389"/>
      <c r="Q44" s="487" t="s">
        <v>2846</v>
      </c>
      <c r="R44" s="486">
        <v>1</v>
      </c>
      <c r="S44" s="488">
        <v>1</v>
      </c>
      <c r="T44">
        <v>2</v>
      </c>
      <c r="V44" s="567" t="s">
        <v>2830</v>
      </c>
      <c r="X44" s="598" t="s">
        <v>2894</v>
      </c>
      <c r="AV44" t="s">
        <v>2895</v>
      </c>
      <c r="AW44">
        <v>320</v>
      </c>
      <c r="AX44">
        <v>112</v>
      </c>
      <c r="AZ44" s="403">
        <v>0.1</v>
      </c>
      <c r="BA44">
        <f>(Table7[[#This Row],[% ALLOCATION]]*$AW$29)*1000</f>
        <v>78.000000000000014</v>
      </c>
      <c r="BB44" s="403">
        <f>Table7[[#This Row],[P/M / LOT]]/Table7[[#This Row],[ALLOCATION AMT]]</f>
        <v>1.4358974358974357</v>
      </c>
      <c r="BC44" s="403">
        <f>Table7[[#This Row],[MAX DD / LOT]]/Table7[[#This Row],[ALLOCATION AMT]]</f>
        <v>4.1025641025641022</v>
      </c>
      <c r="BD44" s="575">
        <v>0</v>
      </c>
      <c r="BE44" s="403">
        <f>Table7[[#This Row],[LOT SIZE]]*Table7[[#This Row],[PROFIT / MONTH % PER LOT]]</f>
        <v>0</v>
      </c>
      <c r="BF44">
        <f>Table7[[#This Row],[PROFIT PER PLAY]]*Table7[[#This Row],[LOT SIZE]]</f>
        <v>0</v>
      </c>
      <c r="BG44" s="403">
        <f>Table7[[#This Row],[LOT SIZE]]*Table7[[#This Row],[DD% PER LOT]]</f>
        <v>0</v>
      </c>
      <c r="BH44">
        <f>Table7[[#This Row],[DD% PER PLAY]]*Table7[[#This Row],[ALLOCATION AMT]]</f>
        <v>0</v>
      </c>
      <c r="BI44">
        <v>2</v>
      </c>
      <c r="BJ44">
        <f>Table7[[#This Row],['# DD / PLAY]]*Table7[[#This Row],[MAX DD]]</f>
        <v>0</v>
      </c>
      <c r="BK44" s="465">
        <f>Table7[[#This Row],[PROFIT AMT / PLAY]]-Table7[[#This Row],[TOTAL MAX DD]]</f>
        <v>0</v>
      </c>
    </row>
    <row r="45" spans="1:65" ht="15">
      <c r="J45" t="s">
        <v>2896</v>
      </c>
      <c r="K45">
        <v>256</v>
      </c>
      <c r="L45">
        <v>256</v>
      </c>
      <c r="M45" s="442">
        <f>L45/K45</f>
        <v>1</v>
      </c>
      <c r="N45" s="433">
        <v>0.1</v>
      </c>
      <c r="O45" s="416">
        <v>1</v>
      </c>
      <c r="P45" s="389"/>
      <c r="Q45" s="487" t="s">
        <v>2846</v>
      </c>
      <c r="R45" s="486"/>
      <c r="S45" s="488"/>
      <c r="V45" s="567" t="s">
        <v>2830</v>
      </c>
      <c r="X45" s="598" t="s">
        <v>2897</v>
      </c>
    </row>
    <row r="46" spans="1:65" ht="15">
      <c r="A46" s="468" t="s">
        <v>2898</v>
      </c>
      <c r="J46" s="508" t="s">
        <v>2899</v>
      </c>
      <c r="K46">
        <v>160</v>
      </c>
      <c r="L46">
        <v>-160</v>
      </c>
      <c r="M46" s="442">
        <f>L46/K46</f>
        <v>-1</v>
      </c>
      <c r="N46" s="434">
        <v>0</v>
      </c>
      <c r="O46" s="416">
        <v>0</v>
      </c>
      <c r="P46" s="389"/>
      <c r="Q46" s="487" t="s">
        <v>2727</v>
      </c>
      <c r="R46" s="486"/>
      <c r="S46" s="488"/>
      <c r="U46" s="567" t="s">
        <v>2829</v>
      </c>
      <c r="V46" s="567" t="s">
        <v>2830</v>
      </c>
      <c r="X46" s="598" t="s">
        <v>2900</v>
      </c>
    </row>
    <row r="47" spans="1:65" ht="15">
      <c r="A47" s="468"/>
      <c r="S47" s="488"/>
      <c r="U47" s="589"/>
      <c r="V47" s="589"/>
      <c r="X47" s="598" t="s">
        <v>2901</v>
      </c>
    </row>
    <row r="48" spans="1:65" ht="23.25" customHeight="1">
      <c r="A48" s="591" t="s">
        <v>2902</v>
      </c>
      <c r="B48" s="592"/>
      <c r="C48" s="593"/>
      <c r="D48" s="489"/>
      <c r="E48" s="489"/>
      <c r="F48" s="489"/>
      <c r="X48" t="s">
        <v>2903</v>
      </c>
      <c r="AV48" t="s">
        <v>2904</v>
      </c>
    </row>
    <row r="49" spans="1:48" ht="29.25" customHeight="1">
      <c r="A49" s="520"/>
      <c r="B49" s="521" t="s">
        <v>2905</v>
      </c>
      <c r="C49" s="520"/>
      <c r="J49" s="560" t="s">
        <v>2906</v>
      </c>
      <c r="K49" s="561" t="s">
        <v>2907</v>
      </c>
      <c r="L49" s="562"/>
      <c r="M49" s="562"/>
      <c r="N49" s="562"/>
      <c r="O49" s="562"/>
      <c r="P49" s="562"/>
      <c r="Q49" s="562" t="s">
        <v>2908</v>
      </c>
      <c r="AV49" t="s">
        <v>2909</v>
      </c>
    </row>
    <row r="50" spans="1:48">
      <c r="A50" s="517" t="s">
        <v>2910</v>
      </c>
      <c r="B50" s="518" t="s">
        <v>2911</v>
      </c>
      <c r="C50" s="519" t="s">
        <v>2912</v>
      </c>
      <c r="X50" t="s">
        <v>2913</v>
      </c>
    </row>
    <row r="51" spans="1:48" ht="20.25">
      <c r="A51" s="538">
        <f>0.5*$B$51</f>
        <v>0.77500000000000002</v>
      </c>
      <c r="B51" s="539">
        <f>0.62*$B$26</f>
        <v>1.55</v>
      </c>
      <c r="C51" s="540">
        <f>$B$26*0.8</f>
        <v>2</v>
      </c>
      <c r="J51" s="631" t="s">
        <v>2914</v>
      </c>
      <c r="K51" s="631"/>
      <c r="L51" s="631"/>
      <c r="M51" s="631"/>
      <c r="X51" t="s">
        <v>2915</v>
      </c>
    </row>
    <row r="52" spans="1:48">
      <c r="A52" s="530" t="s">
        <v>2916</v>
      </c>
      <c r="B52" s="531"/>
      <c r="C52" s="532" t="s">
        <v>2917</v>
      </c>
      <c r="J52" s="399" t="s">
        <v>2790</v>
      </c>
      <c r="K52" s="453" t="s">
        <v>2918</v>
      </c>
      <c r="L52" s="454" t="s">
        <v>2919</v>
      </c>
      <c r="M52" s="455" t="s">
        <v>2920</v>
      </c>
      <c r="X52" s="468" t="s">
        <v>2921</v>
      </c>
    </row>
    <row r="53" spans="1:48">
      <c r="A53" s="533">
        <f>0.33*B51</f>
        <v>0.51150000000000007</v>
      </c>
      <c r="B53" s="534" t="s">
        <v>2922</v>
      </c>
      <c r="C53" s="532"/>
      <c r="J53" s="437" t="s">
        <v>2923</v>
      </c>
      <c r="K53" s="486">
        <v>1</v>
      </c>
      <c r="L53" s="486">
        <v>1</v>
      </c>
      <c r="M53" s="486">
        <v>1</v>
      </c>
      <c r="X53" t="s">
        <v>2924</v>
      </c>
    </row>
    <row r="54" spans="1:48">
      <c r="A54" s="535">
        <f>0.25*B51</f>
        <v>0.38750000000000001</v>
      </c>
      <c r="B54" s="536" t="s">
        <v>2925</v>
      </c>
      <c r="C54" s="529"/>
      <c r="J54" s="436" t="s">
        <v>2855</v>
      </c>
      <c r="K54" s="486">
        <v>1</v>
      </c>
      <c r="L54" s="486">
        <v>1</v>
      </c>
      <c r="M54" s="486">
        <v>1</v>
      </c>
    </row>
    <row r="55" spans="1:48" ht="12.75">
      <c r="J55" s="438" t="s">
        <v>2926</v>
      </c>
      <c r="K55" s="486">
        <v>1</v>
      </c>
      <c r="L55" s="486">
        <v>1</v>
      </c>
      <c r="M55" s="486">
        <v>1</v>
      </c>
      <c r="X55" t="s">
        <v>208</v>
      </c>
    </row>
    <row r="56" spans="1:48" ht="12.75">
      <c r="J56" s="443" t="s">
        <v>2927</v>
      </c>
      <c r="K56" s="486">
        <v>1</v>
      </c>
      <c r="L56" s="486">
        <v>2</v>
      </c>
      <c r="M56" s="486">
        <v>2</v>
      </c>
      <c r="X56" t="s">
        <v>2928</v>
      </c>
    </row>
    <row r="57" spans="1:48" ht="12.75">
      <c r="A57" s="425" t="s">
        <v>2929</v>
      </c>
      <c r="B57" s="425" t="s">
        <v>2930</v>
      </c>
      <c r="C57" s="425" t="s">
        <v>2931</v>
      </c>
      <c r="D57" s="504" t="s">
        <v>2932</v>
      </c>
      <c r="E57" s="505" t="s">
        <v>2933</v>
      </c>
      <c r="J57" s="443" t="s">
        <v>2867</v>
      </c>
      <c r="K57" s="486">
        <v>1</v>
      </c>
      <c r="L57" s="486">
        <v>2</v>
      </c>
      <c r="M57" s="486">
        <v>3</v>
      </c>
    </row>
    <row r="58" spans="1:48" ht="12.75">
      <c r="A58" s="389" t="s">
        <v>2934</v>
      </c>
      <c r="B58" s="389" t="s">
        <v>2934</v>
      </c>
      <c r="C58" s="389" t="s">
        <v>2935</v>
      </c>
      <c r="D58" s="389" t="s">
        <v>2936</v>
      </c>
      <c r="E58" s="389" t="s">
        <v>506</v>
      </c>
      <c r="J58" s="443" t="s">
        <v>2937</v>
      </c>
      <c r="K58" s="486">
        <v>1</v>
      </c>
      <c r="L58" s="486">
        <v>2</v>
      </c>
      <c r="M58" s="486">
        <v>3</v>
      </c>
      <c r="X58" s="468" t="s">
        <v>2938</v>
      </c>
    </row>
    <row r="59" spans="1:48" ht="12.75">
      <c r="A59" s="389" t="s">
        <v>2934</v>
      </c>
      <c r="B59" s="389" t="s">
        <v>2939</v>
      </c>
      <c r="C59" s="389" t="s">
        <v>2935</v>
      </c>
      <c r="D59" s="389" t="s">
        <v>2940</v>
      </c>
      <c r="E59" s="389" t="s">
        <v>506</v>
      </c>
      <c r="J59" s="443" t="s">
        <v>2941</v>
      </c>
      <c r="K59" s="486">
        <v>1</v>
      </c>
      <c r="L59" s="486">
        <v>2</v>
      </c>
      <c r="M59" s="486">
        <v>3</v>
      </c>
      <c r="X59" t="s">
        <v>2942</v>
      </c>
    </row>
    <row r="60" spans="1:48" ht="12.75">
      <c r="A60" s="389" t="s">
        <v>2943</v>
      </c>
      <c r="B60" s="389" t="s">
        <v>2944</v>
      </c>
      <c r="C60" s="389" t="s">
        <v>2945</v>
      </c>
      <c r="D60" s="389" t="s">
        <v>2946</v>
      </c>
      <c r="E60" s="389" t="s">
        <v>2947</v>
      </c>
      <c r="F60" s="389" t="s">
        <v>506</v>
      </c>
      <c r="J60" s="438" t="s">
        <v>2948</v>
      </c>
      <c r="K60" s="486">
        <v>1</v>
      </c>
      <c r="L60" s="486">
        <v>2</v>
      </c>
      <c r="M60" s="486">
        <v>3</v>
      </c>
      <c r="X60" t="s">
        <v>2949</v>
      </c>
    </row>
    <row r="61" spans="1:48" ht="12.75">
      <c r="A61" s="389" t="s">
        <v>2943</v>
      </c>
      <c r="B61" s="389" t="s">
        <v>2939</v>
      </c>
      <c r="C61" s="389" t="s">
        <v>2950</v>
      </c>
      <c r="D61" s="389" t="s">
        <v>2951</v>
      </c>
      <c r="E61" s="389" t="s">
        <v>2952</v>
      </c>
      <c r="F61" s="389" t="s">
        <v>506</v>
      </c>
      <c r="J61" s="436" t="s">
        <v>2953</v>
      </c>
      <c r="K61" s="486">
        <v>1</v>
      </c>
      <c r="L61" s="486">
        <v>1</v>
      </c>
      <c r="M61" s="486">
        <v>3</v>
      </c>
    </row>
    <row r="62" spans="1:48" ht="12.75">
      <c r="A62" s="389" t="s">
        <v>2939</v>
      </c>
      <c r="B62" s="389" t="s">
        <v>2935</v>
      </c>
      <c r="C62" s="389" t="s">
        <v>2954</v>
      </c>
      <c r="D62" s="389" t="s">
        <v>2955</v>
      </c>
      <c r="E62" s="389" t="s">
        <v>506</v>
      </c>
      <c r="J62" s="436" t="s">
        <v>2956</v>
      </c>
      <c r="K62" s="486">
        <v>1</v>
      </c>
      <c r="L62" s="486">
        <v>2</v>
      </c>
      <c r="M62" s="486">
        <v>2</v>
      </c>
      <c r="X62" s="604" t="s">
        <v>2957</v>
      </c>
    </row>
    <row r="63" spans="1:48" ht="12.75">
      <c r="X63" s="604" t="s">
        <v>2958</v>
      </c>
      <c r="Y63" s="604" t="s">
        <v>2959</v>
      </c>
      <c r="Z63" s="604" t="s">
        <v>2960</v>
      </c>
      <c r="AA63" s="604" t="s">
        <v>2961</v>
      </c>
    </row>
    <row r="64" spans="1:48">
      <c r="A64" s="515" t="s">
        <v>2962</v>
      </c>
      <c r="B64" s="516" t="s">
        <v>2963</v>
      </c>
      <c r="C64" s="516" t="s">
        <v>2964</v>
      </c>
      <c r="X64" t="s">
        <v>2965</v>
      </c>
    </row>
    <row r="65" spans="1:48">
      <c r="A65" s="517" t="s">
        <v>2910</v>
      </c>
      <c r="B65" s="590" t="s">
        <v>2966</v>
      </c>
      <c r="C65" s="590" t="s">
        <v>2967</v>
      </c>
      <c r="X65" t="s">
        <v>2968</v>
      </c>
    </row>
    <row r="66" spans="1:48">
      <c r="A66" s="518" t="s">
        <v>2911</v>
      </c>
      <c r="B66" s="590" t="s">
        <v>2969</v>
      </c>
      <c r="C66" s="590" t="s">
        <v>2970</v>
      </c>
    </row>
    <row r="67" spans="1:48">
      <c r="A67" s="519" t="s">
        <v>2912</v>
      </c>
      <c r="B67" s="590" t="s">
        <v>2971</v>
      </c>
      <c r="C67" s="590" t="s">
        <v>2972</v>
      </c>
    </row>
    <row r="68" spans="1:48" ht="12.75"/>
    <row r="69" spans="1:48" ht="15">
      <c r="A69" s="598" t="s">
        <v>2973</v>
      </c>
    </row>
    <row r="70" spans="1:48" ht="12.75">
      <c r="A70" s="468" t="s">
        <v>2974</v>
      </c>
    </row>
    <row r="71" spans="1:48" ht="12.75">
      <c r="A71" s="468" t="s">
        <v>2975</v>
      </c>
    </row>
    <row r="72" spans="1:48" ht="12.75"/>
    <row r="73" spans="1:48" s="559" customFormat="1" ht="23.25" customHeight="1">
      <c r="A73" s="630" t="s">
        <v>2976</v>
      </c>
      <c r="B73" s="628"/>
      <c r="C73" s="629"/>
      <c r="D73" s="630"/>
      <c r="E73" s="628"/>
      <c r="F73" s="629"/>
      <c r="G73" s="630"/>
      <c r="H73" s="628"/>
      <c r="I73" s="629"/>
      <c r="J73" s="630"/>
      <c r="K73" s="628"/>
      <c r="L73" s="629"/>
      <c r="M73" s="630"/>
      <c r="N73" s="628"/>
      <c r="O73" s="629"/>
      <c r="P73" s="630"/>
      <c r="Q73" s="628"/>
      <c r="R73" s="629"/>
      <c r="S73" s="630"/>
      <c r="T73" s="628"/>
      <c r="U73" s="629"/>
      <c r="V73" s="630"/>
      <c r="W73" s="628"/>
      <c r="X73" s="629"/>
      <c r="Y73" s="630"/>
      <c r="Z73" s="628"/>
      <c r="AA73" s="629"/>
      <c r="AB73" s="514"/>
      <c r="AC73" s="628"/>
      <c r="AD73" s="629"/>
      <c r="AE73" s="630"/>
      <c r="AF73" s="628"/>
      <c r="AG73" s="629"/>
      <c r="AH73" s="630"/>
      <c r="AI73" s="628"/>
      <c r="AJ73" s="629"/>
      <c r="AK73" s="565"/>
      <c r="AL73" s="565"/>
      <c r="AM73" s="514"/>
      <c r="AN73" s="566"/>
      <c r="AO73" s="566"/>
      <c r="AP73" s="566"/>
      <c r="AQ73" s="566"/>
      <c r="AR73" s="566"/>
      <c r="AS73" s="566"/>
      <c r="AT73" s="566"/>
      <c r="AU73" s="566"/>
      <c r="AV73"/>
    </row>
    <row r="74" spans="1:48" ht="12.75">
      <c r="A74" s="468" t="s">
        <v>2977</v>
      </c>
      <c r="AV74" s="559"/>
    </row>
    <row r="75" spans="1:48" ht="12.75">
      <c r="A75" s="429" t="s">
        <v>2978</v>
      </c>
      <c r="B75" s="429" t="s">
        <v>2979</v>
      </c>
      <c r="C75" s="429" t="s">
        <v>2980</v>
      </c>
      <c r="D75" s="429" t="s">
        <v>2981</v>
      </c>
      <c r="E75" s="429" t="s">
        <v>2982</v>
      </c>
      <c r="F75" s="429" t="s">
        <v>2983</v>
      </c>
      <c r="G75" s="429" t="s">
        <v>2984</v>
      </c>
      <c r="H75" s="429" t="s">
        <v>2985</v>
      </c>
      <c r="I75" s="429" t="s">
        <v>2711</v>
      </c>
      <c r="J75" s="429" t="s">
        <v>2986</v>
      </c>
    </row>
    <row r="76" spans="1:48">
      <c r="A76" s="480" t="s">
        <v>2987</v>
      </c>
      <c r="B76" s="470" t="s">
        <v>2988</v>
      </c>
      <c r="C76" t="s">
        <v>2989</v>
      </c>
      <c r="D76" t="s">
        <v>2990</v>
      </c>
      <c r="E76" s="488"/>
      <c r="F76" s="474">
        <v>3</v>
      </c>
      <c r="G76" s="319">
        <f>F76*$F$6</f>
        <v>48</v>
      </c>
      <c r="H76" s="475">
        <f>I76/G76</f>
        <v>3.2500000000000004</v>
      </c>
      <c r="I76" s="319">
        <f>$B$29*1000</f>
        <v>156.00000000000003</v>
      </c>
      <c r="J76" s="488" t="s">
        <v>2846</v>
      </c>
    </row>
    <row r="77" spans="1:48">
      <c r="A77" s="480" t="s">
        <v>2991</v>
      </c>
      <c r="B77" s="470" t="s">
        <v>2988</v>
      </c>
      <c r="C77" t="s">
        <v>2989</v>
      </c>
      <c r="D77" t="s">
        <v>2990</v>
      </c>
      <c r="E77" s="488"/>
      <c r="F77" s="474">
        <v>6</v>
      </c>
      <c r="G77" s="319">
        <f>F77*26</f>
        <v>156</v>
      </c>
      <c r="H77" s="475">
        <f t="shared" ref="H77:H78" si="30">I77/G77</f>
        <v>8.9743589743589745</v>
      </c>
      <c r="I77" s="319">
        <v>1400</v>
      </c>
      <c r="J77" s="488" t="s">
        <v>2846</v>
      </c>
    </row>
    <row r="78" spans="1:48">
      <c r="A78" s="467" t="s">
        <v>2988</v>
      </c>
      <c r="B78" s="470" t="s">
        <v>2988</v>
      </c>
      <c r="C78" t="s">
        <v>2992</v>
      </c>
      <c r="D78" t="s">
        <v>2993</v>
      </c>
      <c r="E78" s="488"/>
      <c r="F78" s="474">
        <v>3</v>
      </c>
      <c r="G78" s="319">
        <f t="shared" ref="G78:G90" si="31">F78*$F$6</f>
        <v>48</v>
      </c>
      <c r="H78" s="476">
        <f t="shared" si="30"/>
        <v>6.5000000000000009</v>
      </c>
      <c r="I78" s="319">
        <f>$B$33*1000</f>
        <v>312.00000000000006</v>
      </c>
      <c r="J78" s="488" t="s">
        <v>2846</v>
      </c>
    </row>
    <row r="79" spans="1:48">
      <c r="A79" s="480" t="s">
        <v>2994</v>
      </c>
      <c r="B79" s="470" t="s">
        <v>2988</v>
      </c>
      <c r="C79" t="s">
        <v>2989</v>
      </c>
      <c r="D79" s="479" t="s">
        <v>2995</v>
      </c>
      <c r="E79" s="488"/>
      <c r="F79" s="474">
        <v>3</v>
      </c>
      <c r="G79" s="319">
        <f t="shared" si="31"/>
        <v>48</v>
      </c>
      <c r="H79" s="475">
        <f t="shared" ref="H79:H90" si="32">I79/G79</f>
        <v>8.125</v>
      </c>
      <c r="I79" s="319">
        <f>$B$31*1000</f>
        <v>390</v>
      </c>
      <c r="J79" s="488" t="s">
        <v>2727</v>
      </c>
    </row>
    <row r="80" spans="1:48">
      <c r="A80" s="480" t="s">
        <v>2996</v>
      </c>
      <c r="B80" s="470" t="s">
        <v>2988</v>
      </c>
      <c r="C80" t="s">
        <v>2989</v>
      </c>
      <c r="D80" s="481" t="s">
        <v>2997</v>
      </c>
      <c r="E80" s="488"/>
      <c r="F80" s="474">
        <v>3</v>
      </c>
      <c r="G80" s="319">
        <f t="shared" si="31"/>
        <v>48</v>
      </c>
      <c r="H80" s="475">
        <f t="shared" si="32"/>
        <v>9.75</v>
      </c>
      <c r="I80" s="319">
        <f>$B$34*1000</f>
        <v>468</v>
      </c>
      <c r="J80" s="488" t="s">
        <v>2727</v>
      </c>
    </row>
    <row r="81" spans="1:48">
      <c r="A81" s="466" t="s">
        <v>2998</v>
      </c>
      <c r="B81" s="470" t="s">
        <v>2988</v>
      </c>
      <c r="C81" t="s">
        <v>2999</v>
      </c>
      <c r="D81" t="s">
        <v>3000</v>
      </c>
      <c r="E81" s="488"/>
      <c r="F81" s="474">
        <v>3</v>
      </c>
      <c r="G81" s="319">
        <f t="shared" si="31"/>
        <v>48</v>
      </c>
      <c r="H81" s="477">
        <f t="shared" si="32"/>
        <v>6.5000000000000009</v>
      </c>
      <c r="I81" s="319">
        <f>$B$33*1000</f>
        <v>312.00000000000006</v>
      </c>
      <c r="J81" s="488" t="s">
        <v>2846</v>
      </c>
    </row>
    <row r="82" spans="1:48">
      <c r="A82" s="466" t="s">
        <v>3001</v>
      </c>
      <c r="B82" s="470" t="s">
        <v>2988</v>
      </c>
      <c r="C82" t="s">
        <v>3002</v>
      </c>
      <c r="D82" t="s">
        <v>2993</v>
      </c>
      <c r="E82" s="488"/>
      <c r="F82" s="474">
        <v>3</v>
      </c>
      <c r="G82" s="319">
        <f t="shared" si="31"/>
        <v>48</v>
      </c>
      <c r="H82" s="477">
        <f t="shared" si="32"/>
        <v>3.2500000000000004</v>
      </c>
      <c r="I82" s="319">
        <f>$B$29*1000</f>
        <v>156.00000000000003</v>
      </c>
      <c r="J82" s="488" t="s">
        <v>2846</v>
      </c>
    </row>
    <row r="83" spans="1:48" ht="15">
      <c r="A83" s="468"/>
      <c r="B83" s="468"/>
      <c r="E83" s="488"/>
      <c r="F83" s="474"/>
      <c r="G83" s="319"/>
      <c r="H83" s="478"/>
      <c r="I83" s="319"/>
      <c r="J83" s="488"/>
    </row>
    <row r="84" spans="1:48">
      <c r="A84" s="467" t="s">
        <v>2987</v>
      </c>
      <c r="B84" s="471" t="s">
        <v>2987</v>
      </c>
      <c r="C84" t="s">
        <v>2992</v>
      </c>
      <c r="D84" t="s">
        <v>3003</v>
      </c>
      <c r="E84" s="488"/>
      <c r="F84" s="474">
        <v>3</v>
      </c>
      <c r="G84" s="319">
        <f t="shared" si="31"/>
        <v>48</v>
      </c>
      <c r="H84" s="476">
        <f>I84/G84</f>
        <v>29.166666666666668</v>
      </c>
      <c r="I84" s="319">
        <v>1400</v>
      </c>
      <c r="J84" s="488" t="s">
        <v>2846</v>
      </c>
    </row>
    <row r="85" spans="1:48">
      <c r="A85" s="480" t="s">
        <v>2991</v>
      </c>
      <c r="B85" s="471" t="s">
        <v>2987</v>
      </c>
      <c r="C85" t="s">
        <v>2989</v>
      </c>
      <c r="D85" t="s">
        <v>2990</v>
      </c>
      <c r="E85" s="488"/>
      <c r="F85" s="474">
        <v>6</v>
      </c>
      <c r="G85" s="319">
        <f>F85*26</f>
        <v>156</v>
      </c>
      <c r="H85" s="475">
        <f t="shared" si="32"/>
        <v>8.9743589743589745</v>
      </c>
      <c r="I85" s="319">
        <v>1400</v>
      </c>
      <c r="J85" s="488" t="s">
        <v>2846</v>
      </c>
    </row>
    <row r="86" spans="1:48">
      <c r="A86" s="480" t="s">
        <v>2988</v>
      </c>
      <c r="B86" s="471" t="s">
        <v>2987</v>
      </c>
      <c r="C86" t="s">
        <v>2989</v>
      </c>
      <c r="D86" s="481" t="s">
        <v>3004</v>
      </c>
      <c r="E86" s="488"/>
      <c r="F86" s="474">
        <v>4</v>
      </c>
      <c r="G86" s="319">
        <f t="shared" si="31"/>
        <v>64</v>
      </c>
      <c r="H86" s="475">
        <f t="shared" si="32"/>
        <v>4.8750000000000009</v>
      </c>
      <c r="I86" s="319">
        <f>$B$33*1000</f>
        <v>312.00000000000006</v>
      </c>
      <c r="J86" s="488" t="s">
        <v>2846</v>
      </c>
    </row>
    <row r="87" spans="1:48">
      <c r="A87" s="466" t="s">
        <v>2994</v>
      </c>
      <c r="B87" s="471" t="s">
        <v>2987</v>
      </c>
      <c r="C87" t="s">
        <v>3002</v>
      </c>
      <c r="D87" t="s">
        <v>2926</v>
      </c>
      <c r="E87" s="488"/>
      <c r="F87" s="474">
        <v>3</v>
      </c>
      <c r="G87" s="319">
        <f t="shared" si="31"/>
        <v>48</v>
      </c>
      <c r="H87" s="477">
        <f t="shared" si="32"/>
        <v>9.75</v>
      </c>
      <c r="I87" s="319">
        <f>$B$34*1000</f>
        <v>468</v>
      </c>
      <c r="J87" s="488" t="s">
        <v>2846</v>
      </c>
    </row>
    <row r="88" spans="1:48">
      <c r="A88" s="466" t="s">
        <v>2996</v>
      </c>
      <c r="B88" s="471" t="s">
        <v>2987</v>
      </c>
      <c r="C88" t="s">
        <v>3002</v>
      </c>
      <c r="D88" s="479" t="s">
        <v>3005</v>
      </c>
      <c r="E88" s="488"/>
      <c r="F88" s="474">
        <v>3</v>
      </c>
      <c r="G88" s="319">
        <f t="shared" si="31"/>
        <v>48</v>
      </c>
      <c r="H88" s="477">
        <f t="shared" si="32"/>
        <v>9.75</v>
      </c>
      <c r="I88" s="319">
        <f>$B$34*1000</f>
        <v>468</v>
      </c>
      <c r="J88" s="488" t="s">
        <v>2846</v>
      </c>
    </row>
    <row r="89" spans="1:48">
      <c r="A89" s="467" t="s">
        <v>2998</v>
      </c>
      <c r="B89" s="471" t="s">
        <v>2987</v>
      </c>
      <c r="C89" t="s">
        <v>3006</v>
      </c>
      <c r="D89" t="s">
        <v>3007</v>
      </c>
      <c r="E89" s="488"/>
      <c r="F89" s="474">
        <v>3</v>
      </c>
      <c r="G89" s="319">
        <f t="shared" si="31"/>
        <v>48</v>
      </c>
      <c r="H89" s="476">
        <f t="shared" si="32"/>
        <v>4.875</v>
      </c>
      <c r="I89" s="319">
        <f>$B$30*1000</f>
        <v>234</v>
      </c>
      <c r="J89" s="488" t="s">
        <v>2846</v>
      </c>
    </row>
    <row r="90" spans="1:48">
      <c r="A90" s="480" t="s">
        <v>3001</v>
      </c>
      <c r="B90" s="471" t="s">
        <v>2987</v>
      </c>
      <c r="C90" t="s">
        <v>2989</v>
      </c>
      <c r="D90" t="s">
        <v>3008</v>
      </c>
      <c r="E90" s="488"/>
      <c r="F90" s="474">
        <v>3</v>
      </c>
      <c r="G90" s="319">
        <f t="shared" si="31"/>
        <v>48</v>
      </c>
      <c r="H90" s="475">
        <f t="shared" si="32"/>
        <v>3.2500000000000004</v>
      </c>
      <c r="I90" s="319">
        <f>$B$29*1000</f>
        <v>156.00000000000003</v>
      </c>
      <c r="J90" s="488" t="s">
        <v>2846</v>
      </c>
    </row>
    <row r="91" spans="1:48" ht="12.75"/>
    <row r="92" spans="1:48" ht="12.75">
      <c r="A92" t="s">
        <v>2986</v>
      </c>
    </row>
    <row r="93" spans="1:48" s="503" customFormat="1">
      <c r="A93" s="541" t="s">
        <v>2978</v>
      </c>
      <c r="B93" s="542" t="s">
        <v>3009</v>
      </c>
      <c r="C93" s="542" t="s">
        <v>2980</v>
      </c>
      <c r="D93" s="542" t="s">
        <v>2981</v>
      </c>
      <c r="E93" s="564" t="s">
        <v>3010</v>
      </c>
      <c r="F93" s="564" t="s">
        <v>2801</v>
      </c>
      <c r="G93" s="564" t="s">
        <v>3011</v>
      </c>
      <c r="H93"/>
      <c r="I93"/>
      <c r="AV93"/>
    </row>
    <row r="94" spans="1:48" s="503" customFormat="1">
      <c r="A94" s="543" t="s">
        <v>3012</v>
      </c>
      <c r="B94" s="544" t="s">
        <v>3013</v>
      </c>
      <c r="C94" s="545">
        <v>0.5</v>
      </c>
      <c r="D94" s="503" t="s">
        <v>3014</v>
      </c>
      <c r="E94" t="s">
        <v>3015</v>
      </c>
      <c r="F94" t="s">
        <v>3016</v>
      </c>
      <c r="G94" s="569" t="s">
        <v>3017</v>
      </c>
      <c r="H94"/>
      <c r="I94"/>
    </row>
    <row r="95" spans="1:48" s="503" customFormat="1">
      <c r="A95" s="547" t="s">
        <v>3018</v>
      </c>
      <c r="B95" s="544" t="s">
        <v>3019</v>
      </c>
      <c r="C95" s="545">
        <v>0.5</v>
      </c>
      <c r="D95" s="503" t="s">
        <v>3020</v>
      </c>
      <c r="E95" s="546" t="s">
        <v>3021</v>
      </c>
      <c r="F95" s="503" t="s">
        <v>3022</v>
      </c>
      <c r="G95" s="503" t="s">
        <v>3021</v>
      </c>
    </row>
    <row r="96" spans="1:48" ht="15">
      <c r="AV96" s="503"/>
    </row>
    <row r="97" spans="1:2" ht="12.75"/>
    <row r="98" spans="1:2">
      <c r="A98" s="541" t="s">
        <v>2978</v>
      </c>
    </row>
    <row r="99" spans="1:2" ht="12.75">
      <c r="A99" t="s">
        <v>3021</v>
      </c>
    </row>
    <row r="100" spans="1:2" ht="12.75">
      <c r="A100" t="s">
        <v>114</v>
      </c>
    </row>
    <row r="101" spans="1:2" ht="12.75">
      <c r="A101" t="s">
        <v>3023</v>
      </c>
    </row>
    <row r="102" spans="1:2" ht="12.75"/>
    <row r="103" spans="1:2" ht="12.75">
      <c r="A103" t="s">
        <v>3024</v>
      </c>
    </row>
    <row r="104" spans="1:2" ht="12.75">
      <c r="A104" t="s">
        <v>3025</v>
      </c>
    </row>
    <row r="105" spans="1:2" ht="12.75">
      <c r="A105" s="479" t="s">
        <v>3026</v>
      </c>
      <c r="B105" s="563"/>
    </row>
    <row r="106" spans="1:2" ht="12.75">
      <c r="A106" s="479" t="s">
        <v>3027</v>
      </c>
      <c r="B106" s="563"/>
    </row>
    <row r="107" spans="1:2" ht="12.75">
      <c r="A107" s="479" t="s">
        <v>3028</v>
      </c>
      <c r="B107" s="563"/>
    </row>
    <row r="108" spans="1:2" ht="12.75">
      <c r="A108" s="479" t="s">
        <v>3029</v>
      </c>
      <c r="B108" s="479"/>
    </row>
    <row r="109" spans="1:2" ht="12.75"/>
    <row r="110" spans="1:2" ht="12.75"/>
    <row r="111" spans="1:2" ht="12.75">
      <c r="A111" t="s">
        <v>3030</v>
      </c>
      <c r="B111" s="462">
        <f>$B$51</f>
        <v>1.55</v>
      </c>
    </row>
    <row r="112" spans="1:2" ht="12.75">
      <c r="A112" s="403" t="s">
        <v>3031</v>
      </c>
      <c r="B112">
        <f>0.14*B111</f>
        <v>0.21700000000000003</v>
      </c>
    </row>
    <row r="113" spans="1:48" ht="12.75"/>
    <row r="114" spans="1:48" ht="12.75"/>
    <row r="115" spans="1:48" ht="12.75"/>
    <row r="116" spans="1:48" ht="12.75"/>
    <row r="117" spans="1:48" ht="12.75"/>
    <row r="118" spans="1:48" ht="12.75"/>
    <row r="119" spans="1:48" ht="12.75"/>
    <row r="120" spans="1:48" ht="12.75">
      <c r="A120" t="s">
        <v>3032</v>
      </c>
    </row>
    <row r="121" spans="1:48" s="489" customFormat="1" ht="12.75">
      <c r="A121" s="490" t="s">
        <v>3033</v>
      </c>
      <c r="AV121"/>
    </row>
    <row r="122" spans="1:48" s="489" customFormat="1" ht="12.75">
      <c r="A122" s="490"/>
    </row>
    <row r="123" spans="1:48" s="489" customFormat="1" ht="12.75">
      <c r="A123" s="490" t="s">
        <v>3034</v>
      </c>
    </row>
    <row r="124" spans="1:48" s="489" customFormat="1" ht="12.75">
      <c r="A124" s="490"/>
    </row>
    <row r="125" spans="1:48" s="489" customFormat="1" ht="12.75">
      <c r="A125" s="490" t="s">
        <v>647</v>
      </c>
    </row>
    <row r="126" spans="1:48" s="489" customFormat="1" ht="12.75">
      <c r="A126" s="490"/>
    </row>
    <row r="127" spans="1:48" s="489" customFormat="1" ht="12.75">
      <c r="A127" s="490" t="s">
        <v>3035</v>
      </c>
    </row>
    <row r="128" spans="1:48" s="489" customFormat="1" ht="12.75">
      <c r="A128" s="490"/>
    </row>
    <row r="129" spans="1:1" s="489" customFormat="1" ht="12.75">
      <c r="A129" s="490" t="s">
        <v>3036</v>
      </c>
    </row>
    <row r="130" spans="1:1" s="489" customFormat="1" ht="12.75">
      <c r="A130" s="490"/>
    </row>
    <row r="131" spans="1:1" s="489" customFormat="1" ht="12.75">
      <c r="A131" s="490" t="s">
        <v>3037</v>
      </c>
    </row>
    <row r="132" spans="1:1" s="489" customFormat="1" ht="12.75">
      <c r="A132" s="490"/>
    </row>
    <row r="133" spans="1:1" s="489" customFormat="1" ht="12.75">
      <c r="A133" s="490" t="s">
        <v>3038</v>
      </c>
    </row>
    <row r="134" spans="1:1" s="489" customFormat="1" ht="12.75">
      <c r="A134" s="490"/>
    </row>
    <row r="135" spans="1:1" s="489" customFormat="1" ht="12.75">
      <c r="A135" s="490" t="s">
        <v>3039</v>
      </c>
    </row>
    <row r="136" spans="1:1" s="489" customFormat="1" ht="12.75">
      <c r="A136" s="490"/>
    </row>
    <row r="137" spans="1:1" s="489" customFormat="1" ht="12.75">
      <c r="A137" s="490" t="s">
        <v>3040</v>
      </c>
    </row>
    <row r="138" spans="1:1" s="489" customFormat="1" ht="12.75">
      <c r="A138" s="490"/>
    </row>
    <row r="139" spans="1:1" s="489" customFormat="1" ht="12.75">
      <c r="A139" s="490" t="s">
        <v>3041</v>
      </c>
    </row>
    <row r="140" spans="1:1" s="489" customFormat="1" ht="12.75">
      <c r="A140" s="490"/>
    </row>
    <row r="141" spans="1:1" s="489" customFormat="1" ht="12.75">
      <c r="A141" s="490" t="s">
        <v>3042</v>
      </c>
    </row>
    <row r="142" spans="1:1" s="489" customFormat="1" ht="12.75">
      <c r="A142" s="490"/>
    </row>
    <row r="143" spans="1:1" s="489" customFormat="1" ht="12.75">
      <c r="A143" s="490" t="s">
        <v>3043</v>
      </c>
    </row>
    <row r="144" spans="1:1" s="489" customFormat="1" ht="12.75">
      <c r="A144" s="490"/>
    </row>
    <row r="145" spans="1:1" s="489" customFormat="1" ht="12.75">
      <c r="A145" s="490" t="s">
        <v>3044</v>
      </c>
    </row>
    <row r="146" spans="1:1" s="489" customFormat="1" ht="12.75">
      <c r="A146" s="490"/>
    </row>
    <row r="147" spans="1:1" s="489" customFormat="1" ht="12.75">
      <c r="A147" s="490" t="s">
        <v>3045</v>
      </c>
    </row>
    <row r="148" spans="1:1" s="489" customFormat="1" ht="12.75">
      <c r="A148" s="490"/>
    </row>
    <row r="149" spans="1:1" s="489" customFormat="1" ht="12.75">
      <c r="A149" s="490" t="s">
        <v>3046</v>
      </c>
    </row>
    <row r="150" spans="1:1" s="489" customFormat="1" ht="12.75">
      <c r="A150" s="490"/>
    </row>
    <row r="151" spans="1:1" s="489" customFormat="1" ht="12.75">
      <c r="A151" s="490" t="s">
        <v>3047</v>
      </c>
    </row>
    <row r="152" spans="1:1" s="489" customFormat="1" ht="12.75">
      <c r="A152" s="490"/>
    </row>
    <row r="153" spans="1:1" s="489" customFormat="1" ht="12.75">
      <c r="A153" s="490" t="s">
        <v>3048</v>
      </c>
    </row>
    <row r="154" spans="1:1" s="489" customFormat="1" ht="12.75">
      <c r="A154" s="490"/>
    </row>
    <row r="155" spans="1:1" s="489" customFormat="1" ht="12.75">
      <c r="A155" s="490" t="s">
        <v>3049</v>
      </c>
    </row>
    <row r="156" spans="1:1" s="489" customFormat="1" ht="12.75">
      <c r="A156" s="490"/>
    </row>
    <row r="157" spans="1:1" s="489" customFormat="1" ht="12.75">
      <c r="A157" s="490" t="s">
        <v>3050</v>
      </c>
    </row>
    <row r="158" spans="1:1" s="489" customFormat="1" ht="12.75">
      <c r="A158" s="490"/>
    </row>
    <row r="159" spans="1:1" s="489" customFormat="1" ht="12.75">
      <c r="A159" s="490" t="s">
        <v>3051</v>
      </c>
    </row>
    <row r="160" spans="1:1" s="489" customFormat="1" ht="12.75">
      <c r="A160" s="490"/>
    </row>
    <row r="161" spans="1:1" s="489" customFormat="1" ht="12.75">
      <c r="A161" s="490" t="s">
        <v>3052</v>
      </c>
    </row>
    <row r="162" spans="1:1" s="489" customFormat="1" ht="12.75">
      <c r="A162" s="490"/>
    </row>
    <row r="163" spans="1:1" s="489" customFormat="1" ht="12.75">
      <c r="A163" s="490" t="s">
        <v>3053</v>
      </c>
    </row>
    <row r="164" spans="1:1" s="489" customFormat="1" ht="12.75">
      <c r="A164" s="490"/>
    </row>
    <row r="165" spans="1:1" s="489" customFormat="1" ht="12.75">
      <c r="A165" s="490" t="s">
        <v>3054</v>
      </c>
    </row>
    <row r="166" spans="1:1" s="489" customFormat="1" ht="12.75">
      <c r="A166" s="490"/>
    </row>
    <row r="167" spans="1:1" s="489" customFormat="1" ht="12.75">
      <c r="A167" s="490" t="s">
        <v>3055</v>
      </c>
    </row>
    <row r="168" spans="1:1" s="489" customFormat="1" ht="12.75">
      <c r="A168" s="490"/>
    </row>
    <row r="169" spans="1:1" s="489" customFormat="1" ht="12.75">
      <c r="A169" s="490"/>
    </row>
    <row r="170" spans="1:1" s="489" customFormat="1" ht="12.75">
      <c r="A170" s="490"/>
    </row>
    <row r="171" spans="1:1" s="489" customFormat="1" ht="12.75">
      <c r="A171" s="490"/>
    </row>
    <row r="172" spans="1:1" s="489" customFormat="1" ht="12.75">
      <c r="A172" s="490"/>
    </row>
    <row r="173" spans="1:1" s="489" customFormat="1" ht="12.75">
      <c r="A173" s="490"/>
    </row>
    <row r="174" spans="1:1" s="489" customFormat="1" ht="12.75">
      <c r="A174" s="490"/>
    </row>
    <row r="175" spans="1:1" s="489" customFormat="1" ht="12.75">
      <c r="A175" s="490"/>
    </row>
    <row r="176" spans="1:1" s="489" customFormat="1" ht="12.75">
      <c r="A176" s="490"/>
    </row>
    <row r="177" spans="1:48" ht="12.75">
      <c r="AV177" s="489"/>
    </row>
    <row r="178" spans="1:48" ht="12.75"/>
    <row r="179" spans="1:48" ht="12.75"/>
    <row r="180" spans="1:48" ht="13.5">
      <c r="A180" s="494" t="s">
        <v>3056</v>
      </c>
      <c r="B180" s="495"/>
      <c r="C180" s="495"/>
      <c r="D180" s="495"/>
      <c r="E180" s="495"/>
      <c r="F180" s="495"/>
      <c r="G180" s="496"/>
      <c r="H180" s="497"/>
      <c r="I180" s="496"/>
    </row>
    <row r="181" spans="1:48" ht="157.5" customHeight="1">
      <c r="A181" s="498" t="s">
        <v>3057</v>
      </c>
      <c r="B181" s="498" t="s">
        <v>3058</v>
      </c>
      <c r="C181" s="498" t="s">
        <v>3059</v>
      </c>
      <c r="D181" s="498" t="s">
        <v>3060</v>
      </c>
      <c r="E181" s="498" t="s">
        <v>3061</v>
      </c>
      <c r="F181" s="498" t="s">
        <v>3062</v>
      </c>
      <c r="G181" s="498" t="s">
        <v>3063</v>
      </c>
      <c r="H181" s="499" t="s">
        <v>3064</v>
      </c>
      <c r="I181" s="499" t="s">
        <v>3065</v>
      </c>
    </row>
    <row r="182" spans="1:48" ht="218.25" customHeight="1">
      <c r="A182" s="495"/>
      <c r="B182" s="498" t="s">
        <v>3066</v>
      </c>
      <c r="C182" s="498" t="s">
        <v>3067</v>
      </c>
      <c r="D182" s="498" t="s">
        <v>3068</v>
      </c>
      <c r="E182" s="498" t="s">
        <v>3069</v>
      </c>
      <c r="F182" s="498" t="s">
        <v>3070</v>
      </c>
      <c r="G182" s="498" t="s">
        <v>3071</v>
      </c>
      <c r="H182" s="497"/>
      <c r="I182" s="496"/>
    </row>
    <row r="183" spans="1:48" ht="321" customHeight="1">
      <c r="A183" s="496" t="s">
        <v>3072</v>
      </c>
      <c r="B183" s="496" t="s">
        <v>3073</v>
      </c>
      <c r="C183" s="496" t="s">
        <v>3074</v>
      </c>
      <c r="D183" s="496" t="s">
        <v>3075</v>
      </c>
      <c r="E183" s="496" t="s">
        <v>3076</v>
      </c>
      <c r="F183" s="496" t="s">
        <v>3077</v>
      </c>
      <c r="G183" s="496" t="s">
        <v>3078</v>
      </c>
      <c r="H183" s="497" t="s">
        <v>3079</v>
      </c>
      <c r="I183" s="496" t="s">
        <v>3080</v>
      </c>
    </row>
    <row r="184" spans="1:48" ht="111" customHeight="1">
      <c r="A184" s="495"/>
      <c r="B184" s="496" t="s">
        <v>3081</v>
      </c>
      <c r="C184" s="496" t="s">
        <v>3082</v>
      </c>
      <c r="D184" s="495"/>
      <c r="E184" s="495"/>
      <c r="F184" s="495"/>
      <c r="G184" s="496"/>
      <c r="H184" s="497"/>
      <c r="I184" s="496"/>
    </row>
    <row r="185" spans="1:48" ht="12.75"/>
    <row r="186" spans="1:48" ht="12.75"/>
    <row r="187" spans="1:48" ht="12.75"/>
    <row r="188" spans="1:48" ht="12.75"/>
    <row r="189" spans="1:48" ht="12.75"/>
    <row r="190" spans="1:48" ht="12.75"/>
    <row r="191" spans="1:48" ht="12.75">
      <c r="A191" t="s">
        <v>3083</v>
      </c>
    </row>
    <row r="192" spans="1:48" ht="12.75"/>
    <row r="193" spans="1:1" ht="12.75">
      <c r="A193" t="s">
        <v>3084</v>
      </c>
    </row>
    <row r="194" spans="1:1" ht="12.75">
      <c r="A194" t="s">
        <v>3085</v>
      </c>
    </row>
    <row r="195" spans="1:1" ht="12.75">
      <c r="A195" t="s">
        <v>3086</v>
      </c>
    </row>
    <row r="196" spans="1:1" ht="12.75"/>
    <row r="197" spans="1:1" ht="12.75"/>
    <row r="198" spans="1:1" ht="12.75"/>
    <row r="199" spans="1:1" ht="12.75">
      <c r="A199" t="s">
        <v>3087</v>
      </c>
    </row>
    <row r="200" spans="1:1" ht="12.75">
      <c r="A200" t="s">
        <v>3088</v>
      </c>
    </row>
    <row r="201" spans="1:1" ht="12.75">
      <c r="A201" t="s">
        <v>3089</v>
      </c>
    </row>
    <row r="202" spans="1:1" ht="12.75"/>
    <row r="203" spans="1:1" ht="12.75"/>
    <row r="204" spans="1:1" ht="12.75"/>
    <row r="205" spans="1:1" ht="12.75"/>
    <row r="206" spans="1:1" ht="12.75"/>
    <row r="207" spans="1:1" ht="12.75"/>
    <row r="208" spans="1:1"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row r="1003" ht="12.75"/>
    <row r="1004" ht="12.75"/>
    <row r="1005" ht="12.75"/>
    <row r="1006" ht="12.75"/>
    <row r="1007" ht="12.75"/>
    <row r="1008" ht="12.75"/>
    <row r="1009" ht="12.75"/>
    <row r="1010" ht="12.75"/>
    <row r="1011" ht="12.75"/>
    <row r="1012" ht="12.75"/>
    <row r="1013" ht="12.75"/>
    <row r="1014" ht="12.75"/>
    <row r="1015" ht="12.75"/>
    <row r="1016" ht="12.75"/>
    <row r="1017" ht="12.75"/>
    <row r="1018" ht="12.75"/>
    <row r="1019" ht="12.75"/>
    <row r="1020" ht="12.75"/>
    <row r="1021" ht="12.75"/>
    <row r="1022" ht="12.75"/>
    <row r="1023" ht="12.75"/>
    <row r="1024" ht="12.75"/>
    <row r="1025" ht="12.75"/>
    <row r="1026" ht="12.75"/>
    <row r="1027" ht="12.75"/>
    <row r="1028" ht="12.75"/>
    <row r="1029" ht="12.75"/>
    <row r="1030" ht="12.75"/>
    <row r="1031" ht="12.75"/>
    <row r="1032" ht="12.75"/>
    <row r="1033" ht="12.75"/>
    <row r="1034" ht="12.75"/>
  </sheetData>
  <mergeCells count="23">
    <mergeCell ref="A26:A27"/>
    <mergeCell ref="B26:B27"/>
    <mergeCell ref="A23:XFD23"/>
    <mergeCell ref="A1:XFD1"/>
    <mergeCell ref="A5:C5"/>
    <mergeCell ref="E5:H5"/>
    <mergeCell ref="J5:M5"/>
    <mergeCell ref="J6:K6"/>
    <mergeCell ref="J19:J20"/>
    <mergeCell ref="J24:BH24"/>
    <mergeCell ref="J51:M51"/>
    <mergeCell ref="A73:C73"/>
    <mergeCell ref="D73:F73"/>
    <mergeCell ref="G73:I73"/>
    <mergeCell ref="J73:L73"/>
    <mergeCell ref="M73:O73"/>
    <mergeCell ref="AC73:AD73"/>
    <mergeCell ref="AE73:AG73"/>
    <mergeCell ref="AH73:AJ73"/>
    <mergeCell ref="P73:R73"/>
    <mergeCell ref="S73:U73"/>
    <mergeCell ref="V73:X73"/>
    <mergeCell ref="Y73:AA73"/>
  </mergeCells>
  <conditionalFormatting sqref="H11:H22 H24">
    <cfRule type="cellIs" dxfId="113" priority="141" operator="greaterThan">
      <formula>$E$6</formula>
    </cfRule>
  </conditionalFormatting>
  <conditionalFormatting sqref="N12:O17">
    <cfRule type="cellIs" dxfId="112" priority="140" operator="greaterThan">
      <formula>$N$5</formula>
    </cfRule>
  </conditionalFormatting>
  <conditionalFormatting sqref="P31:Q46">
    <cfRule type="containsText" dxfId="111" priority="134" operator="containsText" text="D">
      <formula>NOT(ISERROR(SEARCH("D",P31)))</formula>
    </cfRule>
    <cfRule type="containsText" dxfId="110" priority="136" operator="containsText" text="B">
      <formula>NOT(ISERROR(SEARCH("B",P31)))</formula>
    </cfRule>
  </conditionalFormatting>
  <conditionalFormatting sqref="P33:Q42 Q43">
    <cfRule type="containsText" dxfId="109" priority="135" operator="containsText" text="A">
      <formula>NOT(ISERROR(SEARCH("A",P33)))</formula>
    </cfRule>
  </conditionalFormatting>
  <conditionalFormatting sqref="Q31:Q46">
    <cfRule type="containsText" dxfId="108" priority="44" operator="containsText" text="I">
      <formula>NOT(ISERROR(SEARCH("I",Q31)))</formula>
    </cfRule>
    <cfRule type="containsText" dxfId="107" priority="45" operator="containsText" text="P">
      <formula>NOT(ISERROR(SEARCH("P",Q31)))</formula>
    </cfRule>
  </conditionalFormatting>
  <conditionalFormatting sqref="A180:I180 A183:I184 A182 C181:I181 H182:I182">
    <cfRule type="expression" dxfId="106" priority="40">
      <formula>$AX180="D"</formula>
    </cfRule>
  </conditionalFormatting>
  <conditionalFormatting sqref="A180:I180 A183:I184 A182 C181:I181 H182:I182">
    <cfRule type="expression" dxfId="105" priority="39">
      <formula>$AX180="L"</formula>
    </cfRule>
  </conditionalFormatting>
  <conditionalFormatting sqref="A180:I180 A183:I184 A182 C181:I181 H182:I182">
    <cfRule type="expression" dxfId="104" priority="38">
      <formula>$AX180="W"</formula>
    </cfRule>
  </conditionalFormatting>
  <conditionalFormatting sqref="A181:B181">
    <cfRule type="expression" dxfId="103" priority="41">
      <formula>$AX192="D"</formula>
    </cfRule>
  </conditionalFormatting>
  <conditionalFormatting sqref="A181:B181">
    <cfRule type="expression" dxfId="102" priority="42">
      <formula>$AX192="L"</formula>
    </cfRule>
  </conditionalFormatting>
  <conditionalFormatting sqref="A181:B181">
    <cfRule type="expression" dxfId="101" priority="43">
      <formula>$AX192="W"</formula>
    </cfRule>
  </conditionalFormatting>
  <conditionalFormatting sqref="B182:G182">
    <cfRule type="expression" dxfId="100" priority="35">
      <formula>$AX193="D"</formula>
    </cfRule>
  </conditionalFormatting>
  <conditionalFormatting sqref="B182:G182">
    <cfRule type="expression" dxfId="99" priority="36">
      <formula>$AX193="L"</formula>
    </cfRule>
  </conditionalFormatting>
  <conditionalFormatting sqref="B182:G182">
    <cfRule type="expression" dxfId="98" priority="37">
      <formula>$AX193="W"</formula>
    </cfRule>
  </conditionalFormatting>
  <conditionalFormatting sqref="AJ31:AL36">
    <cfRule type="cellIs" dxfId="97" priority="16" operator="greaterThan">
      <formula>$AC31</formula>
    </cfRule>
  </conditionalFormatting>
  <conditionalFormatting sqref="U35:U36 U33 U41 U31:V31 V32:V47">
    <cfRule type="expression" dxfId="96" priority="142">
      <formula>#REF!="D"</formula>
    </cfRule>
  </conditionalFormatting>
  <conditionalFormatting sqref="U35:U36 U33 U41 U31:V31 V32:V47">
    <cfRule type="expression" dxfId="95" priority="143">
      <formula>#REF!="L"</formula>
    </cfRule>
  </conditionalFormatting>
  <conditionalFormatting sqref="U35:U36 U33 U41 U31:V31 V32:V47">
    <cfRule type="expression" dxfId="94" priority="144">
      <formula>#REF!="W"</formula>
    </cfRule>
  </conditionalFormatting>
  <conditionalFormatting sqref="AM31:AM36">
    <cfRule type="cellIs" dxfId="93" priority="15" operator="lessThanOrEqual">
      <formula>0</formula>
    </cfRule>
  </conditionalFormatting>
  <conditionalFormatting sqref="AI31:AI36">
    <cfRule type="cellIs" dxfId="92" priority="14" operator="greaterThan">
      <formula>1</formula>
    </cfRule>
  </conditionalFormatting>
  <conditionalFormatting sqref="U46:U47">
    <cfRule type="expression" dxfId="91" priority="145">
      <formula>$BA45="D"</formula>
    </cfRule>
  </conditionalFormatting>
  <conditionalFormatting sqref="U46:U47">
    <cfRule type="expression" dxfId="90" priority="146">
      <formula>$BA45="L"</formula>
    </cfRule>
  </conditionalFormatting>
  <conditionalFormatting sqref="U46:U47">
    <cfRule type="expression" dxfId="89" priority="147">
      <formula>$BA45="W"</formula>
    </cfRule>
  </conditionalFormatting>
  <conditionalFormatting sqref="BK31:BK36">
    <cfRule type="cellIs" dxfId="88" priority="13" operator="lessThan">
      <formula>0</formula>
    </cfRule>
  </conditionalFormatting>
  <conditionalFormatting sqref="BG31:BG36">
    <cfRule type="cellIs" dxfId="87" priority="12" operator="greaterThan">
      <formula>1</formula>
    </cfRule>
  </conditionalFormatting>
  <conditionalFormatting sqref="BH31:BH36">
    <cfRule type="cellIs" dxfId="86" priority="11" operator="greaterThan">
      <formula>$BA31</formula>
    </cfRule>
  </conditionalFormatting>
  <conditionalFormatting sqref="BH39:BH44">
    <cfRule type="cellIs" dxfId="85" priority="10" operator="greaterThan">
      <formula>$BA39</formula>
    </cfRule>
  </conditionalFormatting>
  <conditionalFormatting sqref="BK39:BK44">
    <cfRule type="cellIs" dxfId="84" priority="9" operator="lessThan">
      <formula>0</formula>
    </cfRule>
  </conditionalFormatting>
  <conditionalFormatting sqref="BG39:BG44">
    <cfRule type="cellIs" dxfId="83" priority="8" operator="greaterThan">
      <formula>1</formula>
    </cfRule>
  </conditionalFormatting>
  <conditionalFormatting sqref="BD39:BD44">
    <cfRule type="cellIs" dxfId="82" priority="4" operator="equal">
      <formula>0</formula>
    </cfRule>
  </conditionalFormatting>
  <conditionalFormatting sqref="X62">
    <cfRule type="expression" dxfId="81" priority="2">
      <formula>$AV62="L"</formula>
    </cfRule>
  </conditionalFormatting>
  <conditionalFormatting sqref="X62">
    <cfRule type="expression" dxfId="80" priority="3">
      <formula>$AV62="D"</formula>
    </cfRule>
  </conditionalFormatting>
  <conditionalFormatting sqref="X62">
    <cfRule type="expression" dxfId="79" priority="1">
      <formula>$AV62="W"</formula>
    </cfRule>
  </conditionalFormatting>
  <conditionalFormatting sqref="X63:AA63">
    <cfRule type="expression" dxfId="78" priority="149">
      <formula>$AV62="L"</formula>
    </cfRule>
  </conditionalFormatting>
  <conditionalFormatting sqref="X63:AA63">
    <cfRule type="expression" dxfId="77" priority="151">
      <formula>$AV62="D"</formula>
    </cfRule>
  </conditionalFormatting>
  <conditionalFormatting sqref="X63:AA63">
    <cfRule type="expression" dxfId="76" priority="153">
      <formula>$AV62="W"</formula>
    </cfRule>
  </conditionalFormatting>
  <dataValidations count="2">
    <dataValidation type="list" allowBlank="1" showInputMessage="1" showErrorMessage="1" sqref="P31:P46" xr:uid="{055077A6-4617-4731-8F5C-7E074FE5AF82}">
      <formula1>"D,UD,B,A,UA"</formula1>
    </dataValidation>
    <dataValidation type="list" allowBlank="1" showInputMessage="1" showErrorMessage="1" sqref="Q31:Q46" xr:uid="{07375B45-87AE-4B14-998D-65471529DCB0}">
      <formula1>"P,I, BOTH"</formula1>
    </dataValidation>
  </dataValidations>
  <pageMargins left="0.7" right="0.7" top="0.75" bottom="0.75" header="0.3" footer="0.3"/>
  <pageSetup paperSize="9" orientation="portrait" r:id="rId1"/>
  <drawing r:id="rId2"/>
  <legacyDrawing r:id="rId3"/>
  <tableParts count="5">
    <tablePart r:id="rId4"/>
    <tablePart r:id="rId5"/>
    <tablePart r:id="rId6"/>
    <tablePart r:id="rId7"/>
    <tablePart r:id="rId8"/>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7D33C-AE55-4B35-B303-0836D1AB01C4}">
  <sheetPr>
    <outlinePr summaryBelow="0" summaryRight="0"/>
  </sheetPr>
  <dimension ref="A1:AI992"/>
  <sheetViews>
    <sheetView showGridLines="0" zoomScale="104" zoomScaleNormal="110" workbookViewId="0">
      <selection activeCell="B22" sqref="B22"/>
    </sheetView>
  </sheetViews>
  <sheetFormatPr defaultColWidth="12.5703125" defaultRowHeight="15.75" customHeight="1"/>
  <cols>
    <col min="1" max="1" width="21.28515625" customWidth="1"/>
    <col min="2" max="2" width="16.42578125" customWidth="1"/>
    <col min="3" max="3" width="15" customWidth="1"/>
    <col min="4" max="4" width="40.28515625" customWidth="1"/>
    <col min="5" max="5" width="13.7109375" customWidth="1"/>
    <col min="6" max="6" width="13.7109375" bestFit="1" customWidth="1"/>
    <col min="7" max="7" width="9.140625"/>
    <col min="8" max="8" width="13" bestFit="1" customWidth="1"/>
    <col min="9" max="9" width="11.42578125" customWidth="1"/>
    <col min="10" max="10" width="11.28515625" customWidth="1"/>
    <col min="11" max="11" width="18.140625" bestFit="1" customWidth="1"/>
    <col min="12" max="12" width="16.140625" bestFit="1" customWidth="1"/>
  </cols>
  <sheetData>
    <row r="1" spans="1:16" s="648" customFormat="1" ht="15.75" customHeight="1">
      <c r="A1" s="648" t="s">
        <v>2734</v>
      </c>
    </row>
    <row r="2" spans="1:16" ht="24" customHeight="1">
      <c r="A2" s="636" t="s">
        <v>3090</v>
      </c>
      <c r="B2" s="653"/>
      <c r="C2" s="653"/>
      <c r="D2" s="62"/>
      <c r="E2" s="637" t="s">
        <v>3091</v>
      </c>
      <c r="F2" s="656"/>
      <c r="G2" s="656"/>
      <c r="H2" s="656"/>
      <c r="I2" s="62"/>
      <c r="J2" s="642" t="s">
        <v>3092</v>
      </c>
      <c r="K2" s="642"/>
      <c r="L2" s="642"/>
      <c r="M2" s="642"/>
      <c r="N2" s="414">
        <v>3250</v>
      </c>
      <c r="O2" t="s">
        <v>2741</v>
      </c>
      <c r="P2" s="389"/>
    </row>
    <row r="3" spans="1:16" ht="15.6">
      <c r="A3" s="37"/>
      <c r="B3" s="62"/>
      <c r="C3" s="62"/>
      <c r="D3" s="62"/>
      <c r="E3" s="390">
        <v>1200</v>
      </c>
      <c r="F3" s="390">
        <v>16</v>
      </c>
      <c r="G3" s="390">
        <f>$E$3*3</f>
        <v>3600</v>
      </c>
      <c r="H3" s="391">
        <f>MAX(G7:G11)</f>
        <v>36</v>
      </c>
      <c r="I3" s="62"/>
      <c r="J3" s="639" t="s">
        <v>2744</v>
      </c>
      <c r="K3" s="639"/>
      <c r="L3" s="415">
        <v>48</v>
      </c>
      <c r="M3" s="394">
        <f>L3/N2</f>
        <v>1.4769230769230769E-2</v>
      </c>
    </row>
    <row r="4" spans="1:16" ht="15.6">
      <c r="A4" s="37"/>
      <c r="B4" s="395"/>
      <c r="C4" s="396"/>
      <c r="D4" s="62"/>
      <c r="E4" s="46"/>
      <c r="F4" s="62"/>
      <c r="G4" s="62"/>
      <c r="H4" s="391">
        <f>MAX(E7:E12)-1</f>
        <v>5</v>
      </c>
      <c r="I4" s="62"/>
      <c r="J4" s="392" t="s">
        <v>2748</v>
      </c>
      <c r="K4" s="392"/>
      <c r="L4" s="393">
        <v>128</v>
      </c>
      <c r="M4" s="394">
        <f>L4/N2</f>
        <v>3.9384615384615386E-2</v>
      </c>
    </row>
    <row r="5" spans="1:16" ht="15.6">
      <c r="A5" s="37" t="s">
        <v>3093</v>
      </c>
      <c r="B5" s="395">
        <v>0</v>
      </c>
      <c r="C5" s="469" t="s">
        <v>3094</v>
      </c>
      <c r="D5" s="62" t="s">
        <v>506</v>
      </c>
      <c r="E5" s="141" t="s">
        <v>2756</v>
      </c>
      <c r="F5" s="62" t="s">
        <v>2757</v>
      </c>
      <c r="G5" s="62"/>
      <c r="H5" s="62"/>
      <c r="I5" s="62"/>
      <c r="J5" s="397"/>
      <c r="K5" s="397"/>
      <c r="L5" s="397"/>
      <c r="M5" s="397"/>
    </row>
    <row r="6" spans="1:16" ht="13.15">
      <c r="A6" s="62"/>
      <c r="B6" s="395"/>
      <c r="C6" s="62"/>
      <c r="D6" s="62"/>
      <c r="E6" s="398" t="s">
        <v>2759</v>
      </c>
      <c r="F6" s="398" t="s">
        <v>2760</v>
      </c>
      <c r="G6" s="398" t="s">
        <v>2761</v>
      </c>
      <c r="H6" s="398" t="s">
        <v>2762</v>
      </c>
      <c r="I6" s="62"/>
      <c r="J6" s="399" t="s">
        <v>2763</v>
      </c>
      <c r="K6" s="399" t="s">
        <v>2764</v>
      </c>
      <c r="L6" s="399" t="s">
        <v>2765</v>
      </c>
      <c r="M6" s="399" t="s">
        <v>2766</v>
      </c>
      <c r="N6" s="399" t="s">
        <v>2767</v>
      </c>
      <c r="O6" s="399"/>
    </row>
    <row r="7" spans="1:16" ht="13.15">
      <c r="A7" s="419">
        <v>0.2</v>
      </c>
      <c r="B7" s="395">
        <f>A7*B5</f>
        <v>0</v>
      </c>
      <c r="C7" s="62"/>
      <c r="D7" s="62"/>
      <c r="E7" s="458">
        <v>6</v>
      </c>
      <c r="F7" s="400">
        <f t="shared" ref="F7:F12" si="0">$F$3*E7</f>
        <v>96</v>
      </c>
      <c r="G7" s="401">
        <v>12</v>
      </c>
      <c r="H7" s="402">
        <f t="shared" ref="H7:H12" si="1">G7*F7</f>
        <v>1152</v>
      </c>
      <c r="I7" s="62"/>
      <c r="J7" s="409">
        <v>1</v>
      </c>
      <c r="K7" s="410">
        <f>$M$4</f>
        <v>3.9384615384615386E-2</v>
      </c>
      <c r="L7" s="411">
        <f>K7*$N$2</f>
        <v>128</v>
      </c>
      <c r="M7" s="410">
        <f>$M$3</f>
        <v>1.4769230769230769E-2</v>
      </c>
      <c r="N7" s="412">
        <f>M7*$N$2</f>
        <v>48</v>
      </c>
      <c r="O7" s="412"/>
    </row>
    <row r="8" spans="1:16" ht="13.15">
      <c r="A8" s="420">
        <v>0.3</v>
      </c>
      <c r="B8" s="395">
        <f>A8*B5</f>
        <v>0</v>
      </c>
      <c r="C8" s="62"/>
      <c r="D8" s="62"/>
      <c r="E8" s="458">
        <v>5</v>
      </c>
      <c r="F8" s="400">
        <f t="shared" si="0"/>
        <v>80</v>
      </c>
      <c r="G8" s="401">
        <v>15</v>
      </c>
      <c r="H8" s="402">
        <f t="shared" si="1"/>
        <v>1200</v>
      </c>
      <c r="I8" s="62"/>
      <c r="J8" s="413">
        <v>42</v>
      </c>
      <c r="K8" s="406">
        <f>$K$7*J8</f>
        <v>1.6541538461538463</v>
      </c>
      <c r="L8" s="404">
        <f t="shared" ref="L8:L12" si="2">K8*$N$2</f>
        <v>5376.0000000000009</v>
      </c>
      <c r="M8" s="406">
        <f>$M$7*J8</f>
        <v>0.62030769230769234</v>
      </c>
      <c r="N8" s="405">
        <f t="shared" ref="N8:N12" si="3">M8*$N$2</f>
        <v>2016</v>
      </c>
      <c r="O8" s="405"/>
    </row>
    <row r="9" spans="1:16" ht="13.15">
      <c r="A9" s="62"/>
      <c r="B9" s="395"/>
      <c r="C9" s="62"/>
      <c r="D9" s="62"/>
      <c r="E9" s="456">
        <v>4</v>
      </c>
      <c r="F9" s="400">
        <f t="shared" si="0"/>
        <v>64</v>
      </c>
      <c r="G9" s="457">
        <v>18</v>
      </c>
      <c r="H9" s="402">
        <f t="shared" si="1"/>
        <v>1152</v>
      </c>
      <c r="I9" s="62"/>
      <c r="J9" s="413">
        <v>50</v>
      </c>
      <c r="K9" s="406">
        <f>$K$7*J9</f>
        <v>1.9692307692307693</v>
      </c>
      <c r="L9" s="404">
        <f t="shared" si="2"/>
        <v>6400</v>
      </c>
      <c r="M9" s="406">
        <f>$M$7*J9</f>
        <v>0.73846153846153839</v>
      </c>
      <c r="N9" s="405">
        <f t="shared" si="3"/>
        <v>2399.9999999999995</v>
      </c>
      <c r="O9" s="405"/>
    </row>
    <row r="10" spans="1:16" ht="13.15">
      <c r="A10" s="62" t="s">
        <v>3095</v>
      </c>
      <c r="B10" s="395">
        <f>B5-B7</f>
        <v>0</v>
      </c>
      <c r="C10" s="62"/>
      <c r="D10" s="62"/>
      <c r="E10" s="456">
        <v>3</v>
      </c>
      <c r="F10" s="400">
        <f t="shared" si="0"/>
        <v>48</v>
      </c>
      <c r="G10" s="457">
        <v>25</v>
      </c>
      <c r="H10" s="407">
        <f t="shared" si="1"/>
        <v>1200</v>
      </c>
      <c r="I10" s="62"/>
      <c r="J10" s="413">
        <v>64</v>
      </c>
      <c r="K10" s="406">
        <f>$K$7*J10</f>
        <v>2.5206153846153847</v>
      </c>
      <c r="L10" s="404">
        <f t="shared" si="2"/>
        <v>8192</v>
      </c>
      <c r="M10" s="406">
        <f>$M$7*J10</f>
        <v>0.94523076923076921</v>
      </c>
      <c r="N10" s="405">
        <f t="shared" si="3"/>
        <v>3072</v>
      </c>
      <c r="O10" s="405"/>
    </row>
    <row r="11" spans="1:16" ht="13.15">
      <c r="A11" s="62" t="s">
        <v>3096</v>
      </c>
      <c r="B11" s="395">
        <f>B5-B8</f>
        <v>0</v>
      </c>
      <c r="C11" s="62"/>
      <c r="D11" s="62"/>
      <c r="E11" s="456">
        <v>2</v>
      </c>
      <c r="F11" s="400">
        <f t="shared" si="0"/>
        <v>32</v>
      </c>
      <c r="G11" s="457">
        <v>36</v>
      </c>
      <c r="H11" s="407">
        <f t="shared" si="1"/>
        <v>1152</v>
      </c>
      <c r="I11" s="62"/>
      <c r="J11" s="413">
        <v>66</v>
      </c>
      <c r="K11" s="406">
        <f>$K$7*J11</f>
        <v>2.5993846153846154</v>
      </c>
      <c r="L11" s="404">
        <f t="shared" si="2"/>
        <v>8448</v>
      </c>
      <c r="M11" s="406">
        <f>$M$7*J11</f>
        <v>0.97476923076923072</v>
      </c>
      <c r="N11" s="405">
        <f t="shared" si="3"/>
        <v>3168</v>
      </c>
      <c r="O11" s="405"/>
    </row>
    <row r="12" spans="1:16" ht="13.15">
      <c r="A12" s="62"/>
      <c r="B12" s="62"/>
      <c r="C12" s="62"/>
      <c r="D12" s="62"/>
      <c r="E12" s="22">
        <v>1</v>
      </c>
      <c r="F12" s="400">
        <f t="shared" si="0"/>
        <v>16</v>
      </c>
      <c r="G12" s="459">
        <v>100</v>
      </c>
      <c r="H12" s="407">
        <f t="shared" si="1"/>
        <v>1600</v>
      </c>
      <c r="I12" s="62"/>
      <c r="J12" s="413">
        <v>67</v>
      </c>
      <c r="K12" s="406">
        <f>$K$7*J12</f>
        <v>2.6387692307692308</v>
      </c>
      <c r="L12" s="404">
        <f t="shared" si="2"/>
        <v>8576</v>
      </c>
      <c r="M12" s="406">
        <f>$M$7*J12</f>
        <v>0.98953846153846148</v>
      </c>
      <c r="N12" s="405">
        <f t="shared" si="3"/>
        <v>3216</v>
      </c>
      <c r="O12" s="405"/>
    </row>
    <row r="13" spans="1:16" ht="13.15">
      <c r="A13" s="62" t="s">
        <v>3097</v>
      </c>
      <c r="B13" s="62"/>
      <c r="C13" s="62"/>
      <c r="D13" s="62"/>
      <c r="E13" s="22"/>
      <c r="F13" s="400"/>
      <c r="G13" s="401"/>
      <c r="H13" s="407"/>
      <c r="I13" s="62"/>
    </row>
    <row r="14" spans="1:16" ht="13.15">
      <c r="A14" s="62"/>
      <c r="B14" s="62"/>
      <c r="C14" s="62"/>
      <c r="D14" s="62"/>
      <c r="E14" s="22"/>
      <c r="F14" s="400"/>
      <c r="G14" s="401"/>
      <c r="H14" s="407"/>
      <c r="I14" s="62"/>
      <c r="J14" s="640" t="s">
        <v>2768</v>
      </c>
    </row>
    <row r="15" spans="1:16" ht="13.15">
      <c r="A15" s="62"/>
      <c r="B15" s="62"/>
      <c r="C15" s="62"/>
      <c r="D15" s="62"/>
      <c r="E15" s="22"/>
      <c r="F15" s="400"/>
      <c r="G15" s="401"/>
      <c r="H15" s="407"/>
      <c r="I15" s="62"/>
      <c r="J15" s="640"/>
    </row>
    <row r="16" spans="1:16" ht="13.15">
      <c r="A16" s="62"/>
      <c r="B16" s="62"/>
      <c r="C16" s="62"/>
      <c r="D16" s="62"/>
      <c r="E16" s="22"/>
      <c r="F16" s="408"/>
      <c r="G16" s="401"/>
      <c r="H16" s="407"/>
      <c r="I16" s="62"/>
      <c r="J16" s="421" t="s">
        <v>2769</v>
      </c>
    </row>
    <row r="17" spans="1:35" ht="13.15">
      <c r="A17" s="62"/>
      <c r="B17" s="62"/>
      <c r="C17" s="62"/>
      <c r="D17" s="62"/>
      <c r="E17" s="22"/>
      <c r="F17" s="408"/>
      <c r="G17" s="401"/>
      <c r="H17" s="407"/>
      <c r="I17" s="62"/>
      <c r="J17" s="421" t="s">
        <v>2770</v>
      </c>
    </row>
    <row r="18" spans="1:35" s="634" customFormat="1" ht="13.15"/>
    <row r="19" spans="1:35" ht="15.6">
      <c r="A19" s="637" t="s">
        <v>3098</v>
      </c>
      <c r="B19" s="657"/>
      <c r="C19" s="657"/>
      <c r="F19" s="408"/>
      <c r="G19" s="401"/>
      <c r="H19" s="407"/>
      <c r="I19" s="62"/>
      <c r="J19" s="642" t="s">
        <v>3099</v>
      </c>
      <c r="K19" s="642"/>
      <c r="L19" s="642"/>
      <c r="M19" s="642"/>
    </row>
    <row r="20" spans="1:35" ht="13.15">
      <c r="A20" t="s">
        <v>2773</v>
      </c>
      <c r="B20" s="450">
        <f>B11/1000</f>
        <v>0</v>
      </c>
      <c r="F20" s="62"/>
      <c r="G20" s="62"/>
      <c r="H20" s="62"/>
      <c r="I20" s="62"/>
    </row>
    <row r="21" spans="1:35" ht="13.15">
      <c r="A21" s="449" t="s">
        <v>2773</v>
      </c>
      <c r="B21" s="483">
        <v>2.5</v>
      </c>
      <c r="C21" s="421" t="s">
        <v>3100</v>
      </c>
      <c r="E21" s="468" t="s">
        <v>2776</v>
      </c>
    </row>
    <row r="22" spans="1:35" ht="13.15">
      <c r="A22" s="403" t="s">
        <v>2779</v>
      </c>
      <c r="B22" s="451">
        <v>0.93</v>
      </c>
      <c r="E22" s="472">
        <v>0.12</v>
      </c>
      <c r="F22" s="473">
        <f>$B$22*E22</f>
        <v>0.1116</v>
      </c>
      <c r="J22" t="s">
        <v>2774</v>
      </c>
      <c r="Y22" t="s">
        <v>3101</v>
      </c>
    </row>
    <row r="23" spans="1:35" ht="13.15">
      <c r="A23" s="433">
        <v>0.25</v>
      </c>
      <c r="B23" s="452">
        <f>A23*$B$22</f>
        <v>0.23250000000000001</v>
      </c>
      <c r="C23" s="416">
        <v>2</v>
      </c>
      <c r="E23" s="472">
        <v>0.15</v>
      </c>
      <c r="F23" s="473">
        <f>$B$22*E23</f>
        <v>0.13950000000000001</v>
      </c>
      <c r="J23" t="s">
        <v>2777</v>
      </c>
    </row>
    <row r="24" spans="1:35" ht="13.15">
      <c r="A24" s="434">
        <v>0.3</v>
      </c>
      <c r="B24" s="452">
        <f t="shared" ref="B24:B25" si="4">A24*$B$22</f>
        <v>0.27900000000000003</v>
      </c>
      <c r="C24" s="416">
        <v>2</v>
      </c>
      <c r="E24" s="472">
        <v>0.15</v>
      </c>
      <c r="F24" s="473">
        <f>E24*$B$43</f>
        <v>0.23249999999999998</v>
      </c>
      <c r="J24" s="399" t="s">
        <v>2790</v>
      </c>
      <c r="K24" s="399" t="s">
        <v>2791</v>
      </c>
      <c r="L24" s="399" t="s">
        <v>2792</v>
      </c>
      <c r="M24" s="399" t="s">
        <v>2793</v>
      </c>
      <c r="N24" s="399" t="s">
        <v>2794</v>
      </c>
      <c r="O24" s="399" t="s">
        <v>2795</v>
      </c>
      <c r="P24" s="399" t="s">
        <v>2796</v>
      </c>
      <c r="Q24" s="417" t="s">
        <v>2798</v>
      </c>
      <c r="R24" s="399" t="s">
        <v>37</v>
      </c>
      <c r="S24" s="399" t="s">
        <v>2799</v>
      </c>
      <c r="T24" s="447" t="s">
        <v>1653</v>
      </c>
      <c r="U24" s="643" t="s">
        <v>3102</v>
      </c>
      <c r="V24" s="643"/>
      <c r="W24" s="643"/>
      <c r="X24" s="644" t="s">
        <v>92</v>
      </c>
      <c r="Y24" s="644"/>
      <c r="Z24" s="644"/>
      <c r="AA24" s="645" t="s">
        <v>21</v>
      </c>
      <c r="AB24" s="645"/>
      <c r="AC24" s="645"/>
      <c r="AD24" s="646" t="s">
        <v>19</v>
      </c>
      <c r="AE24" s="646"/>
      <c r="AF24" s="646"/>
      <c r="AG24" s="647" t="s">
        <v>3103</v>
      </c>
      <c r="AH24" s="647"/>
      <c r="AI24" s="647"/>
    </row>
    <row r="25" spans="1:35" ht="13.15">
      <c r="A25" s="435">
        <v>0.5</v>
      </c>
      <c r="B25" s="452">
        <f t="shared" si="4"/>
        <v>0.46500000000000002</v>
      </c>
      <c r="C25" s="416">
        <v>3</v>
      </c>
      <c r="E25" t="s">
        <v>3104</v>
      </c>
      <c r="F25" s="484">
        <f>$B$22*0.7</f>
        <v>0.65100000000000002</v>
      </c>
      <c r="J25" s="437" t="s">
        <v>2923</v>
      </c>
      <c r="K25" s="418">
        <v>64</v>
      </c>
      <c r="L25" s="418">
        <v>80</v>
      </c>
      <c r="M25" s="442">
        <f>L25/K25</f>
        <v>1.25</v>
      </c>
      <c r="N25" s="433">
        <v>0.2</v>
      </c>
      <c r="O25" s="416">
        <v>1</v>
      </c>
      <c r="P25" t="s">
        <v>92</v>
      </c>
      <c r="Q25">
        <v>12</v>
      </c>
      <c r="R25">
        <v>7</v>
      </c>
      <c r="S25">
        <v>2</v>
      </c>
      <c r="T25" s="448" t="s">
        <v>3105</v>
      </c>
      <c r="U25" t="s">
        <v>3106</v>
      </c>
      <c r="V25" t="s">
        <v>3107</v>
      </c>
      <c r="W25" t="s">
        <v>3108</v>
      </c>
      <c r="X25" t="s">
        <v>3109</v>
      </c>
      <c r="Y25" t="s">
        <v>3110</v>
      </c>
      <c r="Z25" t="s">
        <v>3111</v>
      </c>
      <c r="AA25" s="446" t="s">
        <v>3112</v>
      </c>
      <c r="AB25" s="446" t="s">
        <v>3113</v>
      </c>
      <c r="AC25" s="446" t="s">
        <v>3114</v>
      </c>
      <c r="AD25" t="s">
        <v>3115</v>
      </c>
      <c r="AE25" t="s">
        <v>3116</v>
      </c>
      <c r="AF25" t="s">
        <v>3117</v>
      </c>
      <c r="AG25" t="s">
        <v>3118</v>
      </c>
      <c r="AH25" t="s">
        <v>3119</v>
      </c>
      <c r="AI25" t="s">
        <v>3120</v>
      </c>
    </row>
    <row r="26" spans="1:35" ht="13.15">
      <c r="A26" s="439"/>
      <c r="B26" s="450"/>
      <c r="C26" s="440"/>
      <c r="E26" s="462"/>
      <c r="F26" s="484"/>
      <c r="J26" s="436" t="s">
        <v>2855</v>
      </c>
      <c r="K26">
        <v>64</v>
      </c>
      <c r="L26">
        <v>100</v>
      </c>
      <c r="M26" s="442">
        <f>L26/K26</f>
        <v>1.5625</v>
      </c>
      <c r="N26" s="434">
        <v>0.3</v>
      </c>
      <c r="O26" s="416">
        <v>2</v>
      </c>
      <c r="P26" s="389" t="s">
        <v>21</v>
      </c>
      <c r="Q26">
        <v>18</v>
      </c>
      <c r="R26">
        <v>9</v>
      </c>
      <c r="S26">
        <v>2</v>
      </c>
      <c r="T26" s="448" t="s">
        <v>3121</v>
      </c>
      <c r="U26" t="s">
        <v>3122</v>
      </c>
      <c r="V26" t="s">
        <v>3123</v>
      </c>
      <c r="X26" t="s">
        <v>3124</v>
      </c>
      <c r="Y26" t="s">
        <v>3125</v>
      </c>
      <c r="AA26" s="446" t="s">
        <v>3126</v>
      </c>
      <c r="AB26" s="446" t="s">
        <v>3127</v>
      </c>
      <c r="AC26" s="441"/>
      <c r="AD26" t="s">
        <v>3128</v>
      </c>
      <c r="AE26" t="s">
        <v>3129</v>
      </c>
      <c r="AF26" t="s">
        <v>3130</v>
      </c>
    </row>
    <row r="27" spans="1:35" ht="13.15">
      <c r="A27" s="434">
        <v>0.4</v>
      </c>
      <c r="B27" s="452">
        <f>A27*B22</f>
        <v>0.37200000000000005</v>
      </c>
      <c r="C27" s="416">
        <v>3</v>
      </c>
      <c r="J27" s="438" t="s">
        <v>3131</v>
      </c>
      <c r="K27" s="418">
        <v>64</v>
      </c>
      <c r="L27" s="418">
        <v>128</v>
      </c>
      <c r="M27" s="442">
        <f>L27/K27</f>
        <v>2</v>
      </c>
      <c r="N27" s="435">
        <v>0.6</v>
      </c>
      <c r="O27" s="416">
        <v>3</v>
      </c>
      <c r="P27" s="389" t="s">
        <v>21</v>
      </c>
      <c r="Q27">
        <v>21</v>
      </c>
      <c r="R27">
        <v>15</v>
      </c>
      <c r="S27" t="s">
        <v>3132</v>
      </c>
      <c r="T27" s="448" t="s">
        <v>3133</v>
      </c>
      <c r="X27" t="s">
        <v>3134</v>
      </c>
      <c r="AA27" s="441" t="s">
        <v>3135</v>
      </c>
      <c r="AB27" s="441" t="s">
        <v>506</v>
      </c>
      <c r="AC27" s="441"/>
      <c r="AD27" s="389" t="s">
        <v>3136</v>
      </c>
      <c r="AE27" t="s">
        <v>506</v>
      </c>
      <c r="AG27" s="389" t="s">
        <v>3137</v>
      </c>
    </row>
    <row r="28" spans="1:35" ht="13.15">
      <c r="A28" s="435">
        <v>0.6</v>
      </c>
      <c r="B28" s="452">
        <f>A28*B22</f>
        <v>0.55800000000000005</v>
      </c>
      <c r="C28" s="416">
        <v>3</v>
      </c>
      <c r="J28" s="443" t="s">
        <v>2845</v>
      </c>
      <c r="K28" s="418">
        <v>64</v>
      </c>
      <c r="L28" s="418">
        <v>288</v>
      </c>
      <c r="M28" s="442">
        <f>L28/K28</f>
        <v>4.5</v>
      </c>
      <c r="N28" s="434">
        <v>0.4</v>
      </c>
      <c r="O28" s="416">
        <v>3</v>
      </c>
      <c r="P28" s="389" t="s">
        <v>92</v>
      </c>
      <c r="Q28">
        <v>18</v>
      </c>
      <c r="R28">
        <v>9</v>
      </c>
      <c r="S28" t="s">
        <v>3138</v>
      </c>
      <c r="T28" s="448">
        <v>0</v>
      </c>
      <c r="U28" t="s">
        <v>3139</v>
      </c>
      <c r="X28" t="s">
        <v>1265</v>
      </c>
      <c r="AA28" s="441" t="s">
        <v>3140</v>
      </c>
      <c r="AB28" s="441"/>
      <c r="AC28" s="441"/>
      <c r="AD28" t="s">
        <v>3141</v>
      </c>
      <c r="AE28" t="s">
        <v>3142</v>
      </c>
      <c r="AF28" t="s">
        <v>3143</v>
      </c>
      <c r="AG28" t="s">
        <v>3144</v>
      </c>
      <c r="AH28" t="s">
        <v>3145</v>
      </c>
    </row>
    <row r="29" spans="1:35" ht="13.15">
      <c r="J29" t="s">
        <v>2875</v>
      </c>
      <c r="M29" s="442"/>
      <c r="N29" s="433">
        <v>0.25</v>
      </c>
      <c r="O29" s="416">
        <v>2</v>
      </c>
      <c r="P29" s="389"/>
      <c r="Q29">
        <v>3</v>
      </c>
      <c r="R29">
        <v>1</v>
      </c>
      <c r="S29">
        <v>2</v>
      </c>
      <c r="T29" s="448">
        <v>0</v>
      </c>
      <c r="U29" t="s">
        <v>3146</v>
      </c>
      <c r="AA29" s="441"/>
      <c r="AB29" s="441"/>
      <c r="AC29" s="441"/>
    </row>
    <row r="30" spans="1:35" ht="13.15">
      <c r="J30" t="s">
        <v>2878</v>
      </c>
      <c r="K30">
        <v>130</v>
      </c>
      <c r="L30">
        <v>400</v>
      </c>
      <c r="M30" s="442">
        <f t="shared" ref="M30:M36" si="5">L30/K30</f>
        <v>3.0769230769230771</v>
      </c>
      <c r="N30" s="434">
        <v>0.3</v>
      </c>
      <c r="O30" s="416">
        <v>2</v>
      </c>
      <c r="P30" s="389" t="s">
        <v>19</v>
      </c>
      <c r="Q30">
        <v>6</v>
      </c>
      <c r="R30">
        <v>1</v>
      </c>
      <c r="T30" s="448">
        <v>0</v>
      </c>
    </row>
    <row r="31" spans="1:35" ht="13.15">
      <c r="A31" t="s">
        <v>2872</v>
      </c>
      <c r="J31" s="443" t="s">
        <v>2867</v>
      </c>
      <c r="K31">
        <v>48</v>
      </c>
      <c r="L31">
        <v>128</v>
      </c>
      <c r="M31" s="442">
        <f t="shared" si="5"/>
        <v>2.6666666666666665</v>
      </c>
      <c r="N31" s="434">
        <v>0.4</v>
      </c>
      <c r="O31" s="416">
        <v>1</v>
      </c>
      <c r="P31" s="389" t="s">
        <v>92</v>
      </c>
      <c r="S31">
        <v>1</v>
      </c>
      <c r="T31" s="448" t="s">
        <v>3147</v>
      </c>
      <c r="U31" t="s">
        <v>506</v>
      </c>
    </row>
    <row r="32" spans="1:35" ht="13.15">
      <c r="A32" t="s">
        <v>2874</v>
      </c>
      <c r="J32" s="443" t="s">
        <v>2885</v>
      </c>
      <c r="K32">
        <v>64</v>
      </c>
      <c r="L32">
        <v>128</v>
      </c>
      <c r="M32" s="442">
        <f t="shared" si="5"/>
        <v>2</v>
      </c>
      <c r="N32" s="434">
        <v>0.5</v>
      </c>
      <c r="O32" s="416">
        <v>1</v>
      </c>
      <c r="P32" s="389" t="s">
        <v>92</v>
      </c>
      <c r="Q32">
        <v>20</v>
      </c>
      <c r="R32">
        <v>10</v>
      </c>
      <c r="S32">
        <v>2</v>
      </c>
      <c r="T32" s="448" t="s">
        <v>3148</v>
      </c>
    </row>
    <row r="33" spans="1:20" ht="13.15">
      <c r="A33" t="s">
        <v>2877</v>
      </c>
      <c r="J33" s="443" t="s">
        <v>2862</v>
      </c>
      <c r="K33">
        <v>64</v>
      </c>
      <c r="L33">
        <v>128</v>
      </c>
      <c r="M33" s="442">
        <f t="shared" si="5"/>
        <v>2</v>
      </c>
      <c r="N33" s="434">
        <v>0.5</v>
      </c>
      <c r="O33" s="416">
        <v>2</v>
      </c>
      <c r="P33" s="389" t="s">
        <v>21</v>
      </c>
      <c r="Q33">
        <v>20</v>
      </c>
      <c r="R33">
        <v>10</v>
      </c>
      <c r="S33">
        <v>2</v>
      </c>
      <c r="T33" s="448" t="s">
        <v>3149</v>
      </c>
    </row>
    <row r="34" spans="1:20" ht="13.15">
      <c r="A34" t="s">
        <v>2880</v>
      </c>
      <c r="J34" s="438" t="s">
        <v>3150</v>
      </c>
      <c r="K34">
        <v>48</v>
      </c>
      <c r="L34">
        <v>200</v>
      </c>
      <c r="M34" s="442">
        <f t="shared" si="5"/>
        <v>4.166666666666667</v>
      </c>
      <c r="N34" s="435">
        <v>0.6</v>
      </c>
      <c r="O34" s="416">
        <v>2</v>
      </c>
      <c r="P34" s="389" t="s">
        <v>21</v>
      </c>
      <c r="Q34">
        <v>30</v>
      </c>
      <c r="R34">
        <f>Q34/2</f>
        <v>15</v>
      </c>
      <c r="S34">
        <v>2</v>
      </c>
      <c r="T34" t="s">
        <v>3151</v>
      </c>
    </row>
    <row r="35" spans="1:20" ht="13.15">
      <c r="J35" s="436" t="s">
        <v>2953</v>
      </c>
      <c r="K35">
        <v>48</v>
      </c>
      <c r="L35">
        <v>80</v>
      </c>
      <c r="M35" s="442">
        <f t="shared" si="5"/>
        <v>1.6666666666666667</v>
      </c>
      <c r="N35" s="433">
        <v>0.2</v>
      </c>
      <c r="O35" s="416">
        <v>1</v>
      </c>
      <c r="P35" s="389"/>
    </row>
    <row r="36" spans="1:20" ht="13.15">
      <c r="J36" s="436" t="s">
        <v>2891</v>
      </c>
      <c r="K36">
        <v>160</v>
      </c>
      <c r="L36">
        <v>640</v>
      </c>
      <c r="M36" s="442">
        <f t="shared" si="5"/>
        <v>4</v>
      </c>
      <c r="N36" s="434">
        <v>0.3</v>
      </c>
      <c r="O36">
        <v>1</v>
      </c>
      <c r="P36" s="389" t="s">
        <v>21</v>
      </c>
      <c r="Q36">
        <v>2</v>
      </c>
      <c r="R36">
        <v>1</v>
      </c>
    </row>
    <row r="37" spans="1:20" ht="13.15"/>
    <row r="38" spans="1:20" ht="13.15"/>
    <row r="39" spans="1:20" ht="13.15"/>
    <row r="40" spans="1:20" ht="15.6">
      <c r="A40" s="637" t="s">
        <v>2962</v>
      </c>
      <c r="B40" s="657"/>
      <c r="C40" s="657"/>
    </row>
    <row r="41" spans="1:20" ht="13.15">
      <c r="A41" s="423"/>
      <c r="B41" s="424" t="s">
        <v>2905</v>
      </c>
      <c r="C41" s="423"/>
    </row>
    <row r="42" spans="1:20" ht="13.15">
      <c r="A42" s="428" t="s">
        <v>3102</v>
      </c>
      <c r="B42" s="429" t="s">
        <v>21</v>
      </c>
      <c r="C42" s="427" t="s">
        <v>3152</v>
      </c>
    </row>
    <row r="43" spans="1:20" ht="13.15">
      <c r="A43" s="430">
        <f>0.5*$B$43</f>
        <v>0.77500000000000002</v>
      </c>
      <c r="B43" s="482">
        <f>0.62*$B$21</f>
        <v>1.55</v>
      </c>
      <c r="C43" s="430">
        <f>1.33*$B$43</f>
        <v>2.0615000000000001</v>
      </c>
      <c r="J43" s="641" t="s">
        <v>3153</v>
      </c>
      <c r="K43" s="641"/>
    </row>
    <row r="44" spans="1:20" ht="13.15">
      <c r="A44" s="461" t="s">
        <v>2916</v>
      </c>
      <c r="B44" s="422"/>
      <c r="C44" s="460" t="s">
        <v>3154</v>
      </c>
      <c r="J44" s="399" t="s">
        <v>2790</v>
      </c>
      <c r="K44" s="453" t="s">
        <v>3155</v>
      </c>
      <c r="L44" s="454" t="s">
        <v>3156</v>
      </c>
      <c r="M44" s="455" t="s">
        <v>3157</v>
      </c>
      <c r="N44" s="399"/>
      <c r="O44" s="399" t="s">
        <v>72</v>
      </c>
      <c r="P44" s="399" t="s">
        <v>114</v>
      </c>
    </row>
    <row r="45" spans="1:20" ht="13.15">
      <c r="A45" s="431">
        <f>0.33*B43</f>
        <v>0.51150000000000007</v>
      </c>
      <c r="B45" s="444" t="s">
        <v>2922</v>
      </c>
      <c r="C45" s="431">
        <f>1.45*B43</f>
        <v>2.2475000000000001</v>
      </c>
      <c r="J45" s="437" t="s">
        <v>2923</v>
      </c>
      <c r="K45">
        <v>5</v>
      </c>
      <c r="L45">
        <v>10</v>
      </c>
      <c r="M45">
        <v>15</v>
      </c>
      <c r="O45">
        <v>10</v>
      </c>
      <c r="P45">
        <v>20</v>
      </c>
    </row>
    <row r="46" spans="1:20" ht="13.15">
      <c r="A46" s="432">
        <f>0.25*B43</f>
        <v>0.38750000000000001</v>
      </c>
      <c r="B46" s="445" t="s">
        <v>2925</v>
      </c>
      <c r="C46" s="432">
        <f>1.5*B43</f>
        <v>2.3250000000000002</v>
      </c>
      <c r="J46" s="436" t="s">
        <v>2855</v>
      </c>
      <c r="K46">
        <v>10</v>
      </c>
      <c r="L46">
        <v>18</v>
      </c>
      <c r="M46">
        <v>21</v>
      </c>
    </row>
    <row r="47" spans="1:20" ht="13.15">
      <c r="J47" s="438" t="s">
        <v>2926</v>
      </c>
      <c r="K47">
        <v>15</v>
      </c>
      <c r="L47">
        <v>40</v>
      </c>
      <c r="M47">
        <v>45</v>
      </c>
      <c r="O47">
        <v>20</v>
      </c>
      <c r="P47">
        <v>40</v>
      </c>
    </row>
    <row r="48" spans="1:20" ht="13.15">
      <c r="J48" s="443" t="s">
        <v>2927</v>
      </c>
      <c r="K48">
        <v>7</v>
      </c>
      <c r="L48">
        <v>14</v>
      </c>
      <c r="M48">
        <v>18</v>
      </c>
      <c r="O48">
        <v>10</v>
      </c>
      <c r="P48">
        <v>18</v>
      </c>
    </row>
    <row r="49" spans="1:16" ht="13.15">
      <c r="A49" s="425" t="s">
        <v>2929</v>
      </c>
      <c r="B49" s="425" t="s">
        <v>2930</v>
      </c>
      <c r="C49" s="425" t="s">
        <v>2931</v>
      </c>
      <c r="D49" s="426" t="s">
        <v>2932</v>
      </c>
      <c r="E49" s="426" t="s">
        <v>2933</v>
      </c>
      <c r="J49" t="s">
        <v>2875</v>
      </c>
      <c r="K49">
        <v>0</v>
      </c>
      <c r="L49">
        <v>0</v>
      </c>
      <c r="M49">
        <v>0</v>
      </c>
    </row>
    <row r="50" spans="1:16" ht="13.15">
      <c r="A50" s="389" t="s">
        <v>2934</v>
      </c>
      <c r="B50" s="389" t="s">
        <v>2934</v>
      </c>
      <c r="C50" s="389" t="s">
        <v>2935</v>
      </c>
      <c r="D50" s="389" t="s">
        <v>2936</v>
      </c>
      <c r="E50" s="389" t="s">
        <v>506</v>
      </c>
      <c r="J50" t="s">
        <v>3158</v>
      </c>
      <c r="K50">
        <v>0</v>
      </c>
      <c r="L50">
        <v>0</v>
      </c>
      <c r="M50">
        <v>0</v>
      </c>
    </row>
    <row r="51" spans="1:16" ht="13.15">
      <c r="A51" s="389" t="s">
        <v>2934</v>
      </c>
      <c r="B51" s="389" t="s">
        <v>2939</v>
      </c>
      <c r="C51" s="389" t="s">
        <v>2935</v>
      </c>
      <c r="D51" s="389" t="s">
        <v>2940</v>
      </c>
      <c r="E51" s="389" t="s">
        <v>506</v>
      </c>
      <c r="J51" s="443" t="s">
        <v>2867</v>
      </c>
      <c r="K51">
        <v>10</v>
      </c>
      <c r="L51">
        <v>15</v>
      </c>
      <c r="M51">
        <v>30</v>
      </c>
      <c r="O51">
        <v>20</v>
      </c>
      <c r="P51">
        <v>40</v>
      </c>
    </row>
    <row r="52" spans="1:16" ht="13.15">
      <c r="A52" s="389" t="s">
        <v>2943</v>
      </c>
      <c r="B52" s="389" t="s">
        <v>2944</v>
      </c>
      <c r="C52" s="389" t="s">
        <v>2945</v>
      </c>
      <c r="D52" s="389" t="s">
        <v>2946</v>
      </c>
      <c r="E52" s="389" t="s">
        <v>3159</v>
      </c>
      <c r="F52" s="389" t="s">
        <v>506</v>
      </c>
      <c r="J52" s="443" t="s">
        <v>2937</v>
      </c>
      <c r="K52">
        <v>12</v>
      </c>
      <c r="L52">
        <v>18</v>
      </c>
      <c r="M52">
        <v>23</v>
      </c>
      <c r="O52" t="s">
        <v>3140</v>
      </c>
      <c r="P52" t="s">
        <v>3160</v>
      </c>
    </row>
    <row r="53" spans="1:16" ht="13.15">
      <c r="A53" s="389" t="s">
        <v>2943</v>
      </c>
      <c r="B53" s="389" t="s">
        <v>2939</v>
      </c>
      <c r="C53" s="389" t="s">
        <v>2950</v>
      </c>
      <c r="D53" s="389" t="s">
        <v>2951</v>
      </c>
      <c r="E53" s="389" t="s">
        <v>2952</v>
      </c>
      <c r="F53" s="389" t="s">
        <v>506</v>
      </c>
      <c r="J53" s="443" t="s">
        <v>2941</v>
      </c>
      <c r="K53">
        <v>12</v>
      </c>
      <c r="L53">
        <v>18</v>
      </c>
      <c r="M53">
        <v>23</v>
      </c>
      <c r="O53" t="s">
        <v>3140</v>
      </c>
      <c r="P53" t="s">
        <v>3160</v>
      </c>
    </row>
    <row r="54" spans="1:16" ht="13.15">
      <c r="A54" s="389" t="s">
        <v>2939</v>
      </c>
      <c r="B54" s="389" t="s">
        <v>2935</v>
      </c>
      <c r="C54" s="389" t="s">
        <v>2954</v>
      </c>
      <c r="D54" s="389" t="s">
        <v>2955</v>
      </c>
      <c r="E54" s="389" t="s">
        <v>506</v>
      </c>
      <c r="J54" s="438" t="s">
        <v>2948</v>
      </c>
      <c r="K54">
        <v>16</v>
      </c>
      <c r="L54">
        <v>36</v>
      </c>
      <c r="M54">
        <v>48</v>
      </c>
      <c r="O54" t="s">
        <v>3160</v>
      </c>
      <c r="P54" t="s">
        <v>3161</v>
      </c>
    </row>
    <row r="55" spans="1:16" ht="13.15">
      <c r="J55" s="436" t="s">
        <v>2953</v>
      </c>
      <c r="K55" t="s">
        <v>3162</v>
      </c>
      <c r="L55" t="s">
        <v>3163</v>
      </c>
      <c r="M55" t="s">
        <v>3164</v>
      </c>
      <c r="O55">
        <v>14</v>
      </c>
      <c r="P55">
        <v>20</v>
      </c>
    </row>
    <row r="56" spans="1:16" ht="13.15">
      <c r="J56" s="436" t="s">
        <v>2956</v>
      </c>
      <c r="K56">
        <v>10</v>
      </c>
      <c r="L56">
        <v>18</v>
      </c>
      <c r="M56">
        <v>21</v>
      </c>
    </row>
    <row r="57" spans="1:16" ht="13.15"/>
    <row r="58" spans="1:16" ht="13.15"/>
    <row r="59" spans="1:16" s="634" customFormat="1" ht="13.15"/>
    <row r="60" spans="1:16" ht="13.15">
      <c r="A60" t="s">
        <v>3165</v>
      </c>
    </row>
    <row r="61" spans="1:16" ht="13.15">
      <c r="A61" t="s">
        <v>3090</v>
      </c>
      <c r="B61" s="464">
        <v>2000</v>
      </c>
    </row>
    <row r="62" spans="1:16" ht="13.15">
      <c r="A62" t="s">
        <v>3166</v>
      </c>
      <c r="B62" s="464" t="s">
        <v>3167</v>
      </c>
      <c r="C62" t="s">
        <v>3168</v>
      </c>
      <c r="D62" t="s">
        <v>1657</v>
      </c>
      <c r="E62" t="s">
        <v>3169</v>
      </c>
      <c r="F62" t="s">
        <v>3168</v>
      </c>
      <c r="G62" t="s">
        <v>1657</v>
      </c>
    </row>
    <row r="63" spans="1:16" ht="13.15">
      <c r="A63">
        <v>1</v>
      </c>
      <c r="B63">
        <v>3</v>
      </c>
      <c r="C63" s="463">
        <f>B63*A63*14</f>
        <v>42</v>
      </c>
      <c r="D63" s="465">
        <f>B61/C63</f>
        <v>47.61904761904762</v>
      </c>
      <c r="E63">
        <v>1</v>
      </c>
      <c r="F63" s="463">
        <f>E63*A63*14</f>
        <v>14</v>
      </c>
      <c r="G63" s="465">
        <f>B61/F63</f>
        <v>142.85714285714286</v>
      </c>
    </row>
    <row r="64" spans="1:16" ht="13.15"/>
    <row r="65" spans="1:3" ht="13.15"/>
    <row r="66" spans="1:3" ht="13.15">
      <c r="A66" t="s">
        <v>3170</v>
      </c>
      <c r="B66" t="s">
        <v>3171</v>
      </c>
      <c r="C66" t="s">
        <v>3172</v>
      </c>
    </row>
    <row r="67" spans="1:3" ht="13.15"/>
    <row r="68" spans="1:3" ht="13.15">
      <c r="A68" t="s">
        <v>3173</v>
      </c>
    </row>
    <row r="69" spans="1:3" ht="13.15"/>
    <row r="70" spans="1:3" ht="13.15"/>
    <row r="71" spans="1:3" s="634" customFormat="1" ht="13.15"/>
    <row r="72" spans="1:3" ht="13.15"/>
    <row r="73" spans="1:3" ht="13.15"/>
    <row r="74" spans="1:3" ht="13.15"/>
    <row r="75" spans="1:3" ht="13.15"/>
    <row r="76" spans="1:3" ht="13.15"/>
    <row r="77" spans="1:3" ht="13.15"/>
    <row r="78" spans="1:3" ht="13.15"/>
    <row r="79" spans="1:3" ht="13.15"/>
    <row r="80" spans="1:3" ht="13.15"/>
    <row r="81" ht="13.15"/>
    <row r="82" ht="13.15"/>
    <row r="83" ht="13.15"/>
    <row r="84" ht="13.15"/>
    <row r="85" ht="13.15"/>
    <row r="86" ht="13.15"/>
    <row r="87" ht="13.15"/>
    <row r="88" ht="13.15"/>
    <row r="89" ht="13.15"/>
    <row r="90" ht="13.15"/>
    <row r="91" ht="13.15"/>
    <row r="92" ht="13.15"/>
    <row r="93" ht="13.15"/>
    <row r="94" ht="13.15"/>
    <row r="95" ht="13.15"/>
    <row r="96" ht="13.15"/>
    <row r="97" ht="13.15"/>
    <row r="98" ht="13.15"/>
    <row r="99" ht="13.15"/>
    <row r="100" ht="13.15"/>
    <row r="101" ht="13.15"/>
    <row r="102" ht="13.15"/>
    <row r="103" ht="13.15"/>
    <row r="104" ht="13.15"/>
    <row r="105" ht="13.15"/>
    <row r="106" ht="13.15"/>
    <row r="107" ht="13.15"/>
    <row r="108" ht="13.15"/>
    <row r="109" ht="13.15"/>
    <row r="110" ht="13.15"/>
    <row r="111" ht="13.15"/>
    <row r="112" ht="13.15"/>
    <row r="113" ht="13.15"/>
    <row r="114" ht="13.15"/>
    <row r="115" ht="13.15"/>
    <row r="116" ht="13.15"/>
    <row r="117" ht="13.15"/>
    <row r="118" ht="13.15"/>
    <row r="119" ht="13.15"/>
    <row r="120" ht="13.15"/>
    <row r="121" ht="13.15"/>
    <row r="122" ht="13.15"/>
    <row r="123" ht="13.15"/>
    <row r="124" ht="13.15"/>
    <row r="125" ht="13.15"/>
    <row r="126" ht="13.15"/>
    <row r="127" ht="13.15"/>
    <row r="128" ht="13.15"/>
    <row r="129" ht="13.15"/>
    <row r="130" ht="13.15"/>
    <row r="131" ht="13.15"/>
    <row r="132" ht="13.15"/>
    <row r="133" ht="13.15"/>
    <row r="134" ht="13.15"/>
    <row r="135" ht="13.15"/>
    <row r="136" ht="13.15"/>
    <row r="137" ht="13.15"/>
    <row r="138" ht="13.15"/>
    <row r="139" ht="13.15"/>
    <row r="140" ht="13.15"/>
    <row r="141" ht="13.15"/>
    <row r="142" ht="13.15"/>
    <row r="143" ht="13.15"/>
    <row r="144" ht="13.15"/>
    <row r="145" ht="13.15"/>
    <row r="146" ht="13.15"/>
    <row r="147" ht="13.15"/>
    <row r="148" ht="13.15"/>
    <row r="149" ht="13.15"/>
    <row r="150" ht="13.15"/>
    <row r="151" ht="13.15"/>
    <row r="152" ht="13.15"/>
    <row r="153" ht="13.15"/>
    <row r="154" ht="13.15"/>
    <row r="155" ht="13.15"/>
    <row r="156" ht="13.15"/>
    <row r="157" ht="13.15"/>
    <row r="158" ht="13.15"/>
    <row r="159" ht="13.15"/>
    <row r="160" ht="13.15"/>
    <row r="161" ht="13.15"/>
    <row r="162" ht="13.15"/>
    <row r="163" ht="13.15"/>
    <row r="164" ht="13.15"/>
    <row r="165" ht="13.15"/>
    <row r="166" ht="13.15"/>
    <row r="167" ht="13.15"/>
    <row r="168" ht="13.15"/>
    <row r="169" ht="13.15"/>
    <row r="170" ht="13.15"/>
    <row r="171" ht="13.15"/>
    <row r="172" ht="13.15"/>
    <row r="173" ht="13.15"/>
    <row r="174" ht="13.15"/>
    <row r="175" ht="13.15"/>
    <row r="176" ht="13.15"/>
    <row r="177" ht="13.15"/>
    <row r="178" ht="13.15"/>
    <row r="179" ht="13.15"/>
    <row r="180" ht="13.15"/>
    <row r="181" ht="13.15"/>
    <row r="182" ht="13.15"/>
    <row r="183" ht="13.15"/>
    <row r="184" ht="13.15"/>
    <row r="185" ht="13.15"/>
    <row r="186" ht="13.15"/>
    <row r="187" ht="13.15"/>
    <row r="188" ht="13.15"/>
    <row r="189" ht="13.15"/>
    <row r="190" ht="13.15"/>
    <row r="191" ht="13.15"/>
    <row r="192" ht="13.15"/>
    <row r="193" ht="13.15"/>
    <row r="194" ht="13.15"/>
    <row r="195" ht="13.15"/>
    <row r="196" ht="13.15"/>
    <row r="197" ht="13.15"/>
    <row r="198" ht="13.15"/>
    <row r="199" ht="13.15"/>
    <row r="200" ht="13.15"/>
    <row r="201" ht="13.15"/>
    <row r="202" ht="13.15"/>
    <row r="203" ht="13.15"/>
    <row r="204" ht="13.15"/>
    <row r="205" ht="13.15"/>
    <row r="206" ht="13.15"/>
    <row r="207" ht="13.15"/>
    <row r="208" ht="13.15"/>
    <row r="209" ht="13.15"/>
    <row r="210" ht="13.15"/>
    <row r="211" ht="13.15"/>
    <row r="212" ht="13.15"/>
    <row r="213" ht="13.15"/>
    <row r="214" ht="13.15"/>
    <row r="215" ht="13.15"/>
    <row r="216" ht="13.15"/>
    <row r="217" ht="13.15"/>
    <row r="218" ht="13.15"/>
    <row r="219" ht="13.15"/>
    <row r="220" ht="13.15"/>
    <row r="221" ht="13.15"/>
    <row r="222" ht="13.15"/>
    <row r="223" ht="13.15"/>
    <row r="224" ht="13.15"/>
    <row r="225" ht="13.15"/>
    <row r="226" ht="13.15"/>
    <row r="227" ht="13.15"/>
    <row r="228" ht="13.15"/>
    <row r="229" ht="13.15"/>
    <row r="230" ht="13.15"/>
    <row r="231" ht="13.15"/>
    <row r="232" ht="13.15"/>
    <row r="233" ht="13.15"/>
    <row r="234" ht="13.15"/>
    <row r="235" ht="13.15"/>
    <row r="236" ht="13.15"/>
    <row r="237" ht="13.15"/>
    <row r="238" ht="13.15"/>
    <row r="239" ht="13.15"/>
    <row r="240" ht="13.15"/>
    <row r="241" ht="13.15"/>
    <row r="242" ht="13.15"/>
    <row r="243" ht="13.15"/>
    <row r="244" ht="13.15"/>
    <row r="245" ht="13.15"/>
    <row r="246" ht="13.15"/>
    <row r="247" ht="13.15"/>
    <row r="248" ht="13.15"/>
    <row r="249" ht="13.15"/>
    <row r="250" ht="13.15"/>
    <row r="251" ht="13.15"/>
    <row r="252" ht="13.15"/>
    <row r="253" ht="13.15"/>
    <row r="254" ht="13.15"/>
    <row r="255" ht="13.15"/>
    <row r="256" ht="13.15"/>
    <row r="257" ht="13.15"/>
    <row r="258" ht="13.15"/>
    <row r="259" ht="13.15"/>
    <row r="260" ht="13.15"/>
    <row r="261" ht="13.15"/>
    <row r="262" ht="13.15"/>
    <row r="263" ht="13.15"/>
    <row r="264" ht="13.15"/>
    <row r="265" ht="13.15"/>
    <row r="266" ht="13.15"/>
    <row r="267" ht="13.15"/>
    <row r="268" ht="13.15"/>
    <row r="269" ht="13.15"/>
    <row r="270" ht="13.15"/>
    <row r="271" ht="13.15"/>
    <row r="272" ht="13.15"/>
    <row r="273" ht="13.15"/>
    <row r="274" ht="13.15"/>
    <row r="275" ht="13.15"/>
    <row r="276" ht="13.15"/>
    <row r="277" ht="13.15"/>
    <row r="278" ht="13.15"/>
    <row r="279" ht="13.15"/>
    <row r="280" ht="13.15"/>
    <row r="281" ht="13.15"/>
    <row r="282" ht="13.15"/>
    <row r="283" ht="13.15"/>
    <row r="284" ht="13.15"/>
    <row r="285" ht="13.15"/>
    <row r="286" ht="13.15"/>
    <row r="287" ht="13.15"/>
    <row r="288" ht="13.15"/>
    <row r="289" ht="13.15"/>
    <row r="290" ht="13.15"/>
    <row r="291" ht="13.15"/>
    <row r="292" ht="13.15"/>
    <row r="293" ht="13.15"/>
    <row r="294" ht="13.15"/>
    <row r="295" ht="13.15"/>
    <row r="296" ht="13.15"/>
    <row r="297" ht="13.15"/>
    <row r="298" ht="13.15"/>
    <row r="299" ht="13.15"/>
    <row r="300" ht="13.15"/>
    <row r="301" ht="13.15"/>
    <row r="302" ht="13.15"/>
    <row r="303" ht="13.15"/>
    <row r="304" ht="13.15"/>
    <row r="305" ht="13.15"/>
    <row r="306" ht="13.15"/>
    <row r="307" ht="13.15"/>
    <row r="308" ht="13.15"/>
    <row r="309" ht="13.15"/>
    <row r="310" ht="13.15"/>
    <row r="311" ht="13.15"/>
    <row r="312" ht="13.15"/>
    <row r="313" ht="13.15"/>
    <row r="314" ht="13.15"/>
    <row r="315" ht="13.15"/>
    <row r="316" ht="13.15"/>
    <row r="317" ht="13.15"/>
    <row r="318" ht="13.15"/>
    <row r="319" ht="13.15"/>
    <row r="320" ht="13.15"/>
    <row r="321" ht="13.15"/>
    <row r="322" ht="13.15"/>
    <row r="323" ht="13.15"/>
    <row r="324" ht="13.15"/>
    <row r="325" ht="13.15"/>
    <row r="326" ht="13.15"/>
    <row r="327" ht="13.15"/>
    <row r="328" ht="13.15"/>
    <row r="329" ht="13.15"/>
    <row r="330" ht="13.15"/>
    <row r="331" ht="13.15"/>
    <row r="332" ht="13.15"/>
    <row r="333" ht="13.15"/>
    <row r="334" ht="13.15"/>
    <row r="335" ht="13.15"/>
    <row r="336" ht="13.15"/>
    <row r="337" ht="13.15"/>
    <row r="338" ht="13.15"/>
    <row r="339" ht="13.15"/>
    <row r="340" ht="13.15"/>
    <row r="341" ht="13.15"/>
    <row r="342" ht="13.15"/>
    <row r="343" ht="13.15"/>
    <row r="344" ht="13.15"/>
    <row r="345" ht="13.15"/>
    <row r="346" ht="13.15"/>
    <row r="347" ht="13.15"/>
    <row r="348" ht="13.15"/>
    <row r="349" ht="13.15"/>
    <row r="350" ht="13.15"/>
    <row r="351" ht="13.15"/>
    <row r="352" ht="13.15"/>
    <row r="353" ht="13.15"/>
    <row r="354" ht="13.15"/>
    <row r="355" ht="13.15"/>
    <row r="356" ht="13.15"/>
    <row r="357" ht="13.15"/>
    <row r="358" ht="13.15"/>
    <row r="359" ht="13.15"/>
    <row r="360" ht="13.15"/>
    <row r="361" ht="13.15"/>
    <row r="362" ht="13.15"/>
    <row r="363" ht="13.15"/>
    <row r="364" ht="13.15"/>
    <row r="365" ht="13.15"/>
    <row r="366" ht="13.15"/>
    <row r="367" ht="13.15"/>
    <row r="368" ht="13.15"/>
    <row r="369" ht="13.15"/>
    <row r="370" ht="13.15"/>
    <row r="371" ht="13.15"/>
    <row r="372" ht="13.15"/>
    <row r="373" ht="13.15"/>
    <row r="374" ht="13.15"/>
    <row r="375" ht="13.15"/>
    <row r="376" ht="13.15"/>
    <row r="377" ht="13.15"/>
    <row r="378" ht="13.15"/>
    <row r="379" ht="13.15"/>
    <row r="380" ht="13.15"/>
    <row r="381" ht="13.15"/>
    <row r="382" ht="13.15"/>
    <row r="383" ht="13.15"/>
    <row r="384" ht="13.15"/>
    <row r="385" ht="13.15"/>
    <row r="386" ht="13.15"/>
    <row r="387" ht="13.15"/>
    <row r="388" ht="13.15"/>
    <row r="389" ht="13.15"/>
    <row r="390" ht="13.15"/>
    <row r="391" ht="13.15"/>
    <row r="392" ht="13.15"/>
    <row r="393" ht="13.15"/>
    <row r="394" ht="13.15"/>
    <row r="395" ht="13.15"/>
    <row r="396" ht="13.15"/>
    <row r="397" ht="13.15"/>
    <row r="398" ht="13.15"/>
    <row r="399" ht="13.15"/>
    <row r="400" ht="13.15"/>
    <row r="401" ht="13.15"/>
    <row r="402" ht="13.15"/>
    <row r="403" ht="13.15"/>
    <row r="404" ht="13.15"/>
    <row r="405" ht="13.15"/>
    <row r="406" ht="13.15"/>
    <row r="407" ht="13.15"/>
    <row r="408" ht="13.15"/>
    <row r="409" ht="13.15"/>
    <row r="410" ht="13.15"/>
    <row r="411" ht="13.15"/>
    <row r="412" ht="13.15"/>
    <row r="413" ht="13.15"/>
    <row r="414" ht="13.15"/>
    <row r="415" ht="13.15"/>
    <row r="416" ht="13.15"/>
    <row r="417" ht="13.15"/>
    <row r="418" ht="13.15"/>
    <row r="419" ht="13.15"/>
    <row r="420" ht="13.15"/>
    <row r="421" ht="13.15"/>
    <row r="422" ht="13.15"/>
    <row r="423" ht="13.15"/>
    <row r="424" ht="13.15"/>
    <row r="425" ht="13.15"/>
    <row r="426" ht="13.15"/>
    <row r="427" ht="13.15"/>
    <row r="428" ht="13.15"/>
    <row r="429" ht="13.15"/>
    <row r="430" ht="13.15"/>
    <row r="431" ht="13.15"/>
    <row r="432" ht="13.15"/>
    <row r="433" ht="13.15"/>
    <row r="434" ht="13.15"/>
    <row r="435" ht="13.15"/>
    <row r="436" ht="13.15"/>
    <row r="437" ht="13.15"/>
    <row r="438" ht="13.15"/>
    <row r="439" ht="13.15"/>
    <row r="440" ht="13.15"/>
    <row r="441" ht="13.15"/>
    <row r="442" ht="13.15"/>
    <row r="443" ht="13.15"/>
    <row r="444" ht="13.15"/>
    <row r="445" ht="13.15"/>
    <row r="446" ht="13.15"/>
    <row r="447" ht="13.15"/>
    <row r="448" ht="13.15"/>
    <row r="449" ht="13.15"/>
    <row r="450" ht="13.15"/>
    <row r="451" ht="13.15"/>
    <row r="452" ht="13.15"/>
    <row r="453" ht="13.15"/>
    <row r="454" ht="13.15"/>
    <row r="455" ht="13.15"/>
    <row r="456" ht="13.15"/>
    <row r="457" ht="13.15"/>
    <row r="458" ht="13.15"/>
    <row r="459" ht="13.15"/>
    <row r="460" ht="13.15"/>
    <row r="461" ht="13.15"/>
    <row r="462" ht="13.15"/>
    <row r="463" ht="13.15"/>
    <row r="464" ht="13.15"/>
    <row r="465" ht="13.15"/>
    <row r="466" ht="13.15"/>
    <row r="467" ht="13.15"/>
    <row r="468" ht="13.15"/>
    <row r="469" ht="13.15"/>
    <row r="470" ht="13.15"/>
    <row r="471" ht="13.15"/>
    <row r="472" ht="13.15"/>
    <row r="473" ht="13.15"/>
    <row r="474" ht="13.15"/>
    <row r="475" ht="13.15"/>
    <row r="476" ht="13.15"/>
    <row r="477" ht="13.15"/>
    <row r="478" ht="13.15"/>
    <row r="479" ht="13.15"/>
    <row r="480" ht="13.15"/>
    <row r="481" ht="13.15"/>
    <row r="482" ht="13.15"/>
    <row r="483" ht="13.15"/>
    <row r="484" ht="13.15"/>
    <row r="485" ht="13.15"/>
    <row r="486" ht="13.15"/>
    <row r="487" ht="13.15"/>
    <row r="488" ht="13.15"/>
    <row r="489" ht="13.15"/>
    <row r="490" ht="13.15"/>
    <row r="491" ht="13.15"/>
    <row r="492" ht="13.15"/>
    <row r="493" ht="13.15"/>
    <row r="494" ht="13.15"/>
    <row r="495" ht="13.15"/>
    <row r="496" ht="13.15"/>
    <row r="497" ht="13.15"/>
    <row r="498" ht="13.15"/>
    <row r="499" ht="13.15"/>
    <row r="500" ht="13.15"/>
    <row r="501" ht="13.15"/>
    <row r="502" ht="13.15"/>
    <row r="503" ht="13.15"/>
    <row r="504" ht="13.15"/>
    <row r="505" ht="13.15"/>
    <row r="506" ht="13.15"/>
    <row r="507" ht="13.15"/>
    <row r="508" ht="13.15"/>
    <row r="509" ht="13.15"/>
    <row r="510" ht="13.15"/>
    <row r="511" ht="13.15"/>
    <row r="512" ht="13.15"/>
    <row r="513" ht="13.15"/>
    <row r="514" ht="13.15"/>
    <row r="515" ht="13.15"/>
    <row r="516" ht="13.15"/>
    <row r="517" ht="13.15"/>
    <row r="518" ht="13.15"/>
    <row r="519" ht="13.15"/>
    <row r="520" ht="13.15"/>
    <row r="521" ht="13.15"/>
    <row r="522" ht="13.15"/>
    <row r="523" ht="13.15"/>
    <row r="524" ht="13.15"/>
    <row r="525" ht="13.15"/>
    <row r="526" ht="13.15"/>
    <row r="527" ht="13.15"/>
    <row r="528" ht="13.15"/>
    <row r="529" ht="13.15"/>
    <row r="530" ht="13.15"/>
    <row r="531" ht="13.15"/>
    <row r="532" ht="13.15"/>
    <row r="533" ht="13.15"/>
    <row r="534" ht="13.15"/>
    <row r="535" ht="13.15"/>
    <row r="536" ht="13.15"/>
    <row r="537" ht="13.15"/>
    <row r="538" ht="13.15"/>
    <row r="539" ht="13.15"/>
    <row r="540" ht="13.15"/>
    <row r="541" ht="13.15"/>
    <row r="542" ht="13.15"/>
    <row r="543" ht="13.15"/>
    <row r="544" ht="13.15"/>
    <row r="545" ht="13.15"/>
    <row r="546" ht="13.15"/>
    <row r="547" ht="13.15"/>
    <row r="548" ht="13.15"/>
    <row r="549" ht="13.15"/>
    <row r="550" ht="13.15"/>
    <row r="551" ht="13.15"/>
    <row r="552" ht="13.15"/>
    <row r="553" ht="13.15"/>
    <row r="554" ht="13.15"/>
    <row r="555" ht="13.15"/>
    <row r="556" ht="13.15"/>
    <row r="557" ht="13.15"/>
    <row r="558" ht="13.15"/>
    <row r="559" ht="13.15"/>
    <row r="560" ht="13.15"/>
    <row r="561" ht="13.15"/>
    <row r="562" ht="13.15"/>
    <row r="563" ht="13.15"/>
    <row r="564" ht="13.15"/>
    <row r="565" ht="13.15"/>
    <row r="566" ht="13.15"/>
    <row r="567" ht="13.15"/>
    <row r="568" ht="13.15"/>
    <row r="569" ht="13.15"/>
    <row r="570" ht="13.15"/>
    <row r="571" ht="13.15"/>
    <row r="572" ht="13.15"/>
    <row r="573" ht="13.15"/>
    <row r="574" ht="13.15"/>
    <row r="575" ht="13.15"/>
    <row r="576" ht="13.15"/>
    <row r="577" ht="13.15"/>
    <row r="578" ht="13.15"/>
    <row r="579" ht="13.15"/>
    <row r="580" ht="13.15"/>
    <row r="581" ht="13.15"/>
    <row r="582" ht="13.15"/>
    <row r="583" ht="13.15"/>
    <row r="584" ht="13.15"/>
    <row r="585" ht="13.15"/>
    <row r="586" ht="13.15"/>
    <row r="587" ht="13.15"/>
    <row r="588" ht="13.15"/>
    <row r="589" ht="13.15"/>
    <row r="590" ht="13.15"/>
    <row r="591" ht="13.15"/>
    <row r="592" ht="13.15"/>
    <row r="593" ht="13.15"/>
    <row r="594" ht="13.15"/>
    <row r="595" ht="13.15"/>
    <row r="596" ht="13.15"/>
    <row r="597" ht="13.15"/>
    <row r="598" ht="13.15"/>
    <row r="599" ht="13.15"/>
    <row r="600" ht="13.15"/>
    <row r="601" ht="13.15"/>
    <row r="602" ht="13.15"/>
    <row r="603" ht="13.15"/>
    <row r="604" ht="13.15"/>
    <row r="605" ht="13.15"/>
    <row r="606" ht="13.15"/>
    <row r="607" ht="13.15"/>
    <row r="608" ht="13.15"/>
    <row r="609" ht="13.15"/>
    <row r="610" ht="13.15"/>
    <row r="611" ht="13.15"/>
    <row r="612" ht="13.15"/>
    <row r="613" ht="13.15"/>
    <row r="614" ht="13.15"/>
    <row r="615" ht="13.15"/>
    <row r="616" ht="13.15"/>
    <row r="617" ht="13.15"/>
    <row r="618" ht="13.15"/>
    <row r="619" ht="13.15"/>
    <row r="620" ht="13.15"/>
    <row r="621" ht="13.15"/>
    <row r="622" ht="13.15"/>
    <row r="623" ht="13.15"/>
    <row r="624" ht="13.15"/>
    <row r="625" ht="13.15"/>
    <row r="626" ht="13.15"/>
    <row r="627" ht="13.15"/>
    <row r="628" ht="13.15"/>
    <row r="629" ht="13.15"/>
    <row r="630" ht="13.15"/>
    <row r="631" ht="13.15"/>
    <row r="632" ht="13.15"/>
    <row r="633" ht="13.15"/>
    <row r="634" ht="13.15"/>
    <row r="635" ht="13.15"/>
    <row r="636" ht="13.15"/>
    <row r="637" ht="13.15"/>
    <row r="638" ht="13.15"/>
    <row r="639" ht="13.15"/>
    <row r="640" ht="13.15"/>
    <row r="641" ht="13.15"/>
    <row r="642" ht="13.15"/>
    <row r="643" ht="13.15"/>
    <row r="644" ht="13.15"/>
    <row r="645" ht="13.15"/>
    <row r="646" ht="13.15"/>
    <row r="647" ht="13.15"/>
    <row r="648" ht="13.15"/>
    <row r="649" ht="13.15"/>
    <row r="650" ht="13.15"/>
    <row r="651" ht="13.15"/>
    <row r="652" ht="13.15"/>
    <row r="653" ht="13.15"/>
    <row r="654" ht="13.15"/>
    <row r="655" ht="13.15"/>
    <row r="656" ht="13.15"/>
    <row r="657" ht="13.15"/>
    <row r="658" ht="13.15"/>
    <row r="659" ht="13.15"/>
    <row r="660" ht="13.15"/>
    <row r="661" ht="13.15"/>
    <row r="662" ht="13.15"/>
    <row r="663" ht="13.15"/>
    <row r="664" ht="13.15"/>
    <row r="665" ht="13.15"/>
    <row r="666" ht="13.15"/>
    <row r="667" ht="13.15"/>
    <row r="668" ht="13.15"/>
    <row r="669" ht="13.15"/>
    <row r="670" ht="13.15"/>
    <row r="671" ht="13.15"/>
    <row r="672" ht="13.15"/>
    <row r="673" ht="13.15"/>
    <row r="674" ht="13.15"/>
    <row r="675" ht="13.15"/>
    <row r="676" ht="13.15"/>
    <row r="677" ht="13.15"/>
    <row r="678" ht="13.15"/>
    <row r="679" ht="13.15"/>
    <row r="680" ht="13.15"/>
    <row r="681" ht="13.15"/>
    <row r="682" ht="13.15"/>
    <row r="683" ht="13.15"/>
    <row r="684" ht="13.15"/>
    <row r="685" ht="13.15"/>
    <row r="686" ht="13.15"/>
    <row r="687" ht="13.15"/>
    <row r="688" ht="13.15"/>
    <row r="689" ht="13.15"/>
    <row r="690" ht="13.15"/>
    <row r="691" ht="13.15"/>
    <row r="692" ht="13.15"/>
    <row r="693" ht="13.15"/>
    <row r="694" ht="13.15"/>
    <row r="695" ht="13.15"/>
    <row r="696" ht="13.15"/>
    <row r="697" ht="13.15"/>
    <row r="698" ht="13.15"/>
    <row r="699" ht="13.15"/>
    <row r="700" ht="13.15"/>
    <row r="701" ht="13.15"/>
    <row r="702" ht="13.15"/>
    <row r="703" ht="13.15"/>
    <row r="704" ht="13.15"/>
    <row r="705" ht="13.15"/>
    <row r="706" ht="13.15"/>
    <row r="707" ht="13.15"/>
    <row r="708" ht="13.15"/>
    <row r="709" ht="13.15"/>
    <row r="710" ht="13.15"/>
    <row r="711" ht="13.15"/>
    <row r="712" ht="13.15"/>
    <row r="713" ht="13.15"/>
    <row r="714" ht="13.15"/>
    <row r="715" ht="13.15"/>
    <row r="716" ht="13.15"/>
    <row r="717" ht="13.15"/>
    <row r="718" ht="13.15"/>
    <row r="719" ht="13.15"/>
    <row r="720" ht="13.15"/>
    <row r="721" ht="13.15"/>
    <row r="722" ht="13.15"/>
    <row r="723" ht="13.15"/>
    <row r="724" ht="13.15"/>
    <row r="725" ht="13.15"/>
    <row r="726" ht="13.15"/>
    <row r="727" ht="13.15"/>
    <row r="728" ht="13.15"/>
    <row r="729" ht="13.15"/>
    <row r="730" ht="13.15"/>
    <row r="731" ht="13.15"/>
    <row r="732" ht="13.15"/>
    <row r="733" ht="13.15"/>
    <row r="734" ht="13.15"/>
    <row r="735" ht="13.15"/>
    <row r="736" ht="13.15"/>
    <row r="737" ht="13.15"/>
    <row r="738" ht="13.15"/>
    <row r="739" ht="13.15"/>
    <row r="740" ht="13.15"/>
    <row r="741" ht="13.15"/>
    <row r="742" ht="13.15"/>
    <row r="743" ht="13.15"/>
    <row r="744" ht="13.15"/>
    <row r="745" ht="13.15"/>
    <row r="746" ht="13.15"/>
    <row r="747" ht="13.15"/>
    <row r="748" ht="13.15"/>
    <row r="749" ht="13.15"/>
    <row r="750" ht="13.15"/>
    <row r="751" ht="13.15"/>
    <row r="752" ht="13.15"/>
    <row r="753" ht="13.15"/>
    <row r="754" ht="13.15"/>
    <row r="755" ht="13.15"/>
    <row r="756" ht="13.15"/>
    <row r="757" ht="13.15"/>
    <row r="758" ht="13.15"/>
    <row r="759" ht="13.15"/>
    <row r="760" ht="13.15"/>
    <row r="761" ht="13.15"/>
    <row r="762" ht="13.15"/>
    <row r="763" ht="13.15"/>
    <row r="764" ht="13.15"/>
    <row r="765" ht="13.15"/>
    <row r="766" ht="13.15"/>
    <row r="767" ht="13.15"/>
    <row r="768" ht="13.15"/>
    <row r="769" ht="13.15"/>
    <row r="770" ht="13.15"/>
    <row r="771" ht="13.15"/>
    <row r="772" ht="13.15"/>
    <row r="773" ht="13.15"/>
    <row r="774" ht="13.15"/>
    <row r="775" ht="13.15"/>
    <row r="776" ht="13.15"/>
    <row r="777" ht="13.15"/>
    <row r="778" ht="13.15"/>
    <row r="779" ht="13.15"/>
    <row r="780" ht="13.15"/>
    <row r="781" ht="13.15"/>
    <row r="782" ht="13.15"/>
    <row r="783" ht="13.15"/>
    <row r="784" ht="13.15"/>
    <row r="785" ht="13.15"/>
    <row r="786" ht="13.15"/>
    <row r="787" ht="13.15"/>
    <row r="788" ht="13.15"/>
    <row r="789" ht="13.15"/>
    <row r="790" ht="13.15"/>
    <row r="791" ht="13.15"/>
    <row r="792" ht="13.15"/>
    <row r="793" ht="13.15"/>
    <row r="794" ht="13.15"/>
    <row r="795" ht="13.15"/>
    <row r="796" ht="13.15"/>
    <row r="797" ht="13.15"/>
    <row r="798" ht="13.15"/>
    <row r="799" ht="13.15"/>
    <row r="800" ht="13.15"/>
    <row r="801" ht="13.15"/>
    <row r="802" ht="13.15"/>
    <row r="803" ht="13.15"/>
    <row r="804" ht="13.15"/>
    <row r="805" ht="13.15"/>
    <row r="806" ht="13.15"/>
    <row r="807" ht="13.15"/>
    <row r="808" ht="13.15"/>
    <row r="809" ht="13.15"/>
    <row r="810" ht="13.15"/>
    <row r="811" ht="13.15"/>
    <row r="812" ht="13.15"/>
    <row r="813" ht="13.15"/>
    <row r="814" ht="13.15"/>
    <row r="815" ht="13.15"/>
    <row r="816" ht="13.15"/>
    <row r="817" ht="13.15"/>
    <row r="818" ht="13.15"/>
    <row r="819" ht="13.15"/>
    <row r="820" ht="13.15"/>
    <row r="821" ht="13.15"/>
    <row r="822" ht="13.15"/>
    <row r="823" ht="13.15"/>
    <row r="824" ht="13.15"/>
    <row r="825" ht="13.15"/>
    <row r="826" ht="13.15"/>
    <row r="827" ht="13.15"/>
    <row r="828" ht="13.15"/>
    <row r="829" ht="13.15"/>
    <row r="830" ht="13.15"/>
    <row r="831" ht="13.15"/>
    <row r="832" ht="13.15"/>
    <row r="833" ht="13.15"/>
    <row r="834" ht="13.15"/>
    <row r="835" ht="13.15"/>
    <row r="836" ht="13.15"/>
    <row r="837" ht="13.15"/>
    <row r="838" ht="13.15"/>
    <row r="839" ht="13.15"/>
    <row r="840" ht="13.15"/>
    <row r="841" ht="13.15"/>
    <row r="842" ht="13.15"/>
    <row r="843" ht="13.15"/>
    <row r="844" ht="13.15"/>
    <row r="845" ht="13.15"/>
    <row r="846" ht="13.15"/>
    <row r="847" ht="13.15"/>
    <row r="848" ht="13.15"/>
    <row r="849" ht="13.15"/>
    <row r="850" ht="13.15"/>
    <row r="851" ht="13.15"/>
    <row r="852" ht="13.15"/>
    <row r="853" ht="13.15"/>
    <row r="854" ht="13.15"/>
    <row r="855" ht="13.15"/>
    <row r="856" ht="13.15"/>
    <row r="857" ht="13.15"/>
    <row r="858" ht="13.15"/>
    <row r="859" ht="13.15"/>
    <row r="860" ht="13.15"/>
    <row r="861" ht="13.15"/>
    <row r="862" ht="13.15"/>
    <row r="863" ht="13.15"/>
    <row r="864" ht="13.15"/>
    <row r="865" ht="13.15"/>
    <row r="866" ht="13.15"/>
    <row r="867" ht="13.15"/>
    <row r="868" ht="13.15"/>
    <row r="869" ht="13.15"/>
    <row r="870" ht="13.15"/>
    <row r="871" ht="13.15"/>
    <row r="872" ht="13.15"/>
    <row r="873" ht="13.15"/>
    <row r="874" ht="13.15"/>
    <row r="875" ht="13.15"/>
    <row r="876" ht="13.15"/>
    <row r="877" ht="13.15"/>
    <row r="878" ht="13.15"/>
    <row r="879" ht="13.15"/>
    <row r="880" ht="13.15"/>
    <row r="881" ht="13.15"/>
    <row r="882" ht="13.15"/>
    <row r="883" ht="13.15"/>
    <row r="884" ht="13.15"/>
    <row r="885" ht="13.15"/>
    <row r="886" ht="13.15"/>
    <row r="887" ht="13.15"/>
    <row r="888" ht="13.15"/>
    <row r="889" ht="13.15"/>
    <row r="890" ht="13.15"/>
    <row r="891" ht="13.15"/>
    <row r="892" ht="13.15"/>
    <row r="893" ht="13.15"/>
    <row r="894" ht="13.15"/>
    <row r="895" ht="13.15"/>
    <row r="896" ht="13.15"/>
    <row r="897" ht="13.15"/>
    <row r="898" ht="13.15"/>
    <row r="899" ht="13.15"/>
    <row r="900" ht="13.15"/>
    <row r="901" ht="13.15"/>
    <row r="902" ht="13.15"/>
    <row r="903" ht="13.15"/>
    <row r="904" ht="13.15"/>
    <row r="905" ht="13.15"/>
    <row r="906" ht="13.15"/>
    <row r="907" ht="13.15"/>
    <row r="908" ht="13.15"/>
    <row r="909" ht="13.15"/>
    <row r="910" ht="13.15"/>
    <row r="911" ht="13.15"/>
    <row r="912" ht="13.15"/>
    <row r="913" ht="13.15"/>
    <row r="914" ht="13.15"/>
    <row r="915" ht="13.15"/>
    <row r="916" ht="13.15"/>
    <row r="917" ht="13.15"/>
    <row r="918" ht="13.15"/>
    <row r="919" ht="13.15"/>
    <row r="920" ht="13.15"/>
    <row r="921" ht="13.15"/>
    <row r="922" ht="13.15"/>
    <row r="923" ht="13.15"/>
    <row r="924" ht="13.15"/>
    <row r="925" ht="13.15"/>
    <row r="926" ht="13.15"/>
    <row r="927" ht="13.15"/>
    <row r="928" ht="13.15"/>
    <row r="929" ht="13.15"/>
    <row r="930" ht="13.15"/>
    <row r="931" ht="13.15"/>
    <row r="932" ht="13.15"/>
    <row r="933" ht="13.15"/>
    <row r="934" ht="13.15"/>
    <row r="935" ht="13.15"/>
    <row r="936" ht="13.15"/>
    <row r="937" ht="13.15"/>
    <row r="938" ht="13.15"/>
    <row r="939" ht="13.15"/>
    <row r="940" ht="13.15"/>
    <row r="941" ht="13.15"/>
    <row r="942" ht="13.15"/>
    <row r="943" ht="13.15"/>
    <row r="944" ht="13.15"/>
    <row r="945" ht="13.15"/>
    <row r="946" ht="13.15"/>
    <row r="947" ht="13.15"/>
    <row r="948" ht="13.15"/>
    <row r="949" ht="13.15"/>
    <row r="950" ht="13.15"/>
    <row r="951" ht="13.15"/>
    <row r="952" ht="13.15"/>
    <row r="953" ht="13.15"/>
    <row r="954" ht="13.15"/>
    <row r="955" ht="13.15"/>
    <row r="956" ht="13.15"/>
    <row r="957" ht="13.15"/>
    <row r="958" ht="13.15"/>
    <row r="959" ht="13.15"/>
    <row r="960" ht="13.15"/>
    <row r="961" ht="13.15"/>
    <row r="962" ht="13.15"/>
    <row r="963" ht="13.15"/>
    <row r="964" ht="13.15"/>
    <row r="965" ht="13.15"/>
    <row r="966" ht="13.15"/>
    <row r="967" ht="13.15"/>
    <row r="968" ht="13.15"/>
    <row r="969" ht="13.15"/>
    <row r="970" ht="13.15"/>
    <row r="971" ht="13.15"/>
    <row r="972" ht="13.15"/>
    <row r="973" ht="13.15"/>
    <row r="974" ht="13.15"/>
    <row r="975" ht="13.15"/>
    <row r="976" ht="13.15"/>
    <row r="977" ht="13.15"/>
    <row r="978" ht="13.15"/>
    <row r="979" ht="13.15"/>
    <row r="980" ht="13.15"/>
    <row r="981" ht="13.15"/>
    <row r="982" ht="13.15"/>
    <row r="983" ht="13.15"/>
    <row r="984" ht="13.15"/>
    <row r="985" ht="13.15"/>
    <row r="986" ht="13.15"/>
    <row r="987" ht="13.15"/>
    <row r="988" ht="13.15"/>
    <row r="989" ht="13.15"/>
    <row r="990" ht="13.15"/>
    <row r="991" ht="13.15"/>
    <row r="992" ht="13.15"/>
  </sheetData>
  <mergeCells count="18">
    <mergeCell ref="J14:J15"/>
    <mergeCell ref="A1:XFD1"/>
    <mergeCell ref="A2:C2"/>
    <mergeCell ref="E2:H2"/>
    <mergeCell ref="J2:M2"/>
    <mergeCell ref="J3:K3"/>
    <mergeCell ref="A40:C40"/>
    <mergeCell ref="J43:K43"/>
    <mergeCell ref="A59:XFD59"/>
    <mergeCell ref="A71:XFD71"/>
    <mergeCell ref="A18:XFD18"/>
    <mergeCell ref="A19:C19"/>
    <mergeCell ref="J19:M19"/>
    <mergeCell ref="U24:W24"/>
    <mergeCell ref="X24:Z24"/>
    <mergeCell ref="AA24:AC24"/>
    <mergeCell ref="AD24:AF24"/>
    <mergeCell ref="AG24:AI24"/>
  </mergeCells>
  <conditionalFormatting sqref="H6:H17 H19">
    <cfRule type="cellIs" dxfId="16" priority="5" operator="greaterThan">
      <formula>$E$3</formula>
    </cfRule>
  </conditionalFormatting>
  <conditionalFormatting sqref="N7:O12">
    <cfRule type="cellIs" dxfId="15" priority="4" operator="greaterThan">
      <formula>$N$2</formula>
    </cfRule>
  </conditionalFormatting>
  <conditionalFormatting sqref="P25:P36">
    <cfRule type="containsText" dxfId="14" priority="1" operator="containsText" text="D">
      <formula>NOT(ISERROR(SEARCH("D",P25)))</formula>
    </cfRule>
    <cfRule type="containsText" dxfId="13" priority="3" operator="containsText" text="B">
      <formula>NOT(ISERROR(SEARCH("B",P25)))</formula>
    </cfRule>
  </conditionalFormatting>
  <conditionalFormatting sqref="P27:P36">
    <cfRule type="containsText" dxfId="12" priority="2" operator="containsText" text="A">
      <formula>NOT(ISERROR(SEARCH("A",P27)))</formula>
    </cfRule>
  </conditionalFormatting>
  <dataValidations count="1">
    <dataValidation type="list" allowBlank="1" showInputMessage="1" showErrorMessage="1" sqref="P25:P36" xr:uid="{9DEC6E54-657C-47E7-BEF3-211F0B65A260}">
      <formula1>"D,UD,B,A,UA"</formula1>
    </dataValidation>
  </dataValidations>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6B56E-352A-4BB0-B11D-6E3D3ED5790B}">
  <sheetPr>
    <tabColor theme="8" tint="0.39997558519241921"/>
  </sheetPr>
  <dimension ref="A1:G57"/>
  <sheetViews>
    <sheetView workbookViewId="0">
      <selection activeCell="E25" sqref="E25"/>
    </sheetView>
  </sheetViews>
  <sheetFormatPr defaultRowHeight="12.75"/>
  <cols>
    <col min="2" max="2" width="54.85546875" customWidth="1"/>
    <col min="3" max="3" width="13" customWidth="1"/>
    <col min="4" max="4" width="12.42578125" customWidth="1"/>
    <col min="5" max="5" width="51" customWidth="1"/>
    <col min="6" max="6" width="22.28515625" customWidth="1"/>
    <col min="7" max="7" width="92.28515625" bestFit="1" customWidth="1"/>
  </cols>
  <sheetData>
    <row r="1" spans="1:7">
      <c r="A1">
        <v>23</v>
      </c>
    </row>
    <row r="2" spans="1:7">
      <c r="A2" t="s">
        <v>371</v>
      </c>
      <c r="B2" t="s">
        <v>3174</v>
      </c>
      <c r="C2" t="s">
        <v>3175</v>
      </c>
      <c r="D2" t="s">
        <v>3176</v>
      </c>
      <c r="E2" s="605" t="s">
        <v>3177</v>
      </c>
      <c r="F2" s="488" t="s">
        <v>3178</v>
      </c>
      <c r="G2" t="s">
        <v>3179</v>
      </c>
    </row>
    <row r="3" spans="1:7">
      <c r="A3" t="s">
        <v>3180</v>
      </c>
      <c r="B3" t="s">
        <v>34</v>
      </c>
      <c r="C3" s="486" t="s">
        <v>92</v>
      </c>
      <c r="D3" s="606" t="s">
        <v>1721</v>
      </c>
      <c r="E3" s="607" t="s">
        <v>1721</v>
      </c>
      <c r="F3" s="486"/>
    </row>
    <row r="4" spans="1:7">
      <c r="A4" t="s">
        <v>1125</v>
      </c>
      <c r="B4" t="s">
        <v>3018</v>
      </c>
      <c r="C4" s="486" t="s">
        <v>92</v>
      </c>
      <c r="D4" s="606" t="s">
        <v>72</v>
      </c>
      <c r="E4" s="607" t="s">
        <v>3012</v>
      </c>
      <c r="F4" s="486" t="s">
        <v>3021</v>
      </c>
    </row>
    <row r="5" spans="1:7">
      <c r="A5" t="s">
        <v>1499</v>
      </c>
      <c r="B5" t="s">
        <v>3181</v>
      </c>
      <c r="C5" s="486" t="s">
        <v>1721</v>
      </c>
      <c r="D5" s="606" t="s">
        <v>1721</v>
      </c>
      <c r="E5" s="607" t="s">
        <v>3182</v>
      </c>
      <c r="F5" s="486" t="s">
        <v>114</v>
      </c>
      <c r="G5" t="s">
        <v>3183</v>
      </c>
    </row>
    <row r="6" spans="1:7">
      <c r="A6" t="s">
        <v>3184</v>
      </c>
      <c r="B6" t="s">
        <v>3185</v>
      </c>
      <c r="C6" s="486" t="s">
        <v>82</v>
      </c>
      <c r="D6" s="606" t="s">
        <v>1721</v>
      </c>
      <c r="E6" s="607" t="s">
        <v>1721</v>
      </c>
      <c r="F6" s="486" t="s">
        <v>114</v>
      </c>
    </row>
    <row r="7" spans="1:7">
      <c r="A7" t="s">
        <v>1634</v>
      </c>
      <c r="B7" t="s">
        <v>3186</v>
      </c>
      <c r="C7" s="486" t="s">
        <v>82</v>
      </c>
      <c r="D7" s="606" t="s">
        <v>92</v>
      </c>
      <c r="E7" s="607" t="s">
        <v>3187</v>
      </c>
      <c r="F7" s="486" t="s">
        <v>3023</v>
      </c>
      <c r="G7" t="s">
        <v>3188</v>
      </c>
    </row>
    <row r="8" spans="1:7">
      <c r="A8" t="s">
        <v>3189</v>
      </c>
      <c r="B8" t="s">
        <v>3190</v>
      </c>
      <c r="C8" s="486" t="s">
        <v>3191</v>
      </c>
      <c r="D8" s="606" t="s">
        <v>1721</v>
      </c>
      <c r="E8" s="607" t="s">
        <v>1721</v>
      </c>
      <c r="F8" s="486" t="s">
        <v>3021</v>
      </c>
    </row>
    <row r="9" spans="1:7">
      <c r="A9" t="s">
        <v>3192</v>
      </c>
      <c r="B9" t="s">
        <v>3190</v>
      </c>
      <c r="C9" s="486" t="s">
        <v>3191</v>
      </c>
      <c r="D9" s="606" t="s">
        <v>1721</v>
      </c>
      <c r="E9" s="607" t="s">
        <v>1721</v>
      </c>
      <c r="F9" s="486" t="s">
        <v>114</v>
      </c>
      <c r="G9" t="s">
        <v>3193</v>
      </c>
    </row>
    <row r="10" spans="1:7">
      <c r="A10" t="s">
        <v>3194</v>
      </c>
      <c r="B10" t="s">
        <v>3195</v>
      </c>
      <c r="C10" s="486" t="s">
        <v>92</v>
      </c>
      <c r="D10" s="606" t="s">
        <v>1721</v>
      </c>
      <c r="E10" s="607" t="s">
        <v>1721</v>
      </c>
      <c r="F10" s="486" t="s">
        <v>3023</v>
      </c>
    </row>
    <row r="11" spans="1:7">
      <c r="A11" t="s">
        <v>3196</v>
      </c>
      <c r="B11" t="s">
        <v>3197</v>
      </c>
      <c r="C11" s="486" t="s">
        <v>3198</v>
      </c>
      <c r="D11" s="606" t="s">
        <v>1721</v>
      </c>
      <c r="E11" s="607" t="s">
        <v>1721</v>
      </c>
      <c r="F11" s="486" t="s">
        <v>3021</v>
      </c>
    </row>
    <row r="12" spans="1:7">
      <c r="A12" t="s">
        <v>3199</v>
      </c>
      <c r="B12" t="s">
        <v>3018</v>
      </c>
      <c r="C12" s="486" t="s">
        <v>3200</v>
      </c>
      <c r="D12" s="606" t="s">
        <v>3201</v>
      </c>
      <c r="E12" s="607" t="s">
        <v>3012</v>
      </c>
      <c r="F12" s="486" t="s">
        <v>114</v>
      </c>
    </row>
    <row r="13" spans="1:7">
      <c r="A13" t="s">
        <v>3202</v>
      </c>
      <c r="B13" t="s">
        <v>3203</v>
      </c>
      <c r="C13" s="486" t="s">
        <v>82</v>
      </c>
      <c r="D13" s="606" t="s">
        <v>371</v>
      </c>
      <c r="E13" s="607" t="s">
        <v>3204</v>
      </c>
      <c r="F13" s="486" t="s">
        <v>3023</v>
      </c>
    </row>
    <row r="14" spans="1:7">
      <c r="A14" t="s">
        <v>3205</v>
      </c>
      <c r="B14" t="s">
        <v>3190</v>
      </c>
      <c r="C14" s="486" t="s">
        <v>3206</v>
      </c>
      <c r="D14" s="606" t="s">
        <v>1721</v>
      </c>
      <c r="E14" s="607" t="s">
        <v>1721</v>
      </c>
      <c r="F14" s="486" t="s">
        <v>3021</v>
      </c>
    </row>
    <row r="15" spans="1:7">
      <c r="A15" t="s">
        <v>3207</v>
      </c>
      <c r="B15" t="s">
        <v>3203</v>
      </c>
      <c r="C15" s="486" t="s">
        <v>92</v>
      </c>
      <c r="D15" s="606" t="s">
        <v>1721</v>
      </c>
      <c r="E15" s="607" t="s">
        <v>1721</v>
      </c>
      <c r="F15" s="486" t="s">
        <v>114</v>
      </c>
    </row>
    <row r="18" spans="1:7">
      <c r="A18">
        <v>24</v>
      </c>
    </row>
    <row r="19" spans="1:7">
      <c r="A19" s="608" t="s">
        <v>371</v>
      </c>
      <c r="B19" s="608" t="s">
        <v>3174</v>
      </c>
      <c r="C19" s="608" t="s">
        <v>3175</v>
      </c>
      <c r="D19" s="608" t="s">
        <v>3176</v>
      </c>
      <c r="E19" s="609" t="s">
        <v>3177</v>
      </c>
      <c r="F19" s="610" t="s">
        <v>3178</v>
      </c>
      <c r="G19" s="608" t="s">
        <v>3179</v>
      </c>
    </row>
    <row r="20" spans="1:7">
      <c r="A20" t="s">
        <v>3180</v>
      </c>
      <c r="B20" t="s">
        <v>34</v>
      </c>
      <c r="C20" s="486" t="s">
        <v>92</v>
      </c>
      <c r="D20" s="606" t="s">
        <v>1721</v>
      </c>
      <c r="E20" s="486" t="s">
        <v>1721</v>
      </c>
      <c r="F20" s="486"/>
    </row>
    <row r="21" spans="1:7">
      <c r="A21" t="s">
        <v>1125</v>
      </c>
      <c r="B21" t="s">
        <v>3190</v>
      </c>
      <c r="C21" s="486" t="s">
        <v>72</v>
      </c>
      <c r="D21" s="606" t="s">
        <v>3208</v>
      </c>
      <c r="E21" s="486" t="s">
        <v>3197</v>
      </c>
      <c r="F21" s="486" t="s">
        <v>3021</v>
      </c>
    </row>
    <row r="22" spans="1:7">
      <c r="A22" t="s">
        <v>1499</v>
      </c>
      <c r="B22" t="s">
        <v>3190</v>
      </c>
      <c r="C22" s="486" t="s">
        <v>72</v>
      </c>
      <c r="D22" s="606" t="s">
        <v>1721</v>
      </c>
      <c r="E22" s="486" t="s">
        <v>1721</v>
      </c>
      <c r="F22" s="486" t="s">
        <v>114</v>
      </c>
    </row>
    <row r="23" spans="1:7">
      <c r="A23" t="s">
        <v>1634</v>
      </c>
      <c r="B23" t="s">
        <v>3185</v>
      </c>
      <c r="C23" s="486" t="s">
        <v>92</v>
      </c>
      <c r="D23" s="606" t="s">
        <v>1721</v>
      </c>
      <c r="E23" s="486" t="s">
        <v>1721</v>
      </c>
      <c r="F23" s="486" t="s">
        <v>3023</v>
      </c>
    </row>
    <row r="24" spans="1:7">
      <c r="A24" t="s">
        <v>3189</v>
      </c>
      <c r="B24" t="s">
        <v>3209</v>
      </c>
      <c r="C24" s="486" t="s">
        <v>3210</v>
      </c>
      <c r="D24" s="606" t="s">
        <v>92</v>
      </c>
      <c r="E24" s="486" t="s">
        <v>3197</v>
      </c>
      <c r="F24" s="486" t="s">
        <v>3021</v>
      </c>
    </row>
    <row r="25" spans="1:7">
      <c r="A25" t="s">
        <v>3192</v>
      </c>
      <c r="B25" t="s">
        <v>3211</v>
      </c>
      <c r="C25" s="486" t="s">
        <v>92</v>
      </c>
      <c r="D25" s="606" t="s">
        <v>3212</v>
      </c>
      <c r="E25" s="486" t="s">
        <v>3213</v>
      </c>
      <c r="F25" s="486" t="s">
        <v>114</v>
      </c>
      <c r="G25" t="s">
        <v>3214</v>
      </c>
    </row>
    <row r="26" spans="1:7">
      <c r="A26" t="s">
        <v>3194</v>
      </c>
      <c r="B26" t="s">
        <v>3215</v>
      </c>
      <c r="C26" s="486" t="s">
        <v>3216</v>
      </c>
      <c r="D26" s="606"/>
      <c r="E26" s="486" t="s">
        <v>3217</v>
      </c>
      <c r="F26" s="486" t="s">
        <v>3023</v>
      </c>
      <c r="G26" t="s">
        <v>3218</v>
      </c>
    </row>
    <row r="27" spans="1:7">
      <c r="A27" t="s">
        <v>3196</v>
      </c>
      <c r="B27" t="s">
        <v>3219</v>
      </c>
      <c r="C27" s="486" t="s">
        <v>3216</v>
      </c>
      <c r="D27" s="606" t="s">
        <v>3220</v>
      </c>
      <c r="E27" s="607" t="s">
        <v>3182</v>
      </c>
      <c r="F27" s="486" t="s">
        <v>3021</v>
      </c>
      <c r="G27" t="s">
        <v>3221</v>
      </c>
    </row>
    <row r="28" spans="1:7">
      <c r="A28" t="s">
        <v>3199</v>
      </c>
      <c r="C28" s="486"/>
      <c r="D28" s="606"/>
      <c r="E28" s="486"/>
      <c r="F28" s="486" t="s">
        <v>114</v>
      </c>
    </row>
    <row r="29" spans="1:7">
      <c r="A29" t="s">
        <v>3202</v>
      </c>
      <c r="C29" s="486"/>
      <c r="D29" s="606"/>
      <c r="E29" s="486"/>
      <c r="F29" s="486" t="s">
        <v>3023</v>
      </c>
    </row>
    <row r="30" spans="1:7">
      <c r="A30" t="s">
        <v>3205</v>
      </c>
      <c r="C30" s="486"/>
      <c r="D30" s="606"/>
      <c r="E30" s="486"/>
      <c r="F30" s="486"/>
    </row>
    <row r="31" spans="1:7">
      <c r="A31" t="s">
        <v>3207</v>
      </c>
      <c r="C31" s="486"/>
      <c r="D31" s="606"/>
      <c r="E31" s="486"/>
      <c r="F31" s="486"/>
    </row>
    <row r="32" spans="1:7">
      <c r="F32" s="486"/>
    </row>
    <row r="40" spans="1:2" s="649" customFormat="1">
      <c r="A40" s="649" t="s">
        <v>3222</v>
      </c>
    </row>
    <row r="41" spans="1:2">
      <c r="A41" t="s">
        <v>3223</v>
      </c>
      <c r="B41" t="s">
        <v>3224</v>
      </c>
    </row>
    <row r="42" spans="1:2">
      <c r="B42" s="468" t="s">
        <v>3225</v>
      </c>
    </row>
    <row r="43" spans="1:2">
      <c r="A43">
        <v>1</v>
      </c>
      <c r="B43" s="468" t="s">
        <v>3226</v>
      </c>
    </row>
    <row r="44" spans="1:2">
      <c r="A44">
        <v>2</v>
      </c>
      <c r="B44" s="468" t="s">
        <v>3227</v>
      </c>
    </row>
    <row r="49" spans="1:2">
      <c r="A49" t="s">
        <v>3228</v>
      </c>
      <c r="B49" s="468" t="s">
        <v>3229</v>
      </c>
    </row>
    <row r="50" spans="1:2">
      <c r="B50" t="s">
        <v>3230</v>
      </c>
    </row>
    <row r="51" spans="1:2">
      <c r="B51" t="s">
        <v>3231</v>
      </c>
    </row>
    <row r="55" spans="1:2">
      <c r="A55" t="s">
        <v>3018</v>
      </c>
      <c r="B55" t="s">
        <v>3232</v>
      </c>
    </row>
    <row r="56" spans="1:2">
      <c r="B56" t="s">
        <v>3233</v>
      </c>
    </row>
    <row r="57" spans="1:2" ht="15">
      <c r="B57" s="569" t="s">
        <v>3234</v>
      </c>
    </row>
  </sheetData>
  <mergeCells count="1">
    <mergeCell ref="A40:XFD40"/>
  </mergeCells>
  <conditionalFormatting sqref="F3:F15">
    <cfRule type="cellIs" dxfId="11" priority="2" operator="equal">
      <formula>"R"</formula>
    </cfRule>
  </conditionalFormatting>
  <conditionalFormatting sqref="F20:F32">
    <cfRule type="cellIs" dxfId="10" priority="1" operator="equal">
      <formula>"R"</formula>
    </cfRule>
  </conditionalFormatting>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2023-02-07T07:26:28Z</dcterms:created>
  <dcterms:modified xsi:type="dcterms:W3CDTF">2024-10-28T08:19:42Z</dcterms:modified>
  <cp:category/>
  <cp:contentStatus/>
</cp:coreProperties>
</file>