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e5f46915c0ba2d3/Рабочий стол/"/>
    </mc:Choice>
  </mc:AlternateContent>
  <xr:revisionPtr revIDLastSave="17" documentId="8_{EE775EFE-1C8C-4F72-A9D6-F4BB1D0C4A19}" xr6:coauthVersionLast="47" xr6:coauthVersionMax="47" xr10:uidLastSave="{85E603B2-6D7F-4E3E-AF65-550DDD5B75ED}"/>
  <bookViews>
    <workbookView xWindow="-108" yWindow="-108" windowWidth="23256" windowHeight="12456" xr2:uid="{39792D0E-5856-D045-9DF8-13170D4F0BFC}"/>
  </bookViews>
  <sheets>
    <sheet name="1" sheetId="1" r:id="rId1"/>
    <sheet name="2" sheetId="2" r:id="rId2"/>
  </sheets>
  <definedNames>
    <definedName name="avg_bond">'1'!$D$15</definedName>
    <definedName name="avg_stock">'1'!$C$15</definedName>
    <definedName name="Corr">'1'!#REF!</definedName>
    <definedName name="Cov">'1'!#REF!</definedName>
    <definedName name="solver_adj" localSheetId="0" hidden="1">'1'!$D$43</definedName>
    <definedName name="solver_adj" localSheetId="1" hidden="1">'2'!$H$15:$H$20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'2'!$F$21</definedName>
    <definedName name="solver_lhs2" localSheetId="1" hidden="1">'2'!$H$21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'1'!$D$49</definedName>
    <definedName name="solver_opt" localSheetId="1" hidden="1">'2'!$G$21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0.045</definedName>
    <definedName name="solver_rhs2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F26" i="2"/>
  <c r="F21" i="2"/>
  <c r="H21" i="2"/>
  <c r="J21" i="2" l="1"/>
  <c r="K21" i="2"/>
  <c r="L21" i="2"/>
  <c r="M21" i="2"/>
  <c r="N21" i="2"/>
  <c r="I21" i="2"/>
  <c r="N20" i="2" l="1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M22" i="2" s="1"/>
  <c r="L15" i="2"/>
  <c r="L22" i="2" s="1"/>
  <c r="K15" i="2"/>
  <c r="J15" i="2"/>
  <c r="J22" i="2" s="1"/>
  <c r="I15" i="2"/>
  <c r="J13" i="1"/>
  <c r="I13" i="1"/>
  <c r="J12" i="1"/>
  <c r="I12" i="1"/>
  <c r="K12" i="1" s="1"/>
  <c r="J11" i="1"/>
  <c r="I11" i="1"/>
  <c r="K11" i="1" s="1"/>
  <c r="J10" i="1"/>
  <c r="I10" i="1"/>
  <c r="K10" i="1" s="1"/>
  <c r="J9" i="1"/>
  <c r="K9" i="1" s="1"/>
  <c r="I9" i="1"/>
  <c r="J8" i="1"/>
  <c r="I8" i="1"/>
  <c r="K8" i="1" s="1"/>
  <c r="J7" i="1"/>
  <c r="I7" i="1"/>
  <c r="K7" i="1" s="1"/>
  <c r="J6" i="1"/>
  <c r="I6" i="1"/>
  <c r="K6" i="1" s="1"/>
  <c r="J5" i="1"/>
  <c r="K5" i="1" s="1"/>
  <c r="I5" i="1"/>
  <c r="K4" i="1"/>
  <c r="J4" i="1"/>
  <c r="I4" i="1"/>
  <c r="C29" i="1"/>
  <c r="C30" i="1"/>
  <c r="C31" i="1"/>
  <c r="C32" i="1"/>
  <c r="C33" i="1"/>
  <c r="C34" i="1"/>
  <c r="C35" i="1"/>
  <c r="C36" i="1"/>
  <c r="C37" i="1"/>
  <c r="C38" i="1"/>
  <c r="C28" i="1"/>
  <c r="K22" i="2" l="1"/>
  <c r="N22" i="2"/>
  <c r="I22" i="2"/>
  <c r="K13" i="1"/>
  <c r="K14" i="1"/>
  <c r="C19" i="1" s="1"/>
  <c r="G21" i="2" l="1"/>
  <c r="F7" i="1"/>
  <c r="F8" i="1"/>
  <c r="D14" i="1"/>
  <c r="D15" i="1" s="1"/>
  <c r="F9" i="1" s="1"/>
  <c r="C14" i="1"/>
  <c r="C15" i="1" s="1"/>
  <c r="E11" i="1" l="1"/>
  <c r="E4" i="1"/>
  <c r="D34" i="1"/>
  <c r="D35" i="1"/>
  <c r="E6" i="1"/>
  <c r="G6" i="1" s="1"/>
  <c r="D37" i="1"/>
  <c r="D29" i="1"/>
  <c r="E12" i="1"/>
  <c r="D32" i="1"/>
  <c r="D33" i="1"/>
  <c r="E9" i="1"/>
  <c r="G9" i="1" s="1"/>
  <c r="D30" i="1"/>
  <c r="E13" i="1"/>
  <c r="E5" i="1"/>
  <c r="D36" i="1"/>
  <c r="E7" i="1"/>
  <c r="G7" i="1" s="1"/>
  <c r="D38" i="1"/>
  <c r="D28" i="1"/>
  <c r="D31" i="1"/>
  <c r="E10" i="1"/>
  <c r="E8" i="1"/>
  <c r="G8" i="1" s="1"/>
  <c r="F6" i="1"/>
  <c r="F4" i="1"/>
  <c r="F14" i="1" s="1"/>
  <c r="D17" i="1" s="1"/>
  <c r="F13" i="1"/>
  <c r="F11" i="1"/>
  <c r="G11" i="1" s="1"/>
  <c r="F12" i="1"/>
  <c r="F10" i="1"/>
  <c r="F5" i="1"/>
  <c r="G5" i="1" s="1"/>
  <c r="G10" i="1" l="1"/>
  <c r="G12" i="1"/>
  <c r="G13" i="1"/>
  <c r="E14" i="1"/>
  <c r="C17" i="1" s="1"/>
  <c r="G4" i="1"/>
  <c r="G14" i="1"/>
  <c r="E29" i="1" l="1"/>
  <c r="F29" i="1" s="1"/>
  <c r="C21" i="1"/>
  <c r="E32" i="1"/>
  <c r="E37" i="1"/>
  <c r="E31" i="1"/>
  <c r="F31" i="1" s="1"/>
  <c r="E30" i="1"/>
  <c r="E28" i="1"/>
  <c r="F28" i="1" s="1"/>
  <c r="E36" i="1"/>
  <c r="F36" i="1" s="1"/>
  <c r="E34" i="1"/>
  <c r="F34" i="1" s="1"/>
  <c r="E33" i="1"/>
  <c r="F33" i="1" s="1"/>
  <c r="E38" i="1"/>
  <c r="F38" i="1" s="1"/>
  <c r="E35" i="1"/>
  <c r="F35" i="1" s="1"/>
  <c r="C23" i="1"/>
  <c r="F32" i="1"/>
  <c r="C24" i="1"/>
  <c r="F37" i="1"/>
  <c r="F30" i="1"/>
  <c r="C52" i="1" l="1"/>
  <c r="C49" i="1"/>
  <c r="C44" i="1"/>
  <c r="C43" i="1"/>
  <c r="C51" i="1"/>
  <c r="C46" i="1"/>
  <c r="C53" i="1"/>
  <c r="C50" i="1"/>
  <c r="C48" i="1"/>
  <c r="C45" i="1"/>
  <c r="C47" i="1"/>
</calcChain>
</file>

<file path=xl/sharedStrings.xml><?xml version="1.0" encoding="utf-8"?>
<sst xmlns="http://schemas.openxmlformats.org/spreadsheetml/2006/main" count="90" uniqueCount="42">
  <si>
    <t>Year</t>
  </si>
  <si>
    <t>Stock Fund</t>
  </si>
  <si>
    <t>Bond Fund</t>
  </si>
  <si>
    <t>Sum</t>
  </si>
  <si>
    <t>Avg</t>
  </si>
  <si>
    <t>1.</t>
  </si>
  <si>
    <t>2.</t>
  </si>
  <si>
    <t>Diff stock squared</t>
  </si>
  <si>
    <t>Diff bond squared</t>
  </si>
  <si>
    <t>Cov</t>
  </si>
  <si>
    <t>Upper</t>
  </si>
  <si>
    <t>Corr</t>
  </si>
  <si>
    <t>5.</t>
  </si>
  <si>
    <t>GMVP Stock</t>
  </si>
  <si>
    <t>GMVP Bond</t>
  </si>
  <si>
    <t>Expected</t>
  </si>
  <si>
    <t>SD</t>
  </si>
  <si>
    <t>3.</t>
  </si>
  <si>
    <t>4.</t>
  </si>
  <si>
    <t>Sharpe ratio</t>
  </si>
  <si>
    <t>6. and 7.</t>
  </si>
  <si>
    <t>Tangency portfolio with highest Sharpe Ration is when Stock fund is 0,4 and Bond Fund is 0,6</t>
  </si>
  <si>
    <t>STD</t>
  </si>
  <si>
    <t>8.</t>
  </si>
  <si>
    <t>Risk</t>
  </si>
  <si>
    <t>CML</t>
  </si>
  <si>
    <t>A</t>
  </si>
  <si>
    <t>B</t>
  </si>
  <si>
    <t>C</t>
  </si>
  <si>
    <t>D</t>
  </si>
  <si>
    <t>E</t>
  </si>
  <si>
    <t>F</t>
  </si>
  <si>
    <t>Mean</t>
  </si>
  <si>
    <t>Correlation Matrix</t>
  </si>
  <si>
    <t>Covariance Matrix</t>
  </si>
  <si>
    <t>Weights</t>
  </si>
  <si>
    <t>Return</t>
  </si>
  <si>
    <t>Portfolio</t>
  </si>
  <si>
    <t>Allowing negative weights</t>
  </si>
  <si>
    <t>Not allowing negative weights</t>
  </si>
  <si>
    <t>Diss stock</t>
  </si>
  <si>
    <t>Diff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</si>
</sst>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9" fontId="0" fillId="0" borderId="0" xfId="0" applyNumberFormat="1"/>
    <xf numFmtId="10" fontId="0" fillId="2" borderId="0" xfId="0" applyNumberFormat="1" applyFill="1"/>
    <xf numFmtId="10" fontId="2" fillId="0" borderId="0" xfId="0" applyNumberFormat="1" applyFont="1"/>
    <xf numFmtId="10" fontId="2" fillId="2" borderId="0" xfId="0" applyNumberFormat="1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1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3" borderId="0" xfId="0" applyFill="1"/>
    <xf numFmtId="0" fontId="3" fillId="0" borderId="0" xfId="0" applyFont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Efficient border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'1'!$E$28:$E$38</c:f>
              <c:numCache>
                <c:formatCode>0.00%</c:formatCode>
                <c:ptCount val="11"/>
                <c:pt idx="0">
                  <c:v>0.19550540657485665</c:v>
                </c:pt>
                <c:pt idx="1">
                  <c:v>0.17688837541103586</c:v>
                </c:pt>
                <c:pt idx="2">
                  <c:v>0.15849378144127788</c:v>
                </c:pt>
                <c:pt idx="3">
                  <c:v>0.14040907449306828</c:v>
                </c:pt>
                <c:pt idx="4">
                  <c:v>0.12277127387499442</c:v>
                </c:pt>
                <c:pt idx="5">
                  <c:v>0.10580411722717704</c:v>
                </c:pt>
                <c:pt idx="6">
                  <c:v>8.9888179423103245E-2</c:v>
                </c:pt>
                <c:pt idx="7">
                  <c:v>7.5689539714693888E-2</c:v>
                </c:pt>
                <c:pt idx="8">
                  <c:v>6.4355078190371964E-2</c:v>
                </c:pt>
                <c:pt idx="9">
                  <c:v>5.7601161446623632E-2</c:v>
                </c:pt>
                <c:pt idx="10">
                  <c:v>5.7077662492042852E-2</c:v>
                </c:pt>
              </c:numCache>
            </c:numRef>
          </c:xVal>
          <c:yVal>
            <c:numRef>
              <c:f>'1'!$D$28:$D$38</c:f>
              <c:numCache>
                <c:formatCode>0.00%</c:formatCode>
                <c:ptCount val="11"/>
                <c:pt idx="0">
                  <c:v>9.3979999999999994E-2</c:v>
                </c:pt>
                <c:pt idx="1">
                  <c:v>8.8519999999999988E-2</c:v>
                </c:pt>
                <c:pt idx="2">
                  <c:v>8.3059999999999995E-2</c:v>
                </c:pt>
                <c:pt idx="3">
                  <c:v>7.7600000000000002E-2</c:v>
                </c:pt>
                <c:pt idx="4">
                  <c:v>7.2139999999999996E-2</c:v>
                </c:pt>
                <c:pt idx="5">
                  <c:v>6.6680000000000003E-2</c:v>
                </c:pt>
                <c:pt idx="6">
                  <c:v>6.1220000000000004E-2</c:v>
                </c:pt>
                <c:pt idx="7">
                  <c:v>5.5759999999999997E-2</c:v>
                </c:pt>
                <c:pt idx="8">
                  <c:v>5.0300000000000004E-2</c:v>
                </c:pt>
                <c:pt idx="9">
                  <c:v>4.4840000000000005E-2</c:v>
                </c:pt>
                <c:pt idx="10">
                  <c:v>3.9380000000000005E-2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112-4B16-8FB2-E466AE81E8C3}"/>
            </c:ext>
          </c:extLst>
        </c:ser>
        <c:ser>
          <c:idx val="1"/>
          <c:order val="1"/>
          <c:tx>
            <c:v>Risk-free return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'1'!$D$47</c:f>
              <c:numCache>
                <c:formatCode>0%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5-400D-8CFC-939F1C22C375}"/>
            </c:ext>
          </c:extLst>
        </c:ser>
        <c:ser>
          <c:idx val="2"/>
          <c:order val="2"/>
          <c:tx>
            <c:v>CML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'1'!$B$43:$B$53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0.15</c:v>
                </c:pt>
              </c:numCache>
            </c:numRef>
          </c:xVal>
          <c:yVal>
            <c:numRef>
              <c:f>'1'!$C$43:$C$53</c:f>
              <c:numCache>
                <c:formatCode>0.00%</c:formatCode>
                <c:ptCount val="11"/>
                <c:pt idx="0">
                  <c:v>0.03</c:v>
                </c:pt>
                <c:pt idx="1">
                  <c:v>3.3473204174382883E-2</c:v>
                </c:pt>
                <c:pt idx="2">
                  <c:v>3.6946408348765773E-2</c:v>
                </c:pt>
                <c:pt idx="3">
                  <c:v>4.0419612523148657E-2</c:v>
                </c:pt>
                <c:pt idx="4">
                  <c:v>4.3892816697531548E-2</c:v>
                </c:pt>
                <c:pt idx="5">
                  <c:v>4.7366020871914431E-2</c:v>
                </c:pt>
                <c:pt idx="6">
                  <c:v>5.0839225046297315E-2</c:v>
                </c:pt>
                <c:pt idx="7">
                  <c:v>5.4312429220680206E-2</c:v>
                </c:pt>
                <c:pt idx="8">
                  <c:v>5.7785633395063089E-2</c:v>
                </c:pt>
                <c:pt idx="9">
                  <c:v>6.1258837569445973E-2</c:v>
                </c:pt>
                <c:pt idx="10">
                  <c:v>8.2098062615743289E-2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75-400D-8CFC-939F1C22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81328"/>
        <c:axId val="2105383728"/>
      </c:scatterChart>
      <c:valAx>
        <c:axId val="21053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3728"/>
        <c:crosses val="autoZero"/>
        <c:crossBetween val="midCat"/>
      </c:valAx>
      <c:valAx>
        <c:axId val="21053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Without Short-Selling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'2'!$F$27:$L$27</c:f>
              <c:numCache>
                <c:formatCode>General</c:formatCode>
                <c:ptCount val="7"/>
                <c:pt idx="0">
                  <c:v>0.14589999999999997</c:v>
                </c:pt>
                <c:pt idx="1">
                  <c:v>0.12496085331179925</c:v>
                </c:pt>
                <c:pt idx="2">
                  <c:v>0.12643184022829709</c:v>
                </c:pt>
                <c:pt idx="3">
                  <c:v>0.13118715054495003</c:v>
                </c:pt>
                <c:pt idx="4">
                  <c:v>0.14287488922453928</c:v>
                </c:pt>
                <c:pt idx="5">
                  <c:v>0.17047991864774348</c:v>
                </c:pt>
                <c:pt idx="6">
                  <c:v>0.23580003650408568</c:v>
                </c:pt>
              </c:numCache>
            </c:numRef>
          </c:xVal>
          <c:yVal>
            <c:numRef>
              <c:f>'2'!$F$26:$L$26</c:f>
              <c:numCache>
                <c:formatCode>General</c:formatCode>
                <c:ptCount val="7"/>
                <c:pt idx="0">
                  <c:v>5.5E-2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3-4543-A1F1-83D2649EF723}"/>
            </c:ext>
          </c:extLst>
        </c:ser>
        <c:ser>
          <c:idx val="1"/>
          <c:order val="1"/>
          <c:tx>
            <c:v>With Short-Selling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'2'!$F$38:$L$38</c:f>
              <c:numCache>
                <c:formatCode>General</c:formatCode>
                <c:ptCount val="7"/>
                <c:pt idx="0">
                  <c:v>9.9966518560690373E-2</c:v>
                </c:pt>
                <c:pt idx="1">
                  <c:v>0.10697143733126337</c:v>
                </c:pt>
                <c:pt idx="2">
                  <c:v>0.11493748496497738</c:v>
                </c:pt>
                <c:pt idx="3">
                  <c:v>0.12430020743224561</c:v>
                </c:pt>
                <c:pt idx="4">
                  <c:v>0.1330434519409999</c:v>
                </c:pt>
                <c:pt idx="5">
                  <c:v>0.14290821019934799</c:v>
                </c:pt>
                <c:pt idx="6">
                  <c:v>0.1531767195826983</c:v>
                </c:pt>
              </c:numCache>
            </c:numRef>
          </c:xVal>
          <c:yVal>
            <c:numRef>
              <c:f>'2'!$F$37:$L$37</c:f>
              <c:numCache>
                <c:formatCode>General</c:formatCode>
                <c:ptCount val="7"/>
                <c:pt idx="0">
                  <c:v>5.5E-2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3-4543-A1F1-83D2649E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95631"/>
        <c:axId val="1583497551"/>
      </c:scatterChart>
      <c:valAx>
        <c:axId val="158349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497551"/>
        <c:crosses val="autoZero"/>
        <c:crossBetween val="midCat"/>
      </c:valAx>
      <c:valAx>
        <c:axId val="15834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49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67642</xdr:colOff>
      <xdr:row>23</xdr:row>
      <xdr:rowOff>150159</xdr:rowOff>
    </xdr:from>
    <xdr:to>
      <xdr:col>13</xdr:col>
      <xdr:colOff>358587</xdr:colOff>
      <xdr:row>46</xdr:row>
      <xdr:rowOff>35859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1F441-35B7-C51A-5B61-97A5B531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87630</xdr:colOff>
      <xdr:row>25</xdr:row>
      <xdr:rowOff>0</xdr:rowOff>
    </xdr:from>
    <xdr:to>
      <xdr:col>21</xdr:col>
      <xdr:colOff>152400</xdr:colOff>
      <xdr:row>42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3D47D-5D74-7BF0-B43F-7C2D6C76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C0E2-F3A5-2440-BCAB-078CE3BB24A5}">
  <dimension ref="A2:U58"/>
  <sheetViews>
    <sheetView tabSelected="1" zoomScale="85" zoomScaleNormal="85" workbookViewId="0">
      <selection activeCell="J15" sqref="J15"/>
    </sheetView>
  </sheetViews>
  <sheetFormatPr defaultColWidth="11.19921875" defaultRowHeight="15.6" x14ac:dyDescent="0.3"/>
  <cols>
    <col min="5" max="5" width="17.296875" customWidth="1"/>
    <col min="6" max="6" width="16" customWidth="1"/>
    <col min="10" max="10" width="11.8984375" bestFit="1" customWidth="1"/>
  </cols>
  <sheetData>
    <row r="2" spans="1:16" ht="16.2" thickBot="1" x14ac:dyDescent="0.35"/>
    <row r="3" spans="1:16" x14ac:dyDescent="0.3">
      <c r="B3" t="s">
        <v>0</v>
      </c>
      <c r="C3" t="s">
        <v>1</v>
      </c>
      <c r="D3" t="s">
        <v>2</v>
      </c>
      <c r="E3" s="4" t="s">
        <v>7</v>
      </c>
      <c r="F3" s="5" t="s">
        <v>8</v>
      </c>
      <c r="G3" t="s">
        <v>10</v>
      </c>
      <c r="I3" t="s">
        <v>40</v>
      </c>
      <c r="J3" t="s">
        <v>41</v>
      </c>
      <c r="K3" t="s">
        <v>10</v>
      </c>
      <c r="O3" s="2"/>
      <c r="P3" s="2"/>
    </row>
    <row r="4" spans="1:16" x14ac:dyDescent="0.3">
      <c r="B4">
        <v>1</v>
      </c>
      <c r="C4" s="1">
        <v>0.28170000000000001</v>
      </c>
      <c r="D4" s="1">
        <v>4.5600000000000002E-2</v>
      </c>
      <c r="E4" s="6">
        <f t="shared" ref="E4:E13" si="0">(C4-avg_stock)^2</f>
        <v>3.52387984E-2</v>
      </c>
      <c r="F4" s="7">
        <f t="shared" ref="F4:F13" si="1">(D4-avg_bond)^2</f>
        <v>3.8688399999999953E-5</v>
      </c>
      <c r="G4" s="2">
        <f>SQRT(E4)*SQRT(F4)</f>
        <v>1.1676183999999993E-3</v>
      </c>
      <c r="I4" s="2">
        <f t="shared" ref="I4:I13" si="2">C4-avg_stock</f>
        <v>0.18772</v>
      </c>
      <c r="J4" s="2">
        <f t="shared" ref="J4:J13" si="3">D4-avg_bond</f>
        <v>6.2199999999999964E-3</v>
      </c>
      <c r="K4" s="2">
        <f>I4*J4</f>
        <v>1.1676183999999993E-3</v>
      </c>
      <c r="L4" s="2"/>
    </row>
    <row r="5" spans="1:16" x14ac:dyDescent="0.3">
      <c r="B5">
        <v>2</v>
      </c>
      <c r="C5" s="1">
        <v>0.32969999999999999</v>
      </c>
      <c r="D5" s="1">
        <v>6.4000000000000001E-2</v>
      </c>
      <c r="E5" s="6">
        <f t="shared" si="0"/>
        <v>5.5563918399999995E-2</v>
      </c>
      <c r="F5" s="7">
        <f t="shared" si="1"/>
        <v>6.0614439999999979E-4</v>
      </c>
      <c r="G5" s="2">
        <f t="shared" ref="G5:G13" si="4">SQRT(E5)*SQRT(F5)</f>
        <v>5.8034263999999988E-3</v>
      </c>
      <c r="I5" s="2">
        <f t="shared" si="2"/>
        <v>0.23571999999999999</v>
      </c>
      <c r="J5" s="2">
        <f t="shared" si="3"/>
        <v>2.4619999999999996E-2</v>
      </c>
      <c r="K5" s="2">
        <f t="shared" ref="K5:K13" si="5">I5*J5</f>
        <v>5.8034263999999988E-3</v>
      </c>
    </row>
    <row r="6" spans="1:16" x14ac:dyDescent="0.3">
      <c r="B6">
        <v>3</v>
      </c>
      <c r="C6" s="1">
        <v>0.23039999999999999</v>
      </c>
      <c r="D6" s="1">
        <v>-6.7799999999999999E-2</v>
      </c>
      <c r="E6" s="6">
        <f t="shared" si="0"/>
        <v>1.8610416399999996E-2</v>
      </c>
      <c r="F6" s="7">
        <f t="shared" si="1"/>
        <v>1.14875524E-2</v>
      </c>
      <c r="G6" s="2">
        <f t="shared" si="4"/>
        <v>1.4621495599999998E-2</v>
      </c>
      <c r="I6" s="2">
        <f t="shared" si="2"/>
        <v>0.13641999999999999</v>
      </c>
      <c r="J6" s="2">
        <f t="shared" si="3"/>
        <v>-0.10718</v>
      </c>
      <c r="K6" s="2">
        <f t="shared" si="5"/>
        <v>-1.4621495599999998E-2</v>
      </c>
    </row>
    <row r="7" spans="1:16" x14ac:dyDescent="0.3">
      <c r="B7">
        <v>4</v>
      </c>
      <c r="C7" s="1">
        <v>-9.0999999999999998E-2</v>
      </c>
      <c r="D7" s="1">
        <v>4.2700000000000002E-2</v>
      </c>
      <c r="E7" s="6">
        <f t="shared" si="0"/>
        <v>3.4217600399999992E-2</v>
      </c>
      <c r="F7" s="7">
        <f t="shared" si="1"/>
        <v>1.1022399999999978E-5</v>
      </c>
      <c r="G7" s="2">
        <f t="shared" si="4"/>
        <v>6.1413359999999933E-4</v>
      </c>
      <c r="I7" s="2">
        <f t="shared" si="2"/>
        <v>-0.18497999999999998</v>
      </c>
      <c r="J7" s="2">
        <f t="shared" si="3"/>
        <v>3.3199999999999966E-3</v>
      </c>
      <c r="K7" s="2">
        <f t="shared" si="5"/>
        <v>-6.1413359999999933E-4</v>
      </c>
    </row>
    <row r="8" spans="1:16" x14ac:dyDescent="0.3">
      <c r="B8">
        <v>5</v>
      </c>
      <c r="C8" s="1">
        <v>-0.14000000000000001</v>
      </c>
      <c r="D8" s="1">
        <v>0.1</v>
      </c>
      <c r="E8" s="6">
        <f t="shared" si="0"/>
        <v>5.4746640400000011E-2</v>
      </c>
      <c r="F8" s="7">
        <f t="shared" si="1"/>
        <v>3.6747844000000001E-3</v>
      </c>
      <c r="G8" s="2">
        <f t="shared" si="4"/>
        <v>1.4183867600000002E-2</v>
      </c>
      <c r="I8" s="2">
        <f t="shared" si="2"/>
        <v>-0.23398000000000002</v>
      </c>
      <c r="J8" s="2">
        <f t="shared" si="3"/>
        <v>6.062E-2</v>
      </c>
      <c r="K8" s="2">
        <f t="shared" si="5"/>
        <v>-1.4183867600000002E-2</v>
      </c>
      <c r="O8" s="2"/>
    </row>
    <row r="9" spans="1:16" x14ac:dyDescent="0.3">
      <c r="B9">
        <v>6</v>
      </c>
      <c r="C9" s="1">
        <v>-0.26450000000000001</v>
      </c>
      <c r="D9" s="1">
        <v>-5.4800000000000001E-2</v>
      </c>
      <c r="E9" s="6">
        <f t="shared" si="0"/>
        <v>0.12850791040000001</v>
      </c>
      <c r="F9" s="7">
        <f t="shared" si="1"/>
        <v>8.8698724000000027E-3</v>
      </c>
      <c r="G9" s="2">
        <f t="shared" si="4"/>
        <v>3.3761646400000005E-2</v>
      </c>
      <c r="I9" s="2">
        <f t="shared" si="2"/>
        <v>-0.35848000000000002</v>
      </c>
      <c r="J9" s="2">
        <f t="shared" si="3"/>
        <v>-9.4180000000000014E-2</v>
      </c>
      <c r="K9" s="2">
        <f t="shared" si="5"/>
        <v>3.3761646400000005E-2</v>
      </c>
    </row>
    <row r="10" spans="1:16" x14ac:dyDescent="0.3">
      <c r="B10">
        <v>7</v>
      </c>
      <c r="C10" s="1">
        <v>0.20319999999999999</v>
      </c>
      <c r="D10" s="1">
        <v>4.5600000000000002E-2</v>
      </c>
      <c r="E10" s="6">
        <f t="shared" si="0"/>
        <v>1.19290084E-2</v>
      </c>
      <c r="F10" s="7">
        <f t="shared" si="1"/>
        <v>3.8688399999999953E-5</v>
      </c>
      <c r="G10" s="2">
        <f t="shared" si="4"/>
        <v>6.7934839999999957E-4</v>
      </c>
      <c r="I10" s="2">
        <f t="shared" si="2"/>
        <v>0.10922</v>
      </c>
      <c r="J10" s="2">
        <f t="shared" si="3"/>
        <v>6.2199999999999964E-3</v>
      </c>
      <c r="K10" s="2">
        <f t="shared" si="5"/>
        <v>6.7934839999999957E-4</v>
      </c>
      <c r="N10" s="2"/>
      <c r="O10" s="2"/>
    </row>
    <row r="11" spans="1:16" x14ac:dyDescent="0.3">
      <c r="B11">
        <v>8</v>
      </c>
      <c r="C11" s="1">
        <v>0.1056</v>
      </c>
      <c r="D11" s="1">
        <v>7.5600000000000001E-2</v>
      </c>
      <c r="E11" s="6">
        <f t="shared" si="0"/>
        <v>1.3502440000000014E-4</v>
      </c>
      <c r="F11" s="7">
        <f t="shared" si="1"/>
        <v>1.3118883999999997E-3</v>
      </c>
      <c r="G11" s="2">
        <f t="shared" si="4"/>
        <v>4.2087640000000012E-4</v>
      </c>
      <c r="I11" s="2">
        <f t="shared" si="2"/>
        <v>1.1620000000000005E-2</v>
      </c>
      <c r="J11" s="2">
        <f t="shared" si="3"/>
        <v>3.6219999999999995E-2</v>
      </c>
      <c r="K11" s="2">
        <f t="shared" si="5"/>
        <v>4.2087640000000012E-4</v>
      </c>
      <c r="N11" s="2"/>
    </row>
    <row r="12" spans="1:16" x14ac:dyDescent="0.3">
      <c r="B12">
        <v>9</v>
      </c>
      <c r="C12" s="1">
        <v>0.12870000000000001</v>
      </c>
      <c r="D12" s="1">
        <v>9.6199999999999994E-2</v>
      </c>
      <c r="E12" s="6">
        <f t="shared" si="0"/>
        <v>1.2054784000000011E-3</v>
      </c>
      <c r="F12" s="7">
        <f t="shared" si="1"/>
        <v>3.2285123999999986E-3</v>
      </c>
      <c r="G12" s="2">
        <f t="shared" si="4"/>
        <v>1.9727904000000004E-3</v>
      </c>
      <c r="I12" s="2">
        <f t="shared" si="2"/>
        <v>3.4720000000000015E-2</v>
      </c>
      <c r="J12" s="2">
        <f t="shared" si="3"/>
        <v>5.6819999999999989E-2</v>
      </c>
      <c r="K12" s="2">
        <f t="shared" si="5"/>
        <v>1.9727904000000004E-3</v>
      </c>
    </row>
    <row r="13" spans="1:16" ht="16.2" thickBot="1" x14ac:dyDescent="0.35">
      <c r="B13">
        <v>10</v>
      </c>
      <c r="C13" s="1">
        <v>0.156</v>
      </c>
      <c r="D13" s="1">
        <v>4.6699999999999998E-2</v>
      </c>
      <c r="E13" s="8">
        <f t="shared" si="0"/>
        <v>3.8464804000000008E-3</v>
      </c>
      <c r="F13" s="9">
        <f t="shared" si="1"/>
        <v>5.3582399999999902E-5</v>
      </c>
      <c r="G13" s="2">
        <f t="shared" si="4"/>
        <v>4.5398639999999962E-4</v>
      </c>
      <c r="I13" s="2">
        <f t="shared" si="2"/>
        <v>6.2020000000000006E-2</v>
      </c>
      <c r="J13" s="2">
        <f t="shared" si="3"/>
        <v>7.3199999999999932E-3</v>
      </c>
      <c r="K13" s="2">
        <f t="shared" si="5"/>
        <v>4.5398639999999962E-4</v>
      </c>
    </row>
    <row r="14" spans="1:16" x14ac:dyDescent="0.3">
      <c r="B14" t="s">
        <v>3</v>
      </c>
      <c r="C14" s="2">
        <f>SUM(C4:C13)</f>
        <v>0.93979999999999997</v>
      </c>
      <c r="D14" s="2">
        <f>SUM(D4:D13)</f>
        <v>0.39380000000000004</v>
      </c>
      <c r="E14" s="2">
        <f>SUM(E4:E13)</f>
        <v>0.34400127600000002</v>
      </c>
      <c r="F14" s="2">
        <f>SUM(F4:F13)</f>
        <v>2.9320735999999997E-2</v>
      </c>
      <c r="G14" s="2">
        <f>SUM(G4:G13)</f>
        <v>7.36791896E-2</v>
      </c>
      <c r="K14" s="2">
        <f>SUM(K4:K13)</f>
        <v>1.4840196000000005E-2</v>
      </c>
    </row>
    <row r="15" spans="1:16" x14ac:dyDescent="0.3">
      <c r="A15" s="3" t="s">
        <v>5</v>
      </c>
      <c r="B15" t="s">
        <v>4</v>
      </c>
      <c r="C15" s="1">
        <f>C14/$B$13</f>
        <v>9.3979999999999994E-2</v>
      </c>
      <c r="D15" s="1">
        <f>D14/$B$13</f>
        <v>3.9380000000000005E-2</v>
      </c>
    </row>
    <row r="17" spans="1:21" x14ac:dyDescent="0.3">
      <c r="A17" s="3" t="s">
        <v>6</v>
      </c>
      <c r="B17" t="s">
        <v>22</v>
      </c>
      <c r="C17" s="2">
        <f>SQRT(E14/9)</f>
        <v>0.19550540657485665</v>
      </c>
      <c r="D17" s="2">
        <f>SQRT(F14/9)</f>
        <v>5.7077662492042852E-2</v>
      </c>
      <c r="U17" s="2"/>
    </row>
    <row r="19" spans="1:21" x14ac:dyDescent="0.3">
      <c r="A19" s="3" t="s">
        <v>17</v>
      </c>
      <c r="B19" t="s">
        <v>9</v>
      </c>
      <c r="C19" s="2">
        <f>K14/9</f>
        <v>1.6489106666666671E-3</v>
      </c>
    </row>
    <row r="21" spans="1:21" x14ac:dyDescent="0.3">
      <c r="A21" s="3" t="s">
        <v>18</v>
      </c>
      <c r="B21" t="s">
        <v>11</v>
      </c>
      <c r="C21" s="2">
        <f>C19/(C17*D17)</f>
        <v>0.14776520352571601</v>
      </c>
    </row>
    <row r="23" spans="1:21" x14ac:dyDescent="0.3">
      <c r="A23" s="3" t="s">
        <v>12</v>
      </c>
      <c r="B23" t="s">
        <v>13</v>
      </c>
      <c r="C23" s="2">
        <f>(D17^2-C17*D17*C21)/(C17^2+D17^2-2*C17*D17*C21)</f>
        <v>4.2138493003263097E-2</v>
      </c>
      <c r="E23" s="2"/>
    </row>
    <row r="24" spans="1:21" x14ac:dyDescent="0.3">
      <c r="B24" t="s">
        <v>14</v>
      </c>
      <c r="C24" s="2">
        <f>1-C23</f>
        <v>0.95786150699673689</v>
      </c>
      <c r="E24" s="2"/>
    </row>
    <row r="27" spans="1:21" x14ac:dyDescent="0.3">
      <c r="A27" s="3" t="s">
        <v>20</v>
      </c>
      <c r="B27" t="s">
        <v>1</v>
      </c>
      <c r="C27" t="s">
        <v>2</v>
      </c>
      <c r="D27" t="s">
        <v>15</v>
      </c>
      <c r="E27" t="s">
        <v>16</v>
      </c>
      <c r="F27" t="s">
        <v>19</v>
      </c>
    </row>
    <row r="28" spans="1:21" x14ac:dyDescent="0.3">
      <c r="B28" s="12">
        <v>1</v>
      </c>
      <c r="C28" s="12">
        <f>1-B28</f>
        <v>0</v>
      </c>
      <c r="D28" s="2">
        <f t="shared" ref="D28:D38" si="6">B28*avg_stock+C28*avg_bond</f>
        <v>9.3979999999999994E-2</v>
      </c>
      <c r="E28" s="2">
        <f t="shared" ref="E28:E38" si="7">(B28^2*$C$17^2+C28^2*$D$17^2+2*B28*C28*$C$17*$D$17*$C$21)^0.5</f>
        <v>0.19550540657485665</v>
      </c>
      <c r="F28" s="2">
        <f>(D28-3%)/E28</f>
        <v>0.32725437685275893</v>
      </c>
    </row>
    <row r="29" spans="1:21" x14ac:dyDescent="0.3">
      <c r="B29" s="12">
        <v>0.9</v>
      </c>
      <c r="C29" s="12">
        <f t="shared" ref="C29:C38" si="8">1-B29</f>
        <v>9.9999999999999978E-2</v>
      </c>
      <c r="D29" s="2">
        <f t="shared" si="6"/>
        <v>8.8519999999999988E-2</v>
      </c>
      <c r="E29" s="2">
        <f t="shared" si="7"/>
        <v>0.17688837541103586</v>
      </c>
      <c r="F29" s="2">
        <f t="shared" ref="F29:F38" si="9">(D29-3%)/E29</f>
        <v>0.33083010607122687</v>
      </c>
    </row>
    <row r="30" spans="1:21" x14ac:dyDescent="0.3">
      <c r="B30" s="12">
        <v>0.8</v>
      </c>
      <c r="C30" s="12">
        <f t="shared" si="8"/>
        <v>0.19999999999999996</v>
      </c>
      <c r="D30" s="2">
        <f t="shared" si="6"/>
        <v>8.3059999999999995E-2</v>
      </c>
      <c r="E30" s="2">
        <f t="shared" si="7"/>
        <v>0.15849378144127788</v>
      </c>
      <c r="F30" s="2">
        <f t="shared" si="9"/>
        <v>0.33477654149894065</v>
      </c>
    </row>
    <row r="31" spans="1:21" x14ac:dyDescent="0.3">
      <c r="B31" s="12">
        <v>0.7</v>
      </c>
      <c r="C31" s="12">
        <f t="shared" si="8"/>
        <v>0.30000000000000004</v>
      </c>
      <c r="D31" s="2">
        <f t="shared" si="6"/>
        <v>7.7600000000000002E-2</v>
      </c>
      <c r="E31" s="2">
        <f t="shared" si="7"/>
        <v>0.14040907449306828</v>
      </c>
      <c r="F31" s="2">
        <f t="shared" si="9"/>
        <v>0.33900942778701904</v>
      </c>
    </row>
    <row r="32" spans="1:21" x14ac:dyDescent="0.3">
      <c r="B32" s="12">
        <v>0.6</v>
      </c>
      <c r="C32" s="12">
        <f t="shared" si="8"/>
        <v>0.4</v>
      </c>
      <c r="D32" s="2">
        <f t="shared" si="6"/>
        <v>7.2139999999999996E-2</v>
      </c>
      <c r="E32" s="2">
        <f t="shared" si="7"/>
        <v>0.12277127387499442</v>
      </c>
      <c r="F32" s="2">
        <f t="shared" si="9"/>
        <v>0.3432399018919271</v>
      </c>
    </row>
    <row r="33" spans="1:6" x14ac:dyDescent="0.3">
      <c r="B33" s="12">
        <v>0.5</v>
      </c>
      <c r="C33" s="12">
        <f t="shared" si="8"/>
        <v>0.5</v>
      </c>
      <c r="D33" s="2">
        <f t="shared" si="6"/>
        <v>6.6680000000000003E-2</v>
      </c>
      <c r="E33" s="2">
        <f t="shared" si="7"/>
        <v>0.10580411722717704</v>
      </c>
      <c r="F33" s="2">
        <f t="shared" si="9"/>
        <v>0.34667838040028853</v>
      </c>
    </row>
    <row r="34" spans="1:6" x14ac:dyDescent="0.3">
      <c r="B34" s="13">
        <v>0.4</v>
      </c>
      <c r="C34" s="13">
        <f t="shared" si="8"/>
        <v>0.6</v>
      </c>
      <c r="D34" s="11">
        <f t="shared" si="6"/>
        <v>6.1220000000000004E-2</v>
      </c>
      <c r="E34" s="11">
        <f t="shared" si="7"/>
        <v>8.9888179423103245E-2</v>
      </c>
      <c r="F34" s="11">
        <f t="shared" si="9"/>
        <v>0.34732041743828862</v>
      </c>
    </row>
    <row r="35" spans="1:6" x14ac:dyDescent="0.3">
      <c r="B35" s="12">
        <v>0.3</v>
      </c>
      <c r="C35" s="12">
        <f t="shared" si="8"/>
        <v>0.7</v>
      </c>
      <c r="D35" s="2">
        <f t="shared" si="6"/>
        <v>5.5759999999999997E-2</v>
      </c>
      <c r="E35" s="2">
        <f t="shared" si="7"/>
        <v>7.5689539714693888E-2</v>
      </c>
      <c r="F35" s="2">
        <f t="shared" si="9"/>
        <v>0.34033764899483349</v>
      </c>
    </row>
    <row r="36" spans="1:6" x14ac:dyDescent="0.3">
      <c r="B36" s="12">
        <v>0.2</v>
      </c>
      <c r="C36" s="12">
        <f t="shared" si="8"/>
        <v>0.8</v>
      </c>
      <c r="D36" s="2">
        <f t="shared" si="6"/>
        <v>5.0300000000000004E-2</v>
      </c>
      <c r="E36" s="2">
        <f t="shared" si="7"/>
        <v>6.4355078190371964E-2</v>
      </c>
      <c r="F36" s="2">
        <f t="shared" si="9"/>
        <v>0.31543742266848879</v>
      </c>
    </row>
    <row r="37" spans="1:6" x14ac:dyDescent="0.3">
      <c r="B37" s="12">
        <v>0.1</v>
      </c>
      <c r="C37" s="12">
        <f t="shared" si="8"/>
        <v>0.9</v>
      </c>
      <c r="D37" s="2">
        <f t="shared" si="6"/>
        <v>4.4840000000000005E-2</v>
      </c>
      <c r="E37" s="2">
        <f t="shared" si="7"/>
        <v>5.7601161446623632E-2</v>
      </c>
      <c r="F37" s="2">
        <f t="shared" si="9"/>
        <v>0.25763369396208369</v>
      </c>
    </row>
    <row r="38" spans="1:6" x14ac:dyDescent="0.3">
      <c r="B38" s="12">
        <v>0</v>
      </c>
      <c r="C38" s="12">
        <f t="shared" si="8"/>
        <v>1</v>
      </c>
      <c r="D38" s="2">
        <f t="shared" si="6"/>
        <v>3.9380000000000005E-2</v>
      </c>
      <c r="E38" s="2">
        <f t="shared" si="7"/>
        <v>5.7077662492042852E-2</v>
      </c>
      <c r="F38" s="2">
        <f t="shared" si="9"/>
        <v>0.16433749369655185</v>
      </c>
    </row>
    <row r="41" spans="1:6" x14ac:dyDescent="0.3">
      <c r="A41" t="s">
        <v>21</v>
      </c>
    </row>
    <row r="42" spans="1:6" x14ac:dyDescent="0.3">
      <c r="B42" t="s">
        <v>24</v>
      </c>
      <c r="C42" t="s">
        <v>25</v>
      </c>
    </row>
    <row r="43" spans="1:6" x14ac:dyDescent="0.3">
      <c r="A43" s="3" t="s">
        <v>23</v>
      </c>
      <c r="B43" s="10">
        <v>0</v>
      </c>
      <c r="C43" s="2">
        <f t="shared" ref="C43:C53" si="10">3%+$F$34*B43</f>
        <v>0.03</v>
      </c>
      <c r="D43" s="2"/>
    </row>
    <row r="44" spans="1:6" x14ac:dyDescent="0.3">
      <c r="B44" s="10">
        <v>0.01</v>
      </c>
      <c r="C44" s="2">
        <f t="shared" si="10"/>
        <v>3.3473204174382883E-2</v>
      </c>
      <c r="D44" s="2"/>
    </row>
    <row r="45" spans="1:6" x14ac:dyDescent="0.3">
      <c r="A45" s="10"/>
      <c r="B45" s="10">
        <v>0.02</v>
      </c>
      <c r="C45" s="2">
        <f t="shared" si="10"/>
        <v>3.6946408348765773E-2</v>
      </c>
      <c r="D45" s="2"/>
    </row>
    <row r="46" spans="1:6" x14ac:dyDescent="0.3">
      <c r="B46" s="10">
        <v>0.03</v>
      </c>
      <c r="C46" s="2">
        <f t="shared" si="10"/>
        <v>4.0419612523148657E-2</v>
      </c>
      <c r="D46" s="2"/>
    </row>
    <row r="47" spans="1:6" x14ac:dyDescent="0.3">
      <c r="B47" s="10">
        <v>0.04</v>
      </c>
      <c r="C47" s="2">
        <f t="shared" si="10"/>
        <v>4.3892816697531548E-2</v>
      </c>
      <c r="D47" s="10"/>
    </row>
    <row r="48" spans="1:6" x14ac:dyDescent="0.3">
      <c r="B48" s="10">
        <v>0.05</v>
      </c>
      <c r="C48" s="2">
        <f t="shared" si="10"/>
        <v>4.7366020871914431E-2</v>
      </c>
      <c r="D48" s="2"/>
    </row>
    <row r="49" spans="2:10" x14ac:dyDescent="0.3">
      <c r="B49" s="10">
        <v>0.06</v>
      </c>
      <c r="C49" s="2">
        <f t="shared" si="10"/>
        <v>5.0839225046297315E-2</v>
      </c>
      <c r="D49" s="2"/>
    </row>
    <row r="50" spans="2:10" x14ac:dyDescent="0.3">
      <c r="B50" s="10">
        <v>7.0000000000000007E-2</v>
      </c>
      <c r="C50" s="2">
        <f t="shared" si="10"/>
        <v>5.4312429220680206E-2</v>
      </c>
    </row>
    <row r="51" spans="2:10" x14ac:dyDescent="0.3">
      <c r="B51" s="10">
        <v>0.08</v>
      </c>
      <c r="C51" s="2">
        <f t="shared" si="10"/>
        <v>5.7785633395063089E-2</v>
      </c>
    </row>
    <row r="52" spans="2:10" x14ac:dyDescent="0.3">
      <c r="B52" s="10">
        <v>0.09</v>
      </c>
      <c r="C52" s="2">
        <f t="shared" si="10"/>
        <v>6.1258837569445973E-2</v>
      </c>
    </row>
    <row r="53" spans="2:10" x14ac:dyDescent="0.3">
      <c r="B53" s="10">
        <v>0.15</v>
      </c>
      <c r="C53" s="2">
        <f t="shared" si="10"/>
        <v>8.2098062615743289E-2</v>
      </c>
    </row>
    <row r="54" spans="2:10" x14ac:dyDescent="0.3">
      <c r="I54" s="10"/>
      <c r="J54" s="2"/>
    </row>
    <row r="55" spans="2:10" x14ac:dyDescent="0.3">
      <c r="I55" s="10"/>
      <c r="J55" s="2"/>
    </row>
    <row r="56" spans="2:10" x14ac:dyDescent="0.3">
      <c r="I56" s="10"/>
      <c r="J56" s="2"/>
    </row>
    <row r="57" spans="2:10" x14ac:dyDescent="0.3">
      <c r="I57" s="10"/>
      <c r="J57" s="2"/>
    </row>
    <row r="58" spans="2:10" x14ac:dyDescent="0.3">
      <c r="I58" s="10"/>
      <c r="J5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E435-592D-40EB-AA95-EDFE9438D445}">
  <dimension ref="B1:N44"/>
  <sheetViews>
    <sheetView topLeftCell="B1" workbookViewId="0">
      <selection activeCell="T23" sqref="T23"/>
    </sheetView>
  </sheetViews>
  <sheetFormatPr defaultRowHeight="15.6" x14ac:dyDescent="0.3"/>
  <sheetData>
    <row r="1" spans="2:14" x14ac:dyDescent="0.3">
      <c r="D1" t="s">
        <v>24</v>
      </c>
      <c r="I1" s="27" t="s">
        <v>33</v>
      </c>
      <c r="J1" s="27"/>
    </row>
    <row r="2" spans="2:14" x14ac:dyDescent="0.3">
      <c r="B2" s="14"/>
      <c r="C2" s="15" t="s">
        <v>32</v>
      </c>
      <c r="D2" s="16" t="s">
        <v>16</v>
      </c>
      <c r="G2" s="14"/>
      <c r="H2" s="15" t="s">
        <v>26</v>
      </c>
      <c r="I2" s="15" t="s">
        <v>27</v>
      </c>
      <c r="J2" s="15" t="s">
        <v>28</v>
      </c>
      <c r="K2" s="15" t="s">
        <v>29</v>
      </c>
      <c r="L2" s="15" t="s">
        <v>30</v>
      </c>
      <c r="M2" s="16" t="s">
        <v>31</v>
      </c>
    </row>
    <row r="3" spans="2:14" x14ac:dyDescent="0.3">
      <c r="B3" s="17" t="s">
        <v>26</v>
      </c>
      <c r="C3" s="2">
        <v>7.3999999999999996E-2</v>
      </c>
      <c r="D3" s="22">
        <v>0.15340000000000001</v>
      </c>
      <c r="G3" s="17" t="s">
        <v>26</v>
      </c>
      <c r="H3">
        <v>1</v>
      </c>
      <c r="I3">
        <v>0.8</v>
      </c>
      <c r="J3">
        <v>0.79</v>
      </c>
      <c r="K3">
        <v>0.73</v>
      </c>
      <c r="L3">
        <v>0.51</v>
      </c>
      <c r="M3" s="18">
        <v>0.16</v>
      </c>
    </row>
    <row r="4" spans="2:14" x14ac:dyDescent="0.3">
      <c r="B4" s="17" t="s">
        <v>27</v>
      </c>
      <c r="C4" s="2">
        <v>5.5E-2</v>
      </c>
      <c r="D4" s="22">
        <v>0.1459</v>
      </c>
      <c r="G4" s="17" t="s">
        <v>27</v>
      </c>
      <c r="H4">
        <v>0.8</v>
      </c>
      <c r="I4">
        <v>1</v>
      </c>
      <c r="J4">
        <v>0.91</v>
      </c>
      <c r="K4">
        <v>0.89</v>
      </c>
      <c r="L4">
        <v>0.42</v>
      </c>
      <c r="M4" s="18">
        <v>0.28000000000000003</v>
      </c>
    </row>
    <row r="5" spans="2:14" x14ac:dyDescent="0.3">
      <c r="B5" s="17" t="s">
        <v>28</v>
      </c>
      <c r="C5" s="2">
        <v>7.1999999999999995E-2</v>
      </c>
      <c r="D5" s="22">
        <v>0.22309999999999999</v>
      </c>
      <c r="G5" s="17" t="s">
        <v>28</v>
      </c>
      <c r="H5">
        <v>0.79</v>
      </c>
      <c r="I5">
        <v>0.91</v>
      </c>
      <c r="J5">
        <v>1</v>
      </c>
      <c r="K5">
        <v>0.92</v>
      </c>
      <c r="L5">
        <v>0.49</v>
      </c>
      <c r="M5" s="18">
        <v>0.26</v>
      </c>
    </row>
    <row r="6" spans="2:14" x14ac:dyDescent="0.3">
      <c r="B6" s="17" t="s">
        <v>29</v>
      </c>
      <c r="C6" s="2">
        <v>8.5000000000000006E-2</v>
      </c>
      <c r="D6" s="22">
        <v>0.23580000000000001</v>
      </c>
      <c r="G6" s="17" t="s">
        <v>29</v>
      </c>
      <c r="H6">
        <v>0.73</v>
      </c>
      <c r="I6">
        <v>0.89</v>
      </c>
      <c r="J6">
        <v>0.92</v>
      </c>
      <c r="K6">
        <v>1</v>
      </c>
      <c r="L6">
        <v>0.63</v>
      </c>
      <c r="M6" s="18">
        <v>0.28999999999999998</v>
      </c>
    </row>
    <row r="7" spans="2:14" x14ac:dyDescent="0.3">
      <c r="B7" s="17" t="s">
        <v>30</v>
      </c>
      <c r="C7" s="2">
        <v>5.7000000000000002E-2</v>
      </c>
      <c r="D7" s="22">
        <v>0.1573</v>
      </c>
      <c r="G7" s="17" t="s">
        <v>30</v>
      </c>
      <c r="H7">
        <v>0.51</v>
      </c>
      <c r="I7">
        <v>0.42</v>
      </c>
      <c r="J7">
        <v>0.49</v>
      </c>
      <c r="K7">
        <v>0.63</v>
      </c>
      <c r="L7">
        <v>1</v>
      </c>
      <c r="M7" s="18">
        <v>0.14000000000000001</v>
      </c>
    </row>
    <row r="8" spans="2:14" x14ac:dyDescent="0.3">
      <c r="B8" s="19" t="s">
        <v>31</v>
      </c>
      <c r="C8" s="23">
        <v>8.2000000000000003E-2</v>
      </c>
      <c r="D8" s="24">
        <v>0.3004</v>
      </c>
      <c r="G8" s="19" t="s">
        <v>31</v>
      </c>
      <c r="H8" s="20">
        <v>0.16</v>
      </c>
      <c r="I8" s="20">
        <v>0.28000000000000003</v>
      </c>
      <c r="J8" s="20">
        <v>0.26</v>
      </c>
      <c r="K8" s="20">
        <v>0.28999999999999998</v>
      </c>
      <c r="L8" s="20">
        <v>0.14000000000000001</v>
      </c>
      <c r="M8" s="21">
        <v>1</v>
      </c>
    </row>
    <row r="12" spans="2:14" x14ac:dyDescent="0.3">
      <c r="J12" s="28" t="s">
        <v>34</v>
      </c>
      <c r="K12" s="28"/>
    </row>
    <row r="14" spans="2:14" x14ac:dyDescent="0.3">
      <c r="F14" t="s">
        <v>36</v>
      </c>
      <c r="G14" t="s">
        <v>24</v>
      </c>
      <c r="H14" t="s">
        <v>35</v>
      </c>
      <c r="I14" t="s">
        <v>26</v>
      </c>
      <c r="J14" t="s">
        <v>27</v>
      </c>
      <c r="K14" t="s">
        <v>28</v>
      </c>
      <c r="L14" t="s">
        <v>29</v>
      </c>
      <c r="M14" t="s">
        <v>30</v>
      </c>
      <c r="N14" t="s">
        <v>31</v>
      </c>
    </row>
    <row r="15" spans="2:14" x14ac:dyDescent="0.3">
      <c r="E15" t="s">
        <v>26</v>
      </c>
      <c r="F15" s="2">
        <v>7.3999999999999996E-2</v>
      </c>
      <c r="G15" s="2">
        <v>0.15340000000000001</v>
      </c>
      <c r="H15" s="25">
        <v>0.20851984781279137</v>
      </c>
      <c r="I15">
        <f>H3*D3*D3</f>
        <v>2.3531560000000003E-2</v>
      </c>
      <c r="J15">
        <f>I3*D4*D3</f>
        <v>1.7904848000000001E-2</v>
      </c>
      <c r="K15">
        <f>J3*D3*D5</f>
        <v>2.7036596600000004E-2</v>
      </c>
      <c r="L15">
        <f>K3*D3*D6</f>
        <v>2.6405355599999999E-2</v>
      </c>
      <c r="M15">
        <f>L3*D3*D7</f>
        <v>1.2306208200000002E-2</v>
      </c>
      <c r="N15">
        <f>M3*D3*D8</f>
        <v>7.373017600000001E-3</v>
      </c>
    </row>
    <row r="16" spans="2:14" x14ac:dyDescent="0.3">
      <c r="E16" t="s">
        <v>27</v>
      </c>
      <c r="F16" s="2">
        <v>5.5E-2</v>
      </c>
      <c r="G16" s="2">
        <v>0.1459</v>
      </c>
      <c r="H16" s="25">
        <v>0.92941178724712592</v>
      </c>
      <c r="I16">
        <f>H4*D3*D4</f>
        <v>1.7904848000000001E-2</v>
      </c>
      <c r="J16">
        <f>I4*D4*D4</f>
        <v>2.128681E-2</v>
      </c>
      <c r="K16">
        <f>J4*D5*D4</f>
        <v>2.9620763900000003E-2</v>
      </c>
      <c r="L16">
        <f>K4*D4*D6</f>
        <v>3.0618865799999999E-2</v>
      </c>
      <c r="M16">
        <f>L4*D7*D4</f>
        <v>9.6390294000000005E-3</v>
      </c>
      <c r="N16">
        <f>M4*D4*D8</f>
        <v>1.2271940800000002E-2</v>
      </c>
    </row>
    <row r="17" spans="3:14" x14ac:dyDescent="0.3">
      <c r="E17" t="s">
        <v>28</v>
      </c>
      <c r="F17" s="2">
        <v>7.1999999999999995E-2</v>
      </c>
      <c r="G17" s="2">
        <v>0.22309999999999999</v>
      </c>
      <c r="H17" s="25">
        <v>-0.21521351753249146</v>
      </c>
      <c r="I17">
        <f>H5*D3*D5</f>
        <v>2.7036596600000004E-2</v>
      </c>
      <c r="J17">
        <f>I5*D4*D5</f>
        <v>2.9620763899999999E-2</v>
      </c>
      <c r="K17">
        <f>J5*D5*D5</f>
        <v>4.9773609999999996E-2</v>
      </c>
      <c r="L17">
        <f>K5*D5*D6</f>
        <v>4.8398421599999998E-2</v>
      </c>
      <c r="M17">
        <f>L5*D7*D5</f>
        <v>1.7195878699999997E-2</v>
      </c>
      <c r="N17">
        <f>M5*D5*D8</f>
        <v>1.74250024E-2</v>
      </c>
    </row>
    <row r="18" spans="3:14" x14ac:dyDescent="0.3">
      <c r="E18" t="s">
        <v>29</v>
      </c>
      <c r="F18" s="2">
        <v>8.5000000000000006E-2</v>
      </c>
      <c r="G18" s="2">
        <v>0.23580000000000001</v>
      </c>
      <c r="H18" s="25">
        <v>-0.44832206093571553</v>
      </c>
      <c r="I18">
        <f>H6*D3*D6</f>
        <v>2.6405355599999999E-2</v>
      </c>
      <c r="J18">
        <f>I6*D4*D6</f>
        <v>3.0618865799999999E-2</v>
      </c>
      <c r="K18">
        <f>J6*D5*D6</f>
        <v>4.8398421599999998E-2</v>
      </c>
      <c r="L18">
        <f>K6*D6*D6</f>
        <v>5.5601640000000008E-2</v>
      </c>
      <c r="M18">
        <f>L6*D7*D6</f>
        <v>2.33675442E-2</v>
      </c>
      <c r="N18">
        <f>M6*D6*D8</f>
        <v>2.0541952799999999E-2</v>
      </c>
    </row>
    <row r="19" spans="3:14" x14ac:dyDescent="0.3">
      <c r="E19" t="s">
        <v>30</v>
      </c>
      <c r="F19" s="2">
        <v>5.7000000000000002E-2</v>
      </c>
      <c r="G19" s="2">
        <v>0.1573</v>
      </c>
      <c r="H19" s="25">
        <v>0.44179572897407438</v>
      </c>
      <c r="I19">
        <f>H7*D3*D7</f>
        <v>1.2306208200000002E-2</v>
      </c>
      <c r="J19">
        <f>I7*D4*D7</f>
        <v>9.6390293999999987E-3</v>
      </c>
      <c r="K19">
        <f>J7*D5*D7</f>
        <v>1.71958787E-2</v>
      </c>
      <c r="L19">
        <f>K7*D6*D7</f>
        <v>2.3367544200000003E-2</v>
      </c>
      <c r="M19">
        <f>L7*D7*D7</f>
        <v>2.4743289999999998E-2</v>
      </c>
      <c r="N19">
        <f>M7*D7*D8</f>
        <v>6.6154088E-3</v>
      </c>
    </row>
    <row r="20" spans="3:14" x14ac:dyDescent="0.3">
      <c r="E20" t="s">
        <v>31</v>
      </c>
      <c r="F20" s="2">
        <v>8.2000000000000003E-2</v>
      </c>
      <c r="G20" s="2">
        <v>0.3004</v>
      </c>
      <c r="H20" s="25">
        <v>8.380825766314641E-2</v>
      </c>
      <c r="I20">
        <f>H8*D3*D8</f>
        <v>7.373017600000001E-3</v>
      </c>
      <c r="J20">
        <f>I8*D4*D8</f>
        <v>1.2271940800000002E-2</v>
      </c>
      <c r="K20">
        <f>J8*D5*D8</f>
        <v>1.74250024E-2</v>
      </c>
      <c r="L20">
        <f>K8*D6*D8</f>
        <v>2.0541952799999999E-2</v>
      </c>
      <c r="M20">
        <f>L8*D7*D8</f>
        <v>6.6154088E-3</v>
      </c>
      <c r="N20">
        <f>M8*D8*D8</f>
        <v>9.024016E-2</v>
      </c>
    </row>
    <row r="21" spans="3:14" x14ac:dyDescent="0.3">
      <c r="E21" s="26" t="s">
        <v>37</v>
      </c>
      <c r="F21" s="26">
        <f>SUMPRODUCT(F15:F20,H15:H20)</f>
        <v>4.5000002274763529E-2</v>
      </c>
      <c r="G21" s="26">
        <f>SQRT(SUM(I22:N22))</f>
        <v>8.9713985544442224E-2</v>
      </c>
      <c r="H21" s="26">
        <f>SUM(H15:H20)</f>
        <v>1.0000000432289313</v>
      </c>
      <c r="I21">
        <f>H15</f>
        <v>0.20851984781279137</v>
      </c>
      <c r="J21">
        <f>H16</f>
        <v>0.92941178724712592</v>
      </c>
      <c r="K21">
        <f>H17</f>
        <v>-0.21521351753249146</v>
      </c>
      <c r="L21">
        <f>H18</f>
        <v>-0.44832206093571553</v>
      </c>
      <c r="M21">
        <f>H19</f>
        <v>0.44179572897407438</v>
      </c>
      <c r="N21">
        <f>H20</f>
        <v>8.380825766314641E-2</v>
      </c>
    </row>
    <row r="22" spans="3:14" x14ac:dyDescent="0.3">
      <c r="I22">
        <f t="shared" ref="I22:N22" si="0">I21*SUMPRODUCT($H$15:$H$20,I15:I20)</f>
        <v>2.07389244288767E-3</v>
      </c>
      <c r="J22">
        <f t="shared" si="0"/>
        <v>8.088483502398644E-3</v>
      </c>
      <c r="K22">
        <f t="shared" si="0"/>
        <v>-2.1123088754422719E-3</v>
      </c>
      <c r="L22">
        <f t="shared" si="0"/>
        <v>-4.781536629793485E-3</v>
      </c>
      <c r="M22">
        <f t="shared" si="0"/>
        <v>3.9026692009544112E-3</v>
      </c>
      <c r="N22">
        <f t="shared" si="0"/>
        <v>8.7739956126342067E-4</v>
      </c>
    </row>
    <row r="25" spans="3:14" x14ac:dyDescent="0.3">
      <c r="C25" s="3" t="s">
        <v>5</v>
      </c>
      <c r="E25" s="28" t="s">
        <v>39</v>
      </c>
      <c r="F25" s="28"/>
      <c r="G25" s="28"/>
    </row>
    <row r="26" spans="3:14" x14ac:dyDescent="0.3">
      <c r="E26" t="s">
        <v>36</v>
      </c>
      <c r="F26">
        <f>5.5/100</f>
        <v>5.5E-2</v>
      </c>
      <c r="G26">
        <v>0.06</v>
      </c>
      <c r="H26">
        <v>6.5000000000000002E-2</v>
      </c>
      <c r="I26">
        <v>7.0000000000000007E-2</v>
      </c>
      <c r="J26">
        <v>7.4999999999999997E-2</v>
      </c>
      <c r="K26">
        <v>0.08</v>
      </c>
      <c r="L26">
        <v>8.5000000000000006E-2</v>
      </c>
    </row>
    <row r="27" spans="3:14" x14ac:dyDescent="0.3">
      <c r="E27" t="s">
        <v>24</v>
      </c>
      <c r="F27">
        <v>0.14589999999999997</v>
      </c>
      <c r="G27">
        <v>0.12496085331179925</v>
      </c>
      <c r="H27">
        <v>0.12643184022829709</v>
      </c>
      <c r="I27">
        <v>0.13118715054495003</v>
      </c>
      <c r="J27">
        <v>0.14287488922453928</v>
      </c>
      <c r="K27">
        <v>0.17047991864774348</v>
      </c>
      <c r="L27">
        <v>0.23580003650408568</v>
      </c>
    </row>
    <row r="28" spans="3:14" x14ac:dyDescent="0.3">
      <c r="E28" t="s">
        <v>26</v>
      </c>
      <c r="F28">
        <v>0</v>
      </c>
      <c r="G28">
        <v>0.11274168687659211</v>
      </c>
      <c r="H28">
        <v>0.33309071176256855</v>
      </c>
      <c r="I28">
        <v>0.55344039347879936</v>
      </c>
      <c r="J28">
        <v>0.76053800698990481</v>
      </c>
      <c r="K28">
        <v>0.3903116610301709</v>
      </c>
      <c r="L28">
        <v>-3.9031166102988417E-7</v>
      </c>
    </row>
    <row r="29" spans="3:14" x14ac:dyDescent="0.3">
      <c r="E29" t="s">
        <v>27</v>
      </c>
      <c r="F29">
        <v>0.99999999999999978</v>
      </c>
      <c r="G29">
        <v>0.41819273248757777</v>
      </c>
      <c r="H29">
        <v>0.21496302007952808</v>
      </c>
      <c r="I29">
        <v>1.1733349997185592E-2</v>
      </c>
      <c r="J29">
        <v>0</v>
      </c>
      <c r="K29">
        <v>0</v>
      </c>
      <c r="L29">
        <v>0</v>
      </c>
    </row>
    <row r="30" spans="3:14" x14ac:dyDescent="0.3">
      <c r="E30" t="s">
        <v>28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3:14" x14ac:dyDescent="0.3">
      <c r="E31" t="s">
        <v>29</v>
      </c>
      <c r="F31">
        <v>0</v>
      </c>
      <c r="G31">
        <v>0</v>
      </c>
      <c r="H31">
        <v>0</v>
      </c>
      <c r="I31">
        <v>0</v>
      </c>
      <c r="J31">
        <v>4.3670823539126912E-3</v>
      </c>
      <c r="K31">
        <v>0.37416530759542932</v>
      </c>
      <c r="L31">
        <v>1.0000003401694764</v>
      </c>
    </row>
    <row r="32" spans="3:14" x14ac:dyDescent="0.3">
      <c r="E32" t="s">
        <v>30</v>
      </c>
      <c r="F32">
        <v>0</v>
      </c>
      <c r="G32">
        <v>0.39227449747113891</v>
      </c>
      <c r="H32">
        <v>0.34125042506024972</v>
      </c>
      <c r="I32">
        <v>0.29022606369304399</v>
      </c>
      <c r="J32">
        <v>3.7150275523349777E-2</v>
      </c>
      <c r="K32">
        <v>0</v>
      </c>
      <c r="L32">
        <v>0</v>
      </c>
    </row>
    <row r="33" spans="3:12" x14ac:dyDescent="0.3">
      <c r="E33" t="s">
        <v>31</v>
      </c>
      <c r="F33">
        <v>0</v>
      </c>
      <c r="G33">
        <v>7.6791083164691146E-2</v>
      </c>
      <c r="H33">
        <v>0.11069584518503396</v>
      </c>
      <c r="I33">
        <v>0.14460055041879699</v>
      </c>
      <c r="J33">
        <v>0.19794498097678653</v>
      </c>
      <c r="K33">
        <v>0.23552301151175906</v>
      </c>
      <c r="L33">
        <v>0</v>
      </c>
    </row>
    <row r="36" spans="3:12" x14ac:dyDescent="0.3">
      <c r="C36" s="3" t="s">
        <v>6</v>
      </c>
      <c r="E36" s="28" t="s">
        <v>38</v>
      </c>
      <c r="F36" s="28"/>
      <c r="G36" s="28"/>
    </row>
    <row r="37" spans="3:12" x14ac:dyDescent="0.3">
      <c r="E37" t="s">
        <v>36</v>
      </c>
      <c r="F37">
        <f>5.5/100</f>
        <v>5.5E-2</v>
      </c>
      <c r="G37">
        <v>0.06</v>
      </c>
      <c r="H37">
        <v>6.5000000000000002E-2</v>
      </c>
      <c r="I37">
        <v>7.0000000000000007E-2</v>
      </c>
      <c r="J37">
        <v>7.4999999999999997E-2</v>
      </c>
      <c r="K37">
        <v>0.08</v>
      </c>
      <c r="L37">
        <v>8.5000000000000006E-2</v>
      </c>
    </row>
    <row r="38" spans="3:12" x14ac:dyDescent="0.3">
      <c r="E38" t="s">
        <v>24</v>
      </c>
      <c r="F38">
        <v>9.9966518560690373E-2</v>
      </c>
      <c r="G38">
        <v>0.10697143733126337</v>
      </c>
      <c r="H38">
        <v>0.11493748496497738</v>
      </c>
      <c r="I38">
        <v>0.12430020743224561</v>
      </c>
      <c r="J38">
        <v>0.1330434519409999</v>
      </c>
      <c r="K38">
        <v>0.14290821019934799</v>
      </c>
      <c r="L38">
        <v>0.1531767195826983</v>
      </c>
    </row>
    <row r="39" spans="3:12" x14ac:dyDescent="0.3">
      <c r="E39" t="s">
        <v>26</v>
      </c>
      <c r="F39">
        <v>0.44036330310912142</v>
      </c>
      <c r="G39">
        <v>0.556281540437502</v>
      </c>
      <c r="H39">
        <v>0.67220239210536281</v>
      </c>
      <c r="I39">
        <v>0.82368532451014442</v>
      </c>
      <c r="J39">
        <v>0.90404159609908197</v>
      </c>
      <c r="K39">
        <v>1.0199632153977831</v>
      </c>
      <c r="L39">
        <v>1.1358832905769638</v>
      </c>
    </row>
    <row r="40" spans="3:12" x14ac:dyDescent="0.3">
      <c r="E40" t="s">
        <v>27</v>
      </c>
      <c r="F40">
        <v>0.63970771207807609</v>
      </c>
      <c r="G40">
        <v>0.49484927311512755</v>
      </c>
      <c r="H40">
        <v>0.34999459818480627</v>
      </c>
      <c r="I40">
        <v>0.11920980345852736</v>
      </c>
      <c r="J40">
        <v>6.0288365526647153E-2</v>
      </c>
      <c r="K40">
        <v>-8.4567856002769726E-2</v>
      </c>
      <c r="L40">
        <v>-0.22942233668272327</v>
      </c>
    </row>
    <row r="41" spans="3:12" x14ac:dyDescent="0.3">
      <c r="E41" t="s">
        <v>28</v>
      </c>
      <c r="F41">
        <v>-0.3164822089000815</v>
      </c>
      <c r="G41">
        <v>-0.36710754077718522</v>
      </c>
      <c r="H41">
        <v>-0.41773862116939148</v>
      </c>
      <c r="I41">
        <v>-0.33266339786283</v>
      </c>
      <c r="J41">
        <v>-0.5190045845539738</v>
      </c>
      <c r="K41">
        <v>-0.5696327279617629</v>
      </c>
      <c r="L41">
        <v>-0.62026288962437071</v>
      </c>
    </row>
    <row r="42" spans="3:12" x14ac:dyDescent="0.3">
      <c r="E42" t="s">
        <v>29</v>
      </c>
      <c r="F42">
        <v>-0.22453900245513161</v>
      </c>
      <c r="G42">
        <v>-0.11265094346942889</v>
      </c>
      <c r="H42">
        <v>-7.6105135084774116E-4</v>
      </c>
      <c r="I42">
        <v>-7.5876350548562349E-4</v>
      </c>
      <c r="J42">
        <v>0.22302299787664934</v>
      </c>
      <c r="K42">
        <v>0.3349106740484683</v>
      </c>
      <c r="L42">
        <v>0.44680067974169413</v>
      </c>
    </row>
    <row r="43" spans="3:12" x14ac:dyDescent="0.3">
      <c r="E43" t="s">
        <v>30</v>
      </c>
      <c r="F43">
        <v>0.34784761734487885</v>
      </c>
      <c r="G43">
        <v>0.30087760364913685</v>
      </c>
      <c r="H43">
        <v>0.25390518305245124</v>
      </c>
      <c r="I43">
        <v>0.22064842656146799</v>
      </c>
      <c r="J43">
        <v>0.15995979483552972</v>
      </c>
      <c r="K43">
        <v>0.11298745009562824</v>
      </c>
      <c r="L43">
        <v>6.6014660877869002E-2</v>
      </c>
    </row>
    <row r="44" spans="3:12" x14ac:dyDescent="0.3">
      <c r="E44" t="s">
        <v>31</v>
      </c>
      <c r="F44">
        <v>0.11310257783234907</v>
      </c>
      <c r="G44">
        <v>0.12775007355841131</v>
      </c>
      <c r="H44">
        <v>0.14239750528854386</v>
      </c>
      <c r="I44">
        <v>0.1698786114269924</v>
      </c>
      <c r="J44">
        <v>0.17169183067533064</v>
      </c>
      <c r="K44">
        <v>0.18633924746495001</v>
      </c>
      <c r="L44">
        <v>0.20098657547076293</v>
      </c>
    </row>
  </sheetData>
  <mergeCells count="4">
    <mergeCell ref="I1:J1"/>
    <mergeCell ref="J12:K12"/>
    <mergeCell ref="E36:G36"/>
    <mergeCell ref="E2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</vt:lpstr>
      <vt:lpstr>2</vt:lpstr>
      <vt:lpstr>avg_bond</vt:lpstr>
      <vt:lpstr>avg_stock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Hulaas</dc:creator>
  <cp:lastModifiedBy>Ilia Kornietskii</cp:lastModifiedBy>
  <dcterms:created xsi:type="dcterms:W3CDTF">2024-10-29T14:12:27Z</dcterms:created>
  <dcterms:modified xsi:type="dcterms:W3CDTF">2024-11-07T08:22:54Z</dcterms:modified>
</cp:coreProperties>
</file>