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e5f46915c0ba2d3/Рабочий стол/"/>
    </mc:Choice>
  </mc:AlternateContent>
  <xr:revisionPtr revIDLastSave="2" documentId="8_{BC6450BE-9565-4949-88B5-11B1F0B1C49E}" xr6:coauthVersionLast="47" xr6:coauthVersionMax="47" xr10:uidLastSave="{F5D361CF-D89E-435D-BA3F-BB7E7543015B}"/>
  <bookViews>
    <workbookView xWindow="-108" yWindow="-108" windowWidth="23256" windowHeight="12456" xr2:uid="{39792D0E-5856-D045-9DF8-13170D4F0BFC}"/>
  </bookViews>
  <sheets>
    <sheet name="Sheet1" sheetId="1" r:id="rId1"/>
  </sheets>
  <definedNames>
    <definedName name="avg_bond">Sheet1!$D$15</definedName>
    <definedName name="avg_stock">Sheet1!$C$15</definedName>
    <definedName name="Corr">Sheet1!$C$21</definedName>
    <definedName name="Cov">Sheet1!$C$19</definedName>
    <definedName name="solver_adj" localSheetId="0" hidden="1">Sheet1!$K$43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Sheet1!$K$49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J52" i="1"/>
  <c r="J51" i="1"/>
  <c r="J50" i="1"/>
  <c r="J49" i="1"/>
  <c r="J48" i="1"/>
  <c r="J44" i="1"/>
  <c r="J45" i="1"/>
  <c r="J46" i="1"/>
  <c r="J47" i="1"/>
  <c r="J43" i="1"/>
  <c r="J29" i="1"/>
  <c r="J30" i="1"/>
  <c r="J31" i="1"/>
  <c r="J32" i="1"/>
  <c r="J33" i="1"/>
  <c r="J34" i="1"/>
  <c r="J35" i="1"/>
  <c r="J36" i="1"/>
  <c r="J37" i="1"/>
  <c r="J38" i="1"/>
  <c r="J28" i="1"/>
  <c r="J21" i="1" l="1"/>
  <c r="J19" i="1"/>
  <c r="K17" i="1"/>
  <c r="J23" i="1" s="1"/>
  <c r="J17" i="1"/>
  <c r="L29" i="1" s="1"/>
  <c r="L33" i="1" l="1"/>
  <c r="L32" i="1"/>
  <c r="L37" i="1"/>
  <c r="L31" i="1"/>
  <c r="L30" i="1"/>
  <c r="L28" i="1"/>
  <c r="L38" i="1"/>
  <c r="L36" i="1"/>
  <c r="L35" i="1"/>
  <c r="L34" i="1"/>
  <c r="F7" i="1" l="1"/>
  <c r="F8" i="1"/>
  <c r="D14" i="1"/>
  <c r="D15" i="1" s="1"/>
  <c r="F9" i="1" s="1"/>
  <c r="C14" i="1"/>
  <c r="C15" i="1" s="1"/>
  <c r="E11" i="1" l="1"/>
  <c r="E4" i="1"/>
  <c r="K34" i="1"/>
  <c r="K35" i="1"/>
  <c r="E6" i="1"/>
  <c r="G6" i="1" s="1"/>
  <c r="K37" i="1"/>
  <c r="K29" i="1"/>
  <c r="E12" i="1"/>
  <c r="K32" i="1"/>
  <c r="K33" i="1"/>
  <c r="E9" i="1"/>
  <c r="G9" i="1" s="1"/>
  <c r="K30" i="1"/>
  <c r="E13" i="1"/>
  <c r="G13" i="1" s="1"/>
  <c r="E5" i="1"/>
  <c r="K36" i="1"/>
  <c r="E7" i="1"/>
  <c r="G7" i="1" s="1"/>
  <c r="K38" i="1"/>
  <c r="K28" i="1"/>
  <c r="K31" i="1"/>
  <c r="E10" i="1"/>
  <c r="E8" i="1"/>
  <c r="G8" i="1" s="1"/>
  <c r="F6" i="1"/>
  <c r="F4" i="1"/>
  <c r="F14" i="1" s="1"/>
  <c r="D17" i="1" s="1"/>
  <c r="F13" i="1"/>
  <c r="F11" i="1"/>
  <c r="G11" i="1" s="1"/>
  <c r="F12" i="1"/>
  <c r="G12" i="1" s="1"/>
  <c r="F10" i="1"/>
  <c r="G10" i="1" s="1"/>
  <c r="F5" i="1"/>
  <c r="G5" i="1" s="1"/>
  <c r="E14" i="1" l="1"/>
  <c r="C17" i="1" s="1"/>
  <c r="G4" i="1"/>
  <c r="M29" i="1"/>
  <c r="G14" i="1"/>
  <c r="C19" i="1" s="1"/>
  <c r="C21" i="1" s="1"/>
  <c r="C23" i="1" s="1"/>
  <c r="C24" i="1" s="1"/>
  <c r="M28" i="1" l="1"/>
  <c r="M31" i="1"/>
  <c r="M38" i="1"/>
  <c r="M32" i="1"/>
  <c r="M35" i="1"/>
  <c r="J24" i="1"/>
  <c r="M34" i="1"/>
  <c r="M36" i="1"/>
  <c r="M33" i="1"/>
  <c r="M37" i="1"/>
  <c r="M30" i="1"/>
</calcChain>
</file>

<file path=xl/sharedStrings.xml><?xml version="1.0" encoding="utf-8"?>
<sst xmlns="http://schemas.openxmlformats.org/spreadsheetml/2006/main" count="38" uniqueCount="30">
  <si>
    <t>Year</t>
  </si>
  <si>
    <t>Stock Fund</t>
  </si>
  <si>
    <t>Bond Fund</t>
  </si>
  <si>
    <t>Sum</t>
  </si>
  <si>
    <t>Avg</t>
  </si>
  <si>
    <t>1.</t>
  </si>
  <si>
    <t>2.</t>
  </si>
  <si>
    <t>Diff stock squared</t>
  </si>
  <si>
    <t>Diff bond squared</t>
  </si>
  <si>
    <t>Std</t>
  </si>
  <si>
    <t xml:space="preserve">3. </t>
  </si>
  <si>
    <t>Cov</t>
  </si>
  <si>
    <t>Upper</t>
  </si>
  <si>
    <t xml:space="preserve">4. </t>
  </si>
  <si>
    <t>Corr</t>
  </si>
  <si>
    <t>5.</t>
  </si>
  <si>
    <t>GMVP Stock</t>
  </si>
  <si>
    <t>GMVP Bond</t>
  </si>
  <si>
    <t>Probably not right</t>
  </si>
  <si>
    <t>Expected</t>
  </si>
  <si>
    <t>SD</t>
  </si>
  <si>
    <t>3.</t>
  </si>
  <si>
    <t>4.</t>
  </si>
  <si>
    <t>Sharpe ratio</t>
  </si>
  <si>
    <t>6. and 7.</t>
  </si>
  <si>
    <t>Tangency portfolio with highest Sharpe Ration is when Stock fund is 0,4 and Bond Fund is 0,6</t>
  </si>
  <si>
    <t>STD</t>
  </si>
  <si>
    <t>8.</t>
  </si>
  <si>
    <t>Risk</t>
  </si>
  <si>
    <t>CML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</si>
</sst>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64" fontId="0" fillId="0" borderId="0" xfId="1" applyNumberFormat="1" applyFont="1"/>
    <xf numFmtId="20" fontId="0" fillId="2" borderId="0" xfId="0" applyNumberFormat="1" applyFill="1"/>
    <xf numFmtId="9" fontId="0" fillId="0" borderId="0" xfId="0" applyNumberFormat="1"/>
    <xf numFmtId="0" fontId="0" fillId="0" borderId="0" xfId="0" applyFill="1"/>
    <xf numFmtId="10" fontId="0" fillId="2" borderId="0" xfId="0" applyNumberFormat="1" applyFill="1"/>
    <xf numFmtId="10" fontId="2" fillId="0" borderId="0" xfId="0" applyNumberFormat="1" applyFont="1"/>
    <xf numFmtId="10" fontId="2" fillId="2" borderId="0" xfId="0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 border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Sheet1!$L$28:$L$38</c:f>
              <c:numCache>
                <c:formatCode>0.00%</c:formatCode>
                <c:ptCount val="11"/>
                <c:pt idx="0">
                  <c:v>0.18547271389614162</c:v>
                </c:pt>
                <c:pt idx="1">
                  <c:v>0.16781104737173891</c:v>
                </c:pt>
                <c:pt idx="2">
                  <c:v>0.15036040329820882</c:v>
                </c:pt>
                <c:pt idx="3">
                  <c:v>0.13320374386630429</c:v>
                </c:pt>
                <c:pt idx="4">
                  <c:v>0.1164710570055926</c:v>
                </c:pt>
                <c:pt idx="5">
                  <c:v>0.10037459887840151</c:v>
                </c:pt>
                <c:pt idx="6">
                  <c:v>8.5275414510865927E-2</c:v>
                </c:pt>
                <c:pt idx="7">
                  <c:v>7.1805402164461143E-2</c:v>
                </c:pt>
                <c:pt idx="8">
                  <c:v>6.1052587823940768E-2</c:v>
                </c:pt>
                <c:pt idx="9">
                  <c:v>5.4645259812723015E-2</c:v>
                </c:pt>
                <c:pt idx="10">
                  <c:v>5.4148625097965322E-2</c:v>
                </c:pt>
              </c:numCache>
            </c:numRef>
          </c:xVal>
          <c:yVal>
            <c:numRef>
              <c:f>Sheet1!$K$28:$K$38</c:f>
              <c:numCache>
                <c:formatCode>0.00%</c:formatCode>
                <c:ptCount val="11"/>
                <c:pt idx="0">
                  <c:v>9.3979999999999994E-2</c:v>
                </c:pt>
                <c:pt idx="1">
                  <c:v>8.8519999999999988E-2</c:v>
                </c:pt>
                <c:pt idx="2">
                  <c:v>8.3059999999999995E-2</c:v>
                </c:pt>
                <c:pt idx="3">
                  <c:v>7.7600000000000002E-2</c:v>
                </c:pt>
                <c:pt idx="4">
                  <c:v>7.2139999999999996E-2</c:v>
                </c:pt>
                <c:pt idx="5">
                  <c:v>6.6680000000000003E-2</c:v>
                </c:pt>
                <c:pt idx="6">
                  <c:v>6.1220000000000004E-2</c:v>
                </c:pt>
                <c:pt idx="7">
                  <c:v>5.5759999999999997E-2</c:v>
                </c:pt>
                <c:pt idx="8">
                  <c:v>5.0300000000000004E-2</c:v>
                </c:pt>
                <c:pt idx="9">
                  <c:v>4.4840000000000005E-2</c:v>
                </c:pt>
                <c:pt idx="10">
                  <c:v>3.9380000000000005E-2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112-4B16-8FB2-E466AE81E8C3}"/>
            </c:ext>
          </c:extLst>
        </c:ser>
        <c:ser>
          <c:idx val="1"/>
          <c:order val="1"/>
          <c:tx>
            <c:v>Risk-free return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Sheet1!$K$47</c:f>
              <c:numCache>
                <c:formatCode>0%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5-400D-8CFC-939F1C22C375}"/>
            </c:ext>
          </c:extLst>
        </c:ser>
        <c:ser>
          <c:idx val="2"/>
          <c:order val="2"/>
          <c:tx>
            <c:v>CML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Sheet1!$I$43:$I$53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0.15</c:v>
                </c:pt>
              </c:numCache>
            </c:numRef>
          </c:xVal>
          <c:yVal>
            <c:numRef>
              <c:f>Sheet1!$J$43:$J$53</c:f>
              <c:numCache>
                <c:formatCode>0.00%</c:formatCode>
                <c:ptCount val="11"/>
                <c:pt idx="0">
                  <c:v>0.03</c:v>
                </c:pt>
                <c:pt idx="1">
                  <c:v>3.3661078656618187E-2</c:v>
                </c:pt>
                <c:pt idx="2">
                  <c:v>3.7322157313236376E-2</c:v>
                </c:pt>
                <c:pt idx="3">
                  <c:v>4.0983235969854558E-2</c:v>
                </c:pt>
                <c:pt idx="4">
                  <c:v>4.4644314626472746E-2</c:v>
                </c:pt>
                <c:pt idx="5">
                  <c:v>4.8305393283090935E-2</c:v>
                </c:pt>
                <c:pt idx="6">
                  <c:v>5.1966471939709116E-2</c:v>
                </c:pt>
                <c:pt idx="7">
                  <c:v>5.5627550596327305E-2</c:v>
                </c:pt>
                <c:pt idx="8">
                  <c:v>5.9288629252945493E-2</c:v>
                </c:pt>
                <c:pt idx="9">
                  <c:v>6.2949707909563682E-2</c:v>
                </c:pt>
                <c:pt idx="10">
                  <c:v>8.4916179849272799E-2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75-400D-8CFC-939F1C22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81328"/>
        <c:axId val="2105383728"/>
      </c:scatterChart>
      <c:valAx>
        <c:axId val="21053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83728"/>
        <c:crosses val="autoZero"/>
        <c:crossBetween val="midCat"/>
      </c:valAx>
      <c:valAx>
        <c:axId val="21053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820677</xdr:colOff>
      <xdr:row>24</xdr:row>
      <xdr:rowOff>78441</xdr:rowOff>
    </xdr:from>
    <xdr:to>
      <xdr:col>20</xdr:col>
      <xdr:colOff>313764</xdr:colOff>
      <xdr:row>46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1F441-35B7-C51A-5B61-97A5B5318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C0E2-F3A5-2440-BCAB-078CE3BB24A5}">
  <dimension ref="A2:U58"/>
  <sheetViews>
    <sheetView tabSelected="1" topLeftCell="A34" zoomScale="85" zoomScaleNormal="85" workbookViewId="0">
      <selection activeCell="I13" sqref="I13"/>
    </sheetView>
  </sheetViews>
  <sheetFormatPr defaultColWidth="11.19921875" defaultRowHeight="15.6" x14ac:dyDescent="0.3"/>
  <cols>
    <col min="5" max="5" width="17.296875" customWidth="1"/>
    <col min="6" max="6" width="16" customWidth="1"/>
    <col min="10" max="10" width="11.8984375" bestFit="1" customWidth="1"/>
  </cols>
  <sheetData>
    <row r="2" spans="1:16" ht="16.2" thickBot="1" x14ac:dyDescent="0.35"/>
    <row r="3" spans="1:16" x14ac:dyDescent="0.3">
      <c r="B3" t="s">
        <v>0</v>
      </c>
      <c r="C3" t="s">
        <v>1</v>
      </c>
      <c r="D3" t="s">
        <v>2</v>
      </c>
      <c r="E3" s="4" t="s">
        <v>7</v>
      </c>
      <c r="F3" s="5" t="s">
        <v>8</v>
      </c>
      <c r="G3" t="s">
        <v>12</v>
      </c>
      <c r="M3" s="13"/>
      <c r="O3" s="2"/>
      <c r="P3" s="2"/>
    </row>
    <row r="4" spans="1:16" x14ac:dyDescent="0.3">
      <c r="B4">
        <v>1</v>
      </c>
      <c r="C4" s="1">
        <v>0.28170000000000001</v>
      </c>
      <c r="D4" s="1">
        <v>4.5600000000000002E-2</v>
      </c>
      <c r="E4" s="6">
        <f t="shared" ref="E4:E13" si="0">(C4-avg_stock)^2</f>
        <v>3.52387984E-2</v>
      </c>
      <c r="F4" s="7">
        <f t="shared" ref="F4:F13" si="1">(D4-avg_bond)^2</f>
        <v>3.8688399999999953E-5</v>
      </c>
      <c r="G4" s="2">
        <f>SQRT(E4)*SQRT(F4)</f>
        <v>1.1676183999999993E-3</v>
      </c>
      <c r="I4" s="2"/>
      <c r="J4" s="2"/>
      <c r="K4" s="2"/>
      <c r="L4" s="2"/>
    </row>
    <row r="5" spans="1:16" x14ac:dyDescent="0.3">
      <c r="B5">
        <v>2</v>
      </c>
      <c r="C5" s="1">
        <v>0.32969999999999999</v>
      </c>
      <c r="D5" s="1">
        <v>6.4000000000000001E-2</v>
      </c>
      <c r="E5" s="6">
        <f t="shared" si="0"/>
        <v>5.5563918399999995E-2</v>
      </c>
      <c r="F5" s="7">
        <f t="shared" si="1"/>
        <v>6.0614439999999979E-4</v>
      </c>
      <c r="G5" s="2">
        <f t="shared" ref="G5:G13" si="2">SQRT(E5)*SQRT(F5)</f>
        <v>5.8034263999999988E-3</v>
      </c>
      <c r="I5" s="2"/>
      <c r="J5" s="2"/>
      <c r="K5" s="2"/>
    </row>
    <row r="6" spans="1:16" x14ac:dyDescent="0.3">
      <c r="B6">
        <v>3</v>
      </c>
      <c r="C6" s="1">
        <v>0.23039999999999999</v>
      </c>
      <c r="D6" s="1">
        <v>-6.7799999999999999E-2</v>
      </c>
      <c r="E6" s="6">
        <f t="shared" si="0"/>
        <v>1.8610416399999996E-2</v>
      </c>
      <c r="F6" s="7">
        <f t="shared" si="1"/>
        <v>1.14875524E-2</v>
      </c>
      <c r="G6" s="2">
        <f t="shared" si="2"/>
        <v>1.4621495599999998E-2</v>
      </c>
      <c r="I6" s="2"/>
      <c r="J6" s="2"/>
      <c r="K6" s="2"/>
    </row>
    <row r="7" spans="1:16" x14ac:dyDescent="0.3">
      <c r="B7">
        <v>4</v>
      </c>
      <c r="C7" s="1">
        <v>-9.0999999999999998E-2</v>
      </c>
      <c r="D7" s="1">
        <v>4.2700000000000002E-2</v>
      </c>
      <c r="E7" s="6">
        <f t="shared" si="0"/>
        <v>3.4217600399999992E-2</v>
      </c>
      <c r="F7" s="7">
        <f t="shared" si="1"/>
        <v>1.1022399999999978E-5</v>
      </c>
      <c r="G7" s="2">
        <f t="shared" si="2"/>
        <v>6.1413359999999933E-4</v>
      </c>
      <c r="I7" s="2"/>
      <c r="J7" s="2"/>
      <c r="K7" s="2"/>
    </row>
    <row r="8" spans="1:16" x14ac:dyDescent="0.3">
      <c r="B8">
        <v>5</v>
      </c>
      <c r="C8" s="1">
        <v>-0.14000000000000001</v>
      </c>
      <c r="D8" s="1">
        <v>0.1</v>
      </c>
      <c r="E8" s="6">
        <f t="shared" si="0"/>
        <v>5.4746640400000011E-2</v>
      </c>
      <c r="F8" s="7">
        <f t="shared" si="1"/>
        <v>3.6747844000000001E-3</v>
      </c>
      <c r="G8" s="2">
        <f t="shared" si="2"/>
        <v>1.4183867600000002E-2</v>
      </c>
      <c r="I8" s="2"/>
      <c r="J8" s="2"/>
      <c r="K8" s="2"/>
      <c r="M8" s="13"/>
      <c r="O8" s="2"/>
    </row>
    <row r="9" spans="1:16" x14ac:dyDescent="0.3">
      <c r="B9">
        <v>6</v>
      </c>
      <c r="C9" s="1">
        <v>-0.26450000000000001</v>
      </c>
      <c r="D9" s="1">
        <v>-5.4800000000000001E-2</v>
      </c>
      <c r="E9" s="6">
        <f t="shared" si="0"/>
        <v>0.12850791040000001</v>
      </c>
      <c r="F9" s="7">
        <f t="shared" si="1"/>
        <v>8.8698724000000027E-3</v>
      </c>
      <c r="G9" s="2">
        <f t="shared" si="2"/>
        <v>3.3761646400000005E-2</v>
      </c>
      <c r="I9" s="2"/>
      <c r="J9" s="2"/>
      <c r="K9" s="2"/>
    </row>
    <row r="10" spans="1:16" x14ac:dyDescent="0.3">
      <c r="B10">
        <v>7</v>
      </c>
      <c r="C10" s="1">
        <v>0.20319999999999999</v>
      </c>
      <c r="D10" s="1">
        <v>4.5600000000000002E-2</v>
      </c>
      <c r="E10" s="6">
        <f t="shared" si="0"/>
        <v>1.19290084E-2</v>
      </c>
      <c r="F10" s="7">
        <f t="shared" si="1"/>
        <v>3.8688399999999953E-5</v>
      </c>
      <c r="G10" s="2">
        <f t="shared" si="2"/>
        <v>6.7934839999999957E-4</v>
      </c>
      <c r="I10" s="2"/>
      <c r="J10" s="2"/>
      <c r="K10" s="2"/>
      <c r="N10" s="2"/>
      <c r="O10" s="2"/>
    </row>
    <row r="11" spans="1:16" x14ac:dyDescent="0.3">
      <c r="B11">
        <v>8</v>
      </c>
      <c r="C11" s="1">
        <v>0.1056</v>
      </c>
      <c r="D11" s="1">
        <v>7.5600000000000001E-2</v>
      </c>
      <c r="E11" s="6">
        <f t="shared" si="0"/>
        <v>1.3502440000000014E-4</v>
      </c>
      <c r="F11" s="7">
        <f t="shared" si="1"/>
        <v>1.3118883999999997E-3</v>
      </c>
      <c r="G11" s="2">
        <f t="shared" si="2"/>
        <v>4.2087640000000012E-4</v>
      </c>
      <c r="I11" s="2"/>
      <c r="J11" s="2"/>
      <c r="K11" s="2"/>
      <c r="N11" s="2"/>
    </row>
    <row r="12" spans="1:16" x14ac:dyDescent="0.3">
      <c r="B12">
        <v>9</v>
      </c>
      <c r="C12" s="1">
        <v>0.12870000000000001</v>
      </c>
      <c r="D12" s="1">
        <v>9.6199999999999994E-2</v>
      </c>
      <c r="E12" s="6">
        <f t="shared" si="0"/>
        <v>1.2054784000000011E-3</v>
      </c>
      <c r="F12" s="7">
        <f t="shared" si="1"/>
        <v>3.2285123999999986E-3</v>
      </c>
      <c r="G12" s="2">
        <f t="shared" si="2"/>
        <v>1.9727904000000004E-3</v>
      </c>
      <c r="I12" s="2"/>
      <c r="J12" s="2"/>
      <c r="K12" s="2"/>
    </row>
    <row r="13" spans="1:16" ht="16.2" thickBot="1" x14ac:dyDescent="0.35">
      <c r="B13">
        <v>10</v>
      </c>
      <c r="C13" s="1">
        <v>0.156</v>
      </c>
      <c r="D13" s="1">
        <v>4.6699999999999998E-2</v>
      </c>
      <c r="E13" s="8">
        <f t="shared" si="0"/>
        <v>3.8464804000000008E-3</v>
      </c>
      <c r="F13" s="9">
        <f t="shared" si="1"/>
        <v>5.3582399999999902E-5</v>
      </c>
      <c r="G13" s="2">
        <f t="shared" si="2"/>
        <v>4.5398639999999962E-4</v>
      </c>
      <c r="I13" s="2"/>
      <c r="J13" s="2"/>
      <c r="K13" s="2"/>
    </row>
    <row r="14" spans="1:16" x14ac:dyDescent="0.3">
      <c r="B14" t="s">
        <v>3</v>
      </c>
      <c r="C14" s="2">
        <f>SUM(C4:C13)</f>
        <v>0.93979999999999997</v>
      </c>
      <c r="D14" s="2">
        <f>SUM(D4:D13)</f>
        <v>0.39380000000000004</v>
      </c>
      <c r="E14" s="2">
        <f t="shared" ref="E14:G14" si="3">SUM(E4:E13)</f>
        <v>0.34400127600000002</v>
      </c>
      <c r="F14" s="2">
        <f t="shared" si="3"/>
        <v>2.9320735999999997E-2</v>
      </c>
      <c r="G14" s="2">
        <f t="shared" si="3"/>
        <v>7.36791896E-2</v>
      </c>
      <c r="K14" s="2"/>
    </row>
    <row r="15" spans="1:16" x14ac:dyDescent="0.3">
      <c r="A15" s="3" t="s">
        <v>5</v>
      </c>
      <c r="B15" t="s">
        <v>4</v>
      </c>
      <c r="C15" s="1">
        <f>C14/$B$13</f>
        <v>9.3979999999999994E-2</v>
      </c>
      <c r="D15" s="1">
        <f>D14/$B$13</f>
        <v>3.9380000000000005E-2</v>
      </c>
    </row>
    <row r="17" spans="1:21" x14ac:dyDescent="0.3">
      <c r="A17" s="3" t="s">
        <v>6</v>
      </c>
      <c r="B17" t="s">
        <v>9</v>
      </c>
      <c r="C17" s="1">
        <f>SQRT(E14/9)</f>
        <v>0.19550540657485665</v>
      </c>
      <c r="D17" s="1">
        <f>SQRT(F14/9)</f>
        <v>5.7077662492042852E-2</v>
      </c>
      <c r="H17" s="3" t="s">
        <v>6</v>
      </c>
      <c r="I17" t="s">
        <v>26</v>
      </c>
      <c r="J17" s="2">
        <f>_xlfn.STDEV.P(C4:C13)</f>
        <v>0.18547271389614162</v>
      </c>
      <c r="K17" s="2">
        <f>_xlfn.STDEV.P(D4:D13)</f>
        <v>5.4148625097965322E-2</v>
      </c>
      <c r="U17" s="2"/>
    </row>
    <row r="18" spans="1:21" x14ac:dyDescent="0.3">
      <c r="F18" s="2"/>
    </row>
    <row r="19" spans="1:21" x14ac:dyDescent="0.3">
      <c r="A19" s="3" t="s">
        <v>10</v>
      </c>
      <c r="B19" t="s">
        <v>11</v>
      </c>
      <c r="C19" s="10">
        <f>G14/9</f>
        <v>8.1865766222222226E-3</v>
      </c>
      <c r="H19" s="3" t="s">
        <v>21</v>
      </c>
      <c r="I19" t="s">
        <v>11</v>
      </c>
      <c r="J19" s="2">
        <f>_xlfn.COVARIANCE.P(C4:C13,D4:D13)</f>
        <v>1.4840196000000005E-3</v>
      </c>
    </row>
    <row r="21" spans="1:21" x14ac:dyDescent="0.3">
      <c r="A21" s="3" t="s">
        <v>13</v>
      </c>
      <c r="B21" t="s">
        <v>14</v>
      </c>
      <c r="C21" s="2">
        <f>C19/(C17*D17)</f>
        <v>0.73363050237704519</v>
      </c>
      <c r="H21" s="3" t="s">
        <v>22</v>
      </c>
      <c r="I21" t="s">
        <v>14</v>
      </c>
      <c r="J21" s="2">
        <f>CORREL(C4:C13,D4:D13)</f>
        <v>0.14776520352571601</v>
      </c>
    </row>
    <row r="23" spans="1:21" x14ac:dyDescent="0.3">
      <c r="A23" s="11" t="s">
        <v>15</v>
      </c>
      <c r="B23" t="s">
        <v>17</v>
      </c>
      <c r="C23">
        <f>(C17^2 - Corr*C17*D17)/(C17^2+D17^2-Corr*C17*D17)</f>
        <v>0.90214771118108383</v>
      </c>
      <c r="H23" s="3" t="s">
        <v>15</v>
      </c>
      <c r="I23" t="s">
        <v>16</v>
      </c>
      <c r="J23" s="2">
        <f>(K17^2-J17*K17*J21)/(J17^2+K17^2-2*J17*K17*J21)</f>
        <v>4.2138493003263097E-2</v>
      </c>
      <c r="L23" s="2"/>
    </row>
    <row r="24" spans="1:21" x14ac:dyDescent="0.3">
      <c r="B24" t="s">
        <v>16</v>
      </c>
      <c r="C24">
        <f>1-C23</f>
        <v>9.7852288818916167E-2</v>
      </c>
      <c r="E24" t="s">
        <v>18</v>
      </c>
      <c r="I24" t="s">
        <v>17</v>
      </c>
      <c r="J24" s="2">
        <f>1-J23</f>
        <v>0.95786150699673689</v>
      </c>
      <c r="L24" s="2"/>
    </row>
    <row r="27" spans="1:21" x14ac:dyDescent="0.3">
      <c r="H27" s="3" t="s">
        <v>24</v>
      </c>
      <c r="I27" t="s">
        <v>1</v>
      </c>
      <c r="J27" t="s">
        <v>2</v>
      </c>
      <c r="K27" t="s">
        <v>19</v>
      </c>
      <c r="L27" t="s">
        <v>20</v>
      </c>
      <c r="M27" t="s">
        <v>23</v>
      </c>
    </row>
    <row r="28" spans="1:21" x14ac:dyDescent="0.3">
      <c r="I28" s="15">
        <v>1</v>
      </c>
      <c r="J28" s="15">
        <f>1-I28</f>
        <v>0</v>
      </c>
      <c r="K28" s="2">
        <f t="shared" ref="K28:K38" si="4">I28*avg_stock+J28*avg_bond</f>
        <v>9.3979999999999994E-2</v>
      </c>
      <c r="L28" s="2">
        <f>(I28^2*$J$17^2+J28^2*$K$17^2+2*I28*J28*$J$17*$K$17*$J$21)^0.5</f>
        <v>0.18547271389614162</v>
      </c>
      <c r="M28" s="2">
        <f>(K28-3%)/L28</f>
        <v>0.34495640170460118</v>
      </c>
    </row>
    <row r="29" spans="1:21" x14ac:dyDescent="0.3">
      <c r="I29" s="15">
        <v>0.9</v>
      </c>
      <c r="J29" s="15">
        <f t="shared" ref="J29:J38" si="5">1-I29</f>
        <v>9.9999999999999978E-2</v>
      </c>
      <c r="K29" s="2">
        <f t="shared" si="4"/>
        <v>8.8519999999999988E-2</v>
      </c>
      <c r="L29" s="2">
        <f t="shared" ref="L29:L38" si="6">(I29^2*$J$17^2+J29^2*$K$17^2+2*I29*J29*$J$17*$K$17*$J$21)^0.5</f>
        <v>0.16781104737173891</v>
      </c>
      <c r="M29" s="2">
        <f t="shared" ref="M29:M38" si="7">(K29-3%)/L29</f>
        <v>0.34872555124672533</v>
      </c>
    </row>
    <row r="30" spans="1:21" x14ac:dyDescent="0.3">
      <c r="I30" s="15">
        <v>0.8</v>
      </c>
      <c r="J30" s="15">
        <f t="shared" si="5"/>
        <v>0.19999999999999996</v>
      </c>
      <c r="K30" s="2">
        <f t="shared" si="4"/>
        <v>8.3059999999999995E-2</v>
      </c>
      <c r="L30" s="2">
        <f t="shared" si="6"/>
        <v>0.15036040329820882</v>
      </c>
      <c r="M30" s="2">
        <f t="shared" si="7"/>
        <v>0.3528854594435108</v>
      </c>
    </row>
    <row r="31" spans="1:21" x14ac:dyDescent="0.3">
      <c r="I31" s="15">
        <v>0.7</v>
      </c>
      <c r="J31" s="15">
        <f t="shared" si="5"/>
        <v>0.30000000000000004</v>
      </c>
      <c r="K31" s="2">
        <f t="shared" si="4"/>
        <v>7.7600000000000002E-2</v>
      </c>
      <c r="L31" s="2">
        <f t="shared" si="6"/>
        <v>0.13320374386630429</v>
      </c>
      <c r="M31" s="2">
        <f t="shared" si="7"/>
        <v>0.35734731335911851</v>
      </c>
    </row>
    <row r="32" spans="1:21" x14ac:dyDescent="0.3">
      <c r="I32" s="15">
        <v>0.6</v>
      </c>
      <c r="J32" s="15">
        <f t="shared" si="5"/>
        <v>0.4</v>
      </c>
      <c r="K32" s="2">
        <f t="shared" si="4"/>
        <v>7.2139999999999996E-2</v>
      </c>
      <c r="L32" s="2">
        <f t="shared" si="6"/>
        <v>0.1164710570055926</v>
      </c>
      <c r="M32" s="2">
        <f t="shared" si="7"/>
        <v>0.36180662461040908</v>
      </c>
    </row>
    <row r="33" spans="8:13" x14ac:dyDescent="0.3">
      <c r="I33" s="15">
        <v>0.5</v>
      </c>
      <c r="J33" s="15">
        <f t="shared" si="5"/>
        <v>0.5</v>
      </c>
      <c r="K33" s="2">
        <f t="shared" si="4"/>
        <v>6.6680000000000003E-2</v>
      </c>
      <c r="L33" s="2">
        <f t="shared" si="6"/>
        <v>0.10037459887840151</v>
      </c>
      <c r="M33" s="2">
        <f t="shared" si="7"/>
        <v>0.36543109920106254</v>
      </c>
    </row>
    <row r="34" spans="8:13" x14ac:dyDescent="0.3">
      <c r="I34" s="16">
        <v>0.4</v>
      </c>
      <c r="J34" s="16">
        <f t="shared" si="5"/>
        <v>0.6</v>
      </c>
      <c r="K34" s="14">
        <f t="shared" si="4"/>
        <v>6.1220000000000004E-2</v>
      </c>
      <c r="L34" s="14">
        <f t="shared" si="6"/>
        <v>8.5275414510865927E-2</v>
      </c>
      <c r="M34" s="14">
        <f t="shared" si="7"/>
        <v>0.36610786566181869</v>
      </c>
    </row>
    <row r="35" spans="8:13" x14ac:dyDescent="0.3">
      <c r="I35" s="15">
        <v>0.3</v>
      </c>
      <c r="J35" s="15">
        <f t="shared" si="5"/>
        <v>0.7</v>
      </c>
      <c r="K35" s="2">
        <f t="shared" si="4"/>
        <v>5.5759999999999997E-2</v>
      </c>
      <c r="L35" s="2">
        <f t="shared" si="6"/>
        <v>7.1805402164461143E-2</v>
      </c>
      <c r="M35" s="2">
        <f t="shared" si="7"/>
        <v>0.35874738144352974</v>
      </c>
    </row>
    <row r="36" spans="8:13" x14ac:dyDescent="0.3">
      <c r="I36" s="15">
        <v>0.2</v>
      </c>
      <c r="J36" s="15">
        <f t="shared" si="5"/>
        <v>0.8</v>
      </c>
      <c r="K36" s="2">
        <f t="shared" si="4"/>
        <v>5.0300000000000004E-2</v>
      </c>
      <c r="L36" s="2">
        <f t="shared" si="6"/>
        <v>6.1052587823940768E-2</v>
      </c>
      <c r="M36" s="2">
        <f t="shared" si="7"/>
        <v>0.33250023829521758</v>
      </c>
    </row>
    <row r="37" spans="8:13" x14ac:dyDescent="0.3">
      <c r="I37" s="15">
        <v>0.1</v>
      </c>
      <c r="J37" s="15">
        <f t="shared" si="5"/>
        <v>0.9</v>
      </c>
      <c r="K37" s="2">
        <f t="shared" si="4"/>
        <v>4.4840000000000005E-2</v>
      </c>
      <c r="L37" s="2">
        <f t="shared" si="6"/>
        <v>5.4645259812723015E-2</v>
      </c>
      <c r="M37" s="2">
        <f t="shared" si="7"/>
        <v>0.2715697583076514</v>
      </c>
    </row>
    <row r="38" spans="8:13" x14ac:dyDescent="0.3">
      <c r="I38" s="15">
        <v>0</v>
      </c>
      <c r="J38" s="15">
        <f t="shared" si="5"/>
        <v>1</v>
      </c>
      <c r="K38" s="2">
        <f t="shared" si="4"/>
        <v>3.9380000000000005E-2</v>
      </c>
      <c r="L38" s="2">
        <f t="shared" si="6"/>
        <v>5.4148625097965322E-2</v>
      </c>
      <c r="M38" s="2">
        <f t="shared" si="7"/>
        <v>0.17322692834822259</v>
      </c>
    </row>
    <row r="41" spans="8:13" x14ac:dyDescent="0.3">
      <c r="H41" t="s">
        <v>25</v>
      </c>
    </row>
    <row r="42" spans="8:13" x14ac:dyDescent="0.3">
      <c r="I42" t="s">
        <v>28</v>
      </c>
      <c r="J42" t="s">
        <v>29</v>
      </c>
    </row>
    <row r="43" spans="8:13" x14ac:dyDescent="0.3">
      <c r="H43" s="3" t="s">
        <v>27</v>
      </c>
      <c r="I43" s="12">
        <v>0</v>
      </c>
      <c r="J43" s="2">
        <f>3%+$M$34*I43</f>
        <v>0.03</v>
      </c>
      <c r="K43" s="2"/>
    </row>
    <row r="44" spans="8:13" x14ac:dyDescent="0.3">
      <c r="H44" s="13"/>
      <c r="I44" s="12">
        <v>0.01</v>
      </c>
      <c r="J44" s="2">
        <f t="shared" ref="J44:J58" si="8">3%+$M$34*I44</f>
        <v>3.3661078656618187E-2</v>
      </c>
      <c r="K44" s="2"/>
    </row>
    <row r="45" spans="8:13" x14ac:dyDescent="0.3">
      <c r="H45" s="12"/>
      <c r="I45" s="12">
        <v>0.02</v>
      </c>
      <c r="J45" s="2">
        <f t="shared" si="8"/>
        <v>3.7322157313236376E-2</v>
      </c>
      <c r="K45" s="2"/>
    </row>
    <row r="46" spans="8:13" x14ac:dyDescent="0.3">
      <c r="I46" s="12">
        <v>0.03</v>
      </c>
      <c r="J46" s="2">
        <f t="shared" si="8"/>
        <v>4.0983235969854558E-2</v>
      </c>
      <c r="K46" s="2"/>
    </row>
    <row r="47" spans="8:13" x14ac:dyDescent="0.3">
      <c r="I47" s="12">
        <v>0.04</v>
      </c>
      <c r="J47" s="2">
        <f t="shared" si="8"/>
        <v>4.4644314626472746E-2</v>
      </c>
      <c r="K47" s="12"/>
    </row>
    <row r="48" spans="8:13" x14ac:dyDescent="0.3">
      <c r="I48" s="12">
        <v>0.05</v>
      </c>
      <c r="J48" s="2">
        <f t="shared" si="8"/>
        <v>4.8305393283090935E-2</v>
      </c>
      <c r="K48" s="2"/>
    </row>
    <row r="49" spans="9:11" x14ac:dyDescent="0.3">
      <c r="I49" s="12">
        <v>0.06</v>
      </c>
      <c r="J49" s="2">
        <f t="shared" si="8"/>
        <v>5.1966471939709116E-2</v>
      </c>
      <c r="K49" s="2"/>
    </row>
    <row r="50" spans="9:11" x14ac:dyDescent="0.3">
      <c r="I50" s="12">
        <v>7.0000000000000007E-2</v>
      </c>
      <c r="J50" s="2">
        <f t="shared" si="8"/>
        <v>5.5627550596327305E-2</v>
      </c>
    </row>
    <row r="51" spans="9:11" x14ac:dyDescent="0.3">
      <c r="I51" s="12">
        <v>0.08</v>
      </c>
      <c r="J51" s="2">
        <f t="shared" si="8"/>
        <v>5.9288629252945493E-2</v>
      </c>
    </row>
    <row r="52" spans="9:11" x14ac:dyDescent="0.3">
      <c r="I52" s="12">
        <v>0.09</v>
      </c>
      <c r="J52" s="2">
        <f t="shared" si="8"/>
        <v>6.2949707909563682E-2</v>
      </c>
    </row>
    <row r="53" spans="9:11" x14ac:dyDescent="0.3">
      <c r="I53" s="12">
        <v>0.15</v>
      </c>
      <c r="J53" s="2">
        <f t="shared" si="8"/>
        <v>8.4916179849272799E-2</v>
      </c>
    </row>
    <row r="54" spans="9:11" x14ac:dyDescent="0.3">
      <c r="I54" s="12"/>
      <c r="J54" s="2"/>
    </row>
    <row r="55" spans="9:11" x14ac:dyDescent="0.3">
      <c r="I55" s="12"/>
      <c r="J55" s="2"/>
    </row>
    <row r="56" spans="9:11" x14ac:dyDescent="0.3">
      <c r="I56" s="12"/>
      <c r="J56" s="2"/>
    </row>
    <row r="57" spans="9:11" x14ac:dyDescent="0.3">
      <c r="I57" s="12"/>
      <c r="J57" s="2"/>
    </row>
    <row r="58" spans="9:11" x14ac:dyDescent="0.3">
      <c r="I58" s="12"/>
      <c r="J5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avg_bond</vt:lpstr>
      <vt:lpstr>avg_stock</vt:lpstr>
      <vt:lpstr>Corr</vt:lpstr>
      <vt:lpstr>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Hulaas</dc:creator>
  <cp:lastModifiedBy>Ilia Kornietskii</cp:lastModifiedBy>
  <dcterms:created xsi:type="dcterms:W3CDTF">2024-10-29T14:12:27Z</dcterms:created>
  <dcterms:modified xsi:type="dcterms:W3CDTF">2024-11-05T17:49:31Z</dcterms:modified>
</cp:coreProperties>
</file>