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17"/>
  <workbookPr filterPrivacy="1"/>
  <xr:revisionPtr revIDLastSave="3" documentId="13_ncr:11_{D0D92748-5447-4B70-8650-3DCE6E8E276D}" xr6:coauthVersionLast="47" xr6:coauthVersionMax="47" xr10:uidLastSave="{4B75BE2F-3B6F-4E06-86FE-48921AAD2481}"/>
  <bookViews>
    <workbookView xWindow="23625" yWindow="-18120" windowWidth="13905" windowHeight="9885" firstSheet="3" activeTab="3" xr2:uid="{00000000-000D-0000-FFFF-FFFF00000000}"/>
  </bookViews>
  <sheets>
    <sheet name="Revenues (Sales)" sheetId="2" r:id="rId1"/>
    <sheet name="Cost of Sales" sheetId="3" r:id="rId2"/>
    <sheet name="Expenses" sheetId="4" r:id="rId3"/>
    <sheet name="Salary" sheetId="5" r:id="rId4"/>
  </sheets>
  <definedNames>
    <definedName name="Company_Name">'Revenues (Sales)'!$B$1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'Revenues (Sales)'!$F$2</definedName>
    <definedName name="FYStartYear">'Revenues (Sales)'!$G$2</definedName>
    <definedName name="_xlnm.Print_Titles" localSheetId="1">'Cost of Sales'!$5:$6</definedName>
    <definedName name="_xlnm.Print_Titles" localSheetId="2">Expenses!$5:$6</definedName>
    <definedName name="_xlnm.Print_Titles" localSheetId="0">'Revenues (Sales)'!$5:$6</definedName>
    <definedName name="Projection_Period_Title">'Revenues (Sales)'!$B$2</definedName>
    <definedName name="Title1">Revenue[[#Headers],[REVENUES (SALES)]]</definedName>
    <definedName name="Title2">CostofSales[[#Headers],[COST OF SALES]]</definedName>
    <definedName name="Title3">tblExpenses[[#Headers],[EXPENSES]]</definedName>
    <definedName name="Wksht_Title">'Revenues (Sales)'!$B$3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2" i="3"/>
  <c r="O12" i="3"/>
  <c r="N12" i="3"/>
  <c r="M12" i="3"/>
  <c r="L12" i="3"/>
  <c r="K12" i="3"/>
  <c r="J12" i="3"/>
  <c r="I12" i="3"/>
  <c r="H12" i="3"/>
  <c r="G12" i="3"/>
  <c r="F12" i="3"/>
  <c r="E12" i="3"/>
  <c r="O11" i="3"/>
  <c r="N11" i="3"/>
  <c r="M11" i="3"/>
  <c r="L11" i="3"/>
  <c r="K11" i="3"/>
  <c r="J11" i="3"/>
  <c r="I11" i="3"/>
  <c r="H11" i="3"/>
  <c r="G11" i="3"/>
  <c r="F11" i="3"/>
  <c r="E11" i="3"/>
  <c r="O10" i="3"/>
  <c r="N10" i="3"/>
  <c r="M10" i="3"/>
  <c r="L10" i="3"/>
  <c r="K10" i="3"/>
  <c r="J10" i="3"/>
  <c r="I10" i="3"/>
  <c r="H10" i="3"/>
  <c r="G10" i="3"/>
  <c r="F10" i="3"/>
  <c r="E10" i="3"/>
  <c r="O9" i="3"/>
  <c r="N9" i="3"/>
  <c r="M9" i="3"/>
  <c r="L9" i="3"/>
  <c r="K9" i="3"/>
  <c r="J9" i="3"/>
  <c r="I9" i="3"/>
  <c r="H9" i="3"/>
  <c r="G9" i="3"/>
  <c r="F9" i="3"/>
  <c r="E9" i="3"/>
  <c r="O8" i="3"/>
  <c r="N8" i="3"/>
  <c r="M8" i="3"/>
  <c r="L8" i="3"/>
  <c r="K8" i="3"/>
  <c r="J8" i="3"/>
  <c r="I8" i="3"/>
  <c r="H8" i="3"/>
  <c r="G8" i="3"/>
  <c r="F8" i="3"/>
  <c r="E8" i="3"/>
  <c r="O7" i="3"/>
  <c r="N7" i="3"/>
  <c r="M7" i="3"/>
  <c r="L7" i="3"/>
  <c r="K7" i="3"/>
  <c r="J7" i="3"/>
  <c r="I7" i="3"/>
  <c r="H7" i="3"/>
  <c r="G7" i="3"/>
  <c r="F7" i="3"/>
  <c r="E7" i="3"/>
  <c r="D9" i="3"/>
  <c r="D10" i="3"/>
  <c r="D11" i="3"/>
  <c r="D12" i="3"/>
  <c r="D8" i="3"/>
  <c r="D7" i="3"/>
  <c r="G22" i="5"/>
  <c r="G23" i="5" s="1"/>
  <c r="J7" i="4" s="1"/>
  <c r="J8" i="4" s="1"/>
  <c r="C12" i="5"/>
  <c r="C13" i="5" s="1"/>
  <c r="D7" i="4" s="1"/>
  <c r="D8" i="4" s="1"/>
  <c r="K7" i="4" l="1"/>
  <c r="K8" i="4" s="1"/>
  <c r="L7" i="4"/>
  <c r="L8" i="4" s="1"/>
  <c r="M7" i="4"/>
  <c r="M8" i="4" s="1"/>
  <c r="N7" i="4"/>
  <c r="N8" i="4" s="1"/>
  <c r="O7" i="4"/>
  <c r="O8" i="4" s="1"/>
  <c r="H7" i="4"/>
  <c r="H8" i="4" s="1"/>
  <c r="E7" i="4"/>
  <c r="E8" i="4" s="1"/>
  <c r="I7" i="4"/>
  <c r="I8" i="4" s="1"/>
  <c r="G7" i="4"/>
  <c r="G8" i="4" s="1"/>
  <c r="L26" i="4"/>
  <c r="Z21" i="4" s="1"/>
  <c r="F7" i="4"/>
  <c r="J26" i="4"/>
  <c r="X15" i="4" s="1"/>
  <c r="Q14" i="3"/>
  <c r="D14" i="2"/>
  <c r="R7" i="2" s="1"/>
  <c r="E14" i="2"/>
  <c r="S7" i="2" s="1"/>
  <c r="F14" i="2"/>
  <c r="T8" i="2" s="1"/>
  <c r="G14" i="2"/>
  <c r="U8" i="2" s="1"/>
  <c r="H14" i="2"/>
  <c r="V13" i="2" s="1"/>
  <c r="I14" i="2"/>
  <c r="W9" i="2" s="1"/>
  <c r="J14" i="2"/>
  <c r="X12" i="2" s="1"/>
  <c r="K14" i="2"/>
  <c r="Y9" i="2" s="1"/>
  <c r="L14" i="2"/>
  <c r="Z8" i="2" s="1"/>
  <c r="M14" i="2"/>
  <c r="AA8" i="2" s="1"/>
  <c r="N14" i="2"/>
  <c r="O14" i="2"/>
  <c r="AC7" i="2" s="1"/>
  <c r="P7" i="2"/>
  <c r="P8" i="2"/>
  <c r="P9" i="2"/>
  <c r="P10" i="2"/>
  <c r="P11" i="2"/>
  <c r="P12" i="2"/>
  <c r="P13" i="2"/>
  <c r="Q14" i="2"/>
  <c r="R13" i="2"/>
  <c r="B2" i="4"/>
  <c r="B3" i="3"/>
  <c r="B3" i="4"/>
  <c r="F2" i="4"/>
  <c r="F2" i="3"/>
  <c r="Q26" i="4"/>
  <c r="O26" i="4"/>
  <c r="AC22" i="4" s="1"/>
  <c r="N26" i="4"/>
  <c r="AB20" i="4" s="1"/>
  <c r="M26" i="4"/>
  <c r="AA25" i="4" s="1"/>
  <c r="K26" i="4"/>
  <c r="Y25" i="4" s="1"/>
  <c r="I26" i="4"/>
  <c r="W9" i="4" s="1"/>
  <c r="H26" i="4"/>
  <c r="V25" i="4" s="1"/>
  <c r="G26" i="4"/>
  <c r="U21" i="4" s="1"/>
  <c r="E26" i="4"/>
  <c r="S25" i="4" s="1"/>
  <c r="D26" i="4"/>
  <c r="R25" i="4" s="1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O14" i="3"/>
  <c r="N14" i="3"/>
  <c r="AB9" i="3" s="1"/>
  <c r="M14" i="3"/>
  <c r="AA11" i="3" s="1"/>
  <c r="L14" i="3"/>
  <c r="Z8" i="3" s="1"/>
  <c r="K14" i="3"/>
  <c r="Y9" i="3" s="1"/>
  <c r="J14" i="3"/>
  <c r="X10" i="3" s="1"/>
  <c r="I14" i="3"/>
  <c r="H14" i="3"/>
  <c r="V7" i="3" s="1"/>
  <c r="G14" i="3"/>
  <c r="U13" i="3" s="1"/>
  <c r="F14" i="3"/>
  <c r="T10" i="3" s="1"/>
  <c r="E14" i="3"/>
  <c r="S7" i="3" s="1"/>
  <c r="D14" i="3"/>
  <c r="P13" i="3"/>
  <c r="P12" i="3"/>
  <c r="P11" i="3"/>
  <c r="P10" i="3"/>
  <c r="P9" i="3"/>
  <c r="P8" i="3"/>
  <c r="P7" i="3"/>
  <c r="S9" i="2" l="1"/>
  <c r="R12" i="2"/>
  <c r="R11" i="2"/>
  <c r="D16" i="3"/>
  <c r="R9" i="2"/>
  <c r="R8" i="2"/>
  <c r="AC13" i="2"/>
  <c r="F8" i="4"/>
  <c r="P8" i="4" s="1"/>
  <c r="Z12" i="2"/>
  <c r="Z13" i="2"/>
  <c r="V11" i="2"/>
  <c r="V10" i="2"/>
  <c r="V9" i="2"/>
  <c r="V12" i="2"/>
  <c r="V7" i="2"/>
  <c r="U13" i="2"/>
  <c r="U12" i="2"/>
  <c r="V8" i="2"/>
  <c r="U11" i="2"/>
  <c r="Y11" i="2"/>
  <c r="Z11" i="2"/>
  <c r="Y10" i="2"/>
  <c r="I16" i="3"/>
  <c r="I28" i="4" s="1"/>
  <c r="Y7" i="2"/>
  <c r="U9" i="2"/>
  <c r="U7" i="2"/>
  <c r="Z7" i="2"/>
  <c r="Y8" i="2"/>
  <c r="U10" i="2"/>
  <c r="W12" i="2"/>
  <c r="W7" i="2"/>
  <c r="S13" i="2"/>
  <c r="Y13" i="2"/>
  <c r="Y12" i="2"/>
  <c r="W11" i="2"/>
  <c r="W8" i="2"/>
  <c r="S10" i="2"/>
  <c r="Z7" i="3"/>
  <c r="Z13" i="3"/>
  <c r="X7" i="3"/>
  <c r="U7" i="3"/>
  <c r="T8" i="3"/>
  <c r="X9" i="3"/>
  <c r="X8" i="3"/>
  <c r="W9" i="3"/>
  <c r="V13" i="3"/>
  <c r="V12" i="3"/>
  <c r="V8" i="3"/>
  <c r="G16" i="3"/>
  <c r="G28" i="4" s="1"/>
  <c r="U9" i="3"/>
  <c r="U8" i="3"/>
  <c r="U11" i="3"/>
  <c r="S8" i="3"/>
  <c r="P7" i="4"/>
  <c r="AA15" i="4"/>
  <c r="AA14" i="4"/>
  <c r="AA11" i="4"/>
  <c r="AA7" i="4"/>
  <c r="AA16" i="4"/>
  <c r="AB13" i="4"/>
  <c r="AA10" i="4"/>
  <c r="AA8" i="4"/>
  <c r="AA23" i="4"/>
  <c r="AA21" i="4"/>
  <c r="AA19" i="4"/>
  <c r="AA12" i="4"/>
  <c r="AA17" i="4"/>
  <c r="O5" i="4"/>
  <c r="AC5" i="4" s="1"/>
  <c r="G2" i="3"/>
  <c r="AB22" i="4"/>
  <c r="AA13" i="4"/>
  <c r="AA9" i="4"/>
  <c r="AA24" i="4"/>
  <c r="AA22" i="4"/>
  <c r="AA20" i="4"/>
  <c r="AA18" i="4"/>
  <c r="X17" i="4"/>
  <c r="X21" i="4"/>
  <c r="X18" i="4"/>
  <c r="X7" i="4"/>
  <c r="X12" i="4"/>
  <c r="X16" i="4"/>
  <c r="S9" i="4"/>
  <c r="S10" i="4"/>
  <c r="S19" i="4"/>
  <c r="U22" i="4"/>
  <c r="X22" i="4"/>
  <c r="W25" i="4"/>
  <c r="Z10" i="2"/>
  <c r="Z9" i="2"/>
  <c r="V12" i="4"/>
  <c r="V8" i="4"/>
  <c r="X13" i="4"/>
  <c r="X23" i="4"/>
  <c r="Z24" i="4"/>
  <c r="AC12" i="2"/>
  <c r="R10" i="2"/>
  <c r="R14" i="2" s="1"/>
  <c r="Y23" i="4"/>
  <c r="AC11" i="2"/>
  <c r="U12" i="4"/>
  <c r="U13" i="4"/>
  <c r="X19" i="4"/>
  <c r="W15" i="4"/>
  <c r="Z20" i="4"/>
  <c r="AC10" i="2"/>
  <c r="U23" i="4"/>
  <c r="V23" i="4"/>
  <c r="X9" i="4"/>
  <c r="U14" i="4"/>
  <c r="U20" i="4"/>
  <c r="X24" i="4"/>
  <c r="AC9" i="2"/>
  <c r="AA9" i="3"/>
  <c r="V18" i="4"/>
  <c r="X8" i="4"/>
  <c r="K16" i="3"/>
  <c r="K28" i="4" s="1"/>
  <c r="V15" i="4"/>
  <c r="X14" i="4"/>
  <c r="X20" i="4"/>
  <c r="Y24" i="4"/>
  <c r="AC8" i="2"/>
  <c r="V7" i="4"/>
  <c r="X10" i="4"/>
  <c r="Y20" i="4"/>
  <c r="U7" i="4"/>
  <c r="U15" i="4"/>
  <c r="X25" i="4"/>
  <c r="AA11" i="2"/>
  <c r="AA10" i="2"/>
  <c r="X11" i="4"/>
  <c r="Y11" i="4"/>
  <c r="AA7" i="2"/>
  <c r="E5" i="2"/>
  <c r="S5" i="2" s="1"/>
  <c r="H5" i="2"/>
  <c r="V5" i="2" s="1"/>
  <c r="K5" i="2"/>
  <c r="Y5" i="2" s="1"/>
  <c r="I5" i="4"/>
  <c r="W5" i="4" s="1"/>
  <c r="D5" i="2"/>
  <c r="R5" i="2" s="1"/>
  <c r="J5" i="2"/>
  <c r="X5" i="2" s="1"/>
  <c r="I5" i="2"/>
  <c r="W5" i="2" s="1"/>
  <c r="N5" i="2"/>
  <c r="AB5" i="2" s="1"/>
  <c r="M5" i="3"/>
  <c r="AA5" i="3" s="1"/>
  <c r="J5" i="4"/>
  <c r="X5" i="4" s="1"/>
  <c r="G5" i="2"/>
  <c r="U5" i="2" s="1"/>
  <c r="M5" i="2"/>
  <c r="AA5" i="2" s="1"/>
  <c r="F5" i="2"/>
  <c r="T5" i="2" s="1"/>
  <c r="L5" i="2"/>
  <c r="Z5" i="2" s="1"/>
  <c r="O5" i="2"/>
  <c r="AC5" i="2" s="1"/>
  <c r="O5" i="3"/>
  <c r="AC5" i="3" s="1"/>
  <c r="S11" i="3"/>
  <c r="V21" i="4"/>
  <c r="Y10" i="4"/>
  <c r="S10" i="3"/>
  <c r="W10" i="3"/>
  <c r="R19" i="4"/>
  <c r="R22" i="4"/>
  <c r="AB11" i="4"/>
  <c r="V16" i="4"/>
  <c r="Y21" i="4"/>
  <c r="X13" i="3"/>
  <c r="S23" i="4"/>
  <c r="S20" i="4"/>
  <c r="R15" i="4"/>
  <c r="V11" i="4"/>
  <c r="R14" i="4"/>
  <c r="Y7" i="4"/>
  <c r="Y8" i="4"/>
  <c r="Y12" i="4"/>
  <c r="AB14" i="4"/>
  <c r="Y17" i="4"/>
  <c r="Y18" i="4"/>
  <c r="Y19" i="4"/>
  <c r="V20" i="4"/>
  <c r="AB21" i="4"/>
  <c r="V24" i="4"/>
  <c r="AA13" i="2"/>
  <c r="AA9" i="2"/>
  <c r="W10" i="2"/>
  <c r="S12" i="2"/>
  <c r="S8" i="2"/>
  <c r="V13" i="4"/>
  <c r="Y9" i="4"/>
  <c r="Y14" i="4"/>
  <c r="V22" i="4"/>
  <c r="AA10" i="3"/>
  <c r="W12" i="3"/>
  <c r="M16" i="3"/>
  <c r="M28" i="4" s="1"/>
  <c r="X12" i="3"/>
  <c r="V19" i="4"/>
  <c r="AA12" i="3"/>
  <c r="E16" i="3"/>
  <c r="E28" i="4" s="1"/>
  <c r="U12" i="3"/>
  <c r="AB11" i="3"/>
  <c r="X11" i="3"/>
  <c r="S24" i="4"/>
  <c r="W12" i="4"/>
  <c r="R23" i="4"/>
  <c r="R11" i="4"/>
  <c r="V17" i="4"/>
  <c r="V9" i="4"/>
  <c r="Z13" i="4"/>
  <c r="U10" i="3"/>
  <c r="D28" i="4"/>
  <c r="V10" i="4"/>
  <c r="Y13" i="4"/>
  <c r="V14" i="4"/>
  <c r="AC14" i="4"/>
  <c r="Y15" i="4"/>
  <c r="Y16" i="4"/>
  <c r="AB19" i="4"/>
  <c r="Y22" i="4"/>
  <c r="J5" i="3"/>
  <c r="X5" i="3" s="1"/>
  <c r="L5" i="4"/>
  <c r="Z5" i="4" s="1"/>
  <c r="AA12" i="2"/>
  <c r="W13" i="2"/>
  <c r="S11" i="2"/>
  <c r="S11" i="4"/>
  <c r="V10" i="3"/>
  <c r="Y11" i="3"/>
  <c r="S15" i="4"/>
  <c r="W7" i="3"/>
  <c r="S12" i="3"/>
  <c r="Z9" i="3"/>
  <c r="R11" i="3"/>
  <c r="V9" i="3"/>
  <c r="Y7" i="3"/>
  <c r="Y13" i="3"/>
  <c r="L16" i="3"/>
  <c r="L28" i="4" s="1"/>
  <c r="AB8" i="3"/>
  <c r="S21" i="4"/>
  <c r="S17" i="4"/>
  <c r="S7" i="4"/>
  <c r="S22" i="4"/>
  <c r="W18" i="4"/>
  <c r="S12" i="4"/>
  <c r="S8" i="4"/>
  <c r="H16" i="3"/>
  <c r="H28" i="4" s="1"/>
  <c r="AB13" i="3"/>
  <c r="AA7" i="3"/>
  <c r="E5" i="3"/>
  <c r="S5" i="3" s="1"/>
  <c r="H5" i="3"/>
  <c r="V5" i="3" s="1"/>
  <c r="H5" i="4"/>
  <c r="V5" i="4" s="1"/>
  <c r="R9" i="3"/>
  <c r="S16" i="4"/>
  <c r="AB10" i="3"/>
  <c r="S13" i="3"/>
  <c r="Z12" i="3"/>
  <c r="Z10" i="3"/>
  <c r="Z11" i="3"/>
  <c r="W8" i="3"/>
  <c r="V11" i="3"/>
  <c r="Y10" i="3"/>
  <c r="S9" i="3"/>
  <c r="AB12" i="3"/>
  <c r="S13" i="4"/>
  <c r="S18" i="4"/>
  <c r="S14" i="4"/>
  <c r="Z12" i="4"/>
  <c r="AB7" i="3"/>
  <c r="W11" i="3"/>
  <c r="R12" i="3"/>
  <c r="G5" i="3"/>
  <c r="U5" i="3" s="1"/>
  <c r="D5" i="4"/>
  <c r="R5" i="4" s="1"/>
  <c r="K5" i="4"/>
  <c r="Y5" i="4" s="1"/>
  <c r="AC25" i="4"/>
  <c r="AC18" i="4"/>
  <c r="AC17" i="4"/>
  <c r="AC10" i="4"/>
  <c r="AC9" i="4"/>
  <c r="AC20" i="4"/>
  <c r="AC19" i="4"/>
  <c r="AC12" i="4"/>
  <c r="AC11" i="4"/>
  <c r="AB9" i="2"/>
  <c r="AB13" i="2"/>
  <c r="AB10" i="2"/>
  <c r="N16" i="3"/>
  <c r="AB7" i="2"/>
  <c r="AB11" i="2"/>
  <c r="X9" i="2"/>
  <c r="X13" i="2"/>
  <c r="X10" i="2"/>
  <c r="X7" i="2"/>
  <c r="X11" i="2"/>
  <c r="AC15" i="4"/>
  <c r="AC21" i="4"/>
  <c r="AC23" i="4"/>
  <c r="W8" i="4"/>
  <c r="W16" i="4"/>
  <c r="W24" i="4"/>
  <c r="W13" i="4"/>
  <c r="W21" i="4"/>
  <c r="W14" i="4"/>
  <c r="W22" i="4"/>
  <c r="W11" i="4"/>
  <c r="W19" i="4"/>
  <c r="Z7" i="4"/>
  <c r="Z11" i="4"/>
  <c r="Z15" i="4"/>
  <c r="Z19" i="4"/>
  <c r="Z23" i="4"/>
  <c r="Z10" i="4"/>
  <c r="Z14" i="4"/>
  <c r="Z18" i="4"/>
  <c r="Z22" i="4"/>
  <c r="X8" i="2"/>
  <c r="W13" i="3"/>
  <c r="R8" i="3"/>
  <c r="R13" i="3"/>
  <c r="W17" i="4"/>
  <c r="W20" i="4"/>
  <c r="Z16" i="4"/>
  <c r="Z8" i="4"/>
  <c r="R18" i="4"/>
  <c r="R10" i="4"/>
  <c r="AA13" i="3"/>
  <c r="Y8" i="3"/>
  <c r="Y12" i="3"/>
  <c r="AC8" i="4"/>
  <c r="AB12" i="4"/>
  <c r="AC16" i="4"/>
  <c r="AC24" i="4"/>
  <c r="U25" i="4"/>
  <c r="U24" i="4"/>
  <c r="U17" i="4"/>
  <c r="U16" i="4"/>
  <c r="U9" i="4"/>
  <c r="U8" i="4"/>
  <c r="U19" i="4"/>
  <c r="U18" i="4"/>
  <c r="U11" i="4"/>
  <c r="U10" i="4"/>
  <c r="AB8" i="2"/>
  <c r="T9" i="3"/>
  <c r="T12" i="3"/>
  <c r="T13" i="3"/>
  <c r="AC13" i="3"/>
  <c r="AC12" i="3"/>
  <c r="AC10" i="3"/>
  <c r="AC7" i="3"/>
  <c r="AC8" i="3"/>
  <c r="O16" i="3"/>
  <c r="AC11" i="3"/>
  <c r="P14" i="2"/>
  <c r="AD9" i="2" s="1"/>
  <c r="T9" i="2"/>
  <c r="T13" i="2"/>
  <c r="T10" i="2"/>
  <c r="F16" i="3"/>
  <c r="T7" i="2"/>
  <c r="T11" i="2"/>
  <c r="J16" i="3"/>
  <c r="T7" i="3"/>
  <c r="AC7" i="4"/>
  <c r="AC13" i="4"/>
  <c r="AB12" i="2"/>
  <c r="R10" i="3"/>
  <c r="AA8" i="3"/>
  <c r="R7" i="3"/>
  <c r="P14" i="3"/>
  <c r="W23" i="4"/>
  <c r="W7" i="4"/>
  <c r="W10" i="4"/>
  <c r="Z25" i="4"/>
  <c r="Z17" i="4"/>
  <c r="Z9" i="4"/>
  <c r="T11" i="3"/>
  <c r="AC9" i="3"/>
  <c r="R9" i="4"/>
  <c r="R13" i="4"/>
  <c r="R17" i="4"/>
  <c r="R21" i="4"/>
  <c r="R8" i="4"/>
  <c r="R12" i="4"/>
  <c r="R16" i="4"/>
  <c r="R20" i="4"/>
  <c r="R24" i="4"/>
  <c r="R7" i="4"/>
  <c r="AB24" i="4"/>
  <c r="AB23" i="4"/>
  <c r="AB16" i="4"/>
  <c r="AB15" i="4"/>
  <c r="AB8" i="4"/>
  <c r="AB7" i="4"/>
  <c r="AB25" i="4"/>
  <c r="AB18" i="4"/>
  <c r="AB17" i="4"/>
  <c r="AB10" i="4"/>
  <c r="AB9" i="4"/>
  <c r="T12" i="2"/>
  <c r="G2" i="4"/>
  <c r="I5" i="3"/>
  <c r="W5" i="3" s="1"/>
  <c r="F5" i="3"/>
  <c r="T5" i="3" s="1"/>
  <c r="N5" i="3"/>
  <c r="AB5" i="3" s="1"/>
  <c r="K5" i="3"/>
  <c r="Y5" i="3" s="1"/>
  <c r="D5" i="3"/>
  <c r="R5" i="3" s="1"/>
  <c r="L5" i="3"/>
  <c r="Z5" i="3" s="1"/>
  <c r="E5" i="4"/>
  <c r="S5" i="4" s="1"/>
  <c r="M5" i="4"/>
  <c r="AA5" i="4" s="1"/>
  <c r="N5" i="4"/>
  <c r="AB5" i="4" s="1"/>
  <c r="F5" i="4"/>
  <c r="T5" i="4" s="1"/>
  <c r="G5" i="4"/>
  <c r="U5" i="4" s="1"/>
  <c r="P26" i="4" l="1"/>
  <c r="AD15" i="4" s="1"/>
  <c r="V14" i="2"/>
  <c r="Z14" i="2"/>
  <c r="U14" i="2"/>
  <c r="W14" i="2"/>
  <c r="F26" i="4"/>
  <c r="AC14" i="2"/>
  <c r="Y14" i="2"/>
  <c r="AA14" i="2"/>
  <c r="S14" i="2"/>
  <c r="U14" i="3"/>
  <c r="X14" i="3"/>
  <c r="AD7" i="4"/>
  <c r="AD21" i="4"/>
  <c r="AD12" i="4"/>
  <c r="AD11" i="4"/>
  <c r="AD18" i="4"/>
  <c r="AD23" i="4"/>
  <c r="AD9" i="4"/>
  <c r="AD10" i="4"/>
  <c r="AD8" i="4"/>
  <c r="AD20" i="4"/>
  <c r="AD19" i="4"/>
  <c r="AD16" i="4"/>
  <c r="AD14" i="4"/>
  <c r="AD17" i="4"/>
  <c r="AD13" i="4"/>
  <c r="AD22" i="4"/>
  <c r="AD24" i="4"/>
  <c r="AA26" i="4"/>
  <c r="X26" i="4"/>
  <c r="V26" i="4"/>
  <c r="AA14" i="3"/>
  <c r="AC26" i="4"/>
  <c r="T14" i="2"/>
  <c r="Y26" i="4"/>
  <c r="V14" i="3"/>
  <c r="Y14" i="3"/>
  <c r="AB14" i="3"/>
  <c r="S26" i="4"/>
  <c r="U26" i="4"/>
  <c r="Z14" i="3"/>
  <c r="W14" i="3"/>
  <c r="X14" i="2"/>
  <c r="S14" i="3"/>
  <c r="F28" i="4"/>
  <c r="R26" i="4"/>
  <c r="AD7" i="3"/>
  <c r="AD11" i="3"/>
  <c r="AD10" i="3"/>
  <c r="AD9" i="3"/>
  <c r="AB14" i="2"/>
  <c r="AD13" i="3"/>
  <c r="R14" i="3"/>
  <c r="J28" i="4"/>
  <c r="AD10" i="2"/>
  <c r="AD7" i="2"/>
  <c r="AD11" i="2"/>
  <c r="P16" i="3"/>
  <c r="AD8" i="2"/>
  <c r="AD12" i="2"/>
  <c r="AD8" i="3"/>
  <c r="Z26" i="4"/>
  <c r="N28" i="4"/>
  <c r="T14" i="3"/>
  <c r="O28" i="4"/>
  <c r="AB26" i="4"/>
  <c r="W26" i="4"/>
  <c r="AD13" i="2"/>
  <c r="AC14" i="3"/>
  <c r="AD12" i="3"/>
  <c r="AD25" i="4" l="1"/>
  <c r="T12" i="4"/>
  <c r="T14" i="4"/>
  <c r="T20" i="4"/>
  <c r="T7" i="4"/>
  <c r="T25" i="4"/>
  <c r="T22" i="4"/>
  <c r="T24" i="4"/>
  <c r="T10" i="4"/>
  <c r="T17" i="4"/>
  <c r="T8" i="4"/>
  <c r="T23" i="4"/>
  <c r="T13" i="4"/>
  <c r="T16" i="4"/>
  <c r="T15" i="4"/>
  <c r="T9" i="4"/>
  <c r="T19" i="4"/>
  <c r="T18" i="4"/>
  <c r="T11" i="4"/>
  <c r="T21" i="4"/>
  <c r="AD14" i="3"/>
  <c r="U16" i="3"/>
  <c r="W16" i="3"/>
  <c r="AA16" i="3"/>
  <c r="Y16" i="3"/>
  <c r="AD16" i="3"/>
  <c r="S16" i="3"/>
  <c r="R16" i="3"/>
  <c r="V16" i="3"/>
  <c r="Z16" i="3"/>
  <c r="AB16" i="3"/>
  <c r="AD14" i="2"/>
  <c r="T16" i="3"/>
  <c r="X16" i="3"/>
  <c r="AD26" i="4"/>
  <c r="AC16" i="3"/>
  <c r="P28" i="4"/>
  <c r="T26" i="4" l="1"/>
  <c r="AD28" i="4"/>
  <c r="Y28" i="4"/>
  <c r="R28" i="4"/>
  <c r="S28" i="4"/>
  <c r="AA28" i="4"/>
  <c r="Z28" i="4"/>
  <c r="W28" i="4"/>
  <c r="U28" i="4"/>
  <c r="V28" i="4"/>
  <c r="AC28" i="4"/>
  <c r="AB28" i="4"/>
  <c r="T28" i="4"/>
  <c r="X28" i="4"/>
</calcChain>
</file>

<file path=xl/sharedStrings.xml><?xml version="1.0" encoding="utf-8"?>
<sst xmlns="http://schemas.openxmlformats.org/spreadsheetml/2006/main" count="193" uniqueCount="92">
  <si>
    <t>Insignia</t>
  </si>
  <si>
    <t>Twelve Month</t>
  </si>
  <si>
    <t>Fiscal Year Begins:</t>
  </si>
  <si>
    <t>JUL</t>
  </si>
  <si>
    <t>Profit &amp; Loss Projection</t>
  </si>
  <si>
    <t>YEARLY</t>
  </si>
  <si>
    <t>IND %</t>
  </si>
  <si>
    <t>YEAR %</t>
  </si>
  <si>
    <t>REVENUES (SALES)</t>
  </si>
  <si>
    <t>TREND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</si>
  <si>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</si>
  <si>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</si>
  <si>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</si>
  <si>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</si>
  <si>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</si>
  <si>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</si>
  <si>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</si>
  <si>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</si>
  <si>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</si>
  <si>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</si>
  <si>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</si>
  <si>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</si>
  <si>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</t>
  </si>
  <si>
    <t>Index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</si>
  <si>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</si>
  <si>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</si>
  <si>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</si>
  <si>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</si>
  <si>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</si>
  <si>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</si>
  <si>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</si>
  <si>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</si>
  <si>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</si>
  <si>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</si>
  <si>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</si>
  <si>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</si>
  <si>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</si>
  <si>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HR</t>
  </si>
  <si>
    <t>Inventory</t>
  </si>
  <si>
    <t>POS</t>
  </si>
  <si>
    <t>CRM</t>
  </si>
  <si>
    <t>Payroll</t>
  </si>
  <si>
    <t>Accounting</t>
  </si>
  <si>
    <t>Logistics</t>
  </si>
  <si>
    <t>TOTAL SALES</t>
  </si>
  <si>
    <t>Fiscal Year:</t>
  </si>
  <si>
    <t>COST OF SALES</t>
  </si>
  <si>
    <t>TOTAL COST OF SALES</t>
  </si>
  <si>
    <t>Gross Profit</t>
  </si>
  <si>
    <t>EXPENSES</t>
  </si>
  <si>
    <t>Column1</t>
  </si>
  <si>
    <t xml:space="preserve">Salary expenses </t>
  </si>
  <si>
    <t xml:space="preserve"> </t>
  </si>
  <si>
    <t xml:space="preserve">Payroll expenses </t>
  </si>
  <si>
    <t>Data Centre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</si>
  <si>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</si>
  <si>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</si>
  <si>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</si>
  <si>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</si>
  <si>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</si>
  <si>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</si>
  <si>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</si>
  <si>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</si>
  <si>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</si>
  <si>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Internet</t>
  </si>
  <si>
    <t>Interest</t>
  </si>
  <si>
    <t>Depreciation</t>
  </si>
  <si>
    <t>IT Purchases</t>
  </si>
  <si>
    <t>Other expenses (specify)</t>
  </si>
  <si>
    <t>Misc. (unspecified)</t>
  </si>
  <si>
    <t>TOTAL EXPENSES</t>
  </si>
  <si>
    <t>Net Profit</t>
  </si>
  <si>
    <t>Initial 6 months</t>
  </si>
  <si>
    <t>After 6 months</t>
  </si>
  <si>
    <t>Position</t>
  </si>
  <si>
    <t>Name</t>
  </si>
  <si>
    <t>Salary</t>
  </si>
  <si>
    <t>Leigh White</t>
  </si>
  <si>
    <t>Hermanto Surjani</t>
  </si>
  <si>
    <t>Craig Scofield</t>
  </si>
  <si>
    <t>David Lardner</t>
  </si>
  <si>
    <t>Adam Greenwood</t>
  </si>
  <si>
    <t>Jordan Brazier</t>
  </si>
  <si>
    <t>Developer</t>
  </si>
  <si>
    <t>Customer Service</t>
  </si>
  <si>
    <t>Receptionist</t>
  </si>
  <si>
    <t>Accounts</t>
  </si>
  <si>
    <t>Marketing</t>
  </si>
  <si>
    <t>Cloud Admin</t>
  </si>
  <si>
    <t>Account Mgr</t>
  </si>
  <si>
    <t>Helpdesk</t>
  </si>
  <si>
    <t>Sales 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</si>
</sst>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;;;"/>
    <numFmt numFmtId="166" formatCode="_(&quot;$&quot;* #,##0_);_(&quot;$&quot;* \(#,##0\);_(&quot;$&quot;* &quot;-&quot;??_);_(@_)"/>
    <numFmt numFmtId="167" formatCode="[$-409]mmm\-yy;@"/>
    <numFmt numFmtId="168" formatCode="_-[$$-409]* #,##0_ ;_-[$$-409]* \-#,##0\ ;_-[$$-409]* &quot;-&quot;??_ ;_-@_ "/>
  </numFmts>
  <fonts count="34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2"/>
      <color theme="0"/>
      <name val="Cambria"/>
      <family val="2"/>
      <scheme val="minor"/>
    </font>
    <font>
      <b/>
      <sz val="12"/>
      <color theme="8"/>
      <name val="Calibri"/>
      <family val="1"/>
      <scheme val="major"/>
    </font>
    <font>
      <sz val="10"/>
      <color theme="1"/>
      <name val="Cambria"/>
      <family val="2"/>
      <scheme val="minor"/>
    </font>
    <font>
      <b/>
      <sz val="26"/>
      <color theme="3"/>
      <name val="Cambria"/>
      <family val="2"/>
      <scheme val="minor"/>
    </font>
    <font>
      <b/>
      <sz val="22"/>
      <color theme="3"/>
      <name val="Cambria"/>
      <family val="2"/>
      <scheme val="minor"/>
    </font>
    <font>
      <b/>
      <sz val="12"/>
      <color theme="3"/>
      <name val="Cambria"/>
      <family val="2"/>
      <scheme val="minor"/>
    </font>
    <font>
      <b/>
      <i/>
      <sz val="22"/>
      <color theme="7"/>
      <name val="Calibri"/>
      <family val="1"/>
      <scheme val="major"/>
    </font>
    <font>
      <b/>
      <sz val="11"/>
      <color theme="8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theme="3"/>
      <name val="Calibri"/>
      <family val="1"/>
      <scheme val="major"/>
    </font>
    <font>
      <sz val="11"/>
      <name val="Cambria"/>
      <family val="2"/>
      <scheme val="minor"/>
    </font>
    <font>
      <b/>
      <i/>
      <sz val="16"/>
      <color theme="7" tint="-0.24994659260841701"/>
      <name val="Calibri"/>
      <family val="1"/>
      <scheme val="major"/>
    </font>
    <font>
      <b/>
      <i/>
      <sz val="22"/>
      <color theme="7" tint="-0.24994659260841701"/>
      <name val="Calibri"/>
      <family val="1"/>
      <scheme val="major"/>
    </font>
    <font>
      <sz val="22"/>
      <color theme="3"/>
      <name val="Cambria"/>
      <family val="2"/>
      <charset val="238"/>
      <scheme val="minor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b/>
      <sz val="11"/>
      <color theme="0"/>
      <name val="Cambria"/>
      <family val="1"/>
      <charset val="238"/>
      <scheme val="minor"/>
    </font>
    <font>
      <b/>
      <sz val="12"/>
      <color theme="1"/>
      <name val="Cambria"/>
      <family val="1"/>
      <charset val="238"/>
      <scheme val="minor"/>
    </font>
    <font>
      <sz val="11"/>
      <color theme="4" tint="-0.499984740745262"/>
      <name val="Cambria"/>
      <family val="1"/>
      <charset val="238"/>
      <scheme val="minor"/>
    </font>
    <font>
      <b/>
      <sz val="12"/>
      <color theme="1"/>
      <name val="Calibri"/>
      <family val="2"/>
      <charset val="238"/>
      <scheme val="major"/>
    </font>
    <font>
      <sz val="12"/>
      <color theme="1"/>
      <name val="Calibri"/>
      <family val="2"/>
      <charset val="238"/>
      <scheme val="major"/>
    </font>
    <font>
      <sz val="22"/>
      <color theme="1"/>
      <name val="Cambria"/>
      <family val="2"/>
      <charset val="238"/>
      <scheme val="minor"/>
    </font>
    <font>
      <sz val="24"/>
      <color theme="1"/>
      <name val="Calibri"/>
      <family val="2"/>
      <charset val="238"/>
      <scheme val="major"/>
    </font>
    <font>
      <i/>
      <sz val="16"/>
      <color theme="5" tint="-0.499984740745262"/>
      <name val="Cambria"/>
      <family val="1"/>
      <charset val="238"/>
      <scheme val="minor"/>
    </font>
    <font>
      <sz val="11"/>
      <color theme="5" tint="-0.499984740745262"/>
      <name val="Cambria"/>
      <family val="1"/>
      <charset val="238"/>
      <scheme val="minor"/>
    </font>
    <font>
      <i/>
      <sz val="11"/>
      <color theme="5" tint="-0.499984740745262"/>
      <name val="Cambria"/>
      <family val="1"/>
      <charset val="238"/>
      <scheme val="minor"/>
    </font>
    <font>
      <i/>
      <sz val="16"/>
      <color theme="4" tint="-0.499984740745262"/>
      <name val="Cambria"/>
      <family val="1"/>
      <charset val="238"/>
      <scheme val="minor"/>
    </font>
    <font>
      <i/>
      <sz val="11"/>
      <color theme="4" tint="-0.499984740745262"/>
      <name val="Cambria"/>
      <family val="1"/>
      <charset val="238"/>
      <scheme val="minor"/>
    </font>
    <font>
      <i/>
      <sz val="16"/>
      <color theme="9" tint="-0.499984740745262"/>
      <name val="Cambria"/>
      <family val="1"/>
      <charset val="238"/>
      <scheme val="minor"/>
    </font>
    <font>
      <sz val="11"/>
      <color theme="9" tint="-0.499984740745262"/>
      <name val="Cambria"/>
      <family val="1"/>
      <charset val="238"/>
      <scheme val="minor"/>
    </font>
    <font>
      <i/>
      <sz val="11"/>
      <color theme="9" tint="-0.499984740745262"/>
      <name val="Cambria"/>
      <family val="1"/>
      <charset val="238"/>
      <scheme val="minor"/>
    </font>
    <font>
      <sz val="11"/>
      <color theme="4" tint="-0.499984740745262"/>
      <name val="Cambri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dotted">
        <color theme="5" tint="0.39997558519241921"/>
      </left>
      <right style="dotted">
        <color theme="5" tint="0.39997558519241921"/>
      </right>
      <top/>
      <bottom/>
      <diagonal/>
    </border>
    <border>
      <left style="thin">
        <color theme="5" tint="-0.249977111117893"/>
      </left>
      <right style="dotted">
        <color theme="5" tint="0.39997558519241921"/>
      </right>
      <top style="thin">
        <color theme="5" tint="-0.249977111117893"/>
      </top>
      <bottom/>
      <diagonal/>
    </border>
    <border>
      <left style="dotted">
        <color theme="5" tint="0.39997558519241921"/>
      </left>
      <right style="dotted">
        <color theme="5" tint="0.39997558519241921"/>
      </right>
      <top style="thin">
        <color theme="5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dotted">
        <color theme="4" tint="0.39997558519241921"/>
      </left>
      <right style="dotted">
        <color theme="4" tint="0.39997558519241921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dotted">
        <color theme="4" tint="0.39997558519241921"/>
      </right>
      <top style="thin">
        <color theme="4" tint="-0.249977111117893"/>
      </top>
      <bottom/>
      <diagonal/>
    </border>
    <border>
      <left style="dotted">
        <color theme="4" tint="0.39997558519241921"/>
      </left>
      <right style="dotted">
        <color theme="4" tint="0.39997558519241921"/>
      </right>
      <top style="thin">
        <color theme="4" tint="-0.249977111117893"/>
      </top>
      <bottom/>
      <diagonal/>
    </border>
    <border>
      <left style="dotted">
        <color theme="4" tint="0.39997558519241921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6" tint="0.59999389629810485"/>
      </left>
      <right style="dotted">
        <color theme="6" tint="0.59999389629810485"/>
      </right>
      <top/>
      <bottom/>
      <diagonal/>
    </border>
    <border>
      <left style="thin">
        <color theme="9" tint="-0.499984740745262"/>
      </left>
      <right style="dotted">
        <color theme="6" tint="0.59999389629810485"/>
      </right>
      <top style="thin">
        <color theme="9" tint="-0.499984740745262"/>
      </top>
      <bottom/>
      <diagonal/>
    </border>
    <border>
      <left style="dotted">
        <color theme="6" tint="0.59999389629810485"/>
      </left>
      <right style="dotted">
        <color theme="6" tint="0.59999389629810485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20">
    <xf numFmtId="0" fontId="0" fillId="0" borderId="0"/>
    <xf numFmtId="9" fontId="12" fillId="0" borderId="0" applyFill="0" applyBorder="0" applyProtection="0">
      <alignment horizontal="right"/>
    </xf>
    <xf numFmtId="0" fontId="6" fillId="0" borderId="0" applyNumberFormat="0" applyFill="0" applyBorder="0" applyProtection="0">
      <alignment vertical="center"/>
    </xf>
    <xf numFmtId="0" fontId="13" fillId="0" borderId="3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42" fontId="10" fillId="2" borderId="0" applyBorder="0" applyAlignment="0" applyProtection="0"/>
    <xf numFmtId="9" fontId="10" fillId="2" borderId="0" applyBorder="0" applyAlignment="0" applyProtection="0"/>
    <xf numFmtId="0" fontId="1" fillId="0" borderId="0">
      <alignment horizontal="right" wrapText="1" indent="1"/>
    </xf>
    <xf numFmtId="0" fontId="14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67" fontId="11" fillId="0" borderId="2" applyFill="0" applyProtection="0">
      <alignment horizontal="center" vertical="center"/>
    </xf>
    <xf numFmtId="0" fontId="7" fillId="0" borderId="0">
      <alignment horizontal="right" indent="1"/>
    </xf>
    <xf numFmtId="42" fontId="1" fillId="5" borderId="4" applyNumberFormat="0" applyFont="0" applyAlignment="0">
      <alignment horizontal="center"/>
    </xf>
    <xf numFmtId="42" fontId="12" fillId="3" borderId="4" applyNumberFormat="0" applyFont="0" applyAlignment="0"/>
    <xf numFmtId="42" fontId="12" fillId="6" borderId="4" applyNumberFormat="0" applyFont="0" applyAlignment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horizontal="right" vertical="center"/>
    </xf>
    <xf numFmtId="0" fontId="2" fillId="2" borderId="0" xfId="8">
      <alignment horizontal="right" vertical="center" indent="1"/>
    </xf>
    <xf numFmtId="0" fontId="0" fillId="0" borderId="0" xfId="0" applyAlignment="1">
      <alignment horizontal="center"/>
    </xf>
    <xf numFmtId="0" fontId="14" fillId="0" borderId="0" xfId="12">
      <alignment horizontal="right" vertical="center"/>
    </xf>
    <xf numFmtId="0" fontId="3" fillId="0" borderId="0" xfId="13">
      <alignment horizontal="right" vertical="center"/>
    </xf>
    <xf numFmtId="165" fontId="0" fillId="0" borderId="0" xfId="0" applyNumberFormat="1" applyAlignment="1">
      <alignment horizontal="center"/>
    </xf>
    <xf numFmtId="42" fontId="12" fillId="0" borderId="0" xfId="6" applyFill="1" applyBorder="1" applyAlignment="1">
      <alignment vertical="center"/>
    </xf>
    <xf numFmtId="9" fontId="12" fillId="0" borderId="0" xfId="1" applyFill="1" applyBorder="1" applyAlignment="1">
      <alignment horizontal="right" vertical="center"/>
    </xf>
    <xf numFmtId="42" fontId="0" fillId="0" borderId="0" xfId="0" applyNumberFormat="1" applyAlignment="1">
      <alignment vertical="center" shrinkToFit="1"/>
    </xf>
    <xf numFmtId="9" fontId="0" fillId="0" borderId="0" xfId="0" applyNumberFormat="1" applyAlignment="1">
      <alignment horizontal="right" vertical="center" shrinkToFit="1"/>
    </xf>
    <xf numFmtId="0" fontId="0" fillId="0" borderId="5" xfId="0" applyBorder="1"/>
    <xf numFmtId="0" fontId="5" fillId="0" borderId="5" xfId="0" applyFont="1" applyBorder="1" applyAlignment="1">
      <alignment vertical="center"/>
    </xf>
    <xf numFmtId="0" fontId="9" fillId="0" borderId="5" xfId="0" applyFont="1" applyBorder="1"/>
    <xf numFmtId="0" fontId="1" fillId="0" borderId="0" xfId="11" applyAlignment="1">
      <alignment horizontal="right" vertical="center" wrapText="1" indent="1"/>
    </xf>
    <xf numFmtId="0" fontId="4" fillId="0" borderId="0" xfId="16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0" borderId="0" xfId="0" applyAlignment="1">
      <alignment horizontal="right" vertical="center" indent="1"/>
    </xf>
    <xf numFmtId="165" fontId="0" fillId="0" borderId="8" xfId="0" applyNumberFormat="1" applyBorder="1" applyAlignment="1">
      <alignment horizontal="center"/>
    </xf>
    <xf numFmtId="42" fontId="12" fillId="0" borderId="8" xfId="6" applyFill="1" applyBorder="1" applyAlignment="1">
      <alignment horizontal="center" vertical="center"/>
    </xf>
    <xf numFmtId="166" fontId="0" fillId="0" borderId="9" xfId="0" applyNumberFormat="1" applyBorder="1" applyAlignment="1">
      <alignment vertical="center" shrinkToFit="1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9" fontId="12" fillId="0" borderId="11" xfId="1" applyFill="1" applyBorder="1" applyAlignment="1">
      <alignment horizontal="right" vertical="center"/>
    </xf>
    <xf numFmtId="9" fontId="12" fillId="0" borderId="12" xfId="1" applyFill="1" applyBorder="1" applyAlignment="1">
      <alignment horizontal="right" vertical="center"/>
    </xf>
    <xf numFmtId="9" fontId="0" fillId="0" borderId="13" xfId="0" applyNumberFormat="1" applyBorder="1" applyAlignment="1">
      <alignment horizontal="right" vertical="center" shrinkToFit="1"/>
    </xf>
    <xf numFmtId="9" fontId="0" fillId="0" borderId="14" xfId="0" applyNumberFormat="1" applyBorder="1" applyAlignment="1">
      <alignment horizontal="right" vertical="center" shrinkToFit="1"/>
    </xf>
    <xf numFmtId="9" fontId="0" fillId="0" borderId="15" xfId="0" applyNumberFormat="1" applyBorder="1" applyAlignment="1">
      <alignment vertical="center" shrinkToFit="1"/>
    </xf>
    <xf numFmtId="167" fontId="16" fillId="7" borderId="16" xfId="14" applyFont="1" applyFill="1" applyBorder="1">
      <alignment horizontal="center" vertical="center"/>
    </xf>
    <xf numFmtId="167" fontId="16" fillId="7" borderId="12" xfId="14" applyFont="1" applyFill="1" applyBorder="1">
      <alignment horizontal="center" vertical="center"/>
    </xf>
    <xf numFmtId="167" fontId="16" fillId="7" borderId="7" xfId="14" applyFont="1" applyFill="1" applyBorder="1">
      <alignment horizontal="center" vertical="center"/>
    </xf>
    <xf numFmtId="167" fontId="16" fillId="7" borderId="0" xfId="14" applyFont="1" applyFill="1" applyBorder="1">
      <alignment horizontal="center" vertical="center"/>
    </xf>
    <xf numFmtId="167" fontId="16" fillId="7" borderId="17" xfId="14" applyFont="1" applyFill="1" applyBorder="1">
      <alignment horizontal="center" vertical="center"/>
    </xf>
    <xf numFmtId="167" fontId="16" fillId="7" borderId="18" xfId="14" applyFont="1" applyFill="1" applyBorder="1">
      <alignment horizontal="center" vertical="center"/>
    </xf>
    <xf numFmtId="167" fontId="16" fillId="7" borderId="10" xfId="14" applyFont="1" applyFill="1" applyBorder="1">
      <alignment horizontal="center" vertical="center"/>
    </xf>
    <xf numFmtId="0" fontId="0" fillId="0" borderId="0" xfId="0" applyAlignment="1">
      <alignment horizontal="right" vertical="center" wrapText="1" indent="1"/>
    </xf>
    <xf numFmtId="165" fontId="0" fillId="0" borderId="19" xfId="0" applyNumberFormat="1" applyBorder="1" applyAlignment="1">
      <alignment horizontal="center"/>
    </xf>
    <xf numFmtId="9" fontId="12" fillId="0" borderId="19" xfId="1" applyFill="1" applyBorder="1" applyAlignment="1">
      <alignment horizontal="right" vertical="center"/>
    </xf>
    <xf numFmtId="165" fontId="0" fillId="0" borderId="20" xfId="0" applyNumberFormat="1" applyBorder="1" applyAlignment="1">
      <alignment horizontal="center"/>
    </xf>
    <xf numFmtId="9" fontId="12" fillId="0" borderId="20" xfId="1" applyFill="1" applyBorder="1" applyAlignment="1">
      <alignment horizontal="right" vertical="center"/>
    </xf>
    <xf numFmtId="9" fontId="0" fillId="0" borderId="21" xfId="0" applyNumberFormat="1" applyBorder="1" applyAlignment="1">
      <alignment horizontal="right" vertical="center" shrinkToFit="1"/>
    </xf>
    <xf numFmtId="9" fontId="0" fillId="0" borderId="22" xfId="0" applyNumberFormat="1" applyBorder="1" applyAlignment="1">
      <alignment horizontal="right" vertical="center" shrinkToFit="1"/>
    </xf>
    <xf numFmtId="9" fontId="0" fillId="0" borderId="23" xfId="0" applyNumberFormat="1" applyBorder="1" applyAlignment="1">
      <alignment vertical="center" shrinkToFit="1"/>
    </xf>
    <xf numFmtId="167" fontId="16" fillId="7" borderId="24" xfId="14" applyFont="1" applyFill="1" applyBorder="1">
      <alignment horizontal="center" vertical="center"/>
    </xf>
    <xf numFmtId="0" fontId="15" fillId="0" borderId="0" xfId="2" applyFont="1" applyBorder="1">
      <alignment vertical="center"/>
    </xf>
    <xf numFmtId="0" fontId="0" fillId="0" borderId="0" xfId="0" applyAlignment="1">
      <alignment horizontal="right" vertical="center" wrapText="1"/>
    </xf>
    <xf numFmtId="9" fontId="12" fillId="0" borderId="0" xfId="1" applyAlignment="1">
      <alignment horizontal="right" vertical="center"/>
    </xf>
    <xf numFmtId="9" fontId="12" fillId="0" borderId="0" xfId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168" fontId="0" fillId="0" borderId="0" xfId="0" applyNumberFormat="1" applyAlignment="1">
      <alignment vertical="center"/>
    </xf>
    <xf numFmtId="168" fontId="0" fillId="0" borderId="0" xfId="0" applyNumberFormat="1" applyAlignment="1">
      <alignment vertical="center" shrinkToFit="1"/>
    </xf>
    <xf numFmtId="0" fontId="0" fillId="0" borderId="0" xfId="0" applyAlignment="1">
      <alignment vertical="center"/>
    </xf>
    <xf numFmtId="167" fontId="16" fillId="7" borderId="25" xfId="14" applyFont="1" applyFill="1" applyBorder="1">
      <alignment horizontal="center" vertical="center"/>
    </xf>
    <xf numFmtId="165" fontId="0" fillId="0" borderId="26" xfId="0" applyNumberFormat="1" applyBorder="1" applyAlignment="1">
      <alignment horizontal="center"/>
    </xf>
    <xf numFmtId="42" fontId="12" fillId="0" borderId="26" xfId="6" applyFill="1" applyBorder="1" applyAlignment="1">
      <alignment horizontal="center" vertical="center"/>
    </xf>
    <xf numFmtId="166" fontId="0" fillId="0" borderId="27" xfId="0" applyNumberFormat="1" applyBorder="1" applyAlignment="1">
      <alignment vertical="center" shrinkToFit="1"/>
    </xf>
    <xf numFmtId="167" fontId="16" fillId="7" borderId="28" xfId="14" applyFont="1" applyFill="1" applyBorder="1">
      <alignment horizontal="center" vertical="center"/>
    </xf>
    <xf numFmtId="167" fontId="16" fillId="7" borderId="29" xfId="14" applyFont="1" applyFill="1" applyBorder="1">
      <alignment horizontal="center" vertical="center"/>
    </xf>
    <xf numFmtId="167" fontId="16" fillId="7" borderId="30" xfId="14" applyFont="1" applyFill="1" applyBorder="1">
      <alignment horizontal="center" vertical="center"/>
    </xf>
    <xf numFmtId="0" fontId="19" fillId="0" borderId="0" xfId="15" applyFont="1" applyAlignment="1">
      <alignment horizontal="center" vertical="center"/>
    </xf>
    <xf numFmtId="0" fontId="2" fillId="0" borderId="0" xfId="8" applyFill="1">
      <alignment horizontal="right" vertical="center" indent="1"/>
    </xf>
    <xf numFmtId="42" fontId="10" fillId="2" borderId="31" xfId="9" applyBorder="1" applyAlignment="1">
      <alignment horizontal="right" vertical="center" indent="1"/>
    </xf>
    <xf numFmtId="9" fontId="10" fillId="2" borderId="31" xfId="10" applyBorder="1" applyAlignment="1">
      <alignment vertical="center"/>
    </xf>
    <xf numFmtId="0" fontId="2" fillId="2" borderId="31" xfId="8" applyBorder="1">
      <alignment horizontal="right" vertical="center" indent="1"/>
    </xf>
    <xf numFmtId="0" fontId="20" fillId="0" borderId="0" xfId="0" applyFont="1"/>
    <xf numFmtId="0" fontId="21" fillId="0" borderId="0" xfId="15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3" fillId="0" borderId="5" xfId="2" applyFont="1" applyBorder="1">
      <alignment vertical="center"/>
    </xf>
    <xf numFmtId="0" fontId="24" fillId="0" borderId="5" xfId="12" applyFont="1" applyBorder="1" applyAlignment="1">
      <alignment horizontal="left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9" fontId="12" fillId="0" borderId="36" xfId="1" applyBorder="1" applyAlignment="1">
      <alignment horizontal="right" vertical="center"/>
    </xf>
    <xf numFmtId="9" fontId="12" fillId="0" borderId="37" xfId="1" applyBorder="1" applyAlignment="1">
      <alignment horizontal="right" vertical="center"/>
    </xf>
    <xf numFmtId="0" fontId="17" fillId="0" borderId="41" xfId="0" applyFont="1" applyBorder="1" applyAlignment="1">
      <alignment horizontal="center" vertical="center"/>
    </xf>
    <xf numFmtId="168" fontId="0" fillId="0" borderId="42" xfId="0" applyNumberFormat="1" applyBorder="1" applyAlignment="1">
      <alignment vertical="center"/>
    </xf>
    <xf numFmtId="168" fontId="0" fillId="0" borderId="42" xfId="0" applyNumberFormat="1" applyBorder="1" applyAlignment="1">
      <alignment vertical="center" shrinkToFit="1"/>
    </xf>
    <xf numFmtId="168" fontId="0" fillId="0" borderId="43" xfId="0" applyNumberFormat="1" applyBorder="1" applyAlignment="1">
      <alignment vertical="center" shrinkToFit="1"/>
    </xf>
    <xf numFmtId="0" fontId="18" fillId="8" borderId="0" xfId="8" applyFont="1" applyFill="1">
      <alignment horizontal="right" vertical="center" indent="1"/>
    </xf>
    <xf numFmtId="0" fontId="2" fillId="8" borderId="0" xfId="8" applyFill="1">
      <alignment horizontal="right" vertical="center" indent="1"/>
    </xf>
    <xf numFmtId="42" fontId="10" fillId="8" borderId="0" xfId="9" applyFill="1" applyAlignment="1">
      <alignment horizontal="right" vertical="center" indent="1"/>
    </xf>
    <xf numFmtId="9" fontId="10" fillId="8" borderId="0" xfId="10" applyFill="1" applyAlignment="1">
      <alignment horizontal="right" vertical="center" indent="1"/>
    </xf>
    <xf numFmtId="0" fontId="25" fillId="0" borderId="0" xfId="3" applyFont="1" applyBorder="1">
      <alignment vertical="center"/>
    </xf>
    <xf numFmtId="0" fontId="26" fillId="0" borderId="0" xfId="0" applyFont="1"/>
    <xf numFmtId="0" fontId="27" fillId="0" borderId="0" xfId="13" applyFont="1">
      <alignment horizontal="right" vertical="center"/>
    </xf>
    <xf numFmtId="0" fontId="27" fillId="0" borderId="0" xfId="13" applyFont="1" applyAlignment="1">
      <alignment horizontal="center" vertical="center" wrapText="1"/>
    </xf>
    <xf numFmtId="0" fontId="28" fillId="0" borderId="0" xfId="3" applyFont="1" applyBorder="1">
      <alignment vertical="center"/>
    </xf>
    <xf numFmtId="0" fontId="29" fillId="0" borderId="0" xfId="13" applyFont="1">
      <alignment horizontal="right" vertical="center"/>
    </xf>
    <xf numFmtId="0" fontId="29" fillId="0" borderId="0" xfId="13" applyFont="1" applyAlignment="1">
      <alignment horizontal="center" vertical="center" wrapText="1"/>
    </xf>
    <xf numFmtId="0" fontId="30" fillId="0" borderId="0" xfId="3" applyFont="1" applyBorder="1">
      <alignment vertical="center"/>
    </xf>
    <xf numFmtId="0" fontId="31" fillId="0" borderId="0" xfId="0" applyFont="1"/>
    <xf numFmtId="0" fontId="32" fillId="0" borderId="0" xfId="13" applyFont="1">
      <alignment horizontal="right" vertical="center"/>
    </xf>
    <xf numFmtId="0" fontId="32" fillId="0" borderId="0" xfId="13" applyFont="1" applyAlignment="1">
      <alignment horizontal="center" vertical="center" wrapText="1"/>
    </xf>
    <xf numFmtId="165" fontId="33" fillId="0" borderId="0" xfId="0" applyNumberFormat="1" applyFont="1"/>
    <xf numFmtId="165" fontId="33" fillId="0" borderId="42" xfId="0" applyNumberFormat="1" applyFont="1" applyBorder="1"/>
    <xf numFmtId="165" fontId="33" fillId="0" borderId="36" xfId="0" applyNumberFormat="1" applyFont="1" applyBorder="1"/>
    <xf numFmtId="165" fontId="33" fillId="0" borderId="37" xfId="0" applyNumberFormat="1" applyFont="1" applyBorder="1" applyAlignment="1">
      <alignment wrapText="1"/>
    </xf>
    <xf numFmtId="9" fontId="12" fillId="0" borderId="0" xfId="0" applyNumberFormat="1" applyFont="1" applyAlignment="1">
      <alignment horizontal="right" vertical="center"/>
    </xf>
    <xf numFmtId="9" fontId="12" fillId="0" borderId="38" xfId="0" applyNumberFormat="1" applyFont="1" applyBorder="1" applyAlignment="1">
      <alignment horizontal="right" vertical="center"/>
    </xf>
    <xf numFmtId="9" fontId="12" fillId="0" borderId="39" xfId="0" applyNumberFormat="1" applyFont="1" applyBorder="1" applyAlignment="1">
      <alignment horizontal="right" vertical="center"/>
    </xf>
    <xf numFmtId="9" fontId="12" fillId="0" borderId="40" xfId="0" applyNumberFormat="1" applyFont="1" applyBorder="1" applyAlignment="1">
      <alignment horizontal="right" vertical="center"/>
    </xf>
    <xf numFmtId="164" fontId="0" fillId="0" borderId="0" xfId="19" applyFont="1"/>
  </cellXfs>
  <cellStyles count="20">
    <cellStyle name="Comma" xfId="4" builtinId="3" customBuiltin="1"/>
    <cellStyle name="Comma [0]" xfId="5" builtinId="6" customBuiltin="1"/>
    <cellStyle name="Cost of Sales fill" xfId="17" xr:uid="{00000000-0005-0000-0000-000002000000}"/>
    <cellStyle name="Currency" xfId="19" builtinId="4"/>
    <cellStyle name="Currency [0]" xfId="6" builtinId="7" customBuiltin="1"/>
    <cellStyle name="Expenses fill" xfId="18" xr:uid="{00000000-0005-0000-0000-000004000000}"/>
    <cellStyle name="Heading 1" xfId="3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Normal" xfId="0" builtinId="0" customBuiltin="1"/>
    <cellStyle name="Note" xfId="7" builtinId="10" customBuiltin="1"/>
    <cellStyle name="Percent" xfId="1" builtinId="5" customBuiltin="1"/>
    <cellStyle name="Profit" xfId="8" xr:uid="{00000000-0005-0000-0000-00000C000000}"/>
    <cellStyle name="Profit Amount" xfId="9" xr:uid="{00000000-0005-0000-0000-00000D000000}"/>
    <cellStyle name="Profit Percent" xfId="10" xr:uid="{00000000-0005-0000-0000-00000E000000}"/>
    <cellStyle name="Revenue fill" xfId="16" xr:uid="{00000000-0005-0000-0000-00000F000000}"/>
    <cellStyle name="Table Details" xfId="11" xr:uid="{00000000-0005-0000-0000-000010000000}"/>
    <cellStyle name="Table Heading 1" xfId="15" xr:uid="{00000000-0005-0000-0000-000011000000}"/>
    <cellStyle name="Title" xfId="2" builtinId="15" customBuiltin="1"/>
  </cellStyles>
  <dxfs count="194">
    <dxf>
      <alignment vertical="center" textRotation="0" wrapText="0" indent="0" justifyLastLine="0" shrinkToFit="0" readingOrder="0"/>
      <border diagonalUp="0" diagonalDown="0">
        <left/>
        <right style="thin">
          <color theme="6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9" tint="-0.499984740745262"/>
        </right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  <border diagonalUp="0" diagonalDown="0">
        <left style="thin">
          <color theme="9" tint="-0.49998474074526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/>
        <top/>
        <bottom style="thin">
          <color theme="9" tint="-0.49998474074526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  <vertical/>
        <horizontal/>
      </border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 style="thin">
          <color theme="9" tint="-0.499984740745262"/>
        </bottom>
      </border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8" formatCode="_-[$$-409]* #,##0_ ;_-[$$-409]* \-#,##0\ ;_-[$$-409]* &quot;-&quot;??_ ;_-@_ "/>
      <alignment vertical="center" textRotation="0" wrapText="0" indent="0" justifyLastLine="0" shrinkToFit="0" readingOrder="0"/>
    </dxf>
    <dxf>
      <numFmt numFmtId="168" formatCode="_-[$$-409]* #,##0_ ;_-[$$-409]* \-#,##0\ ;_-[$$-409]* &quot;-&quot;??_ ;_-@_ "/>
      <alignment horizontal="general" vertical="center" textRotation="0" wrapText="0" indent="0" justifyLastLine="0" shrinkToFit="1" readingOrder="0"/>
    </dxf>
    <dxf>
      <alignment horizontal="right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1" readingOrder="0"/>
      <border diagonalUp="0" diagonalDown="0" outline="0">
        <left/>
        <right style="thin">
          <color theme="4" tint="-0.249977111117893"/>
        </right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-0.249977111117893"/>
        </left>
        <right/>
        <top/>
        <bottom/>
        <vertical/>
        <horizontal/>
      </border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 style="thin">
          <color theme="4" tint="-0.249977111117893"/>
        </left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outline="0">
        <left style="thin">
          <color theme="4" tint="-0.249977111117893"/>
        </left>
      </border>
    </dxf>
    <dxf>
      <numFmt numFmtId="13" formatCode="0%"/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/>
        <horizontal/>
      </border>
    </dxf>
    <dxf>
      <numFmt numFmtId="166" formatCode="_(&quot;$&quot;* #,##0_);_(&quot;$&quot;* \(#,##0\);_(&quot;$&quot;* &quot;-&quot;??_);_(@_)"/>
      <alignment horizontal="general" vertical="center" textRotation="0" wrapText="0" indent="0" justifyLastLine="0" shrinkToFit="1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outline="0">
        <right style="thin">
          <color theme="4" tint="-0.249977111117893"/>
        </right>
      </border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right" vertical="center" textRotation="0" wrapText="1" indent="1" justifyLastLine="0" shrinkToFit="0" readingOrder="0"/>
    </dxf>
    <dxf>
      <alignment horizontal="right" vertical="center" textRotation="0" wrapText="1" indent="1" justifyLastLine="0" shrinkToFit="0" readingOrder="0"/>
    </dxf>
    <dxf>
      <border outline="0">
        <right style="thin">
          <color theme="5" tint="-0.249977111117893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65" formatCode=";;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top/>
        <bottom/>
        <horizontal/>
      </border>
    </dxf>
    <dxf>
      <numFmt numFmtId="13" formatCode="0%"/>
      <alignment horizontal="general" vertical="center" textRotation="0" wrapText="0" indent="0" justifyLastLine="0" shrinkToFit="1" readingOrder="0"/>
      <border diagonalUp="0" diagonalDown="0" outline="0">
        <left/>
        <right style="thin">
          <color theme="5" tint="-0.249977111117893"/>
        </right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theme="5" tint="-0.249977111117893"/>
        </left>
        <top/>
        <bottom/>
        <horizontal/>
      </border>
    </dxf>
    <dxf>
      <numFmt numFmtId="13" formatCode="0%"/>
      <alignment horizontal="right" vertical="center" textRotation="0" wrapText="0" indent="0" justifyLastLine="0" shrinkToFit="1" readingOrder="0"/>
      <border diagonalUp="0" diagonalDown="0" outline="0">
        <left style="thin">
          <color theme="5" tint="-0.249977111117893"/>
        </left>
        <right/>
        <top/>
        <bottom style="thin">
          <color theme="5" tint="-0.249977111117893"/>
        </bottom>
      </border>
    </dxf>
    <dxf>
      <alignment vertical="center" textRotation="0" indent="0" justifyLastLine="0" shrinkToFit="0" readingOrder="0"/>
    </dxf>
    <dxf>
      <numFmt numFmtId="13" formatCode="0%"/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theme="5" tint="-0.249977111117893"/>
        </left>
        <right style="thin">
          <color theme="5" tint="-0.249977111117893"/>
        </right>
        <top/>
        <bottom/>
        <vertical/>
        <horizontal/>
      </border>
    </dxf>
    <dxf>
      <numFmt numFmtId="166" formatCode="_(&quot;$&quot;* #,##0_);_(&quot;$&quot;* \(#,##0\);_(&quot;$&quot;* &quot;-&quot;??_);_(@_)"/>
      <alignment horizontal="general" vertical="center" textRotation="0" wrapText="0" indent="0" justifyLastLine="0" shrinkToFit="1" readingOrder="0"/>
      <border diagonalUp="0" diagonalDown="0" outline="0">
        <left style="thin">
          <color theme="5" tint="-0.249977111117893"/>
        </left>
        <right style="thin">
          <color theme="5" tint="-0.249977111117893"/>
        </right>
        <top/>
        <bottom style="thin">
          <color theme="5" tint="-0.249977111117893"/>
        </bottom>
      </border>
    </dxf>
    <dxf>
      <alignment vertical="center" textRotation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2" formatCode="_(&quot;$&quot;* #,##0_);_(&quot;$&quot;* \(#,##0\);_(&quot;$&quot;* &quot;-&quot;_);_(@_)"/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right" vertical="center" textRotation="0" wrapText="1" indent="1" justifyLastLine="0" shrinkToFit="0" readingOrder="0"/>
    </dxf>
    <dxf>
      <alignment horizontal="right" vertical="center" textRotation="0" wrapText="0" indent="1" justifyLastLine="0" shrinkToFit="0" readingOrder="0"/>
    </dxf>
    <dxf>
      <alignment vertical="center" textRotation="0" indent="0" justifyLastLine="0" shrinkToFit="0" readingOrder="0"/>
    </dxf>
    <dxf>
      <fill>
        <patternFill>
          <bgColor theme="4" tint="0.79998168889431442"/>
        </patternFill>
      </fill>
      <border>
        <left style="dotted">
          <color theme="4" tint="0.39994506668294322"/>
        </left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 style="dotted">
          <color theme="4" tint="0.39994506668294322"/>
        </left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font>
        <b/>
        <i val="0"/>
        <color theme="1"/>
      </font>
      <fill>
        <gradientFill degree="90">
          <stop position="0">
            <color theme="4" tint="0.40000610370189521"/>
          </stop>
          <stop position="1">
            <color theme="4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4" tint="0.39994506668294322"/>
        </left>
        <right style="dotted">
          <color theme="4" tint="0.39994506668294322"/>
        </right>
        <top/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ill>
        <patternFill>
          <bgColor theme="5" tint="0.79998168889431442"/>
        </patternFill>
      </fill>
      <border>
        <left style="dotted">
          <color theme="5" tint="0.39991454817346722"/>
        </left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 style="dotted">
          <color theme="5" tint="0.39988402966399123"/>
        </left>
        <right style="dotted">
          <color theme="5" tint="0.39991454817346722"/>
        </right>
        <top style="thin">
          <color theme="5" tint="0.39991454817346722"/>
        </top>
        <bottom style="thin">
          <color theme="5" tint="0.39994506668294322"/>
        </bottom>
        <vertical style="dotted">
          <color theme="5" tint="0.39991454817346722"/>
        </vertical>
        <horizontal style="thin">
          <color theme="5" tint="0.39991454817346722"/>
        </horizontal>
      </border>
    </dxf>
    <dxf>
      <font>
        <b/>
        <i val="0"/>
        <color theme="1"/>
      </font>
      <fill>
        <gradientFill degree="90">
          <stop position="0">
            <color theme="5" tint="0.40000610370189521"/>
          </stop>
          <stop position="1">
            <color theme="5" tint="0.59999389629810485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5" tint="0.39991454817346722"/>
        </left>
        <right style="dotted">
          <color theme="5" tint="0.39991454817346722"/>
        </right>
        <top/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border>
        <vertical/>
        <horizontal/>
      </border>
    </dxf>
    <dxf>
      <fill>
        <patternFill>
          <bgColor theme="9" tint="0.59996337778862885"/>
        </patternFill>
      </fill>
      <border>
        <left style="dotted">
          <color theme="9" tint="0.39994506668294322"/>
        </left>
        <right style="dotted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dotted">
          <color theme="9" tint="0.39994506668294322"/>
        </vertical>
        <horizontal style="thin">
          <color theme="9" tint="0.39994506668294322"/>
        </horizontal>
      </border>
    </dxf>
    <dxf>
      <border>
        <left style="dotted">
          <color theme="9" tint="0.39994506668294322"/>
        </left>
        <right style="dotted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dotted">
          <color theme="9" tint="0.39994506668294322"/>
        </vertical>
        <horizontal style="thin">
          <color theme="9" tint="0.39994506668294322"/>
        </horizontal>
      </border>
    </dxf>
    <dxf>
      <font>
        <b/>
        <i val="0"/>
        <color theme="1"/>
      </font>
      <fill>
        <gradientFill degree="90">
          <stop position="0">
            <color theme="9" tint="0.40000610370189521"/>
          </stop>
          <stop position="1">
            <color theme="9" tint="0.59999389629810485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9" tint="0.39994506668294322"/>
        </left>
        <right style="dotted">
          <color theme="9" tint="0.39994506668294322"/>
        </right>
        <top/>
        <bottom style="thin">
          <color theme="9" tint="0.39994506668294322"/>
        </bottom>
        <vertical style="dotted">
          <color theme="9" tint="0.39994506668294322"/>
        </vertical>
        <horizontal/>
      </border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4" defaultTableStyle="Profit &amp; Loss Revenue" defaultPivotStyle="PivotStyleLight16">
    <tableStyle name="Profit &amp; Loss Expenses" pivot="0" count="5" xr9:uid="{00000000-0011-0000-FFFF-FFFF00000000}">
      <tableStyleElement type="wholeTable" dxfId="193"/>
      <tableStyleElement type="headerRow" dxfId="192"/>
      <tableStyleElement type="totalRow" dxfId="191"/>
      <tableStyleElement type="firstRowStripe" dxfId="190"/>
      <tableStyleElement type="secondRowStripe" dxfId="189"/>
    </tableStyle>
    <tableStyle name="Profit &amp; Loss Expenses 2" pivot="0" count="5" xr9:uid="{00000000-0011-0000-FFFF-FFFF01000000}">
      <tableStyleElement type="wholeTable" dxfId="188"/>
      <tableStyleElement type="headerRow" dxfId="187"/>
      <tableStyleElement type="totalRow" dxfId="186"/>
      <tableStyleElement type="firstRowStripe" dxfId="185"/>
      <tableStyleElement type="secondRowStripe" dxfId="184"/>
    </tableStyle>
    <tableStyle name="Profit &amp; Loss Revenue" pivot="0" count="5" xr9:uid="{00000000-0011-0000-FFFF-FFFF02000000}">
      <tableStyleElement type="wholeTable" dxfId="183"/>
      <tableStyleElement type="headerRow" dxfId="182"/>
      <tableStyleElement type="totalRow" dxfId="181"/>
      <tableStyleElement type="firstRowStripe" dxfId="180"/>
      <tableStyleElement type="secondRowStripe" dxfId="179"/>
    </tableStyle>
    <tableStyle name="Profit &amp; Loss Sales" pivot="0" count="4" xr9:uid="{00000000-0011-0000-FFFF-FFFF03000000}">
      <tableStyleElement type="headerRow" dxfId="178"/>
      <tableStyleElement type="totalRow" dxfId="177"/>
      <tableStyleElement type="firstRowStripe" dxfId="176"/>
      <tableStyleElement type="secondRowStripe" dxfId="1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venue" displayName="Revenue" ref="B6:AD14" totalsRowCount="1" dataDxfId="174">
  <autoFilter ref="B6:AD1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0000000-0010-0000-0000-000001000000}" name="REVENUES (SALES)" totalsRowLabel="TOTAL SALES" dataDxfId="172" totalsRowDxfId="173" dataCellStyle="Table Details"/>
    <tableColumn id="29" xr3:uid="{00000000-0010-0000-0000-00001D000000}" name="TREND" dataDxfId="171" dataCellStyle="Revenue fill"/>
    <tableColumn id="2" xr3:uid="{00000000-0010-0000-0000-000002000000}" name="Jan" totalsRowFunction="sum" dataDxfId="169" totalsRowDxfId="170" dataCellStyle="Currency [0]"/>
    <tableColumn id="3" xr3:uid="{00000000-0010-0000-0000-000003000000}" name="Feb" totalsRowFunction="sum" dataDxfId="167" totalsRowDxfId="168" dataCellStyle="Currency [0]"/>
    <tableColumn id="4" xr3:uid="{00000000-0010-0000-0000-000004000000}" name="Mar" totalsRowFunction="sum" dataDxfId="165" totalsRowDxfId="166" dataCellStyle="Currency [0]"/>
    <tableColumn id="5" xr3:uid="{00000000-0010-0000-0000-000005000000}" name="Apr" totalsRowFunction="sum" dataDxfId="163" totalsRowDxfId="164" dataCellStyle="Currency [0]"/>
    <tableColumn id="6" xr3:uid="{00000000-0010-0000-0000-000006000000}" name="May" totalsRowFunction="sum" dataDxfId="161" totalsRowDxfId="162" dataCellStyle="Currency [0]"/>
    <tableColumn id="7" xr3:uid="{00000000-0010-0000-0000-000007000000}" name="Jun" totalsRowFunction="sum" dataDxfId="159" totalsRowDxfId="160" dataCellStyle="Currency [0]"/>
    <tableColumn id="8" xr3:uid="{00000000-0010-0000-0000-000008000000}" name="Jul" totalsRowFunction="sum" dataDxfId="157" totalsRowDxfId="158" dataCellStyle="Currency [0]"/>
    <tableColumn id="9" xr3:uid="{00000000-0010-0000-0000-000009000000}" name="Aug" totalsRowFunction="sum" dataDxfId="155" totalsRowDxfId="156" dataCellStyle="Currency [0]"/>
    <tableColumn id="10" xr3:uid="{00000000-0010-0000-0000-00000A000000}" name="Sep" totalsRowFunction="sum" dataDxfId="153" totalsRowDxfId="154" dataCellStyle="Currency [0]"/>
    <tableColumn id="11" xr3:uid="{00000000-0010-0000-0000-00000B000000}" name="Oct" totalsRowFunction="sum" dataDxfId="151" totalsRowDxfId="152" dataCellStyle="Currency [0]"/>
    <tableColumn id="12" xr3:uid="{00000000-0010-0000-0000-00000C000000}" name="Nov" totalsRowFunction="sum" dataDxfId="149" totalsRowDxfId="150" dataCellStyle="Currency [0]"/>
    <tableColumn id="13" xr3:uid="{00000000-0010-0000-0000-00000D000000}" name="Dec" totalsRowFunction="sum" dataDxfId="147" totalsRowDxfId="148" dataCellStyle="Currency [0]"/>
    <tableColumn id="14" xr3:uid="{00000000-0010-0000-0000-00000E000000}" name="Yearly" totalsRowFunction="sum" dataDxfId="145" totalsRowDxfId="146" dataCellStyle="Currency [0]">
      <calculatedColumnFormula>SUM(Revenue[[#This Row],[Jan]:[Dec]])</calculatedColumnFormula>
    </tableColumn>
    <tableColumn id="15" xr3:uid="{00000000-0010-0000-0000-00000F000000}" name="Index %" totalsRowFunction="sum" dataDxfId="143" totalsRowDxfId="144" dataCellStyle="Percent"/>
    <tableColumn id="16" xr3:uid="{00000000-0010-0000-0000-000010000000}" name="Jan %" totalsRowFunction="sum" dataDxfId="141" totalsRowDxfId="142" dataCellStyle="Percent">
      <calculatedColumnFormula>IFERROR(Revenue[[#This Row],[Jan]]/Revenue[[#Totals],[Jan]],"-")</calculatedColumnFormula>
    </tableColumn>
    <tableColumn id="17" xr3:uid="{00000000-0010-0000-0000-000011000000}" name="Feb %" totalsRowFunction="sum" dataDxfId="139" totalsRowDxfId="140" dataCellStyle="Percent">
      <calculatedColumnFormula>IFERROR(Revenue[[#This Row],[Feb]]/Revenue[[#Totals],[Feb]],"-")</calculatedColumnFormula>
    </tableColumn>
    <tableColumn id="18" xr3:uid="{00000000-0010-0000-0000-000012000000}" name="Mar %" totalsRowFunction="sum" dataDxfId="137" totalsRowDxfId="138" dataCellStyle="Percent">
      <calculatedColumnFormula>IFERROR(Revenue[[#This Row],[Mar]]/Revenue[[#Totals],[Mar]],"-")</calculatedColumnFormula>
    </tableColumn>
    <tableColumn id="19" xr3:uid="{00000000-0010-0000-0000-000013000000}" name="Apr %" totalsRowFunction="sum" dataDxfId="135" totalsRowDxfId="136" dataCellStyle="Percent">
      <calculatedColumnFormula>IFERROR(Revenue[[#This Row],[Apr]]/Revenue[[#Totals],[Apr]],"-")</calculatedColumnFormula>
    </tableColumn>
    <tableColumn id="20" xr3:uid="{00000000-0010-0000-0000-000014000000}" name="May %" totalsRowFunction="sum" dataDxfId="133" totalsRowDxfId="134" dataCellStyle="Percent">
      <calculatedColumnFormula>IFERROR(Revenue[[#This Row],[May]]/Revenue[[#Totals],[May]],"-")</calculatedColumnFormula>
    </tableColumn>
    <tableColumn id="21" xr3:uid="{00000000-0010-0000-0000-000015000000}" name="Jun %" totalsRowFunction="sum" dataDxfId="131" totalsRowDxfId="132" dataCellStyle="Percent">
      <calculatedColumnFormula>IFERROR(Revenue[[#This Row],[Jun]]/Revenue[[#Totals],[Jun]],"-")</calculatedColumnFormula>
    </tableColumn>
    <tableColumn id="22" xr3:uid="{00000000-0010-0000-0000-000016000000}" name="Jul %" totalsRowFunction="sum" dataDxfId="129" totalsRowDxfId="130" dataCellStyle="Percent">
      <calculatedColumnFormula>IFERROR(Revenue[[#This Row],[Jul]]/Revenue[[#Totals],[Jul]],"-")</calculatedColumnFormula>
    </tableColumn>
    <tableColumn id="23" xr3:uid="{00000000-0010-0000-0000-000017000000}" name="Aug %" totalsRowFunction="sum" dataDxfId="127" totalsRowDxfId="128" dataCellStyle="Percent">
      <calculatedColumnFormula>IFERROR(Revenue[[#This Row],[Aug]]/Revenue[[#Totals],[Aug]],"-")</calculatedColumnFormula>
    </tableColumn>
    <tableColumn id="24" xr3:uid="{00000000-0010-0000-0000-000018000000}" name="Sep %" totalsRowFunction="sum" dataDxfId="125" totalsRowDxfId="126" dataCellStyle="Percent">
      <calculatedColumnFormula>IFERROR(Revenue[[#This Row],[Sep]]/Revenue[[#Totals],[Sep]],"-")</calculatedColumnFormula>
    </tableColumn>
    <tableColumn id="25" xr3:uid="{00000000-0010-0000-0000-000019000000}" name="Oct %" totalsRowFunction="sum" dataDxfId="123" totalsRowDxfId="124" dataCellStyle="Percent">
      <calculatedColumnFormula>IFERROR(Revenue[[#This Row],[Oct]]/Revenue[[#Totals],[Oct]],"-")</calculatedColumnFormula>
    </tableColumn>
    <tableColumn id="26" xr3:uid="{00000000-0010-0000-0000-00001A000000}" name="Nov %" totalsRowFunction="sum" dataDxfId="121" totalsRowDxfId="122" dataCellStyle="Percent">
      <calculatedColumnFormula>IFERROR(Revenue[[#This Row],[Nov]]/Revenue[[#Totals],[Nov]],"-")</calculatedColumnFormula>
    </tableColumn>
    <tableColumn id="27" xr3:uid="{00000000-0010-0000-0000-00001B000000}" name="Dec %" totalsRowFunction="sum" dataDxfId="119" totalsRowDxfId="120" dataCellStyle="Percent">
      <calculatedColumnFormula>IFERROR(Revenue[[#This Row],[Dec]]/Revenue[[#Totals],[Dec]],"-")</calculatedColumnFormula>
    </tableColumn>
    <tableColumn id="28" xr3:uid="{00000000-0010-0000-0000-00001C000000}" name="Year %" totalsRowFunction="sum" dataDxfId="117" totalsRowDxfId="118" dataCellStyle="Normal">
      <calculatedColumnFormula>IFERROR(Revenue[[#This Row],[Yearly]]/Revenue[[#Totals],[Yearly]],"-")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stofSales" displayName="CostofSales" ref="B6:AD14" totalsRowCount="1" headerRowDxfId="116" dataDxfId="115" totalsRowDxfId="114" tableBorderDxfId="113" dataCellStyle="Percent">
  <tableColumns count="29">
    <tableColumn id="1" xr3:uid="{00000000-0010-0000-0100-000001000000}" name="COST OF SALES" totalsRowLabel="TOTAL COST OF SALES" dataDxfId="111" totalsRowDxfId="112" dataCellStyle="Table Details"/>
    <tableColumn id="2" xr3:uid="{00000000-0010-0000-0100-000002000000}" name="TREND" dataDxfId="110" dataCellStyle="Revenue fill"/>
    <tableColumn id="3" xr3:uid="{00000000-0010-0000-0100-000003000000}" name="Jan" totalsRowFunction="sum" dataDxfId="108" totalsRowDxfId="109" dataCellStyle="Currency [0]"/>
    <tableColumn id="4" xr3:uid="{00000000-0010-0000-0100-000004000000}" name="Feb" totalsRowFunction="sum" dataDxfId="106" totalsRowDxfId="107" dataCellStyle="Currency [0]"/>
    <tableColumn id="5" xr3:uid="{00000000-0010-0000-0100-000005000000}" name="Mar" totalsRowFunction="sum" dataDxfId="104" totalsRowDxfId="105" dataCellStyle="Currency [0]"/>
    <tableColumn id="6" xr3:uid="{00000000-0010-0000-0100-000006000000}" name="Apr" totalsRowFunction="sum" dataDxfId="102" totalsRowDxfId="103" dataCellStyle="Currency [0]"/>
    <tableColumn id="7" xr3:uid="{00000000-0010-0000-0100-000007000000}" name="May" totalsRowFunction="sum" dataDxfId="100" totalsRowDxfId="101" dataCellStyle="Currency [0]"/>
    <tableColumn id="8" xr3:uid="{00000000-0010-0000-0100-000008000000}" name="Jun" totalsRowFunction="sum" dataDxfId="98" totalsRowDxfId="99" dataCellStyle="Currency [0]"/>
    <tableColumn id="9" xr3:uid="{00000000-0010-0000-0100-000009000000}" name="Jul" totalsRowFunction="sum" dataDxfId="96" totalsRowDxfId="97" dataCellStyle="Currency [0]"/>
    <tableColumn id="10" xr3:uid="{00000000-0010-0000-0100-00000A000000}" name="Aug" totalsRowFunction="sum" dataDxfId="94" totalsRowDxfId="95" dataCellStyle="Currency [0]"/>
    <tableColumn id="11" xr3:uid="{00000000-0010-0000-0100-00000B000000}" name="Sep" totalsRowFunction="sum" dataDxfId="92" totalsRowDxfId="93" dataCellStyle="Currency [0]"/>
    <tableColumn id="12" xr3:uid="{00000000-0010-0000-0100-00000C000000}" name="Oct" totalsRowFunction="sum" dataDxfId="90" totalsRowDxfId="91" dataCellStyle="Currency [0]"/>
    <tableColumn id="13" xr3:uid="{00000000-0010-0000-0100-00000D000000}" name="Nov" totalsRowFunction="sum" dataDxfId="88" totalsRowDxfId="89" dataCellStyle="Currency [0]"/>
    <tableColumn id="14" xr3:uid="{00000000-0010-0000-0100-00000E000000}" name="Dec" totalsRowFunction="sum" dataDxfId="86" totalsRowDxfId="87" dataCellStyle="Currency [0]"/>
    <tableColumn id="15" xr3:uid="{00000000-0010-0000-0100-00000F000000}" name="Yearly" totalsRowFunction="sum" dataDxfId="84" totalsRowDxfId="85" dataCellStyle="Currency [0]">
      <calculatedColumnFormula>SUM(CostofSales[[#This Row],[Jan]:[Dec]])</calculatedColumnFormula>
    </tableColumn>
    <tableColumn id="16" xr3:uid="{00000000-0010-0000-0100-000010000000}" name="Index %" totalsRowFunction="sum" dataDxfId="82" totalsRowDxfId="83" dataCellStyle="Percent"/>
    <tableColumn id="17" xr3:uid="{00000000-0010-0000-0100-000011000000}" name="Jan %" totalsRowFunction="sum" dataDxfId="80" totalsRowDxfId="81" dataCellStyle="Percent">
      <calculatedColumnFormula>IFERROR(CostofSales[[#This Row],[Jan]]/CostofSales[[#Totals],[Jan]],"-")</calculatedColumnFormula>
    </tableColumn>
    <tableColumn id="18" xr3:uid="{00000000-0010-0000-0100-000012000000}" name="Feb %" totalsRowFunction="sum" dataDxfId="78" totalsRowDxfId="79" dataCellStyle="Percent">
      <calculatedColumnFormula>IFERROR(CostofSales[[#This Row],[Feb]]/CostofSales[[#Totals],[Feb]],"-")</calculatedColumnFormula>
    </tableColumn>
    <tableColumn id="19" xr3:uid="{00000000-0010-0000-0100-000013000000}" name="Mar %" totalsRowFunction="sum" dataDxfId="76" totalsRowDxfId="77" dataCellStyle="Percent">
      <calculatedColumnFormula>IFERROR(CostofSales[[#This Row],[Mar]]/CostofSales[[#Totals],[Mar]],"-")</calculatedColumnFormula>
    </tableColumn>
    <tableColumn id="20" xr3:uid="{00000000-0010-0000-0100-000014000000}" name="Apr %" totalsRowFunction="sum" dataDxfId="74" totalsRowDxfId="75" dataCellStyle="Percent">
      <calculatedColumnFormula>IFERROR(CostofSales[[#This Row],[Apr]]/CostofSales[[#Totals],[Apr]],"-")</calculatedColumnFormula>
    </tableColumn>
    <tableColumn id="21" xr3:uid="{00000000-0010-0000-0100-000015000000}" name="May %" totalsRowFunction="sum" dataDxfId="72" totalsRowDxfId="73" dataCellStyle="Percent">
      <calculatedColumnFormula>IFERROR(CostofSales[[#This Row],[May]]/CostofSales[[#Totals],[May]],"-")</calculatedColumnFormula>
    </tableColumn>
    <tableColumn id="22" xr3:uid="{00000000-0010-0000-0100-000016000000}" name="Jun %" totalsRowFunction="sum" dataDxfId="70" totalsRowDxfId="71" dataCellStyle="Percent">
      <calculatedColumnFormula>IFERROR(CostofSales[[#This Row],[Jun]]/CostofSales[[#Totals],[Jun]],"-")</calculatedColumnFormula>
    </tableColumn>
    <tableColumn id="23" xr3:uid="{00000000-0010-0000-0100-000017000000}" name="Jul %" totalsRowFunction="sum" dataDxfId="68" totalsRowDxfId="69" dataCellStyle="Percent">
      <calculatedColumnFormula>IFERROR(CostofSales[[#This Row],[Jul]]/CostofSales[[#Totals],[Jul]],"-")</calculatedColumnFormula>
    </tableColumn>
    <tableColumn id="24" xr3:uid="{00000000-0010-0000-0100-000018000000}" name="Aug %" totalsRowFunction="sum" dataDxfId="66" totalsRowDxfId="67" dataCellStyle="Percent">
      <calculatedColumnFormula>IFERROR(CostofSales[[#This Row],[Aug]]/CostofSales[[#Totals],[Aug]],"-")</calculatedColumnFormula>
    </tableColumn>
    <tableColumn id="25" xr3:uid="{00000000-0010-0000-0100-000019000000}" name="Sep %" totalsRowFunction="sum" dataDxfId="64" totalsRowDxfId="65" dataCellStyle="Percent">
      <calculatedColumnFormula>IFERROR(CostofSales[[#This Row],[Sep]]/CostofSales[[#Totals],[Sep]],"-")</calculatedColumnFormula>
    </tableColumn>
    <tableColumn id="26" xr3:uid="{00000000-0010-0000-0100-00001A000000}" name="Oct %" totalsRowFunction="sum" dataDxfId="62" totalsRowDxfId="63" dataCellStyle="Percent">
      <calculatedColumnFormula>IFERROR(CostofSales[[#This Row],[Oct]]/CostofSales[[#Totals],[Oct]],"-")</calculatedColumnFormula>
    </tableColumn>
    <tableColumn id="27" xr3:uid="{00000000-0010-0000-0100-00001B000000}" name="Nov %" totalsRowFunction="sum" dataDxfId="60" totalsRowDxfId="61" dataCellStyle="Percent">
      <calculatedColumnFormula>IFERROR(CostofSales[[#This Row],[Nov]]/CostofSales[[#Totals],[Nov]],"-")</calculatedColumnFormula>
    </tableColumn>
    <tableColumn id="28" xr3:uid="{00000000-0010-0000-0100-00001C000000}" name="Dec %" totalsRowFunction="sum" dataDxfId="58" totalsRowDxfId="59" dataCellStyle="Percent">
      <calculatedColumnFormula>IFERROR(CostofSales[[#This Row],[Dec]]/CostofSales[[#Totals],[Dec]],"-")</calculatedColumnFormula>
    </tableColumn>
    <tableColumn id="29" xr3:uid="{00000000-0010-0000-0100-00001D000000}" name="Year %" totalsRowFunction="sum" dataDxfId="56" totalsRowDxfId="57" dataCellStyle="Percent">
      <calculatedColumnFormula>IFERROR(CostofSales[[#This Row],[Yearly]]/CostofSales[[#Totals],[Yearly]],"-")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Summary="Summary of cost of sales, annual total, and monthly percentage for each cost item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blExpenses" displayName="tblExpenses" ref="B6:AD26" totalsRowCount="1">
  <tableColumns count="29">
    <tableColumn id="1" xr3:uid="{00000000-0010-0000-0200-000001000000}" name="EXPENSES" totalsRowLabel="TOTAL EXPENSES" dataDxfId="54" totalsRowDxfId="55"/>
    <tableColumn id="2" xr3:uid="{00000000-0010-0000-0200-000002000000}" name="TREND" totalsRowLabel=" "/>
    <tableColumn id="3" xr3:uid="{00000000-0010-0000-0200-000003000000}" name="Column1" totalsRowFunction="sum" dataDxfId="52" totalsRowDxfId="53"/>
    <tableColumn id="4" xr3:uid="{00000000-0010-0000-0200-000004000000}" name="Feb" totalsRowFunction="sum" dataDxfId="50" totalsRowDxfId="51"/>
    <tableColumn id="5" xr3:uid="{00000000-0010-0000-0200-000005000000}" name="Mar" totalsRowFunction="sum" dataDxfId="48" totalsRowDxfId="49"/>
    <tableColumn id="6" xr3:uid="{00000000-0010-0000-0200-000006000000}" name="Apr" totalsRowFunction="sum" dataDxfId="46" totalsRowDxfId="47"/>
    <tableColumn id="7" xr3:uid="{00000000-0010-0000-0200-000007000000}" name="May" totalsRowFunction="sum" dataDxfId="44" totalsRowDxfId="45"/>
    <tableColumn id="8" xr3:uid="{00000000-0010-0000-0200-000008000000}" name="Jun" totalsRowFunction="sum" dataDxfId="42" totalsRowDxfId="43"/>
    <tableColumn id="9" xr3:uid="{00000000-0010-0000-0200-000009000000}" name="Jul" totalsRowFunction="sum" dataDxfId="40" totalsRowDxfId="41"/>
    <tableColumn id="10" xr3:uid="{00000000-0010-0000-0200-00000A000000}" name="Aug" totalsRowFunction="sum" dataDxfId="38" totalsRowDxfId="39"/>
    <tableColumn id="11" xr3:uid="{00000000-0010-0000-0200-00000B000000}" name="Sep" totalsRowFunction="sum" dataDxfId="36" totalsRowDxfId="37"/>
    <tableColumn id="12" xr3:uid="{00000000-0010-0000-0200-00000C000000}" name="Oct" totalsRowFunction="sum" dataDxfId="34" totalsRowDxfId="35"/>
    <tableColumn id="13" xr3:uid="{00000000-0010-0000-0200-00000D000000}" name="Nov" totalsRowFunction="sum" dataDxfId="32" totalsRowDxfId="33"/>
    <tableColumn id="14" xr3:uid="{00000000-0010-0000-0200-00000E000000}" name="Dec" totalsRowFunction="sum" dataDxfId="30" totalsRowDxfId="31"/>
    <tableColumn id="15" xr3:uid="{00000000-0010-0000-0200-00000F000000}" name="Yearly" totalsRowFunction="sum" dataDxfId="28" totalsRowDxfId="29">
      <calculatedColumnFormula>SUM(tblExpenses[[#This Row],[Column1]:[Dec]])</calculatedColumnFormula>
    </tableColumn>
    <tableColumn id="16" xr3:uid="{00000000-0010-0000-0200-000010000000}" name="Index %" totalsRowFunction="sum" dataDxfId="26" totalsRowDxfId="27" dataCellStyle="Percent"/>
    <tableColumn id="17" xr3:uid="{00000000-0010-0000-0200-000011000000}" name="Jan %" totalsRowFunction="sum" dataDxfId="24" totalsRowDxfId="25" dataCellStyle="Percent">
      <calculatedColumnFormula>tblExpenses[[#This Row],[Column1]]/tblExpenses[[#Totals],[Column1]]</calculatedColumnFormula>
    </tableColumn>
    <tableColumn id="18" xr3:uid="{00000000-0010-0000-0200-000012000000}" name="Feb %" totalsRowFunction="sum" dataDxfId="22" totalsRowDxfId="23" dataCellStyle="Percent">
      <calculatedColumnFormula>tblExpenses[[#This Row],[Feb]]/tblExpenses[[#Totals],[Feb]]</calculatedColumnFormula>
    </tableColumn>
    <tableColumn id="19" xr3:uid="{00000000-0010-0000-0200-000013000000}" name="Mar %" totalsRowFunction="sum" dataDxfId="20" totalsRowDxfId="21" dataCellStyle="Percent">
      <calculatedColumnFormula>tblExpenses[[#This Row],[Mar]]/tblExpenses[[#Totals],[Mar]]</calculatedColumnFormula>
    </tableColumn>
    <tableColumn id="20" xr3:uid="{00000000-0010-0000-0200-000014000000}" name="Apr %" totalsRowFunction="sum" dataDxfId="18" totalsRowDxfId="19" dataCellStyle="Percent">
      <calculatedColumnFormula>tblExpenses[[#This Row],[Apr]]/tblExpenses[[#Totals],[Apr]]</calculatedColumnFormula>
    </tableColumn>
    <tableColumn id="21" xr3:uid="{00000000-0010-0000-0200-000015000000}" name="May %" totalsRowFunction="sum" dataDxfId="16" totalsRowDxfId="17" dataCellStyle="Percent">
      <calculatedColumnFormula>tblExpenses[[#This Row],[May]]/tblExpenses[[#Totals],[May]]</calculatedColumnFormula>
    </tableColumn>
    <tableColumn id="22" xr3:uid="{00000000-0010-0000-0200-000016000000}" name="Jun %" totalsRowFunction="sum" dataDxfId="14" totalsRowDxfId="15" dataCellStyle="Percent">
      <calculatedColumnFormula>tblExpenses[[#This Row],[Jun]]/tblExpenses[[#Totals],[Jun]]</calculatedColumnFormula>
    </tableColumn>
    <tableColumn id="23" xr3:uid="{00000000-0010-0000-0200-000017000000}" name="Jul %" totalsRowFunction="sum" dataDxfId="12" totalsRowDxfId="13" dataCellStyle="Percent">
      <calculatedColumnFormula>tblExpenses[[#This Row],[Jul]]/tblExpenses[[#Totals],[Jul]]</calculatedColumnFormula>
    </tableColumn>
    <tableColumn id="24" xr3:uid="{00000000-0010-0000-0200-000018000000}" name="Aug %" totalsRowFunction="sum" dataDxfId="10" totalsRowDxfId="11" dataCellStyle="Percent">
      <calculatedColumnFormula>tblExpenses[[#This Row],[Aug]]/tblExpenses[[#Totals],[Aug]]</calculatedColumnFormula>
    </tableColumn>
    <tableColumn id="25" xr3:uid="{00000000-0010-0000-0200-000019000000}" name="Sep %" totalsRowFunction="sum" dataDxfId="8" totalsRowDxfId="9" dataCellStyle="Percent">
      <calculatedColumnFormula>tblExpenses[[#This Row],[Sep]]/tblExpenses[[#Totals],[Sep]]</calculatedColumnFormula>
    </tableColumn>
    <tableColumn id="26" xr3:uid="{00000000-0010-0000-0200-00001A000000}" name="Oct %" totalsRowFunction="sum" dataDxfId="6" totalsRowDxfId="7" dataCellStyle="Percent">
      <calculatedColumnFormula>tblExpenses[[#This Row],[Oct]]/tblExpenses[[#Totals],[Oct]]</calculatedColumnFormula>
    </tableColumn>
    <tableColumn id="27" xr3:uid="{00000000-0010-0000-0200-00001B000000}" name="Nov %" totalsRowFunction="sum" dataDxfId="4" totalsRowDxfId="5" dataCellStyle="Percent">
      <calculatedColumnFormula>tblExpenses[[#This Row],[Nov]]/tblExpenses[[#Totals],[Nov]]</calculatedColumnFormula>
    </tableColumn>
    <tableColumn id="28" xr3:uid="{00000000-0010-0000-0200-00001C000000}" name="Dec %" totalsRowFunction="sum" dataDxfId="2" totalsRowDxfId="3" dataCellStyle="Percent">
      <calculatedColumnFormula>tblExpenses[[#This Row],[Dec]]/tblExpenses[[#Totals],[Dec]]</calculatedColumnFormula>
    </tableColumn>
    <tableColumn id="29" xr3:uid="{00000000-0010-0000-0200-00001D000000}" name="Year %" totalsRowFunction="sum" dataDxfId="0" totalsRowDxfId="1" dataCellStyle="Percent">
      <calculatedColumnFormula>tblExpenses[[#This Row],[Yearly]]/tblExpenses[[#Totals],[Yearly]]</calculatedColumnFormula>
    </tableColumn>
  </tableColumns>
  <tableStyleInfo name="Profit &amp; Loss Expenses 2" showFirstColumn="0" showLastColumn="0" showRowStripes="1" showColumnStripes="0"/>
  <extLst>
    <ext xmlns:x14="http://schemas.microsoft.com/office/spreadsheetml/2009/9/main" uri="{504A1905-F514-4f6f-8877-14C23A59335A}">
      <x14:table altTextSummary="Summary of expenses, annual total, and monthly percentage for each expense item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-Cambria">
      <a:majorFont>
        <a:latin typeface="Calibri" panose="020F0502020204030204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autoPageBreaks="0" fitToPage="1"/>
  </sheetPr>
  <dimension ref="B1:AD14"/>
  <sheetViews>
    <sheetView showGridLines="0" zoomScaleNormal="100" zoomScalePageLayoutView="85" workbookViewId="0">
      <pane xSplit="3" ySplit="5" topLeftCell="D6" activePane="bottomRight" state="frozen"/>
      <selection pane="bottomRight" activeCell="O13" sqref="O13"/>
      <selection pane="bottomLeft" activeCell="A6" sqref="A6"/>
      <selection pane="topRight" activeCell="D1" sqref="D1"/>
    </sheetView>
  </sheetViews>
  <sheetFormatPr defaultRowHeight="30" customHeight="1"/>
  <cols>
    <col min="1" max="1" width="2.625" customWidth="1"/>
    <col min="2" max="3" width="20.625" customWidth="1"/>
    <col min="4" max="15" width="9.625" bestFit="1" customWidth="1"/>
    <col min="16" max="16" width="9.75" customWidth="1"/>
    <col min="17" max="30" width="6.625" bestFit="1" customWidth="1"/>
    <col min="31" max="31" width="2.625" customWidth="1"/>
  </cols>
  <sheetData>
    <row r="1" spans="2:30" ht="38.1" customHeight="1">
      <c r="B1" s="7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2:30" ht="35.1" customHeight="1">
      <c r="B2" s="86" t="s">
        <v>1</v>
      </c>
      <c r="C2" s="87"/>
      <c r="D2" s="87"/>
      <c r="E2" s="88" t="s">
        <v>2</v>
      </c>
      <c r="F2" s="89" t="s">
        <v>3</v>
      </c>
      <c r="G2" s="89">
        <v>2023</v>
      </c>
      <c r="H2" s="8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2:30" ht="60" customHeight="1">
      <c r="B3" s="71" t="s">
        <v>4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3"/>
      <c r="Q3" s="13"/>
      <c r="R3" s="13"/>
      <c r="S3" s="13"/>
      <c r="T3" s="13"/>
      <c r="U3" s="13"/>
      <c r="V3" s="13"/>
      <c r="W3" s="13"/>
      <c r="X3" s="15"/>
      <c r="Y3" s="15"/>
      <c r="Z3" s="15"/>
      <c r="AA3" s="15"/>
      <c r="AB3" s="13"/>
      <c r="AC3" s="13"/>
      <c r="AD3" s="13"/>
    </row>
    <row r="4" spans="2:30" ht="15" customHeight="1"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X4" s="2"/>
      <c r="Y4" s="2"/>
      <c r="Z4" s="2"/>
      <c r="AA4" s="2"/>
      <c r="AB4" s="7"/>
      <c r="AC4" s="7"/>
      <c r="AD4" s="7"/>
    </row>
    <row r="5" spans="2:30" ht="20.100000000000001" customHeight="1">
      <c r="D5" s="31" t="str">
        <f>UPPER(TEXT(DATE(FYStartYear,FYMonthNo,1),"mmm-yy"))</f>
        <v>JUL-23</v>
      </c>
      <c r="E5" s="31" t="str">
        <f>UPPER(TEXT(DATE(FYStartYear,FYMonthNo+1,1),"mmm-yy"))</f>
        <v>AUG-23</v>
      </c>
      <c r="F5" s="31" t="str">
        <f>UPPER(TEXT(DATE(FYStartYear,FYMonthNo+2,1),"mmm-yy"))</f>
        <v>SEP-23</v>
      </c>
      <c r="G5" s="31" t="str">
        <f>UPPER(TEXT(DATE(FYStartYear,FYMonthNo+3,1),"mmm-yy"))</f>
        <v>OCT-23</v>
      </c>
      <c r="H5" s="31" t="str">
        <f>UPPER(TEXT(DATE(FYStartYear,FYMonthNo+4,1),"mmm-yy"))</f>
        <v>NOV-23</v>
      </c>
      <c r="I5" s="31" t="str">
        <f>UPPER(TEXT(DATE(FYStartYear,FYMonthNo+5,1),"mmm-yy"))</f>
        <v>DEC-23</v>
      </c>
      <c r="J5" s="31" t="str">
        <f>UPPER(TEXT(DATE(FYStartYear,FYMonthNo+6,1),"mmm-yy"))</f>
        <v>JAN-24</v>
      </c>
      <c r="K5" s="31" t="str">
        <f>UPPER(TEXT(DATE(FYStartYear,FYMonthNo+7,1),"mmm-yy"))</f>
        <v>FEB-24</v>
      </c>
      <c r="L5" s="31" t="str">
        <f>UPPER(TEXT(DATE(FYStartYear,FYMonthNo+8,1),"mmm-yy"))</f>
        <v>MAR-24</v>
      </c>
      <c r="M5" s="31" t="str">
        <f>UPPER(TEXT(DATE(FYStartYear,FYMonthNo+9,1),"mmm-yy"))</f>
        <v>APR-24</v>
      </c>
      <c r="N5" s="31" t="str">
        <f>UPPER(TEXT(DATE(FYStartYear,FYMonthNo+10,1),"mmm-yy"))</f>
        <v>MAY-24</v>
      </c>
      <c r="O5" s="32" t="str">
        <f>UPPER(TEXT(DATE(FYStartYear,FYMonthNo+11,1),"mmm-yy"))</f>
        <v>JUN-24</v>
      </c>
      <c r="P5" s="33" t="s">
        <v>5</v>
      </c>
      <c r="Q5" s="34" t="s">
        <v>6</v>
      </c>
      <c r="R5" s="35" t="str">
        <f>LEFT(D5,3)&amp;" %"</f>
        <v>JUL %</v>
      </c>
      <c r="S5" s="36" t="str">
        <f t="shared" ref="S5:AC5" si="0">LEFT(E5,3)&amp;" %"</f>
        <v>AUG %</v>
      </c>
      <c r="T5" s="36" t="str">
        <f t="shared" si="0"/>
        <v>SEP %</v>
      </c>
      <c r="U5" s="36" t="str">
        <f t="shared" si="0"/>
        <v>OCT %</v>
      </c>
      <c r="V5" s="36" t="str">
        <f t="shared" si="0"/>
        <v>NOV %</v>
      </c>
      <c r="W5" s="36" t="str">
        <f t="shared" si="0"/>
        <v>DEC %</v>
      </c>
      <c r="X5" s="36" t="str">
        <f t="shared" si="0"/>
        <v>JAN %</v>
      </c>
      <c r="Y5" s="36" t="str">
        <f t="shared" si="0"/>
        <v>FEB %</v>
      </c>
      <c r="Z5" s="36" t="str">
        <f t="shared" si="0"/>
        <v>MAR %</v>
      </c>
      <c r="AA5" s="36" t="str">
        <f t="shared" si="0"/>
        <v>APR %</v>
      </c>
      <c r="AB5" s="36" t="str">
        <f t="shared" si="0"/>
        <v>MAY %</v>
      </c>
      <c r="AC5" s="36" t="str">
        <f t="shared" si="0"/>
        <v>JUN %</v>
      </c>
      <c r="AD5" s="37" t="s">
        <v>7</v>
      </c>
    </row>
    <row r="6" spans="2:30" ht="30" customHeight="1">
      <c r="B6" s="62" t="s">
        <v>8</v>
      </c>
      <c r="C6" s="62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  <c r="J6" s="8" t="s">
        <v>16</v>
      </c>
      <c r="K6" s="8" t="s">
        <v>17</v>
      </c>
      <c r="L6" s="8" t="s">
        <v>18</v>
      </c>
      <c r="M6" s="8" t="s">
        <v>19</v>
      </c>
      <c r="N6" s="8" t="s">
        <v>20</v>
      </c>
      <c r="O6" s="8" t="s">
        <v>21</v>
      </c>
      <c r="P6" s="21" t="s">
        <v>22</v>
      </c>
      <c r="Q6" s="8" t="s">
        <v>23</v>
      </c>
      <c r="R6" s="24" t="s">
        <v>24</v>
      </c>
      <c r="S6" s="8" t="s">
        <v>25</v>
      </c>
      <c r="T6" s="8" t="s">
        <v>26</v>
      </c>
      <c r="U6" s="8" t="s">
        <v>27</v>
      </c>
      <c r="V6" s="8" t="s">
        <v>28</v>
      </c>
      <c r="W6" s="8" t="s">
        <v>29</v>
      </c>
      <c r="X6" s="8" t="s">
        <v>30</v>
      </c>
      <c r="Y6" s="8" t="s">
        <v>31</v>
      </c>
      <c r="Z6" s="8" t="s">
        <v>32</v>
      </c>
      <c r="AA6" s="8" t="s">
        <v>33</v>
      </c>
      <c r="AB6" s="8" t="s">
        <v>34</v>
      </c>
      <c r="AC6" s="8" t="s">
        <v>35</v>
      </c>
      <c r="AD6" s="25" t="s">
        <v>36</v>
      </c>
    </row>
    <row r="7" spans="2:30" ht="30" customHeight="1">
      <c r="B7" s="16" t="s">
        <v>37</v>
      </c>
      <c r="C7" s="17"/>
      <c r="D7" s="9">
        <v>12500</v>
      </c>
      <c r="E7" s="9">
        <v>15000</v>
      </c>
      <c r="F7" s="9">
        <v>17500</v>
      </c>
      <c r="G7" s="9">
        <v>20000</v>
      </c>
      <c r="H7" s="9">
        <v>25000</v>
      </c>
      <c r="I7" s="9">
        <v>25000</v>
      </c>
      <c r="J7" s="9">
        <v>25000</v>
      </c>
      <c r="K7" s="9">
        <v>30000</v>
      </c>
      <c r="L7" s="9">
        <v>35000</v>
      </c>
      <c r="M7" s="9">
        <v>40000</v>
      </c>
      <c r="N7" s="9">
        <v>50000</v>
      </c>
      <c r="O7" s="9">
        <v>60000</v>
      </c>
      <c r="P7" s="22">
        <f>SUM(Revenue[[#This Row],[Jan]:[Dec]])</f>
        <v>355000</v>
      </c>
      <c r="Q7" s="10">
        <v>0.12</v>
      </c>
      <c r="R7" s="26">
        <f>IFERROR(Revenue[[#This Row],[Jan]]/Revenue[[#Totals],[Jan]],"-")</f>
        <v>0.125</v>
      </c>
      <c r="S7" s="10">
        <f>IFERROR(Revenue[[#This Row],[Feb]]/Revenue[[#Totals],[Feb]],"-")</f>
        <v>0.13043478260869565</v>
      </c>
      <c r="T7" s="10">
        <f>IFERROR(Revenue[[#This Row],[Mar]]/Revenue[[#Totals],[Mar]],"-")</f>
        <v>0.13207547169811321</v>
      </c>
      <c r="U7" s="10">
        <f>IFERROR(Revenue[[#This Row],[Apr]]/Revenue[[#Totals],[Apr]],"-")</f>
        <v>0.125</v>
      </c>
      <c r="V7" s="10">
        <f>IFERROR(Revenue[[#This Row],[May]]/Revenue[[#Totals],[May]],"-")</f>
        <v>0.12345679012345678</v>
      </c>
      <c r="W7" s="10">
        <f>IFERROR(Revenue[[#This Row],[Jun]]/Revenue[[#Totals],[Jun]],"-")</f>
        <v>0.10416666666666667</v>
      </c>
      <c r="X7" s="10">
        <f>IFERROR(Revenue[[#This Row],[Jul]]/Revenue[[#Totals],[Jul]],"-")</f>
        <v>9.0090090090090086E-2</v>
      </c>
      <c r="Y7" s="10">
        <f>IFERROR(Revenue[[#This Row],[Aug]]/Revenue[[#Totals],[Aug]],"-")</f>
        <v>9.3023255813953487E-2</v>
      </c>
      <c r="Z7" s="10">
        <f>IFERROR(Revenue[[#This Row],[Sep]]/Revenue[[#Totals],[Sep]],"-")</f>
        <v>9.45945945945946E-2</v>
      </c>
      <c r="AA7" s="10">
        <f>IFERROR(Revenue[[#This Row],[Oct]]/Revenue[[#Totals],[Oct]],"-")</f>
        <v>9.696969696969697E-2</v>
      </c>
      <c r="AB7" s="10">
        <f>IFERROR(Revenue[[#This Row],[Nov]]/Revenue[[#Totals],[Nov]],"-")</f>
        <v>0.10638297872340426</v>
      </c>
      <c r="AC7" s="10">
        <f>IFERROR(Revenue[[#This Row],[Dec]]/Revenue[[#Totals],[Dec]],"-")</f>
        <v>0.10909090909090909</v>
      </c>
      <c r="AD7" s="27">
        <f>IFERROR(Revenue[[#This Row],[Yearly]]/Revenue[[#Totals],[Yearly]],"-")</f>
        <v>0.10589112602535421</v>
      </c>
    </row>
    <row r="8" spans="2:30" ht="30" customHeight="1">
      <c r="B8" s="16" t="s">
        <v>38</v>
      </c>
      <c r="C8" s="17"/>
      <c r="D8" s="9">
        <v>15000</v>
      </c>
      <c r="E8" s="9">
        <v>17500</v>
      </c>
      <c r="F8" s="9">
        <v>20000</v>
      </c>
      <c r="G8" s="9">
        <v>25000</v>
      </c>
      <c r="H8" s="9">
        <v>27500</v>
      </c>
      <c r="I8" s="9">
        <v>30000</v>
      </c>
      <c r="J8" s="9">
        <v>35000</v>
      </c>
      <c r="K8" s="9">
        <v>37500</v>
      </c>
      <c r="L8" s="9">
        <v>40000</v>
      </c>
      <c r="M8" s="9">
        <v>45000</v>
      </c>
      <c r="N8" s="9">
        <v>50000</v>
      </c>
      <c r="O8" s="9">
        <v>75000</v>
      </c>
      <c r="P8" s="22">
        <f>SUM(Revenue[[#This Row],[Jan]:[Dec]])</f>
        <v>417500</v>
      </c>
      <c r="Q8" s="10">
        <v>0.18</v>
      </c>
      <c r="R8" s="26">
        <f>IFERROR(Revenue[[#This Row],[Jan]]/Revenue[[#Totals],[Jan]],"-")</f>
        <v>0.15</v>
      </c>
      <c r="S8" s="10">
        <f>IFERROR(Revenue[[#This Row],[Feb]]/Revenue[[#Totals],[Feb]],"-")</f>
        <v>0.15217391304347827</v>
      </c>
      <c r="T8" s="10">
        <f>IFERROR(Revenue[[#This Row],[Mar]]/Revenue[[#Totals],[Mar]],"-")</f>
        <v>0.15094339622641509</v>
      </c>
      <c r="U8" s="10">
        <f>IFERROR(Revenue[[#This Row],[Apr]]/Revenue[[#Totals],[Apr]],"-")</f>
        <v>0.15625</v>
      </c>
      <c r="V8" s="10">
        <f>IFERROR(Revenue[[#This Row],[May]]/Revenue[[#Totals],[May]],"-")</f>
        <v>0.13580246913580246</v>
      </c>
      <c r="W8" s="10">
        <f>IFERROR(Revenue[[#This Row],[Jun]]/Revenue[[#Totals],[Jun]],"-")</f>
        <v>0.125</v>
      </c>
      <c r="X8" s="10">
        <f>IFERROR(Revenue[[#This Row],[Jul]]/Revenue[[#Totals],[Jul]],"-")</f>
        <v>0.12612612612612611</v>
      </c>
      <c r="Y8" s="10">
        <f>IFERROR(Revenue[[#This Row],[Aug]]/Revenue[[#Totals],[Aug]],"-")</f>
        <v>0.11627906976744186</v>
      </c>
      <c r="Z8" s="10">
        <f>IFERROR(Revenue[[#This Row],[Sep]]/Revenue[[#Totals],[Sep]],"-")</f>
        <v>0.10810810810810811</v>
      </c>
      <c r="AA8" s="10">
        <f>IFERROR(Revenue[[#This Row],[Oct]]/Revenue[[#Totals],[Oct]],"-")</f>
        <v>0.10909090909090909</v>
      </c>
      <c r="AB8" s="10">
        <f>IFERROR(Revenue[[#This Row],[Nov]]/Revenue[[#Totals],[Nov]],"-")</f>
        <v>0.10638297872340426</v>
      </c>
      <c r="AC8" s="10">
        <f>IFERROR(Revenue[[#This Row],[Dec]]/Revenue[[#Totals],[Dec]],"-")</f>
        <v>0.13636363636363635</v>
      </c>
      <c r="AD8" s="27">
        <f>IFERROR(Revenue[[#This Row],[Yearly]]/Revenue[[#Totals],[Yearly]],"-")</f>
        <v>0.12453392990305742</v>
      </c>
    </row>
    <row r="9" spans="2:30" ht="30" customHeight="1">
      <c r="B9" s="16" t="s">
        <v>39</v>
      </c>
      <c r="C9" s="17"/>
      <c r="D9" s="9">
        <v>30000</v>
      </c>
      <c r="E9" s="9">
        <v>32500</v>
      </c>
      <c r="F9" s="9">
        <v>35000</v>
      </c>
      <c r="G9" s="9">
        <v>40000</v>
      </c>
      <c r="H9" s="9">
        <v>50000</v>
      </c>
      <c r="I9" s="9">
        <v>65000</v>
      </c>
      <c r="J9" s="9">
        <v>70000</v>
      </c>
      <c r="K9" s="9">
        <v>75000</v>
      </c>
      <c r="L9" s="9">
        <v>80000</v>
      </c>
      <c r="M9" s="9">
        <v>85000</v>
      </c>
      <c r="N9" s="9">
        <v>90000</v>
      </c>
      <c r="O9" s="9">
        <v>100000</v>
      </c>
      <c r="P9" s="22">
        <f>SUM(Revenue[[#This Row],[Jan]:[Dec]])</f>
        <v>752500</v>
      </c>
      <c r="Q9" s="10">
        <v>0.19</v>
      </c>
      <c r="R9" s="26">
        <f>IFERROR(Revenue[[#This Row],[Jan]]/Revenue[[#Totals],[Jan]],"-")</f>
        <v>0.3</v>
      </c>
      <c r="S9" s="10">
        <f>IFERROR(Revenue[[#This Row],[Feb]]/Revenue[[#Totals],[Feb]],"-")</f>
        <v>0.28260869565217389</v>
      </c>
      <c r="T9" s="10">
        <f>IFERROR(Revenue[[#This Row],[Mar]]/Revenue[[#Totals],[Mar]],"-")</f>
        <v>0.26415094339622641</v>
      </c>
      <c r="U9" s="10">
        <f>IFERROR(Revenue[[#This Row],[Apr]]/Revenue[[#Totals],[Apr]],"-")</f>
        <v>0.25</v>
      </c>
      <c r="V9" s="10">
        <f>IFERROR(Revenue[[#This Row],[May]]/Revenue[[#Totals],[May]],"-")</f>
        <v>0.24691358024691357</v>
      </c>
      <c r="W9" s="10">
        <f>IFERROR(Revenue[[#This Row],[Jun]]/Revenue[[#Totals],[Jun]],"-")</f>
        <v>0.27083333333333331</v>
      </c>
      <c r="X9" s="10">
        <f>IFERROR(Revenue[[#This Row],[Jul]]/Revenue[[#Totals],[Jul]],"-")</f>
        <v>0.25225225225225223</v>
      </c>
      <c r="Y9" s="10">
        <f>IFERROR(Revenue[[#This Row],[Aug]]/Revenue[[#Totals],[Aug]],"-")</f>
        <v>0.23255813953488372</v>
      </c>
      <c r="Z9" s="10">
        <f>IFERROR(Revenue[[#This Row],[Sep]]/Revenue[[#Totals],[Sep]],"-")</f>
        <v>0.21621621621621623</v>
      </c>
      <c r="AA9" s="10">
        <f>IFERROR(Revenue[[#This Row],[Oct]]/Revenue[[#Totals],[Oct]],"-")</f>
        <v>0.20606060606060606</v>
      </c>
      <c r="AB9" s="10">
        <f>IFERROR(Revenue[[#This Row],[Nov]]/Revenue[[#Totals],[Nov]],"-")</f>
        <v>0.19148936170212766</v>
      </c>
      <c r="AC9" s="10">
        <f>IFERROR(Revenue[[#This Row],[Dec]]/Revenue[[#Totals],[Dec]],"-")</f>
        <v>0.18181818181818182</v>
      </c>
      <c r="AD9" s="27">
        <f>IFERROR(Revenue[[#This Row],[Yearly]]/Revenue[[#Totals],[Yearly]],"-")</f>
        <v>0.2244593586875466</v>
      </c>
    </row>
    <row r="10" spans="2:30" ht="30" customHeight="1">
      <c r="B10" s="16" t="s">
        <v>40</v>
      </c>
      <c r="C10" s="17"/>
      <c r="D10" s="9">
        <v>17500</v>
      </c>
      <c r="E10" s="9">
        <v>20000</v>
      </c>
      <c r="F10" s="9">
        <v>22500</v>
      </c>
      <c r="G10" s="9">
        <v>25000</v>
      </c>
      <c r="H10" s="9">
        <v>27500</v>
      </c>
      <c r="I10" s="9">
        <v>30000</v>
      </c>
      <c r="J10" s="9">
        <v>35000</v>
      </c>
      <c r="K10" s="9">
        <v>37500</v>
      </c>
      <c r="L10" s="9">
        <v>40000</v>
      </c>
      <c r="M10" s="9">
        <v>42500</v>
      </c>
      <c r="N10" s="9">
        <v>50000</v>
      </c>
      <c r="O10" s="9">
        <v>55000</v>
      </c>
      <c r="P10" s="22">
        <f>SUM(Revenue[[#This Row],[Jan]:[Dec]])</f>
        <v>402500</v>
      </c>
      <c r="Q10" s="10">
        <v>0.11</v>
      </c>
      <c r="R10" s="26">
        <f>IFERROR(Revenue[[#This Row],[Jan]]/Revenue[[#Totals],[Jan]],"-")</f>
        <v>0.17499999999999999</v>
      </c>
      <c r="S10" s="10">
        <f>IFERROR(Revenue[[#This Row],[Feb]]/Revenue[[#Totals],[Feb]],"-")</f>
        <v>0.17391304347826086</v>
      </c>
      <c r="T10" s="10">
        <f>IFERROR(Revenue[[#This Row],[Mar]]/Revenue[[#Totals],[Mar]],"-")</f>
        <v>0.16981132075471697</v>
      </c>
      <c r="U10" s="10">
        <f>IFERROR(Revenue[[#This Row],[Apr]]/Revenue[[#Totals],[Apr]],"-")</f>
        <v>0.15625</v>
      </c>
      <c r="V10" s="10">
        <f>IFERROR(Revenue[[#This Row],[May]]/Revenue[[#Totals],[May]],"-")</f>
        <v>0.13580246913580246</v>
      </c>
      <c r="W10" s="10">
        <f>IFERROR(Revenue[[#This Row],[Jun]]/Revenue[[#Totals],[Jun]],"-")</f>
        <v>0.125</v>
      </c>
      <c r="X10" s="10">
        <f>IFERROR(Revenue[[#This Row],[Jul]]/Revenue[[#Totals],[Jul]],"-")</f>
        <v>0.12612612612612611</v>
      </c>
      <c r="Y10" s="10">
        <f>IFERROR(Revenue[[#This Row],[Aug]]/Revenue[[#Totals],[Aug]],"-")</f>
        <v>0.11627906976744186</v>
      </c>
      <c r="Z10" s="10">
        <f>IFERROR(Revenue[[#This Row],[Sep]]/Revenue[[#Totals],[Sep]],"-")</f>
        <v>0.10810810810810811</v>
      </c>
      <c r="AA10" s="10">
        <f>IFERROR(Revenue[[#This Row],[Oct]]/Revenue[[#Totals],[Oct]],"-")</f>
        <v>0.10303030303030303</v>
      </c>
      <c r="AB10" s="10">
        <f>IFERROR(Revenue[[#This Row],[Nov]]/Revenue[[#Totals],[Nov]],"-")</f>
        <v>0.10638297872340426</v>
      </c>
      <c r="AC10" s="10">
        <f>IFERROR(Revenue[[#This Row],[Dec]]/Revenue[[#Totals],[Dec]],"-")</f>
        <v>0.1</v>
      </c>
      <c r="AD10" s="27">
        <f>IFERROR(Revenue[[#This Row],[Yearly]]/Revenue[[#Totals],[Yearly]],"-")</f>
        <v>0.12005965697240865</v>
      </c>
    </row>
    <row r="11" spans="2:30" ht="30" customHeight="1">
      <c r="B11" s="16" t="s">
        <v>41</v>
      </c>
      <c r="C11" s="17"/>
      <c r="D11" s="9">
        <v>25000</v>
      </c>
      <c r="E11" s="9">
        <v>30000</v>
      </c>
      <c r="F11" s="9">
        <v>37500</v>
      </c>
      <c r="G11" s="9">
        <v>40000</v>
      </c>
      <c r="H11" s="9">
        <v>42500</v>
      </c>
      <c r="I11" s="9">
        <v>45000</v>
      </c>
      <c r="J11" s="9">
        <v>47500</v>
      </c>
      <c r="K11" s="9">
        <v>52500</v>
      </c>
      <c r="L11" s="9">
        <v>60000</v>
      </c>
      <c r="M11" s="9">
        <v>70000</v>
      </c>
      <c r="N11" s="9">
        <v>80000</v>
      </c>
      <c r="O11" s="9">
        <v>90000</v>
      </c>
      <c r="P11" s="22">
        <f>SUM(Revenue[[#This Row],[Jan]:[Dec]])</f>
        <v>620000</v>
      </c>
      <c r="Q11" s="10">
        <v>0.2</v>
      </c>
      <c r="R11" s="26">
        <f>IFERROR(Revenue[[#This Row],[Jan]]/Revenue[[#Totals],[Jan]],"-")</f>
        <v>0.25</v>
      </c>
      <c r="S11" s="10">
        <f>IFERROR(Revenue[[#This Row],[Feb]]/Revenue[[#Totals],[Feb]],"-")</f>
        <v>0.2608695652173913</v>
      </c>
      <c r="T11" s="10">
        <f>IFERROR(Revenue[[#This Row],[Mar]]/Revenue[[#Totals],[Mar]],"-")</f>
        <v>0.28301886792452829</v>
      </c>
      <c r="U11" s="10">
        <f>IFERROR(Revenue[[#This Row],[Apr]]/Revenue[[#Totals],[Apr]],"-")</f>
        <v>0.25</v>
      </c>
      <c r="V11" s="10">
        <f>IFERROR(Revenue[[#This Row],[May]]/Revenue[[#Totals],[May]],"-")</f>
        <v>0.20987654320987653</v>
      </c>
      <c r="W11" s="10">
        <f>IFERROR(Revenue[[#This Row],[Jun]]/Revenue[[#Totals],[Jun]],"-")</f>
        <v>0.1875</v>
      </c>
      <c r="X11" s="10">
        <f>IFERROR(Revenue[[#This Row],[Jul]]/Revenue[[#Totals],[Jul]],"-")</f>
        <v>0.17117117117117117</v>
      </c>
      <c r="Y11" s="10">
        <f>IFERROR(Revenue[[#This Row],[Aug]]/Revenue[[#Totals],[Aug]],"-")</f>
        <v>0.16279069767441862</v>
      </c>
      <c r="Z11" s="10">
        <f>IFERROR(Revenue[[#This Row],[Sep]]/Revenue[[#Totals],[Sep]],"-")</f>
        <v>0.16216216216216217</v>
      </c>
      <c r="AA11" s="10">
        <f>IFERROR(Revenue[[#This Row],[Oct]]/Revenue[[#Totals],[Oct]],"-")</f>
        <v>0.16969696969696971</v>
      </c>
      <c r="AB11" s="10">
        <f>IFERROR(Revenue[[#This Row],[Nov]]/Revenue[[#Totals],[Nov]],"-")</f>
        <v>0.1702127659574468</v>
      </c>
      <c r="AC11" s="10">
        <f>IFERROR(Revenue[[#This Row],[Dec]]/Revenue[[#Totals],[Dec]],"-")</f>
        <v>0.16363636363636364</v>
      </c>
      <c r="AD11" s="27">
        <f>IFERROR(Revenue[[#This Row],[Yearly]]/Revenue[[#Totals],[Yearly]],"-")</f>
        <v>0.18493661446681581</v>
      </c>
    </row>
    <row r="12" spans="2:30" ht="30" customHeight="1">
      <c r="B12" s="16" t="s">
        <v>42</v>
      </c>
      <c r="C12" s="17"/>
      <c r="D12" s="9">
        <v>0</v>
      </c>
      <c r="E12" s="9">
        <v>0</v>
      </c>
      <c r="F12" s="9">
        <v>0</v>
      </c>
      <c r="G12" s="9">
        <v>10000</v>
      </c>
      <c r="H12" s="9">
        <v>20000</v>
      </c>
      <c r="I12" s="9">
        <v>30000</v>
      </c>
      <c r="J12" s="9">
        <v>45000</v>
      </c>
      <c r="K12" s="9">
        <v>60000</v>
      </c>
      <c r="L12" s="9">
        <v>75000</v>
      </c>
      <c r="M12" s="9">
        <v>80000</v>
      </c>
      <c r="N12" s="9">
        <v>90000</v>
      </c>
      <c r="O12" s="9">
        <v>100000</v>
      </c>
      <c r="P12" s="22">
        <f>SUM(Revenue[[#This Row],[Jan]:[Dec]])</f>
        <v>510000</v>
      </c>
      <c r="Q12" s="10">
        <v>0.1</v>
      </c>
      <c r="R12" s="26">
        <f>IFERROR(Revenue[[#This Row],[Jan]]/Revenue[[#Totals],[Jan]],"-")</f>
        <v>0</v>
      </c>
      <c r="S12" s="10">
        <f>IFERROR(Revenue[[#This Row],[Feb]]/Revenue[[#Totals],[Feb]],"-")</f>
        <v>0</v>
      </c>
      <c r="T12" s="10">
        <f>IFERROR(Revenue[[#This Row],[Mar]]/Revenue[[#Totals],[Mar]],"-")</f>
        <v>0</v>
      </c>
      <c r="U12" s="10">
        <f>IFERROR(Revenue[[#This Row],[Apr]]/Revenue[[#Totals],[Apr]],"-")</f>
        <v>6.25E-2</v>
      </c>
      <c r="V12" s="10">
        <f>IFERROR(Revenue[[#This Row],[May]]/Revenue[[#Totals],[May]],"-")</f>
        <v>9.8765432098765427E-2</v>
      </c>
      <c r="W12" s="10">
        <f>IFERROR(Revenue[[#This Row],[Jun]]/Revenue[[#Totals],[Jun]],"-")</f>
        <v>0.125</v>
      </c>
      <c r="X12" s="10">
        <f>IFERROR(Revenue[[#This Row],[Jul]]/Revenue[[#Totals],[Jul]],"-")</f>
        <v>0.16216216216216217</v>
      </c>
      <c r="Y12" s="10">
        <f>IFERROR(Revenue[[#This Row],[Aug]]/Revenue[[#Totals],[Aug]],"-")</f>
        <v>0.18604651162790697</v>
      </c>
      <c r="Z12" s="10">
        <f>IFERROR(Revenue[[#This Row],[Sep]]/Revenue[[#Totals],[Sep]],"-")</f>
        <v>0.20270270270270271</v>
      </c>
      <c r="AA12" s="10">
        <f>IFERROR(Revenue[[#This Row],[Oct]]/Revenue[[#Totals],[Oct]],"-")</f>
        <v>0.19393939393939394</v>
      </c>
      <c r="AB12" s="10">
        <f>IFERROR(Revenue[[#This Row],[Nov]]/Revenue[[#Totals],[Nov]],"-")</f>
        <v>0.19148936170212766</v>
      </c>
      <c r="AC12" s="10">
        <f>IFERROR(Revenue[[#This Row],[Dec]]/Revenue[[#Totals],[Dec]],"-")</f>
        <v>0.18181818181818182</v>
      </c>
      <c r="AD12" s="27">
        <f>IFERROR(Revenue[[#This Row],[Yearly]]/Revenue[[#Totals],[Yearly]],"-")</f>
        <v>0.15212527964205816</v>
      </c>
    </row>
    <row r="13" spans="2:30" ht="30" customHeight="1">
      <c r="B13" s="16" t="s">
        <v>43</v>
      </c>
      <c r="C13" s="17"/>
      <c r="D13" s="9">
        <v>0</v>
      </c>
      <c r="E13" s="9">
        <v>0</v>
      </c>
      <c r="F13" s="9">
        <v>0</v>
      </c>
      <c r="G13" s="9">
        <v>0</v>
      </c>
      <c r="H13" s="9">
        <v>10000</v>
      </c>
      <c r="I13" s="9">
        <v>15000</v>
      </c>
      <c r="J13" s="9">
        <v>20000</v>
      </c>
      <c r="K13" s="9">
        <v>30000</v>
      </c>
      <c r="L13" s="9">
        <v>40000</v>
      </c>
      <c r="M13" s="9">
        <v>50000</v>
      </c>
      <c r="N13" s="9">
        <v>60000</v>
      </c>
      <c r="O13" s="9">
        <v>70000</v>
      </c>
      <c r="P13" s="22">
        <f>SUM(Revenue[[#This Row],[Jan]:[Dec]])</f>
        <v>295000</v>
      </c>
      <c r="Q13" s="10">
        <v>0.1</v>
      </c>
      <c r="R13" s="26">
        <f>IFERROR(Revenue[[#This Row],[Jan]]/Revenue[[#Totals],[Jan]],"-")</f>
        <v>0</v>
      </c>
      <c r="S13" s="10">
        <f>IFERROR(Revenue[[#This Row],[Feb]]/Revenue[[#Totals],[Feb]],"-")</f>
        <v>0</v>
      </c>
      <c r="T13" s="10">
        <f>IFERROR(Revenue[[#This Row],[Mar]]/Revenue[[#Totals],[Mar]],"-")</f>
        <v>0</v>
      </c>
      <c r="U13" s="10">
        <f>IFERROR(Revenue[[#This Row],[Apr]]/Revenue[[#Totals],[Apr]],"-")</f>
        <v>0</v>
      </c>
      <c r="V13" s="10">
        <f>IFERROR(Revenue[[#This Row],[May]]/Revenue[[#Totals],[May]],"-")</f>
        <v>4.9382716049382713E-2</v>
      </c>
      <c r="W13" s="10">
        <f>IFERROR(Revenue[[#This Row],[Jun]]/Revenue[[#Totals],[Jun]],"-")</f>
        <v>6.25E-2</v>
      </c>
      <c r="X13" s="10">
        <f>IFERROR(Revenue[[#This Row],[Jul]]/Revenue[[#Totals],[Jul]],"-")</f>
        <v>7.2072072072072071E-2</v>
      </c>
      <c r="Y13" s="10">
        <f>IFERROR(Revenue[[#This Row],[Aug]]/Revenue[[#Totals],[Aug]],"-")</f>
        <v>9.3023255813953487E-2</v>
      </c>
      <c r="Z13" s="10">
        <f>IFERROR(Revenue[[#This Row],[Sep]]/Revenue[[#Totals],[Sep]],"-")</f>
        <v>0.10810810810810811</v>
      </c>
      <c r="AA13" s="10">
        <f>IFERROR(Revenue[[#This Row],[Oct]]/Revenue[[#Totals],[Oct]],"-")</f>
        <v>0.12121212121212122</v>
      </c>
      <c r="AB13" s="10">
        <f>IFERROR(Revenue[[#This Row],[Nov]]/Revenue[[#Totals],[Nov]],"-")</f>
        <v>0.1276595744680851</v>
      </c>
      <c r="AC13" s="10">
        <f>IFERROR(Revenue[[#This Row],[Dec]]/Revenue[[#Totals],[Dec]],"-")</f>
        <v>0.12727272727272726</v>
      </c>
      <c r="AD13" s="27">
        <f>IFERROR(Revenue[[#This Row],[Yearly]]/Revenue[[#Totals],[Yearly]],"-")</f>
        <v>8.7994034302759136E-2</v>
      </c>
    </row>
    <row r="14" spans="2:30" ht="30" customHeight="1">
      <c r="B14" s="20" t="s">
        <v>44</v>
      </c>
      <c r="D14" s="11">
        <f>SUBTOTAL(109,Revenue[Jan])</f>
        <v>100000</v>
      </c>
      <c r="E14" s="11">
        <f>SUBTOTAL(109,Revenue[Feb])</f>
        <v>115000</v>
      </c>
      <c r="F14" s="11">
        <f>SUBTOTAL(109,Revenue[Mar])</f>
        <v>132500</v>
      </c>
      <c r="G14" s="11">
        <f>SUBTOTAL(109,Revenue[Apr])</f>
        <v>160000</v>
      </c>
      <c r="H14" s="11">
        <f>SUBTOTAL(109,Revenue[May])</f>
        <v>202500</v>
      </c>
      <c r="I14" s="11">
        <f>SUBTOTAL(109,Revenue[Jun])</f>
        <v>240000</v>
      </c>
      <c r="J14" s="11">
        <f>SUBTOTAL(109,Revenue[Jul])</f>
        <v>277500</v>
      </c>
      <c r="K14" s="11">
        <f>SUBTOTAL(109,Revenue[Aug])</f>
        <v>322500</v>
      </c>
      <c r="L14" s="11">
        <f>SUBTOTAL(109,Revenue[Sep])</f>
        <v>370000</v>
      </c>
      <c r="M14" s="11">
        <f>SUBTOTAL(109,Revenue[Oct])</f>
        <v>412500</v>
      </c>
      <c r="N14" s="11">
        <f>SUBTOTAL(109,Revenue[Nov])</f>
        <v>470000</v>
      </c>
      <c r="O14" s="11">
        <f>SUBTOTAL(109,Revenue[Dec])</f>
        <v>550000</v>
      </c>
      <c r="P14" s="23">
        <f>SUBTOTAL(109,Revenue[Yearly])</f>
        <v>3352500</v>
      </c>
      <c r="Q14" s="12">
        <f>SUBTOTAL(109,Revenue[Index %])</f>
        <v>1</v>
      </c>
      <c r="R14" s="28">
        <f>SUBTOTAL(109,Revenue[Jan %])</f>
        <v>1</v>
      </c>
      <c r="S14" s="29">
        <f>SUBTOTAL(109,Revenue[Feb %])</f>
        <v>1</v>
      </c>
      <c r="T14" s="29">
        <f>SUBTOTAL(109,Revenue[Mar %])</f>
        <v>1</v>
      </c>
      <c r="U14" s="29">
        <f>SUBTOTAL(109,Revenue[Apr %])</f>
        <v>1</v>
      </c>
      <c r="V14" s="29">
        <f>SUBTOTAL(109,Revenue[May %])</f>
        <v>1</v>
      </c>
      <c r="W14" s="29">
        <f>SUBTOTAL(109,Revenue[Jun %])</f>
        <v>1</v>
      </c>
      <c r="X14" s="29">
        <f>SUBTOTAL(109,Revenue[Jul %])</f>
        <v>1</v>
      </c>
      <c r="Y14" s="29">
        <f>SUBTOTAL(109,Revenue[Aug %])</f>
        <v>1</v>
      </c>
      <c r="Z14" s="29">
        <f>SUBTOTAL(109,Revenue[Sep %])</f>
        <v>1</v>
      </c>
      <c r="AA14" s="29">
        <f>SUBTOTAL(109,Revenue[Oct %])</f>
        <v>1</v>
      </c>
      <c r="AB14" s="29">
        <f>SUBTOTAL(109,Revenue[Nov %])</f>
        <v>1</v>
      </c>
      <c r="AC14" s="29">
        <f>SUBTOTAL(109,Revenue[Dec %])</f>
        <v>1</v>
      </c>
      <c r="AD14" s="30">
        <f>SUBTOTAL(109,Revenue[Year %])</f>
        <v>0.99999999999999978</v>
      </c>
    </row>
  </sheetData>
  <dataConsolidate/>
  <dataValidations count="19">
    <dataValidation allowBlank="1" showInputMessage="1" showErrorMessage="1" prompt="Annual revenue is automatically calculated in this column" sqref="P5" xr:uid="{00000000-0002-0000-0000-000000000000}"/>
    <dataValidation allowBlank="1" showInputMessage="1" showErrorMessage="1" prompt="Enter a title for the projection period for which total sales are calculated" sqref="B2" xr:uid="{00000000-0002-0000-0000-000001000000}"/>
    <dataValidation allowBlank="1" showInputMessage="1" showErrorMessage="1" prompt="Enter company name in this cell" sqref="B1" xr:uid="{00000000-0002-0000-0000-000002000000}"/>
    <dataValidation allowBlank="1" showInputMessage="1" showErrorMessage="1" prompt="The dates in this row are automatically updated based on the starting month of fiscal year. To change starting month, modify cell AC2" sqref="D5" xr:uid="{00000000-0002-0000-0000-000003000000}"/>
    <dataValidation allowBlank="1" showInputMessage="1" showErrorMessage="1" prompt="Enter index percent in this column" sqref="Q6" xr:uid="{00000000-0002-0000-0000-000004000000}"/>
    <dataValidation allowBlank="1" showInputMessage="1" showErrorMessage="1" prompt="This worksheet calculates total sales for each month &amp; year, and total annual sales from different sources. Select fiscal year starting month in cell AC2 &amp; year in cell AD2" sqref="A3:A4 A6:A14" xr:uid="{00000000-0002-0000-0000-000005000000}"/>
    <dataValidation allowBlank="1" showInputMessage="1" showErrorMessage="1" prompt="This worksheet calculates total sales for each month &amp; year, &amp; total annual sales from different sources. Enter fiscal year starting month in cell AC2 &amp; year in cell AD2" sqref="A2" xr:uid="{00000000-0002-0000-0000-000006000000}"/>
    <dataValidation allowBlank="1" showInputMessage="1" showErrorMessage="1" prompt="Automatically updated month" sqref="E5:O5" xr:uid="{00000000-0002-0000-0000-000007000000}"/>
    <dataValidation allowBlank="1" showInputMessage="1" showErrorMessage="1" prompt="Automatically calculates proportion of sales from different sources to total sales in this column for the month in this cell" sqref="R5:AC5" xr:uid="{00000000-0002-0000-0000-000008000000}"/>
    <dataValidation allowBlank="1" showInputMessage="1" showErrorMessage="1" prompt="Automatically calculates proportion of sales from different sources to total sales for the year in this column" sqref="AD5" xr:uid="{00000000-0002-0000-0000-000009000000}"/>
    <dataValidation allowBlank="1" showInputMessage="1" showErrorMessage="1" prompt="Enter revenue generated by sales in this column" sqref="B6" xr:uid="{00000000-0002-0000-0000-00000A000000}"/>
    <dataValidation allowBlank="1" showInputMessage="1" showErrorMessage="1" prompt="A trend chart for revenue over time is in this column" sqref="C6" xr:uid="{00000000-0002-0000-0000-00000B000000}"/>
    <dataValidation allowBlank="1" showInputMessage="1" showErrorMessage="1" prompt="Enter revenue for sources listed in column B in this column" sqref="D6:O6" xr:uid="{00000000-0002-0000-0000-00000C000000}"/>
    <dataValidation allowBlank="1" showInputMessage="1" showErrorMessage="1" prompt="Index percent is in this column" sqref="Q5" xr:uid="{00000000-0002-0000-0000-00000D000000}"/>
    <dataValidation type="list" errorStyle="warning" allowBlank="1" showInputMessage="1" showErrorMessage="1" error="Select month from the drop down list. Select CANCEL, then press ALT+DOWN ARROW. Press ENTER to select a month" prompt="Select month in this cell. Press ALT+DOWN ARROW to open the drop down list, then ENTER to select a month" sqref="AC4 F2" xr:uid="{00000000-0002-0000-0000-00000E000000}">
      <formula1>"JAN,FEB,MAR,APR,MAY,JUN,JUL,AUG,SEP,OCT,NOV,DEC"</formula1>
    </dataValidation>
    <dataValidation errorStyle="information" allowBlank="1" showInputMessage="1" errorTitle="Unknown Year" error="Please select a year from the drop down list. To add or remove a year from the list, on the Data tab, in the Data Tools group, click Data Validation." prompt="Enter year in this cell" sqref="AD4 G2" xr:uid="{00000000-0002-0000-0000-00000F000000}"/>
    <dataValidation allowBlank="1" showInputMessage="1" showErrorMessage="1" prompt="Select fiscal year starting month in cell AC2 and enter a year in cell AD2 at right of this label" sqref="AB4 E2" xr:uid="{00000000-0002-0000-0000-000010000000}"/>
    <dataValidation allowBlank="1" showInputMessage="1" showErrorMessage="1" prompt="Projection title is in this cell. Enter values in the Revenue table, below, to calculate total sales" sqref="B3 E2" xr:uid="{00000000-0002-0000-0000-000011000000}"/>
    <dataValidation allowBlank="1" showInputMessage="1" showErrorMessage="1" prompt="This worksheet calculates total sales for each month &amp; year, &amp; total annual sales from different sources. Enter fiscal year starting month in cell F2 &amp; year in cell G2" sqref="A1" xr:uid="{00000000-0002-0000-0000-000012000000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1000000}">
          <x14:colorSeries theme="5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5" tint="-0.499984740745262"/>
          <x14:colorLow theme="5" tint="-0.499984740745262"/>
          <x14:sparklines>
            <x14:sparkline>
              <xm:f>'Revenues (Sales)'!$D$7:$O$7</xm:f>
              <xm:sqref>C7</xm:sqref>
            </x14:sparkline>
            <x14:sparkline>
              <xm:f>'Revenues (Sales)'!$D$8:$O$8</xm:f>
              <xm:sqref>C8</xm:sqref>
            </x14:sparkline>
            <x14:sparkline>
              <xm:f>'Revenues (Sales)'!$D$9:$O$9</xm:f>
              <xm:sqref>C9</xm:sqref>
            </x14:sparkline>
            <x14:sparkline>
              <xm:f>'Revenues (Sales)'!$D$10:$O$10</xm:f>
              <xm:sqref>C10</xm:sqref>
            </x14:sparkline>
            <x14:sparkline>
              <xm:f>'Revenues (Sales)'!$D$11:$O$11</xm:f>
              <xm:sqref>C11</xm:sqref>
            </x14:sparkline>
            <x14:sparkline>
              <xm:f>'Revenues (Sales)'!$D$12:$O$12</xm:f>
              <xm:sqref>C12</xm:sqref>
            </x14:sparkline>
            <x14:sparkline>
              <xm:f>'Revenues (Sales)'!$D$13:$O$13</xm:f>
              <xm:sqref>C13</xm:sqref>
            </x14:sparkline>
          </x14:sparklines>
        </x14:sparklineGroup>
        <x14:sparklineGroup lineWeight="1" displayEmptyCellsAs="gap" high="1" low="1" negative="1" xr2:uid="{00000000-0003-0000-0000-000000000000}">
          <x14:colorSeries theme="5" tint="-0.499984740745262"/>
          <x14:colorNegative theme="0"/>
          <x14:colorAxis rgb="FF000000"/>
          <x14:colorMarkers theme="4" tint="-0.499984740745262"/>
          <x14:colorFirst theme="4" tint="0.39997558519241921"/>
          <x14:colorLast theme="4" tint="0.39997558519241921"/>
          <x14:colorHigh theme="5" tint="-0.499984740745262"/>
          <x14:colorLow theme="5" tint="-0.499984740745262"/>
          <x14:sparklines>
            <x14:sparkline>
              <xm:f>'Revenues (Sales)'!D14:O14</xm:f>
              <xm:sqref>C14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B1:AD16"/>
  <sheetViews>
    <sheetView showGridLines="0" zoomScaleNormal="100" workbookViewId="0">
      <pane xSplit="3" ySplit="5" topLeftCell="D6" activePane="bottomRight" state="frozen"/>
      <selection pane="bottomRight" activeCell="D5" sqref="D5"/>
      <selection pane="bottomLeft"/>
      <selection pane="topRight"/>
    </sheetView>
  </sheetViews>
  <sheetFormatPr defaultRowHeight="30" customHeight="1"/>
  <cols>
    <col min="1" max="1" width="2.625" customWidth="1"/>
    <col min="2" max="3" width="20.625" customWidth="1"/>
    <col min="4" max="6" width="11.25" bestFit="1" customWidth="1"/>
    <col min="7" max="15" width="12.5" bestFit="1" customWidth="1"/>
    <col min="16" max="16" width="14.125" bestFit="1" customWidth="1"/>
    <col min="17" max="30" width="6.625" bestFit="1" customWidth="1"/>
    <col min="31" max="31" width="2.625" customWidth="1"/>
  </cols>
  <sheetData>
    <row r="1" spans="2:30" ht="38.1" customHeight="1">
      <c r="B1" s="7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2:30" ht="35.1" customHeight="1">
      <c r="B2" s="90" t="str">
        <f>'Revenues (Sales)'!$B$2</f>
        <v>Twelve Month</v>
      </c>
      <c r="C2" s="67"/>
      <c r="D2" s="67"/>
      <c r="E2" s="91" t="s">
        <v>45</v>
      </c>
      <c r="F2" s="92" t="str">
        <f>FYMonthStart</f>
        <v>JUL</v>
      </c>
      <c r="G2" s="92">
        <f>FYStartYear</f>
        <v>2023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2:30" ht="60" customHeight="1">
      <c r="B3" s="71" t="str">
        <f>Wksht_Title</f>
        <v>Profit &amp; Loss Projection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3"/>
      <c r="Q3" s="13"/>
      <c r="R3" s="13"/>
      <c r="S3" s="13"/>
      <c r="T3" s="13"/>
      <c r="U3" s="13"/>
      <c r="V3" s="13"/>
      <c r="W3" s="13"/>
      <c r="X3" s="15"/>
      <c r="Y3" s="15"/>
      <c r="Z3" s="15"/>
      <c r="AA3" s="15"/>
      <c r="AB3" s="13"/>
      <c r="AC3" s="13"/>
      <c r="AD3" s="13"/>
    </row>
    <row r="4" spans="2:30" ht="15" customHeight="1"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X4" s="2"/>
      <c r="Y4" s="2"/>
      <c r="Z4" s="2"/>
      <c r="AA4" s="2"/>
      <c r="AB4" s="7"/>
      <c r="AC4" s="7"/>
      <c r="AD4" s="7"/>
    </row>
    <row r="5" spans="2:30" ht="20.100000000000001" customHeight="1">
      <c r="D5" s="46" t="str">
        <f>UPPER(TEXT(DATE(FYStartYear,FYMonthNo,1),"mmm-yy"))</f>
        <v>JUL-23</v>
      </c>
      <c r="E5" s="46" t="str">
        <f>UPPER(TEXT(DATE(FYStartYear,FYMonthNo+1,1),"mmm-yy"))</f>
        <v>AUG-23</v>
      </c>
      <c r="F5" s="46" t="str">
        <f>UPPER(TEXT(DATE(FYStartYear,FYMonthNo+2,1),"mmm-yy"))</f>
        <v>SEP-23</v>
      </c>
      <c r="G5" s="46" t="str">
        <f>UPPER(TEXT(DATE(FYStartYear,FYMonthNo+3,1),"mmm-yy"))</f>
        <v>OCT-23</v>
      </c>
      <c r="H5" s="46" t="str">
        <f>UPPER(TEXT(DATE(FYStartYear,FYMonthNo+4,1),"mmm-yy"))</f>
        <v>NOV-23</v>
      </c>
      <c r="I5" s="46" t="str">
        <f>UPPER(TEXT(DATE(FYStartYear,FYMonthNo+5,1),"mmm-yy"))</f>
        <v>DEC-23</v>
      </c>
      <c r="J5" s="46" t="str">
        <f>UPPER(TEXT(DATE(FYStartYear,FYMonthNo+6,1),"mmm-yy"))</f>
        <v>JAN-24</v>
      </c>
      <c r="K5" s="46" t="str">
        <f>UPPER(TEXT(DATE(FYStartYear,FYMonthNo+7,1),"mmm-yy"))</f>
        <v>FEB-24</v>
      </c>
      <c r="L5" s="46" t="str">
        <f>UPPER(TEXT(DATE(FYStartYear,FYMonthNo+8,1),"mmm-yy"))</f>
        <v>MAR-24</v>
      </c>
      <c r="M5" s="46" t="str">
        <f>UPPER(TEXT(DATE(FYStartYear,FYMonthNo+9,1),"mmm-yy"))</f>
        <v>APR-24</v>
      </c>
      <c r="N5" s="46" t="str">
        <f>UPPER(TEXT(DATE(FYStartYear,FYMonthNo+10,1),"mmm-yy"))</f>
        <v>MAY-24</v>
      </c>
      <c r="O5" s="34" t="str">
        <f>UPPER(TEXT(DATE(FYStartYear,FYMonthNo+11,1),"mmm-yy"))</f>
        <v>JUN-24</v>
      </c>
      <c r="P5" s="55" t="s">
        <v>5</v>
      </c>
      <c r="Q5" s="34" t="s">
        <v>6</v>
      </c>
      <c r="R5" s="59" t="str">
        <f>LEFT(D5,3)&amp;" %"</f>
        <v>JUL %</v>
      </c>
      <c r="S5" s="60" t="str">
        <f t="shared" ref="S5:AC5" si="0">LEFT(E5,3)&amp;" %"</f>
        <v>AUG %</v>
      </c>
      <c r="T5" s="60" t="str">
        <f t="shared" si="0"/>
        <v>SEP %</v>
      </c>
      <c r="U5" s="60" t="str">
        <f t="shared" si="0"/>
        <v>OCT %</v>
      </c>
      <c r="V5" s="60" t="str">
        <f t="shared" si="0"/>
        <v>NOV %</v>
      </c>
      <c r="W5" s="60" t="str">
        <f t="shared" si="0"/>
        <v>DEC %</v>
      </c>
      <c r="X5" s="60" t="str">
        <f t="shared" si="0"/>
        <v>JAN %</v>
      </c>
      <c r="Y5" s="60" t="str">
        <f t="shared" si="0"/>
        <v>FEB %</v>
      </c>
      <c r="Z5" s="60" t="str">
        <f t="shared" si="0"/>
        <v>MAR %</v>
      </c>
      <c r="AA5" s="60" t="str">
        <f t="shared" si="0"/>
        <v>APR %</v>
      </c>
      <c r="AB5" s="60" t="str">
        <f t="shared" si="0"/>
        <v>MAY %</v>
      </c>
      <c r="AC5" s="60" t="str">
        <f t="shared" si="0"/>
        <v>JUN %</v>
      </c>
      <c r="AD5" s="61" t="s">
        <v>7</v>
      </c>
    </row>
    <row r="6" spans="2:30" ht="30" customHeight="1">
      <c r="B6" s="68" t="s">
        <v>46</v>
      </c>
      <c r="C6" s="6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  <c r="J6" s="8" t="s">
        <v>16</v>
      </c>
      <c r="K6" s="8" t="s">
        <v>17</v>
      </c>
      <c r="L6" s="8" t="s">
        <v>18</v>
      </c>
      <c r="M6" s="8" t="s">
        <v>19</v>
      </c>
      <c r="N6" s="8" t="s">
        <v>20</v>
      </c>
      <c r="O6" s="8" t="s">
        <v>21</v>
      </c>
      <c r="P6" s="56" t="s">
        <v>22</v>
      </c>
      <c r="Q6" s="8" t="s">
        <v>23</v>
      </c>
      <c r="R6" s="41" t="s">
        <v>24</v>
      </c>
      <c r="S6" s="8" t="s">
        <v>25</v>
      </c>
      <c r="T6" s="8" t="s">
        <v>26</v>
      </c>
      <c r="U6" s="8" t="s">
        <v>27</v>
      </c>
      <c r="V6" s="8" t="s">
        <v>28</v>
      </c>
      <c r="W6" s="8" t="s">
        <v>29</v>
      </c>
      <c r="X6" s="8" t="s">
        <v>30</v>
      </c>
      <c r="Y6" s="8" t="s">
        <v>31</v>
      </c>
      <c r="Z6" s="8" t="s">
        <v>32</v>
      </c>
      <c r="AA6" s="8" t="s">
        <v>33</v>
      </c>
      <c r="AB6" s="8" t="s">
        <v>34</v>
      </c>
      <c r="AC6" s="8" t="s">
        <v>35</v>
      </c>
      <c r="AD6" s="39" t="s">
        <v>36</v>
      </c>
    </row>
    <row r="7" spans="2:30" ht="30" customHeight="1">
      <c r="B7" s="16" t="s">
        <v>37</v>
      </c>
      <c r="C7" s="17"/>
      <c r="D7" s="9">
        <f>Revenue[[#This Row],[Jan]]*0.05</f>
        <v>625</v>
      </c>
      <c r="E7" s="9">
        <f>Revenue[[#This Row],[Feb]]*0.05</f>
        <v>750</v>
      </c>
      <c r="F7" s="9">
        <f>Revenue[[#This Row],[Mar]]*0.05</f>
        <v>875</v>
      </c>
      <c r="G7" s="9">
        <f>Revenue[[#This Row],[Apr]]*0.05</f>
        <v>1000</v>
      </c>
      <c r="H7" s="9">
        <f>Revenue[[#This Row],[May]]*0.05</f>
        <v>1250</v>
      </c>
      <c r="I7" s="9">
        <f>Revenue[[#This Row],[Jun]]*0.05</f>
        <v>1250</v>
      </c>
      <c r="J7" s="9">
        <f>Revenue[[#This Row],[Jul]]*0.05</f>
        <v>1250</v>
      </c>
      <c r="K7" s="9">
        <f>Revenue[[#This Row],[Aug]]*0.05</f>
        <v>1500</v>
      </c>
      <c r="L7" s="9">
        <f>Revenue[[#This Row],[Sep]]*0.05</f>
        <v>1750</v>
      </c>
      <c r="M7" s="9">
        <f>Revenue[[#This Row],[Oct]]*0.05</f>
        <v>2000</v>
      </c>
      <c r="N7" s="9">
        <f>Revenue[[#This Row],[Nov]]*0.05</f>
        <v>2500</v>
      </c>
      <c r="O7" s="9">
        <f>Revenue[[#This Row],[Dec]]*0.05</f>
        <v>3000</v>
      </c>
      <c r="P7" s="57">
        <f>SUM(CostofSales[[#This Row],[Jan]:[Dec]])</f>
        <v>17750</v>
      </c>
      <c r="Q7" s="10">
        <v>0.12</v>
      </c>
      <c r="R7" s="42">
        <f>IFERROR(CostofSales[[#This Row],[Jan]]/CostofSales[[#Totals],[Jan]],"-")</f>
        <v>0.12455161418891988</v>
      </c>
      <c r="S7" s="10">
        <f>IFERROR(CostofSales[[#This Row],[Feb]]/CostofSales[[#Totals],[Feb]],"-")</f>
        <v>0.13018573164381184</v>
      </c>
      <c r="T7" s="10">
        <f>IFERROR(CostofSales[[#This Row],[Mar]]/CostofSales[[#Totals],[Mar]],"-")</f>
        <v>0.13148009015777612</v>
      </c>
      <c r="U7" s="10">
        <f>IFERROR(CostofSales[[#This Row],[Apr]]/CostofSales[[#Totals],[Apr]],"-")</f>
        <v>0.12485953302534648</v>
      </c>
      <c r="V7" s="10">
        <f>IFERROR(CostofSales[[#This Row],[May]]/CostofSales[[#Totals],[May]],"-")</f>
        <v>0.12903891813771035</v>
      </c>
      <c r="W7" s="10">
        <f>IFERROR(CostofSales[[#This Row],[Jun]]/CostofSales[[#Totals],[Jun]],"-")</f>
        <v>0.11072725662148995</v>
      </c>
      <c r="X7" s="10">
        <f>IFERROR(CostofSales[[#This Row],[Jul]]/CostofSales[[#Totals],[Jul]],"-")</f>
        <v>9.632426600909301E-2</v>
      </c>
      <c r="Y7" s="10">
        <f>IFERROR(CostofSales[[#This Row],[Aug]]/CostofSales[[#Totals],[Aug]],"-")</f>
        <v>0.10225645919967279</v>
      </c>
      <c r="Z7" s="10">
        <f>IFERROR(CostofSales[[#This Row],[Sep]]/CostofSales[[#Totals],[Sep]],"-")</f>
        <v>0.10528849046387101</v>
      </c>
      <c r="AA7" s="10">
        <f>IFERROR(CostofSales[[#This Row],[Oct]]/CostofSales[[#Totals],[Oct]],"-")</f>
        <v>0.11022927689594356</v>
      </c>
      <c r="AB7" s="10">
        <f>IFERROR(CostofSales[[#This Row],[Nov]]/CostofSales[[#Totals],[Nov]],"-")</f>
        <v>0.12175522329907953</v>
      </c>
      <c r="AC7" s="10">
        <f>IFERROR(CostofSales[[#This Row],[Dec]]/CostofSales[[#Totals],[Dec]],"-")</f>
        <v>0.12479201331114809</v>
      </c>
      <c r="AD7" s="40">
        <f>IFERROR(CostofSales[[#This Row],[Yearly]]/CostofSales[[#Totals],[Yearly]],"-")</f>
        <v>0.1157082977516737</v>
      </c>
    </row>
    <row r="8" spans="2:30" ht="30" customHeight="1">
      <c r="B8" s="16" t="s">
        <v>38</v>
      </c>
      <c r="C8" s="17"/>
      <c r="D8" s="9">
        <f>Revenue[[#This Row],[Jan]]*0.05</f>
        <v>750</v>
      </c>
      <c r="E8" s="9">
        <f>Revenue[[#This Row],[Feb]]*0.05</f>
        <v>875</v>
      </c>
      <c r="F8" s="9">
        <f>Revenue[[#This Row],[Mar]]*0.05</f>
        <v>1000</v>
      </c>
      <c r="G8" s="9">
        <f>Revenue[[#This Row],[Apr]]*0.05</f>
        <v>1250</v>
      </c>
      <c r="H8" s="9">
        <f>Revenue[[#This Row],[May]]*0.05</f>
        <v>1375</v>
      </c>
      <c r="I8" s="9">
        <f>Revenue[[#This Row],[Jun]]*0.05</f>
        <v>1500</v>
      </c>
      <c r="J8" s="9">
        <f>Revenue[[#This Row],[Jul]]*0.05</f>
        <v>1750</v>
      </c>
      <c r="K8" s="9">
        <f>Revenue[[#This Row],[Aug]]*0.05</f>
        <v>1875</v>
      </c>
      <c r="L8" s="9">
        <f>Revenue[[#This Row],[Sep]]*0.05</f>
        <v>2000</v>
      </c>
      <c r="M8" s="9">
        <f>Revenue[[#This Row],[Oct]]*0.05</f>
        <v>2250</v>
      </c>
      <c r="N8" s="9">
        <f>Revenue[[#This Row],[Nov]]*0.05</f>
        <v>2500</v>
      </c>
      <c r="O8" s="9">
        <f>Revenue[[#This Row],[Dec]]*0.05</f>
        <v>3750</v>
      </c>
      <c r="P8" s="57">
        <f>SUM(CostofSales[[#This Row],[Jan]:[Dec]])</f>
        <v>20875</v>
      </c>
      <c r="Q8" s="10">
        <v>0.18</v>
      </c>
      <c r="R8" s="42">
        <f>IFERROR(CostofSales[[#This Row],[Jan]]/CostofSales[[#Totals],[Jan]],"-")</f>
        <v>0.14946193702670388</v>
      </c>
      <c r="S8" s="10">
        <f>IFERROR(CostofSales[[#This Row],[Feb]]/CostofSales[[#Totals],[Feb]],"-")</f>
        <v>0.15188335358444716</v>
      </c>
      <c r="T8" s="10">
        <f>IFERROR(CostofSales[[#This Row],[Mar]]/CostofSales[[#Totals],[Mar]],"-")</f>
        <v>0.15026296018031554</v>
      </c>
      <c r="U8" s="10">
        <f>IFERROR(CostofSales[[#This Row],[Apr]]/CostofSales[[#Totals],[Apr]],"-")</f>
        <v>0.15607441628168311</v>
      </c>
      <c r="V8" s="10">
        <f>IFERROR(CostofSales[[#This Row],[May]]/CostofSales[[#Totals],[May]],"-")</f>
        <v>0.14194280995148137</v>
      </c>
      <c r="W8" s="10">
        <f>IFERROR(CostofSales[[#This Row],[Jun]]/CostofSales[[#Totals],[Jun]],"-")</f>
        <v>0.13287270794578793</v>
      </c>
      <c r="X8" s="10">
        <f>IFERROR(CostofSales[[#This Row],[Jul]]/CostofSales[[#Totals],[Jul]],"-")</f>
        <v>0.13485397241273023</v>
      </c>
      <c r="Y8" s="10">
        <f>IFERROR(CostofSales[[#This Row],[Aug]]/CostofSales[[#Totals],[Aug]],"-")</f>
        <v>0.12782057399959099</v>
      </c>
      <c r="Z8" s="10">
        <f>IFERROR(CostofSales[[#This Row],[Sep]]/CostofSales[[#Totals],[Sep]],"-")</f>
        <v>0.12032970338728115</v>
      </c>
      <c r="AA8" s="10">
        <f>IFERROR(CostofSales[[#This Row],[Oct]]/CostofSales[[#Totals],[Oct]],"-")</f>
        <v>0.12400793650793651</v>
      </c>
      <c r="AB8" s="10">
        <f>IFERROR(CostofSales[[#This Row],[Nov]]/CostofSales[[#Totals],[Nov]],"-")</f>
        <v>0.12175522329907953</v>
      </c>
      <c r="AC8" s="10">
        <f>IFERROR(CostofSales[[#This Row],[Dec]]/CostofSales[[#Totals],[Dec]],"-")</f>
        <v>0.15599001663893511</v>
      </c>
      <c r="AD8" s="40">
        <f>IFERROR(CostofSales[[#This Row],[Yearly]]/CostofSales[[#Totals],[Yearly]],"-")</f>
        <v>0.13607947693330638</v>
      </c>
    </row>
    <row r="9" spans="2:30" ht="30" customHeight="1">
      <c r="B9" s="16" t="s">
        <v>39</v>
      </c>
      <c r="C9" s="17"/>
      <c r="D9" s="9">
        <f>Revenue[[#This Row],[Jan]]*0.05</f>
        <v>1500</v>
      </c>
      <c r="E9" s="9">
        <f>Revenue[[#This Row],[Feb]]*0.05</f>
        <v>1625</v>
      </c>
      <c r="F9" s="9">
        <f>Revenue[[#This Row],[Mar]]*0.05</f>
        <v>1750</v>
      </c>
      <c r="G9" s="9">
        <f>Revenue[[#This Row],[Apr]]*0.05</f>
        <v>2000</v>
      </c>
      <c r="H9" s="9">
        <f>Revenue[[#This Row],[May]]*0.05</f>
        <v>2500</v>
      </c>
      <c r="I9" s="9">
        <f>Revenue[[#This Row],[Jun]]*0.05</f>
        <v>3250</v>
      </c>
      <c r="J9" s="9">
        <f>Revenue[[#This Row],[Jul]]*0.05</f>
        <v>3500</v>
      </c>
      <c r="K9" s="9">
        <f>Revenue[[#This Row],[Aug]]*0.05</f>
        <v>3750</v>
      </c>
      <c r="L9" s="9">
        <f>Revenue[[#This Row],[Sep]]*0.05</f>
        <v>4000</v>
      </c>
      <c r="M9" s="9">
        <f>Revenue[[#This Row],[Oct]]*0.05</f>
        <v>4250</v>
      </c>
      <c r="N9" s="9">
        <f>Revenue[[#This Row],[Nov]]*0.05</f>
        <v>4500</v>
      </c>
      <c r="O9" s="9">
        <f>Revenue[[#This Row],[Dec]]*0.05</f>
        <v>5000</v>
      </c>
      <c r="P9" s="57">
        <f>SUM(CostofSales[[#This Row],[Jan]:[Dec]])</f>
        <v>37625</v>
      </c>
      <c r="Q9" s="10">
        <v>0.19</v>
      </c>
      <c r="R9" s="42">
        <f>IFERROR(CostofSales[[#This Row],[Jan]]/CostofSales[[#Totals],[Jan]],"-")</f>
        <v>0.29892387405340776</v>
      </c>
      <c r="S9" s="10">
        <f>IFERROR(CostofSales[[#This Row],[Feb]]/CostofSales[[#Totals],[Feb]],"-")</f>
        <v>0.28206908522825896</v>
      </c>
      <c r="T9" s="10">
        <f>IFERROR(CostofSales[[#This Row],[Mar]]/CostofSales[[#Totals],[Mar]],"-")</f>
        <v>0.26296018031555224</v>
      </c>
      <c r="U9" s="10">
        <f>IFERROR(CostofSales[[#This Row],[Apr]]/CostofSales[[#Totals],[Apr]],"-")</f>
        <v>0.24971906605069297</v>
      </c>
      <c r="V9" s="10">
        <f>IFERROR(CostofSales[[#This Row],[May]]/CostofSales[[#Totals],[May]],"-")</f>
        <v>0.25807783627542069</v>
      </c>
      <c r="W9" s="10">
        <f>IFERROR(CostofSales[[#This Row],[Jun]]/CostofSales[[#Totals],[Jun]],"-")</f>
        <v>0.28789086721587387</v>
      </c>
      <c r="X9" s="10">
        <f>IFERROR(CostofSales[[#This Row],[Jul]]/CostofSales[[#Totals],[Jul]],"-")</f>
        <v>0.26970794482546046</v>
      </c>
      <c r="Y9" s="10">
        <f>IFERROR(CostofSales[[#This Row],[Aug]]/CostofSales[[#Totals],[Aug]],"-")</f>
        <v>0.25564114799918197</v>
      </c>
      <c r="Z9" s="10">
        <f>IFERROR(CostofSales[[#This Row],[Sep]]/CostofSales[[#Totals],[Sep]],"-")</f>
        <v>0.2406594067745623</v>
      </c>
      <c r="AA9" s="10">
        <f>IFERROR(CostofSales[[#This Row],[Oct]]/CostofSales[[#Totals],[Oct]],"-")</f>
        <v>0.23423721340388007</v>
      </c>
      <c r="AB9" s="10">
        <f>IFERROR(CostofSales[[#This Row],[Nov]]/CostofSales[[#Totals],[Nov]],"-")</f>
        <v>0.21915940193834316</v>
      </c>
      <c r="AC9" s="10">
        <f>IFERROR(CostofSales[[#This Row],[Dec]]/CostofSales[[#Totals],[Dec]],"-")</f>
        <v>0.20798668885191349</v>
      </c>
      <c r="AD9" s="40">
        <f>IFERROR(CostofSales[[#This Row],[Yearly]]/CostofSales[[#Totals],[Yearly]],"-")</f>
        <v>0.24526899734685761</v>
      </c>
    </row>
    <row r="10" spans="2:30" ht="30" customHeight="1">
      <c r="B10" s="16" t="s">
        <v>40</v>
      </c>
      <c r="C10" s="17"/>
      <c r="D10" s="9">
        <f>Revenue[[#This Row],[Jan]]*0.05</f>
        <v>875</v>
      </c>
      <c r="E10" s="9">
        <f>Revenue[[#This Row],[Feb]]*0.05</f>
        <v>1000</v>
      </c>
      <c r="F10" s="9">
        <f>Revenue[[#This Row],[Mar]]*0.05</f>
        <v>1125</v>
      </c>
      <c r="G10" s="9">
        <f>Revenue[[#This Row],[Apr]]*0.05</f>
        <v>1250</v>
      </c>
      <c r="H10" s="9">
        <f>Revenue[[#This Row],[May]]*0.05</f>
        <v>1375</v>
      </c>
      <c r="I10" s="9">
        <f>Revenue[[#This Row],[Jun]]*0.05</f>
        <v>1500</v>
      </c>
      <c r="J10" s="9">
        <f>Revenue[[#This Row],[Jul]]*0.05</f>
        <v>1750</v>
      </c>
      <c r="K10" s="9">
        <f>Revenue[[#This Row],[Aug]]*0.05</f>
        <v>1875</v>
      </c>
      <c r="L10" s="9">
        <f>Revenue[[#This Row],[Sep]]*0.05</f>
        <v>2000</v>
      </c>
      <c r="M10" s="9">
        <f>Revenue[[#This Row],[Oct]]*0.05</f>
        <v>2125</v>
      </c>
      <c r="N10" s="9">
        <f>Revenue[[#This Row],[Nov]]*0.05</f>
        <v>2500</v>
      </c>
      <c r="O10" s="9">
        <f>Revenue[[#This Row],[Dec]]*0.05</f>
        <v>2750</v>
      </c>
      <c r="P10" s="57">
        <f>SUM(CostofSales[[#This Row],[Jan]:[Dec]])</f>
        <v>20125</v>
      </c>
      <c r="Q10" s="10">
        <v>0.11</v>
      </c>
      <c r="R10" s="42">
        <f>IFERROR(CostofSales[[#This Row],[Jan]]/CostofSales[[#Totals],[Jan]],"-")</f>
        <v>0.17437225986448784</v>
      </c>
      <c r="S10" s="10">
        <f>IFERROR(CostofSales[[#This Row],[Feb]]/CostofSales[[#Totals],[Feb]],"-")</f>
        <v>0.17358097552508245</v>
      </c>
      <c r="T10" s="10">
        <f>IFERROR(CostofSales[[#This Row],[Mar]]/CostofSales[[#Totals],[Mar]],"-")</f>
        <v>0.16904583020285499</v>
      </c>
      <c r="U10" s="10">
        <f>IFERROR(CostofSales[[#This Row],[Apr]]/CostofSales[[#Totals],[Apr]],"-")</f>
        <v>0.15607441628168311</v>
      </c>
      <c r="V10" s="10">
        <f>IFERROR(CostofSales[[#This Row],[May]]/CostofSales[[#Totals],[May]],"-")</f>
        <v>0.14194280995148137</v>
      </c>
      <c r="W10" s="10">
        <f>IFERROR(CostofSales[[#This Row],[Jun]]/CostofSales[[#Totals],[Jun]],"-")</f>
        <v>0.13287270794578793</v>
      </c>
      <c r="X10" s="10">
        <f>IFERROR(CostofSales[[#This Row],[Jul]]/CostofSales[[#Totals],[Jul]],"-")</f>
        <v>0.13485397241273023</v>
      </c>
      <c r="Y10" s="10">
        <f>IFERROR(CostofSales[[#This Row],[Aug]]/CostofSales[[#Totals],[Aug]],"-")</f>
        <v>0.12782057399959099</v>
      </c>
      <c r="Z10" s="10">
        <f>IFERROR(CostofSales[[#This Row],[Sep]]/CostofSales[[#Totals],[Sep]],"-")</f>
        <v>0.12032970338728115</v>
      </c>
      <c r="AA10" s="10">
        <f>IFERROR(CostofSales[[#This Row],[Oct]]/CostofSales[[#Totals],[Oct]],"-")</f>
        <v>0.11711860670194003</v>
      </c>
      <c r="AB10" s="10">
        <f>IFERROR(CostofSales[[#This Row],[Nov]]/CostofSales[[#Totals],[Nov]],"-")</f>
        <v>0.12175522329907953</v>
      </c>
      <c r="AC10" s="10">
        <f>IFERROR(CostofSales[[#This Row],[Dec]]/CostofSales[[#Totals],[Dec]],"-")</f>
        <v>0.11439267886855241</v>
      </c>
      <c r="AD10" s="40">
        <f>IFERROR(CostofSales[[#This Row],[Yearly]]/CostofSales[[#Totals],[Yearly]],"-")</f>
        <v>0.13119039392971454</v>
      </c>
    </row>
    <row r="11" spans="2:30" ht="30" customHeight="1">
      <c r="B11" s="16" t="s">
        <v>41</v>
      </c>
      <c r="C11" s="17"/>
      <c r="D11" s="9">
        <f>Revenue[[#This Row],[Jan]]*0.05</f>
        <v>1250</v>
      </c>
      <c r="E11" s="9">
        <f>Revenue[[#This Row],[Feb]]*0.05</f>
        <v>1500</v>
      </c>
      <c r="F11" s="9">
        <f>Revenue[[#This Row],[Mar]]*0.05</f>
        <v>1875</v>
      </c>
      <c r="G11" s="9">
        <f>Revenue[[#This Row],[Apr]]*0.05</f>
        <v>2000</v>
      </c>
      <c r="H11" s="9">
        <f>Revenue[[#This Row],[May]]*0.05</f>
        <v>2125</v>
      </c>
      <c r="I11" s="9">
        <f>Revenue[[#This Row],[Jun]]*0.05</f>
        <v>2250</v>
      </c>
      <c r="J11" s="9">
        <f>Revenue[[#This Row],[Jul]]*0.05</f>
        <v>2375</v>
      </c>
      <c r="K11" s="9">
        <f>Revenue[[#This Row],[Aug]]*0.05</f>
        <v>2625</v>
      </c>
      <c r="L11" s="9">
        <f>Revenue[[#This Row],[Sep]]*0.05</f>
        <v>3000</v>
      </c>
      <c r="M11" s="9">
        <f>Revenue[[#This Row],[Oct]]*0.05</f>
        <v>3500</v>
      </c>
      <c r="N11" s="9">
        <f>Revenue[[#This Row],[Nov]]*0.05</f>
        <v>4000</v>
      </c>
      <c r="O11" s="9">
        <f>Revenue[[#This Row],[Dec]]*0.05</f>
        <v>4500</v>
      </c>
      <c r="P11" s="57">
        <f>SUM(CostofSales[[#This Row],[Jan]:[Dec]])</f>
        <v>31000</v>
      </c>
      <c r="Q11" s="10">
        <v>0.2</v>
      </c>
      <c r="R11" s="42">
        <f>IFERROR(CostofSales[[#This Row],[Jan]]/CostofSales[[#Totals],[Jan]],"-")</f>
        <v>0.24910322837783977</v>
      </c>
      <c r="S11" s="10">
        <f>IFERROR(CostofSales[[#This Row],[Feb]]/CostofSales[[#Totals],[Feb]],"-")</f>
        <v>0.26037146328762367</v>
      </c>
      <c r="T11" s="10">
        <f>IFERROR(CostofSales[[#This Row],[Mar]]/CostofSales[[#Totals],[Mar]],"-")</f>
        <v>0.28174305033809166</v>
      </c>
      <c r="U11" s="10">
        <f>IFERROR(CostofSales[[#This Row],[Apr]]/CostofSales[[#Totals],[Apr]],"-")</f>
        <v>0.24971906605069297</v>
      </c>
      <c r="V11" s="10">
        <f>IFERROR(CostofSales[[#This Row],[May]]/CostofSales[[#Totals],[May]],"-")</f>
        <v>0.21936616083410757</v>
      </c>
      <c r="W11" s="10">
        <f>IFERROR(CostofSales[[#This Row],[Jun]]/CostofSales[[#Totals],[Jun]],"-")</f>
        <v>0.19930906191868189</v>
      </c>
      <c r="X11" s="10">
        <f>IFERROR(CostofSales[[#This Row],[Jul]]/CostofSales[[#Totals],[Jul]],"-")</f>
        <v>0.18301610541727673</v>
      </c>
      <c r="Y11" s="10">
        <f>IFERROR(CostofSales[[#This Row],[Aug]]/CostofSales[[#Totals],[Aug]],"-")</f>
        <v>0.17894880359942736</v>
      </c>
      <c r="Z11" s="10">
        <f>IFERROR(CostofSales[[#This Row],[Sep]]/CostofSales[[#Totals],[Sep]],"-")</f>
        <v>0.18049455508092171</v>
      </c>
      <c r="AA11" s="10">
        <f>IFERROR(CostofSales[[#This Row],[Oct]]/CostofSales[[#Totals],[Oct]],"-")</f>
        <v>0.19290123456790123</v>
      </c>
      <c r="AB11" s="10">
        <f>IFERROR(CostofSales[[#This Row],[Nov]]/CostofSales[[#Totals],[Nov]],"-")</f>
        <v>0.19480835727852724</v>
      </c>
      <c r="AC11" s="10">
        <f>IFERROR(CostofSales[[#This Row],[Dec]]/CostofSales[[#Totals],[Dec]],"-")</f>
        <v>0.18718801996672213</v>
      </c>
      <c r="AD11" s="40">
        <f>IFERROR(CostofSales[[#This Row],[Yearly]]/CostofSales[[#Totals],[Yearly]],"-")</f>
        <v>0.20208209748179631</v>
      </c>
    </row>
    <row r="12" spans="2:30" ht="30" customHeight="1">
      <c r="B12" s="16" t="s">
        <v>42</v>
      </c>
      <c r="C12" s="17"/>
      <c r="D12" s="9">
        <f>Revenue[[#This Row],[Jan]]*0.05</f>
        <v>0</v>
      </c>
      <c r="E12" s="9">
        <f>Revenue[[#This Row],[Feb]]*0.05</f>
        <v>0</v>
      </c>
      <c r="F12" s="9">
        <f>Revenue[[#This Row],[Mar]]*0.05</f>
        <v>0</v>
      </c>
      <c r="G12" s="9">
        <f>Revenue[[#This Row],[Apr]]*0.05</f>
        <v>500</v>
      </c>
      <c r="H12" s="9">
        <f>Revenue[[#This Row],[May]]*0.05</f>
        <v>1000</v>
      </c>
      <c r="I12" s="9">
        <f>Revenue[[#This Row],[Jun]]*0.05</f>
        <v>1500</v>
      </c>
      <c r="J12" s="9">
        <f>Revenue[[#This Row],[Jul]]*0.05</f>
        <v>2250</v>
      </c>
      <c r="K12" s="9">
        <f>Revenue[[#This Row],[Aug]]*0.05</f>
        <v>3000</v>
      </c>
      <c r="L12" s="9">
        <f>Revenue[[#This Row],[Sep]]*0.05</f>
        <v>3750</v>
      </c>
      <c r="M12" s="9">
        <f>Revenue[[#This Row],[Oct]]*0.05</f>
        <v>4000</v>
      </c>
      <c r="N12" s="9">
        <f>Revenue[[#This Row],[Nov]]*0.05</f>
        <v>4500</v>
      </c>
      <c r="O12" s="9">
        <f>Revenue[[#This Row],[Dec]]*0.05</f>
        <v>5000</v>
      </c>
      <c r="P12" s="57">
        <f>SUM(CostofSales[[#This Row],[Jan]:[Dec]])</f>
        <v>25500</v>
      </c>
      <c r="Q12" s="10">
        <v>0.1</v>
      </c>
      <c r="R12" s="42">
        <f>IFERROR(CostofSales[[#This Row],[Jan]]/CostofSales[[#Totals],[Jan]],"-")</f>
        <v>0</v>
      </c>
      <c r="S12" s="10">
        <f>IFERROR(CostofSales[[#This Row],[Feb]]/CostofSales[[#Totals],[Feb]],"-")</f>
        <v>0</v>
      </c>
      <c r="T12" s="10">
        <f>IFERROR(CostofSales[[#This Row],[Mar]]/CostofSales[[#Totals],[Mar]],"-")</f>
        <v>0</v>
      </c>
      <c r="U12" s="10">
        <f>IFERROR(CostofSales[[#This Row],[Apr]]/CostofSales[[#Totals],[Apr]],"-")</f>
        <v>6.2429766512673242E-2</v>
      </c>
      <c r="V12" s="10">
        <f>IFERROR(CostofSales[[#This Row],[May]]/CostofSales[[#Totals],[May]],"-")</f>
        <v>0.10323113451016827</v>
      </c>
      <c r="W12" s="10">
        <f>IFERROR(CostofSales[[#This Row],[Jun]]/CostofSales[[#Totals],[Jun]],"-")</f>
        <v>0.13287270794578793</v>
      </c>
      <c r="X12" s="10">
        <f>IFERROR(CostofSales[[#This Row],[Jul]]/CostofSales[[#Totals],[Jul]],"-")</f>
        <v>0.17338367881636743</v>
      </c>
      <c r="Y12" s="10">
        <f>IFERROR(CostofSales[[#This Row],[Aug]]/CostofSales[[#Totals],[Aug]],"-")</f>
        <v>0.20451291839934557</v>
      </c>
      <c r="Z12" s="10">
        <f>IFERROR(CostofSales[[#This Row],[Sep]]/CostofSales[[#Totals],[Sep]],"-")</f>
        <v>0.22561819385115214</v>
      </c>
      <c r="AA12" s="10">
        <f>IFERROR(CostofSales[[#This Row],[Oct]]/CostofSales[[#Totals],[Oct]],"-")</f>
        <v>0.22045855379188711</v>
      </c>
      <c r="AB12" s="10">
        <f>IFERROR(CostofSales[[#This Row],[Nov]]/CostofSales[[#Totals],[Nov]],"-")</f>
        <v>0.21915940193834316</v>
      </c>
      <c r="AC12" s="10">
        <f>IFERROR(CostofSales[[#This Row],[Dec]]/CostofSales[[#Totals],[Dec]],"-")</f>
        <v>0.20798668885191349</v>
      </c>
      <c r="AD12" s="40">
        <f>IFERROR(CostofSales[[#This Row],[Yearly]]/CostofSales[[#Totals],[Yearly]],"-")</f>
        <v>0.16622882212212278</v>
      </c>
    </row>
    <row r="13" spans="2:30" ht="30" customHeight="1">
      <c r="B13" s="16"/>
      <c r="C13" s="17"/>
      <c r="D13" s="9">
        <v>18</v>
      </c>
      <c r="E13" s="9">
        <v>11</v>
      </c>
      <c r="F13" s="9">
        <v>30</v>
      </c>
      <c r="G13" s="9">
        <v>9</v>
      </c>
      <c r="H13" s="9">
        <v>62</v>
      </c>
      <c r="I13" s="9">
        <v>39</v>
      </c>
      <c r="J13" s="9">
        <v>102</v>
      </c>
      <c r="K13" s="9">
        <v>44</v>
      </c>
      <c r="L13" s="9">
        <v>121</v>
      </c>
      <c r="M13" s="9">
        <v>19</v>
      </c>
      <c r="N13" s="9">
        <v>33</v>
      </c>
      <c r="O13" s="9">
        <v>40</v>
      </c>
      <c r="P13" s="57">
        <f>SUM(CostofSales[[#This Row],[Jan]:[Dec]])</f>
        <v>528</v>
      </c>
      <c r="Q13" s="10">
        <v>0.1</v>
      </c>
      <c r="R13" s="42">
        <f>IFERROR(CostofSales[[#This Row],[Jan]]/CostofSales[[#Totals],[Jan]],"-")</f>
        <v>3.5870864886408927E-3</v>
      </c>
      <c r="S13" s="10">
        <f>IFERROR(CostofSales[[#This Row],[Feb]]/CostofSales[[#Totals],[Feb]],"-")</f>
        <v>1.909390730775907E-3</v>
      </c>
      <c r="T13" s="10">
        <f>IFERROR(CostofSales[[#This Row],[Mar]]/CostofSales[[#Totals],[Mar]],"-")</f>
        <v>4.5078888054094664E-3</v>
      </c>
      <c r="U13" s="10">
        <f>IFERROR(CostofSales[[#This Row],[Apr]]/CostofSales[[#Totals],[Apr]],"-")</f>
        <v>1.1237357972281184E-3</v>
      </c>
      <c r="V13" s="10">
        <f>IFERROR(CostofSales[[#This Row],[May]]/CostofSales[[#Totals],[May]],"-")</f>
        <v>6.4003303396304324E-3</v>
      </c>
      <c r="W13" s="10">
        <f>IFERROR(CostofSales[[#This Row],[Jun]]/CostofSales[[#Totals],[Jun]],"-")</f>
        <v>3.4546904065904864E-3</v>
      </c>
      <c r="X13" s="10">
        <f>IFERROR(CostofSales[[#This Row],[Jul]]/CostofSales[[#Totals],[Jul]],"-")</f>
        <v>7.8600601063419893E-3</v>
      </c>
      <c r="Y13" s="10">
        <f>IFERROR(CostofSales[[#This Row],[Aug]]/CostofSales[[#Totals],[Aug]],"-")</f>
        <v>2.9995228031904015E-3</v>
      </c>
      <c r="Z13" s="10">
        <f>IFERROR(CostofSales[[#This Row],[Sep]]/CostofSales[[#Totals],[Sep]],"-")</f>
        <v>7.2799470549305099E-3</v>
      </c>
      <c r="AA13" s="10">
        <f>IFERROR(CostofSales[[#This Row],[Oct]]/CostofSales[[#Totals],[Oct]],"-")</f>
        <v>1.0471781305114638E-3</v>
      </c>
      <c r="AB13" s="10">
        <f>IFERROR(CostofSales[[#This Row],[Nov]]/CostofSales[[#Totals],[Nov]],"-")</f>
        <v>1.6071689475478498E-3</v>
      </c>
      <c r="AC13" s="10">
        <f>IFERROR(CostofSales[[#This Row],[Dec]]/CostofSales[[#Totals],[Dec]],"-")</f>
        <v>1.6638935108153079E-3</v>
      </c>
      <c r="AD13" s="40">
        <f>IFERROR(CostofSales[[#This Row],[Yearly]]/CostofSales[[#Totals],[Yearly]],"-")</f>
        <v>3.4419144345286599E-3</v>
      </c>
    </row>
    <row r="14" spans="2:30" ht="30" customHeight="1">
      <c r="B14" s="38" t="s">
        <v>47</v>
      </c>
      <c r="D14" s="11">
        <f>SUBTOTAL(109,CostofSales[Jan])</f>
        <v>5018</v>
      </c>
      <c r="E14" s="11">
        <f>SUBTOTAL(109,CostofSales[Feb])</f>
        <v>5761</v>
      </c>
      <c r="F14" s="11">
        <f>SUBTOTAL(109,CostofSales[Mar])</f>
        <v>6655</v>
      </c>
      <c r="G14" s="11">
        <f>SUBTOTAL(109,CostofSales[Apr])</f>
        <v>8009</v>
      </c>
      <c r="H14" s="11">
        <f>SUBTOTAL(109,CostofSales[May])</f>
        <v>9687</v>
      </c>
      <c r="I14" s="11">
        <f>SUBTOTAL(109,CostofSales[Jun])</f>
        <v>11289</v>
      </c>
      <c r="J14" s="11">
        <f>SUBTOTAL(109,CostofSales[Jul])</f>
        <v>12977</v>
      </c>
      <c r="K14" s="11">
        <f>SUBTOTAL(109,CostofSales[Aug])</f>
        <v>14669</v>
      </c>
      <c r="L14" s="11">
        <f>SUBTOTAL(109,CostofSales[Sep])</f>
        <v>16621</v>
      </c>
      <c r="M14" s="11">
        <f>SUBTOTAL(109,CostofSales[Oct])</f>
        <v>18144</v>
      </c>
      <c r="N14" s="11">
        <f>SUBTOTAL(109,CostofSales[Nov])</f>
        <v>20533</v>
      </c>
      <c r="O14" s="11">
        <f>SUBTOTAL(109,CostofSales[Dec])</f>
        <v>24040</v>
      </c>
      <c r="P14" s="58">
        <f>SUBTOTAL(109,CostofSales[Yearly])</f>
        <v>153403</v>
      </c>
      <c r="Q14" s="12">
        <f>SUBTOTAL(109,CostofSales[Index %])</f>
        <v>1</v>
      </c>
      <c r="R14" s="43">
        <f>SUBTOTAL(109,CostofSales[Jan %])</f>
        <v>1.0000000000000002</v>
      </c>
      <c r="S14" s="44">
        <f>SUBTOTAL(109,CostofSales[Feb %])</f>
        <v>1</v>
      </c>
      <c r="T14" s="44">
        <f>SUBTOTAL(109,CostofSales[Mar %])</f>
        <v>1</v>
      </c>
      <c r="U14" s="44">
        <f>SUBTOTAL(109,CostofSales[Apr %])</f>
        <v>1</v>
      </c>
      <c r="V14" s="44">
        <f>SUBTOTAL(109,CostofSales[May %])</f>
        <v>1</v>
      </c>
      <c r="W14" s="44">
        <f>SUBTOTAL(109,CostofSales[Jun %])</f>
        <v>0.99999999999999989</v>
      </c>
      <c r="X14" s="44">
        <f>SUBTOTAL(109,CostofSales[Jul %])</f>
        <v>1</v>
      </c>
      <c r="Y14" s="44">
        <f>SUBTOTAL(109,CostofSales[Aug %])</f>
        <v>1</v>
      </c>
      <c r="Z14" s="44">
        <f>SUBTOTAL(109,CostofSales[Sep %])</f>
        <v>0.99999999999999989</v>
      </c>
      <c r="AA14" s="44">
        <f>SUBTOTAL(109,CostofSales[Oct %])</f>
        <v>1</v>
      </c>
      <c r="AB14" s="44">
        <f>SUBTOTAL(109,CostofSales[Nov %])</f>
        <v>1</v>
      </c>
      <c r="AC14" s="44">
        <f>SUBTOTAL(109,CostofSales[Dec %])</f>
        <v>1</v>
      </c>
      <c r="AD14" s="45">
        <f>SUBTOTAL(109,CostofSales[Year %])</f>
        <v>1</v>
      </c>
    </row>
    <row r="15" spans="2:30" ht="10.15" customHeight="1"/>
    <row r="16" spans="2:30" ht="25.5" customHeight="1">
      <c r="B16" s="66" t="s">
        <v>48</v>
      </c>
      <c r="C16" s="4"/>
      <c r="D16" s="64">
        <f>Revenue[[#Totals],[Jan]]-CostofSales[[#Totals],[Jan]]</f>
        <v>94982</v>
      </c>
      <c r="E16" s="64">
        <f>Revenue[[#Totals],[Feb]]-CostofSales[[#Totals],[Feb]]</f>
        <v>109239</v>
      </c>
      <c r="F16" s="64">
        <f>Revenue[[#Totals],[Mar]]-CostofSales[[#Totals],[Mar]]</f>
        <v>125845</v>
      </c>
      <c r="G16" s="64">
        <f>Revenue[[#Totals],[Apr]]-CostofSales[[#Totals],[Apr]]</f>
        <v>151991</v>
      </c>
      <c r="H16" s="64">
        <f>Revenue[[#Totals],[May]]-CostofSales[[#Totals],[May]]</f>
        <v>192813</v>
      </c>
      <c r="I16" s="64">
        <f>Revenue[[#Totals],[Jun]]-CostofSales[[#Totals],[Jun]]</f>
        <v>228711</v>
      </c>
      <c r="J16" s="64">
        <f>Revenue[[#Totals],[Jul]]-CostofSales[[#Totals],[Jul]]</f>
        <v>264523</v>
      </c>
      <c r="K16" s="64">
        <f>Revenue[[#Totals],[Aug]]-CostofSales[[#Totals],[Aug]]</f>
        <v>307831</v>
      </c>
      <c r="L16" s="64">
        <f>Revenue[[#Totals],[Sep]]-CostofSales[[#Totals],[Sep]]</f>
        <v>353379</v>
      </c>
      <c r="M16" s="64">
        <f>Revenue[[#Totals],[Oct]]-CostofSales[[#Totals],[Oct]]</f>
        <v>394356</v>
      </c>
      <c r="N16" s="64">
        <f>Revenue[[#Totals],[Nov]]-CostofSales[[#Totals],[Nov]]</f>
        <v>449467</v>
      </c>
      <c r="O16" s="64">
        <f>Revenue[[#Totals],[Dec]]-CostofSales[[#Totals],[Dec]]</f>
        <v>525960</v>
      </c>
      <c r="P16" s="64">
        <f>Revenue[[#Totals],[Yearly]]-CostofSales[[#Totals],[Yearly]]</f>
        <v>3199097</v>
      </c>
      <c r="Q16" s="63"/>
      <c r="R16" s="65">
        <f t="shared" ref="R16:AC16" si="1">D16/$P$16</f>
        <v>2.9690253218330048E-2</v>
      </c>
      <c r="S16" s="65">
        <f t="shared" si="1"/>
        <v>3.4146823306701858E-2</v>
      </c>
      <c r="T16" s="65">
        <f t="shared" si="1"/>
        <v>3.9337663096805128E-2</v>
      </c>
      <c r="U16" s="65">
        <f t="shared" si="1"/>
        <v>4.751059439585608E-2</v>
      </c>
      <c r="V16" s="65">
        <f t="shared" si="1"/>
        <v>6.0271070242634096E-2</v>
      </c>
      <c r="W16" s="65">
        <f t="shared" si="1"/>
        <v>7.1492361750831568E-2</v>
      </c>
      <c r="X16" s="65">
        <f t="shared" si="1"/>
        <v>8.2686770673099319E-2</v>
      </c>
      <c r="Y16" s="65">
        <f t="shared" si="1"/>
        <v>9.6224340806171246E-2</v>
      </c>
      <c r="Z16" s="65">
        <f t="shared" si="1"/>
        <v>0.11046210852624976</v>
      </c>
      <c r="AA16" s="65">
        <f t="shared" si="1"/>
        <v>0.12327103554534295</v>
      </c>
      <c r="AB16" s="65">
        <f t="shared" si="1"/>
        <v>0.14049808430316429</v>
      </c>
      <c r="AC16" s="65">
        <f t="shared" si="1"/>
        <v>0.16440889413481366</v>
      </c>
      <c r="AD16" s="65">
        <f>P16/$P$16</f>
        <v>1</v>
      </c>
    </row>
  </sheetData>
  <dataValidations count="18">
    <dataValidation allowBlank="1" showInputMessage="1" showErrorMessage="1" prompt="Gross profit for each month and year is automatically calculated in this row based on total sales &amp; total costs of sales" sqref="B16" xr:uid="{00000000-0002-0000-0100-000000000000}"/>
    <dataValidation allowBlank="1" showInputMessage="1" showErrorMessage="1" prompt="This worksheet calculates total cost of sales for each month &amp; year, &amp; annual costs of sales for items. Based on entries, gross profit is automatically calculated" sqref="A1:A2" xr:uid="{00000000-0002-0000-0100-000001000000}"/>
    <dataValidation allowBlank="1" showInputMessage="1" showErrorMessage="1" prompt="Automatically updated title from Revenue (Sales) worksheet. Enter values in the Cost of Sales table below to calculate total costs of sales" sqref="B3:B4" xr:uid="{00000000-0002-0000-0100-000002000000}"/>
    <dataValidation allowBlank="1" showInputMessage="1" showErrorMessage="1" prompt="Month &amp; year are automatically updated in cells at right. To change month or year, modify cells AC2 and AD2 in Revenue (Sales) worksheet" sqref="E2" xr:uid="{00000000-0002-0000-0100-000003000000}"/>
    <dataValidation allowBlank="1" showInputMessage="1" showErrorMessage="1" prompt="Enter index percent in this column" sqref="Q6" xr:uid="{00000000-0002-0000-0100-000004000000}"/>
    <dataValidation allowBlank="1" showInputMessage="1" showErrorMessage="1" prompt="Enter cost of the sources listed in column B, in this column" sqref="D6:O6" xr:uid="{00000000-0002-0000-0100-000005000000}"/>
    <dataValidation allowBlank="1" showInputMessage="1" showErrorMessage="1" prompt="A trend chart for costs over time is in this column" sqref="C6" xr:uid="{00000000-0002-0000-0100-000006000000}"/>
    <dataValidation allowBlank="1" showInputMessage="1" showErrorMessage="1" prompt="Enter cost of sales in this column" sqref="B6" xr:uid="{00000000-0002-0000-0100-000007000000}"/>
    <dataValidation allowBlank="1" showInputMessage="1" showErrorMessage="1" prompt="Automatically calculates proportion of cost of sales from different sources to total sales for the year in this column" sqref="AD5" xr:uid="{00000000-0002-0000-0100-000008000000}"/>
    <dataValidation allowBlank="1" showInputMessage="1" showErrorMessage="1" prompt="Automatically calculates proportion of cost of sales from different sources to total sales in this column, for the month in this cell" sqref="R5:AC5" xr:uid="{00000000-0002-0000-0100-000009000000}"/>
    <dataValidation allowBlank="1" showInputMessage="1" showErrorMessage="1" prompt="Automatically updated month" sqref="E5:O5" xr:uid="{00000000-0002-0000-0100-00000A000000}"/>
    <dataValidation allowBlank="1" showInputMessage="1" showErrorMessage="1" prompt="The dates in this row are automatically updated based on the starting month of fiscal year. To change starting month, modify cell AC2 in Revenues (Sales) sheet" sqref="D5" xr:uid="{00000000-0002-0000-0100-00000B000000}"/>
    <dataValidation allowBlank="1" showInputMessage="1" showErrorMessage="1" prompt="Annual Cost is automatically calculated in this column" sqref="P5" xr:uid="{00000000-0002-0000-0100-00000C000000}"/>
    <dataValidation allowBlank="1" showInputMessage="1" showErrorMessage="1" prompt="Index percent is in this column" sqref="Q5" xr:uid="{00000000-0002-0000-0100-00000D000000}"/>
    <dataValidation allowBlank="1" showInputMessage="1" showErrorMessage="1" prompt="Automatically updated month. To change, modify cell AC2 in Revenues (Sales) worksheet" sqref="F2" xr:uid="{00000000-0002-0000-0100-00000E000000}"/>
    <dataValidation allowBlank="1" showInputMessage="1" showErrorMessage="1" prompt="Automatically updated year. To change, modify cell AD2 in Revenues (Sales) worksheet" sqref="G2" xr:uid="{00000000-0002-0000-0100-00000F000000}"/>
    <dataValidation allowBlank="1" showInputMessage="1" showErrorMessage="1" prompt="This cell is automatically updated from the projection period title in Revenue (Sales) worksheet" sqref="B2" xr:uid="{00000000-0002-0000-0100-000010000000}"/>
    <dataValidation allowBlank="1" showInputMessage="1" showErrorMessage="1" prompt="Company name is automatically updated using the entry from Revenue (Sales) worksheet" sqref="AD2 B1" xr:uid="{00000000-0002-0000-0100-000011000000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'Cost of Sales'!D7:O7</xm:f>
              <xm:sqref>C7</xm:sqref>
            </x14:sparkline>
            <x14:sparkline>
              <xm:f>'Cost of Sales'!D8:O8</xm:f>
              <xm:sqref>C8</xm:sqref>
            </x14:sparkline>
            <x14:sparkline>
              <xm:f>'Cost of Sales'!D9:O9</xm:f>
              <xm:sqref>C9</xm:sqref>
            </x14:sparkline>
            <x14:sparkline>
              <xm:f>'Cost of Sales'!D10:O10</xm:f>
              <xm:sqref>C10</xm:sqref>
            </x14:sparkline>
            <x14:sparkline>
              <xm:f>'Cost of Sales'!D11:O11</xm:f>
              <xm:sqref>C11</xm:sqref>
            </x14:sparkline>
            <x14:sparkline>
              <xm:f>'Cost of Sales'!D12:O12</xm:f>
              <xm:sqref>C12</xm:sqref>
            </x14:sparkline>
            <x14:sparkline>
              <xm:f>'Cost of Sales'!D13:O13</xm:f>
              <xm:sqref>C13</xm:sqref>
            </x14:sparkline>
          </x14:sparklines>
        </x14:sparklineGroup>
        <x14:sparklineGroup lineWeight="1" displayEmptyCellsAs="gap" high="1" low="1" xr2:uid="{00000000-0003-0000-01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'Cost of Sales'!D14:O14</xm:f>
              <xm:sqref>C14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B1:AD28"/>
  <sheetViews>
    <sheetView showGridLines="0" zoomScaleNormal="100" workbookViewId="0">
      <pane xSplit="3" ySplit="5" topLeftCell="D6" activePane="bottomRight" state="frozen"/>
      <selection pane="bottomRight" activeCell="B1" sqref="B1:B2"/>
      <selection pane="bottomLeft"/>
      <selection pane="topRight"/>
    </sheetView>
  </sheetViews>
  <sheetFormatPr defaultRowHeight="30" customHeight="1"/>
  <cols>
    <col min="1" max="1" width="2.625" customWidth="1"/>
    <col min="2" max="3" width="20.625" customWidth="1"/>
    <col min="4" max="15" width="12.5" bestFit="1" customWidth="1"/>
    <col min="16" max="16" width="14.125" bestFit="1" customWidth="1"/>
    <col min="17" max="17" width="7.625" customWidth="1"/>
    <col min="18" max="30" width="6.625" customWidth="1"/>
    <col min="31" max="31" width="2.625" customWidth="1"/>
  </cols>
  <sheetData>
    <row r="1" spans="2:30" ht="38.1" customHeight="1">
      <c r="B1" s="7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2:30" ht="35.1" customHeight="1">
      <c r="B2" s="93" t="str">
        <f>Projection_Period_Title</f>
        <v>Twelve Month</v>
      </c>
      <c r="C2" s="94"/>
      <c r="D2" s="94"/>
      <c r="E2" s="95" t="s">
        <v>45</v>
      </c>
      <c r="F2" s="96" t="str">
        <f>FYMonthStart</f>
        <v>JUL</v>
      </c>
      <c r="G2" s="96">
        <f>FYStartYear</f>
        <v>2023</v>
      </c>
      <c r="J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6"/>
    </row>
    <row r="3" spans="2:30" ht="60" customHeight="1">
      <c r="B3" s="71" t="str">
        <f>'Revenues (Sales)'!$B$3</f>
        <v>Profit &amp; Loss Projection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3"/>
      <c r="Q3" s="13"/>
      <c r="R3" s="13"/>
      <c r="S3" s="13"/>
      <c r="T3" s="13"/>
      <c r="U3" s="13"/>
      <c r="V3" s="13"/>
      <c r="W3" s="13"/>
      <c r="X3" s="15"/>
      <c r="Y3" s="15"/>
      <c r="Z3" s="15"/>
      <c r="AA3" s="15"/>
      <c r="AB3" s="13"/>
      <c r="AC3" s="13"/>
      <c r="AD3" s="13"/>
    </row>
    <row r="4" spans="2:30" ht="15" customHeight="1">
      <c r="B4" s="47"/>
      <c r="D4" s="1"/>
      <c r="E4" s="1"/>
      <c r="F4" s="1"/>
      <c r="G4" s="1"/>
      <c r="K4" s="1"/>
      <c r="L4" s="1"/>
      <c r="M4" s="1"/>
      <c r="N4" s="1"/>
      <c r="O4" s="1"/>
      <c r="X4" s="2"/>
      <c r="Y4" s="2"/>
    </row>
    <row r="5" spans="2:30" ht="20.100000000000001" customHeight="1">
      <c r="D5" s="70" t="str">
        <f>UPPER(TEXT(DATE(FYStartYear,FYMonthNo,1),"mmm-yy"))</f>
        <v>JUL-23</v>
      </c>
      <c r="E5" s="70" t="str">
        <f>UPPER(TEXT(DATE(FYStartYear,FYMonthNo+1,1),"mmm-yy"))</f>
        <v>AUG-23</v>
      </c>
      <c r="F5" s="70" t="str">
        <f>UPPER(TEXT(DATE(FYStartYear,FYMonthNo+2,1),"mmm-yy"))</f>
        <v>SEP-23</v>
      </c>
      <c r="G5" s="70" t="str">
        <f>UPPER(TEXT(DATE(FYStartYear,FYMonthNo+3,1),"mmm-yy"))</f>
        <v>OCT-23</v>
      </c>
      <c r="H5" s="70" t="str">
        <f>UPPER(TEXT(DATE(FYStartYear,FYMonthNo+4,1),"mmm-yy"))</f>
        <v>NOV-23</v>
      </c>
      <c r="I5" s="70" t="str">
        <f>UPPER(TEXT(DATE(FYStartYear,FYMonthNo+5,1),"mmm-yy"))</f>
        <v>DEC-23</v>
      </c>
      <c r="J5" s="70" t="str">
        <f>UPPER(TEXT(DATE(FYStartYear,FYMonthNo+6,1),"mmm-yy"))</f>
        <v>JAN-24</v>
      </c>
      <c r="K5" s="70" t="str">
        <f>UPPER(TEXT(DATE(FYStartYear,FYMonthNo+7,1),"mmm-yy"))</f>
        <v>FEB-24</v>
      </c>
      <c r="L5" s="70" t="str">
        <f>UPPER(TEXT(DATE(FYStartYear,FYMonthNo+8,1),"mmm-yy"))</f>
        <v>MAR-24</v>
      </c>
      <c r="M5" s="70" t="str">
        <f>UPPER(TEXT(DATE(FYStartYear,FYMonthNo+9,1),"mmm-yy"))</f>
        <v>APR-24</v>
      </c>
      <c r="N5" s="70" t="str">
        <f>UPPER(TEXT(DATE(FYStartYear,FYMonthNo+10,1),"mmm-yy"))</f>
        <v>MAY-24</v>
      </c>
      <c r="O5" s="51" t="str">
        <f>UPPER(TEXT(DATE(FYStartYear,FYMonthNo+11,1),"mmm-yy"))</f>
        <v>JUN-24</v>
      </c>
      <c r="P5" s="78" t="s">
        <v>5</v>
      </c>
      <c r="Q5" s="51" t="s">
        <v>6</v>
      </c>
      <c r="R5" s="73" t="str">
        <f>LEFT(D5,3)&amp;" %"</f>
        <v>JUL %</v>
      </c>
      <c r="S5" s="74" t="str">
        <f t="shared" ref="S5:AC5" si="0">LEFT(E5,3)&amp;" %"</f>
        <v>AUG %</v>
      </c>
      <c r="T5" s="74" t="str">
        <f t="shared" si="0"/>
        <v>SEP %</v>
      </c>
      <c r="U5" s="74" t="str">
        <f t="shared" si="0"/>
        <v>OCT %</v>
      </c>
      <c r="V5" s="74" t="str">
        <f t="shared" si="0"/>
        <v>NOV %</v>
      </c>
      <c r="W5" s="74" t="str">
        <f t="shared" si="0"/>
        <v>DEC %</v>
      </c>
      <c r="X5" s="74" t="str">
        <f t="shared" si="0"/>
        <v>JAN %</v>
      </c>
      <c r="Y5" s="74" t="str">
        <f t="shared" si="0"/>
        <v>FEB %</v>
      </c>
      <c r="Z5" s="74" t="str">
        <f t="shared" si="0"/>
        <v>MAR %</v>
      </c>
      <c r="AA5" s="74" t="str">
        <f t="shared" si="0"/>
        <v>APR %</v>
      </c>
      <c r="AB5" s="74" t="str">
        <f t="shared" si="0"/>
        <v>MAY %</v>
      </c>
      <c r="AC5" s="74" t="str">
        <f t="shared" si="0"/>
        <v>JUN %</v>
      </c>
      <c r="AD5" s="75" t="s">
        <v>7</v>
      </c>
    </row>
    <row r="6" spans="2:30" ht="30" customHeight="1">
      <c r="B6" s="69" t="s">
        <v>49</v>
      </c>
      <c r="C6" s="69" t="s">
        <v>9</v>
      </c>
      <c r="D6" s="97" t="s">
        <v>50</v>
      </c>
      <c r="E6" s="97" t="s">
        <v>11</v>
      </c>
      <c r="F6" s="97" t="s">
        <v>12</v>
      </c>
      <c r="G6" s="97" t="s">
        <v>13</v>
      </c>
      <c r="H6" s="97" t="s">
        <v>14</v>
      </c>
      <c r="I6" s="97" t="s">
        <v>15</v>
      </c>
      <c r="J6" s="97" t="s">
        <v>16</v>
      </c>
      <c r="K6" s="97" t="s">
        <v>17</v>
      </c>
      <c r="L6" s="97" t="s">
        <v>18</v>
      </c>
      <c r="M6" s="97" t="s">
        <v>19</v>
      </c>
      <c r="N6" s="97" t="s">
        <v>20</v>
      </c>
      <c r="O6" s="97" t="s">
        <v>21</v>
      </c>
      <c r="P6" s="98" t="s">
        <v>22</v>
      </c>
      <c r="Q6" s="97" t="s">
        <v>23</v>
      </c>
      <c r="R6" s="99" t="s">
        <v>24</v>
      </c>
      <c r="S6" s="97" t="s">
        <v>25</v>
      </c>
      <c r="T6" s="97" t="s">
        <v>26</v>
      </c>
      <c r="U6" s="97" t="s">
        <v>27</v>
      </c>
      <c r="V6" s="97" t="s">
        <v>28</v>
      </c>
      <c r="W6" s="97" t="s">
        <v>29</v>
      </c>
      <c r="X6" s="97" t="s">
        <v>30</v>
      </c>
      <c r="Y6" s="97" t="s">
        <v>31</v>
      </c>
      <c r="Z6" s="97" t="s">
        <v>32</v>
      </c>
      <c r="AA6" s="97" t="s">
        <v>33</v>
      </c>
      <c r="AB6" s="97" t="s">
        <v>34</v>
      </c>
      <c r="AC6" s="97" t="s">
        <v>35</v>
      </c>
      <c r="AD6" s="100" t="s">
        <v>36</v>
      </c>
    </row>
    <row r="7" spans="2:30" ht="30" customHeight="1">
      <c r="B7" s="48" t="s">
        <v>51</v>
      </c>
      <c r="C7" t="s">
        <v>52</v>
      </c>
      <c r="D7" s="52">
        <f>Salary!C13</f>
        <v>56666.666666666664</v>
      </c>
      <c r="E7" s="52">
        <f>tblExpenses[[#This Row],[Column1]]</f>
        <v>56666.666666666664</v>
      </c>
      <c r="F7" s="52">
        <f>tblExpenses[[#This Row],[Column1]]</f>
        <v>56666.666666666664</v>
      </c>
      <c r="G7" s="52">
        <f>tblExpenses[[#This Row],[Column1]]</f>
        <v>56666.666666666664</v>
      </c>
      <c r="H7" s="52">
        <f>tblExpenses[[#This Row],[Column1]]</f>
        <v>56666.666666666664</v>
      </c>
      <c r="I7" s="52">
        <f>tblExpenses[[#This Row],[Column1]]</f>
        <v>56666.666666666664</v>
      </c>
      <c r="J7" s="52">
        <f>Salary!G23</f>
        <v>122083.33333333333</v>
      </c>
      <c r="K7" s="52">
        <f>tblExpenses[[#This Row],[Jul]]</f>
        <v>122083.33333333333</v>
      </c>
      <c r="L7" s="52">
        <f>tblExpenses[[#This Row],[Jul]]</f>
        <v>122083.33333333333</v>
      </c>
      <c r="M7" s="52">
        <f>tblExpenses[[#This Row],[Jul]]</f>
        <v>122083.33333333333</v>
      </c>
      <c r="N7" s="52">
        <f>tblExpenses[[#This Row],[Jul]]</f>
        <v>122083.33333333333</v>
      </c>
      <c r="O7" s="52">
        <f>tblExpenses[[#This Row],[Jul]]</f>
        <v>122083.33333333333</v>
      </c>
      <c r="P7" s="79">
        <f>SUM(tblExpenses[[#This Row],[Column1]:[Dec]])</f>
        <v>1072500</v>
      </c>
      <c r="Q7" s="49">
        <v>0.12</v>
      </c>
      <c r="R7" s="76">
        <f>tblExpenses[[#This Row],[Column1]]/tblExpenses[[#Totals],[Column1]]</f>
        <v>0.34404946216973781</v>
      </c>
      <c r="S7" s="50">
        <f>tblExpenses[[#This Row],[Feb]]/tblExpenses[[#Totals],[Feb]]</f>
        <v>0.32287779075619877</v>
      </c>
      <c r="T7" s="50">
        <f>tblExpenses[[#This Row],[Mar]]/tblExpenses[[#Totals],[Mar]]</f>
        <v>0.30888592116141106</v>
      </c>
      <c r="U7" s="50">
        <f>tblExpenses[[#This Row],[Apr]]/tblExpenses[[#Totals],[Apr]]</f>
        <v>0.31376023181344187</v>
      </c>
      <c r="V7" s="50">
        <f>tblExpenses[[#This Row],[May]]/tblExpenses[[#Totals],[May]]</f>
        <v>0.2894774931249095</v>
      </c>
      <c r="W7" s="50">
        <f>tblExpenses[[#This Row],[Jun]]/tblExpenses[[#Totals],[Jun]]</f>
        <v>0.28128697062205787</v>
      </c>
      <c r="X7" s="50">
        <f>tblExpenses[[#This Row],[Jul]]/tblExpenses[[#Totals],[Jul]]</f>
        <v>0.43037571212124548</v>
      </c>
      <c r="Y7" s="50">
        <f>tblExpenses[[#This Row],[Aug]]/tblExpenses[[#Totals],[Aug]]</f>
        <v>0.45415055633443147</v>
      </c>
      <c r="Z7" s="50">
        <f>tblExpenses[[#This Row],[Sep]]/tblExpenses[[#Totals],[Sep]]</f>
        <v>0.44062767638077749</v>
      </c>
      <c r="AA7" s="50">
        <f>tblExpenses[[#This Row],[Oct]]/tblExpenses[[#Totals],[Oct]]</f>
        <v>0.44246417814544081</v>
      </c>
      <c r="AB7" s="50">
        <f>tblExpenses[[#This Row],[Nov]]/tblExpenses[[#Totals],[Nov]]</f>
        <v>0.42841236664202931</v>
      </c>
      <c r="AC7" s="50">
        <f>tblExpenses[[#This Row],[Dec]]/tblExpenses[[#Totals],[Dec]]</f>
        <v>0.36720450220291367</v>
      </c>
      <c r="AD7" s="77">
        <f>tblExpenses[[#This Row],[Yearly]]/tblExpenses[[#Totals],[Yearly]]</f>
        <v>0.37972918847269643</v>
      </c>
    </row>
    <row r="8" spans="2:30" ht="30" customHeight="1">
      <c r="B8" s="48" t="s">
        <v>53</v>
      </c>
      <c r="C8" t="s">
        <v>52</v>
      </c>
      <c r="D8" s="52">
        <f t="shared" ref="D8:O8" si="1">D7*0.0545</f>
        <v>3088.333333333333</v>
      </c>
      <c r="E8" s="52">
        <f t="shared" si="1"/>
        <v>3088.333333333333</v>
      </c>
      <c r="F8" s="52">
        <f t="shared" si="1"/>
        <v>3088.333333333333</v>
      </c>
      <c r="G8" s="52">
        <f t="shared" si="1"/>
        <v>3088.333333333333</v>
      </c>
      <c r="H8" s="52">
        <f t="shared" si="1"/>
        <v>3088.333333333333</v>
      </c>
      <c r="I8" s="52">
        <f t="shared" si="1"/>
        <v>3088.333333333333</v>
      </c>
      <c r="J8" s="52">
        <f t="shared" si="1"/>
        <v>6653.5416666666661</v>
      </c>
      <c r="K8" s="52">
        <f t="shared" si="1"/>
        <v>6653.5416666666661</v>
      </c>
      <c r="L8" s="52">
        <f t="shared" si="1"/>
        <v>6653.5416666666661</v>
      </c>
      <c r="M8" s="52">
        <f t="shared" si="1"/>
        <v>6653.5416666666661</v>
      </c>
      <c r="N8" s="52">
        <f t="shared" si="1"/>
        <v>6653.5416666666661</v>
      </c>
      <c r="O8" s="52">
        <f t="shared" si="1"/>
        <v>6653.5416666666661</v>
      </c>
      <c r="P8" s="79">
        <f>SUM(tblExpenses[[#This Row],[Column1]:[Dec]])</f>
        <v>58451.249999999985</v>
      </c>
      <c r="Q8" s="49">
        <v>0.09</v>
      </c>
      <c r="R8" s="76">
        <f>tblExpenses[[#This Row],[Column1]]/tblExpenses[[#Totals],[Column1]]</f>
        <v>1.8750695688250708E-2</v>
      </c>
      <c r="S8" s="50">
        <f>tblExpenses[[#This Row],[Feb]]/tblExpenses[[#Totals],[Feb]]</f>
        <v>1.7596839596212832E-2</v>
      </c>
      <c r="T8" s="50">
        <f>tblExpenses[[#This Row],[Mar]]/tblExpenses[[#Totals],[Mar]]</f>
        <v>1.6834282703296902E-2</v>
      </c>
      <c r="U8" s="50">
        <f>tblExpenses[[#This Row],[Apr]]/tblExpenses[[#Totals],[Apr]]</f>
        <v>1.7099932633832578E-2</v>
      </c>
      <c r="V8" s="50">
        <f>tblExpenses[[#This Row],[May]]/tblExpenses[[#Totals],[May]]</f>
        <v>1.5776523375307567E-2</v>
      </c>
      <c r="W8" s="50">
        <f>tblExpenses[[#This Row],[Jun]]/tblExpenses[[#Totals],[Jun]]</f>
        <v>1.5330139898902152E-2</v>
      </c>
      <c r="X8" s="50">
        <f>tblExpenses[[#This Row],[Jul]]/tblExpenses[[#Totals],[Jul]]</f>
        <v>2.3455476310607879E-2</v>
      </c>
      <c r="Y8" s="50">
        <f>tblExpenses[[#This Row],[Aug]]/tblExpenses[[#Totals],[Aug]]</f>
        <v>2.4751205320226514E-2</v>
      </c>
      <c r="Z8" s="50">
        <f>tblExpenses[[#This Row],[Sep]]/tblExpenses[[#Totals],[Sep]]</f>
        <v>2.4014208362752372E-2</v>
      </c>
      <c r="AA8" s="50">
        <f>tblExpenses[[#This Row],[Oct]]/tblExpenses[[#Totals],[Oct]]</f>
        <v>2.4114297708926525E-2</v>
      </c>
      <c r="AB8" s="50">
        <f>tblExpenses[[#This Row],[Nov]]/tblExpenses[[#Totals],[Nov]]</f>
        <v>2.3348473981990595E-2</v>
      </c>
      <c r="AC8" s="50">
        <f>tblExpenses[[#This Row],[Dec]]/tblExpenses[[#Totals],[Dec]]</f>
        <v>2.0012645370058795E-2</v>
      </c>
      <c r="AD8" s="77">
        <f>tblExpenses[[#This Row],[Yearly]]/tblExpenses[[#Totals],[Yearly]]</f>
        <v>2.0695240771761953E-2</v>
      </c>
    </row>
    <row r="9" spans="2:30" ht="30" customHeight="1">
      <c r="B9" s="48" t="s">
        <v>54</v>
      </c>
      <c r="C9" t="s">
        <v>52</v>
      </c>
      <c r="D9" s="52">
        <v>2500</v>
      </c>
      <c r="E9" s="52">
        <v>3000</v>
      </c>
      <c r="F9" s="52">
        <v>5000</v>
      </c>
      <c r="G9" s="52">
        <v>7500</v>
      </c>
      <c r="H9" s="52">
        <v>10000</v>
      </c>
      <c r="I9" s="52">
        <v>10000</v>
      </c>
      <c r="J9" s="52">
        <v>15000</v>
      </c>
      <c r="K9" s="52">
        <v>17500</v>
      </c>
      <c r="L9" s="52">
        <v>20000</v>
      </c>
      <c r="M9" s="52">
        <v>25000</v>
      </c>
      <c r="N9" s="52">
        <v>30000</v>
      </c>
      <c r="O9" s="52">
        <v>35000</v>
      </c>
      <c r="P9" s="79">
        <f>SUM(tblExpenses[[#This Row],[Column1]:[Dec]])</f>
        <v>180500</v>
      </c>
      <c r="Q9" s="49">
        <v>0.02</v>
      </c>
      <c r="R9" s="76">
        <f>tblExpenses[[#This Row],[Column1]]/tblExpenses[[#Totals],[Column1]]</f>
        <v>1.517865274278255E-2</v>
      </c>
      <c r="S9" s="50">
        <f>tblExpenses[[#This Row],[Feb]]/tblExpenses[[#Totals],[Feb]]</f>
        <v>1.7093530098857581E-2</v>
      </c>
      <c r="T9" s="50">
        <f>tblExpenses[[#This Row],[Mar]]/tblExpenses[[#Totals],[Mar]]</f>
        <v>2.7254640102477447E-2</v>
      </c>
      <c r="U9" s="50">
        <f>tblExpenses[[#This Row],[Apr]]/tblExpenses[[#Totals],[Apr]]</f>
        <v>4.1527089504720248E-2</v>
      </c>
      <c r="V9" s="50">
        <f>tblExpenses[[#This Row],[May]]/tblExpenses[[#Totals],[May]]</f>
        <v>5.1084263492631093E-2</v>
      </c>
      <c r="W9" s="50">
        <f>tblExpenses[[#This Row],[Jun]]/tblExpenses[[#Totals],[Jun]]</f>
        <v>4.9638877168598446E-2</v>
      </c>
      <c r="X9" s="50">
        <f>tblExpenses[[#This Row],[Jul]]/tblExpenses[[#Totals],[Jul]]</f>
        <v>5.2878927086569411E-2</v>
      </c>
      <c r="Y9" s="50">
        <f>tblExpenses[[#This Row],[Aug]]/tblExpenses[[#Totals],[Aug]]</f>
        <v>6.5100079747597697E-2</v>
      </c>
      <c r="Z9" s="50">
        <f>tblExpenses[[#This Row],[Sep]]/tblExpenses[[#Totals],[Sep]]</f>
        <v>7.218473879275536E-2</v>
      </c>
      <c r="AA9" s="50">
        <f>tblExpenses[[#This Row],[Oct]]/tblExpenses[[#Totals],[Oct]]</f>
        <v>9.0606998937632938E-2</v>
      </c>
      <c r="AB9" s="50">
        <f>tblExpenses[[#This Row],[Nov]]/tblExpenses[[#Totals],[Nov]]</f>
        <v>0.10527539385060106</v>
      </c>
      <c r="AC9" s="50">
        <f>tblExpenses[[#This Row],[Dec]]/tblExpenses[[#Totals],[Dec]]</f>
        <v>0.10527364568274659</v>
      </c>
      <c r="AD9" s="77">
        <f>tblExpenses[[#This Row],[Yearly]]/tblExpenses[[#Totals],[Yearly]]</f>
        <v>6.3907802815218379E-2</v>
      </c>
    </row>
    <row r="10" spans="2:30" ht="30" customHeight="1">
      <c r="B10" s="48" t="s">
        <v>55</v>
      </c>
      <c r="C10" t="s">
        <v>52</v>
      </c>
      <c r="D10" s="52">
        <v>600</v>
      </c>
      <c r="E10" s="52">
        <v>400</v>
      </c>
      <c r="F10" s="52">
        <v>500</v>
      </c>
      <c r="G10" s="52">
        <v>500</v>
      </c>
      <c r="H10" s="52">
        <v>400</v>
      </c>
      <c r="I10" s="52">
        <v>600</v>
      </c>
      <c r="J10" s="52">
        <v>1000</v>
      </c>
      <c r="K10" s="52">
        <v>400</v>
      </c>
      <c r="L10" s="52">
        <v>400</v>
      </c>
      <c r="M10" s="52">
        <v>500</v>
      </c>
      <c r="N10" s="52">
        <v>300</v>
      </c>
      <c r="O10" s="52">
        <v>800</v>
      </c>
      <c r="P10" s="79">
        <f>SUM(tblExpenses[[#This Row],[Column1]:[Dec]])</f>
        <v>6400</v>
      </c>
      <c r="Q10" s="49">
        <v>0.08</v>
      </c>
      <c r="R10" s="76">
        <f>tblExpenses[[#This Row],[Column1]]/tblExpenses[[#Totals],[Column1]]</f>
        <v>3.642876658267812E-3</v>
      </c>
      <c r="S10" s="50">
        <f>tblExpenses[[#This Row],[Feb]]/tblExpenses[[#Totals],[Feb]]</f>
        <v>2.2791373465143442E-3</v>
      </c>
      <c r="T10" s="50">
        <f>tblExpenses[[#This Row],[Mar]]/tblExpenses[[#Totals],[Mar]]</f>
        <v>2.7254640102477449E-3</v>
      </c>
      <c r="U10" s="50">
        <f>tblExpenses[[#This Row],[Apr]]/tblExpenses[[#Totals],[Apr]]</f>
        <v>2.7684726336480166E-3</v>
      </c>
      <c r="V10" s="50">
        <f>tblExpenses[[#This Row],[May]]/tblExpenses[[#Totals],[May]]</f>
        <v>2.0433705397052437E-3</v>
      </c>
      <c r="W10" s="50">
        <f>tblExpenses[[#This Row],[Jun]]/tblExpenses[[#Totals],[Jun]]</f>
        <v>2.9783326301159067E-3</v>
      </c>
      <c r="X10" s="50">
        <f>tblExpenses[[#This Row],[Jul]]/tblExpenses[[#Totals],[Jul]]</f>
        <v>3.5252618057712943E-3</v>
      </c>
      <c r="Y10" s="50">
        <f>tblExpenses[[#This Row],[Aug]]/tblExpenses[[#Totals],[Aug]]</f>
        <v>1.4880018228022329E-3</v>
      </c>
      <c r="Z10" s="50">
        <f>tblExpenses[[#This Row],[Sep]]/tblExpenses[[#Totals],[Sep]]</f>
        <v>1.4436947758551071E-3</v>
      </c>
      <c r="AA10" s="50">
        <f>tblExpenses[[#This Row],[Oct]]/tblExpenses[[#Totals],[Oct]]</f>
        <v>1.8121399787526587E-3</v>
      </c>
      <c r="AB10" s="50">
        <f>tblExpenses[[#This Row],[Nov]]/tblExpenses[[#Totals],[Nov]]</f>
        <v>1.0527539385060106E-3</v>
      </c>
      <c r="AC10" s="50">
        <f>tblExpenses[[#This Row],[Dec]]/tblExpenses[[#Totals],[Dec]]</f>
        <v>2.4062547584627792E-3</v>
      </c>
      <c r="AD10" s="77">
        <f>tblExpenses[[#This Row],[Yearly]]/tblExpenses[[#Totals],[Yearly]]</f>
        <v>2.265983036107466E-3</v>
      </c>
    </row>
    <row r="11" spans="2:30" ht="30" customHeight="1">
      <c r="B11" s="48" t="s">
        <v>56</v>
      </c>
      <c r="C11" t="s">
        <v>52</v>
      </c>
      <c r="D11" s="52">
        <v>10000</v>
      </c>
      <c r="E11" s="52">
        <v>10000</v>
      </c>
      <c r="F11" s="52">
        <v>10000</v>
      </c>
      <c r="G11" s="52">
        <v>10000</v>
      </c>
      <c r="H11" s="52">
        <v>10000</v>
      </c>
      <c r="I11" s="52">
        <v>20000</v>
      </c>
      <c r="J11" s="52">
        <v>10000</v>
      </c>
      <c r="K11" s="52">
        <v>10000</v>
      </c>
      <c r="L11" s="52">
        <v>10000</v>
      </c>
      <c r="M11" s="52">
        <v>10000</v>
      </c>
      <c r="N11" s="52">
        <v>10000</v>
      </c>
      <c r="O11" s="52">
        <v>10000</v>
      </c>
      <c r="P11" s="79">
        <f>SUM(tblExpenses[[#This Row],[Column1]:[Dec]])</f>
        <v>130000</v>
      </c>
      <c r="Q11" s="49">
        <v>0.03</v>
      </c>
      <c r="R11" s="76">
        <f>tblExpenses[[#This Row],[Column1]]/tblExpenses[[#Totals],[Column1]]</f>
        <v>6.0714610971130199E-2</v>
      </c>
      <c r="S11" s="50">
        <f>tblExpenses[[#This Row],[Feb]]/tblExpenses[[#Totals],[Feb]]</f>
        <v>5.697843366285861E-2</v>
      </c>
      <c r="T11" s="50">
        <f>tblExpenses[[#This Row],[Mar]]/tblExpenses[[#Totals],[Mar]]</f>
        <v>5.4509280204954894E-2</v>
      </c>
      <c r="U11" s="50">
        <f>tblExpenses[[#This Row],[Apr]]/tblExpenses[[#Totals],[Apr]]</f>
        <v>5.5369452672960326E-2</v>
      </c>
      <c r="V11" s="50">
        <f>tblExpenses[[#This Row],[May]]/tblExpenses[[#Totals],[May]]</f>
        <v>5.1084263492631093E-2</v>
      </c>
      <c r="W11" s="50">
        <f>tblExpenses[[#This Row],[Jun]]/tblExpenses[[#Totals],[Jun]]</f>
        <v>9.9277754337196891E-2</v>
      </c>
      <c r="X11" s="50">
        <f>tblExpenses[[#This Row],[Jul]]/tblExpenses[[#Totals],[Jul]]</f>
        <v>3.5252618057712945E-2</v>
      </c>
      <c r="Y11" s="50">
        <f>tblExpenses[[#This Row],[Aug]]/tblExpenses[[#Totals],[Aug]]</f>
        <v>3.7200045570055823E-2</v>
      </c>
      <c r="Z11" s="50">
        <f>tblExpenses[[#This Row],[Sep]]/tblExpenses[[#Totals],[Sep]]</f>
        <v>3.609236939637768E-2</v>
      </c>
      <c r="AA11" s="50">
        <f>tblExpenses[[#This Row],[Oct]]/tblExpenses[[#Totals],[Oct]]</f>
        <v>3.6242799575053178E-2</v>
      </c>
      <c r="AB11" s="50">
        <f>tblExpenses[[#This Row],[Nov]]/tblExpenses[[#Totals],[Nov]]</f>
        <v>3.509179795020035E-2</v>
      </c>
      <c r="AC11" s="50">
        <f>tblExpenses[[#This Row],[Dec]]/tblExpenses[[#Totals],[Dec]]</f>
        <v>3.0078184480784739E-2</v>
      </c>
      <c r="AD11" s="77">
        <f>tblExpenses[[#This Row],[Yearly]]/tblExpenses[[#Totals],[Yearly]]</f>
        <v>4.6027780420932904E-2</v>
      </c>
    </row>
    <row r="12" spans="2:30" ht="30" customHeight="1">
      <c r="B12" s="48" t="s">
        <v>57</v>
      </c>
      <c r="C12" t="s">
        <v>52</v>
      </c>
      <c r="D12" s="53">
        <v>10000</v>
      </c>
      <c r="E12" s="53">
        <v>15000</v>
      </c>
      <c r="F12" s="53">
        <v>20000</v>
      </c>
      <c r="G12" s="53">
        <v>25000</v>
      </c>
      <c r="H12" s="53">
        <v>30000</v>
      </c>
      <c r="I12" s="53">
        <v>40000</v>
      </c>
      <c r="J12" s="53">
        <v>50000</v>
      </c>
      <c r="K12" s="53">
        <v>30000</v>
      </c>
      <c r="L12" s="53">
        <v>30000</v>
      </c>
      <c r="M12" s="53">
        <v>30000</v>
      </c>
      <c r="N12" s="53">
        <v>30000</v>
      </c>
      <c r="O12" s="53">
        <v>50000</v>
      </c>
      <c r="P12" s="80">
        <f>SUM(tblExpenses[[#This Row],[Column1]:[Dec]])</f>
        <v>360000</v>
      </c>
      <c r="Q12" s="49">
        <v>0.15</v>
      </c>
      <c r="R12" s="76">
        <f>tblExpenses[[#This Row],[Column1]]/tblExpenses[[#Totals],[Column1]]</f>
        <v>6.0714610971130199E-2</v>
      </c>
      <c r="S12" s="50">
        <f>tblExpenses[[#This Row],[Feb]]/tblExpenses[[#Totals],[Feb]]</f>
        <v>8.5467650494287908E-2</v>
      </c>
      <c r="T12" s="50">
        <f>tblExpenses[[#This Row],[Mar]]/tblExpenses[[#Totals],[Mar]]</f>
        <v>0.10901856040990979</v>
      </c>
      <c r="U12" s="50">
        <f>tblExpenses[[#This Row],[Apr]]/tblExpenses[[#Totals],[Apr]]</f>
        <v>0.13842363168240082</v>
      </c>
      <c r="V12" s="50">
        <f>tblExpenses[[#This Row],[May]]/tblExpenses[[#Totals],[May]]</f>
        <v>0.15325279047789328</v>
      </c>
      <c r="W12" s="50">
        <f>tblExpenses[[#This Row],[Jun]]/tblExpenses[[#Totals],[Jun]]</f>
        <v>0.19855550867439378</v>
      </c>
      <c r="X12" s="50">
        <f>tblExpenses[[#This Row],[Jul]]/tblExpenses[[#Totals],[Jul]]</f>
        <v>0.17626309028856471</v>
      </c>
      <c r="Y12" s="50">
        <f>tblExpenses[[#This Row],[Aug]]/tblExpenses[[#Totals],[Aug]]</f>
        <v>0.11160013671016747</v>
      </c>
      <c r="Z12" s="50">
        <f>tblExpenses[[#This Row],[Sep]]/tblExpenses[[#Totals],[Sep]]</f>
        <v>0.10827710818913304</v>
      </c>
      <c r="AA12" s="50">
        <f>tblExpenses[[#This Row],[Oct]]/tblExpenses[[#Totals],[Oct]]</f>
        <v>0.10872839872515952</v>
      </c>
      <c r="AB12" s="50">
        <f>tblExpenses[[#This Row],[Nov]]/tblExpenses[[#Totals],[Nov]]</f>
        <v>0.10527539385060106</v>
      </c>
      <c r="AC12" s="50">
        <f>tblExpenses[[#This Row],[Dec]]/tblExpenses[[#Totals],[Dec]]</f>
        <v>0.15039092240392371</v>
      </c>
      <c r="AD12" s="77">
        <f>tblExpenses[[#This Row],[Yearly]]/tblExpenses[[#Totals],[Yearly]]</f>
        <v>0.12746154578104496</v>
      </c>
    </row>
    <row r="13" spans="2:30" ht="30" customHeight="1">
      <c r="B13" s="48" t="s">
        <v>58</v>
      </c>
      <c r="C13" t="s">
        <v>52</v>
      </c>
      <c r="D13" s="53">
        <v>20000</v>
      </c>
      <c r="E13" s="53">
        <v>25000</v>
      </c>
      <c r="F13" s="53">
        <v>25000</v>
      </c>
      <c r="G13" s="53">
        <v>20000</v>
      </c>
      <c r="H13" s="53">
        <v>15000</v>
      </c>
      <c r="I13" s="53">
        <v>10000</v>
      </c>
      <c r="J13" s="53">
        <v>15000</v>
      </c>
      <c r="K13" s="53">
        <v>20000</v>
      </c>
      <c r="L13" s="53">
        <v>25000</v>
      </c>
      <c r="M13" s="53">
        <v>20000</v>
      </c>
      <c r="N13" s="53">
        <v>25000</v>
      </c>
      <c r="O13" s="53">
        <v>25000</v>
      </c>
      <c r="P13" s="80">
        <f>SUM(tblExpenses[[#This Row],[Column1]:[Dec]])</f>
        <v>245000</v>
      </c>
      <c r="Q13" s="49">
        <v>0.12</v>
      </c>
      <c r="R13" s="76">
        <f>tblExpenses[[#This Row],[Column1]]/tblExpenses[[#Totals],[Column1]]</f>
        <v>0.1214292219422604</v>
      </c>
      <c r="S13" s="50">
        <f>tblExpenses[[#This Row],[Feb]]/tblExpenses[[#Totals],[Feb]]</f>
        <v>0.14244608415714652</v>
      </c>
      <c r="T13" s="50">
        <f>tblExpenses[[#This Row],[Mar]]/tblExpenses[[#Totals],[Mar]]</f>
        <v>0.13627320051238723</v>
      </c>
      <c r="U13" s="50">
        <f>tblExpenses[[#This Row],[Apr]]/tblExpenses[[#Totals],[Apr]]</f>
        <v>0.11073890534592065</v>
      </c>
      <c r="V13" s="50">
        <f>tblExpenses[[#This Row],[May]]/tblExpenses[[#Totals],[May]]</f>
        <v>7.662639523894664E-2</v>
      </c>
      <c r="W13" s="50">
        <f>tblExpenses[[#This Row],[Jun]]/tblExpenses[[#Totals],[Jun]]</f>
        <v>4.9638877168598446E-2</v>
      </c>
      <c r="X13" s="50">
        <f>tblExpenses[[#This Row],[Jul]]/tblExpenses[[#Totals],[Jul]]</f>
        <v>5.2878927086569411E-2</v>
      </c>
      <c r="Y13" s="50">
        <f>tblExpenses[[#This Row],[Aug]]/tblExpenses[[#Totals],[Aug]]</f>
        <v>7.4400091140111646E-2</v>
      </c>
      <c r="Z13" s="50">
        <f>tblExpenses[[#This Row],[Sep]]/tblExpenses[[#Totals],[Sep]]</f>
        <v>9.0230923490944193E-2</v>
      </c>
      <c r="AA13" s="50">
        <f>tblExpenses[[#This Row],[Oct]]/tblExpenses[[#Totals],[Oct]]</f>
        <v>7.2485599150106356E-2</v>
      </c>
      <c r="AB13" s="50">
        <f>tblExpenses[[#This Row],[Nov]]/tblExpenses[[#Totals],[Nov]]</f>
        <v>8.7729494875500885E-2</v>
      </c>
      <c r="AC13" s="50">
        <f>tblExpenses[[#This Row],[Dec]]/tblExpenses[[#Totals],[Dec]]</f>
        <v>7.5195461201961855E-2</v>
      </c>
      <c r="AD13" s="77">
        <f>tblExpenses[[#This Row],[Yearly]]/tblExpenses[[#Totals],[Yearly]]</f>
        <v>8.6744663100988939E-2</v>
      </c>
    </row>
    <row r="14" spans="2:30" ht="30" customHeight="1">
      <c r="B14" s="48" t="s">
        <v>59</v>
      </c>
      <c r="C14" t="s">
        <v>52</v>
      </c>
      <c r="D14" s="53">
        <v>10000</v>
      </c>
      <c r="E14" s="53">
        <v>10000</v>
      </c>
      <c r="F14" s="53">
        <v>10000</v>
      </c>
      <c r="G14" s="53">
        <v>10000</v>
      </c>
      <c r="H14" s="53">
        <v>10000</v>
      </c>
      <c r="I14" s="53">
        <v>10000</v>
      </c>
      <c r="J14" s="53">
        <v>10000</v>
      </c>
      <c r="K14" s="53">
        <v>10000</v>
      </c>
      <c r="L14" s="53">
        <v>10000</v>
      </c>
      <c r="M14" s="53">
        <v>10000</v>
      </c>
      <c r="N14" s="53">
        <v>10000</v>
      </c>
      <c r="O14" s="53">
        <v>10000</v>
      </c>
      <c r="P14" s="80">
        <f>SUM(tblExpenses[[#This Row],[Column1]:[Dec]])</f>
        <v>120000</v>
      </c>
      <c r="Q14" s="49">
        <v>0.09</v>
      </c>
      <c r="R14" s="76">
        <f>tblExpenses[[#This Row],[Column1]]/tblExpenses[[#Totals],[Column1]]</f>
        <v>6.0714610971130199E-2</v>
      </c>
      <c r="S14" s="50">
        <f>tblExpenses[[#This Row],[Feb]]/tblExpenses[[#Totals],[Feb]]</f>
        <v>5.697843366285861E-2</v>
      </c>
      <c r="T14" s="50">
        <f>tblExpenses[[#This Row],[Mar]]/tblExpenses[[#Totals],[Mar]]</f>
        <v>5.4509280204954894E-2</v>
      </c>
      <c r="U14" s="50">
        <f>tblExpenses[[#This Row],[Apr]]/tblExpenses[[#Totals],[Apr]]</f>
        <v>5.5369452672960326E-2</v>
      </c>
      <c r="V14" s="50">
        <f>tblExpenses[[#This Row],[May]]/tblExpenses[[#Totals],[May]]</f>
        <v>5.1084263492631093E-2</v>
      </c>
      <c r="W14" s="50">
        <f>tblExpenses[[#This Row],[Jun]]/tblExpenses[[#Totals],[Jun]]</f>
        <v>4.9638877168598446E-2</v>
      </c>
      <c r="X14" s="50">
        <f>tblExpenses[[#This Row],[Jul]]/tblExpenses[[#Totals],[Jul]]</f>
        <v>3.5252618057712945E-2</v>
      </c>
      <c r="Y14" s="50">
        <f>tblExpenses[[#This Row],[Aug]]/tblExpenses[[#Totals],[Aug]]</f>
        <v>3.7200045570055823E-2</v>
      </c>
      <c r="Z14" s="50">
        <f>tblExpenses[[#This Row],[Sep]]/tblExpenses[[#Totals],[Sep]]</f>
        <v>3.609236939637768E-2</v>
      </c>
      <c r="AA14" s="50">
        <f>tblExpenses[[#This Row],[Oct]]/tblExpenses[[#Totals],[Oct]]</f>
        <v>3.6242799575053178E-2</v>
      </c>
      <c r="AB14" s="50">
        <f>tblExpenses[[#This Row],[Nov]]/tblExpenses[[#Totals],[Nov]]</f>
        <v>3.509179795020035E-2</v>
      </c>
      <c r="AC14" s="50">
        <f>tblExpenses[[#This Row],[Dec]]/tblExpenses[[#Totals],[Dec]]</f>
        <v>3.0078184480784739E-2</v>
      </c>
      <c r="AD14" s="77">
        <f>tblExpenses[[#This Row],[Yearly]]/tblExpenses[[#Totals],[Yearly]]</f>
        <v>4.2487181927014984E-2</v>
      </c>
    </row>
    <row r="15" spans="2:30" ht="30" customHeight="1">
      <c r="B15" s="48" t="s">
        <v>60</v>
      </c>
      <c r="C15" t="s">
        <v>52</v>
      </c>
      <c r="D15" s="53">
        <v>25000</v>
      </c>
      <c r="E15" s="53">
        <v>25000</v>
      </c>
      <c r="F15" s="53">
        <v>25000</v>
      </c>
      <c r="G15" s="53">
        <v>25000</v>
      </c>
      <c r="H15" s="53">
        <v>25000</v>
      </c>
      <c r="I15" s="53">
        <v>25000</v>
      </c>
      <c r="J15" s="53">
        <v>26000</v>
      </c>
      <c r="K15" s="53">
        <v>26000</v>
      </c>
      <c r="L15" s="53">
        <v>26000</v>
      </c>
      <c r="M15" s="53">
        <v>26000</v>
      </c>
      <c r="N15" s="53">
        <v>26000</v>
      </c>
      <c r="O15" s="53">
        <v>26000</v>
      </c>
      <c r="P15" s="80">
        <f>SUM(tblExpenses[[#This Row],[Column1]:[Dec]])</f>
        <v>306000</v>
      </c>
      <c r="Q15" s="49">
        <v>0.01</v>
      </c>
      <c r="R15" s="76">
        <f>tblExpenses[[#This Row],[Column1]]/tblExpenses[[#Totals],[Column1]]</f>
        <v>0.1517865274278255</v>
      </c>
      <c r="S15" s="50">
        <f>tblExpenses[[#This Row],[Feb]]/tblExpenses[[#Totals],[Feb]]</f>
        <v>0.14244608415714652</v>
      </c>
      <c r="T15" s="50">
        <f>tblExpenses[[#This Row],[Mar]]/tblExpenses[[#Totals],[Mar]]</f>
        <v>0.13627320051238723</v>
      </c>
      <c r="U15" s="50">
        <f>tblExpenses[[#This Row],[Apr]]/tblExpenses[[#Totals],[Apr]]</f>
        <v>0.13842363168240082</v>
      </c>
      <c r="V15" s="50">
        <f>tblExpenses[[#This Row],[May]]/tblExpenses[[#Totals],[May]]</f>
        <v>0.12771065873157775</v>
      </c>
      <c r="W15" s="50">
        <f>tblExpenses[[#This Row],[Jun]]/tblExpenses[[#Totals],[Jun]]</f>
        <v>0.12409719292149611</v>
      </c>
      <c r="X15" s="50">
        <f>tblExpenses[[#This Row],[Jul]]/tblExpenses[[#Totals],[Jul]]</f>
        <v>9.1656806950053654E-2</v>
      </c>
      <c r="Y15" s="50">
        <f>tblExpenses[[#This Row],[Aug]]/tblExpenses[[#Totals],[Aug]]</f>
        <v>9.6720118482145137E-2</v>
      </c>
      <c r="Z15" s="50">
        <f>tblExpenses[[#This Row],[Sep]]/tblExpenses[[#Totals],[Sep]]</f>
        <v>9.3840160430581965E-2</v>
      </c>
      <c r="AA15" s="50">
        <f>tblExpenses[[#This Row],[Oct]]/tblExpenses[[#Totals],[Oct]]</f>
        <v>9.4231278895138257E-2</v>
      </c>
      <c r="AB15" s="50">
        <f>tblExpenses[[#This Row],[Nov]]/tblExpenses[[#Totals],[Nov]]</f>
        <v>9.1238674670520922E-2</v>
      </c>
      <c r="AC15" s="50">
        <f>tblExpenses[[#This Row],[Dec]]/tblExpenses[[#Totals],[Dec]]</f>
        <v>7.8203279650040328E-2</v>
      </c>
      <c r="AD15" s="77">
        <f>tblExpenses[[#This Row],[Yearly]]/tblExpenses[[#Totals],[Yearly]]</f>
        <v>0.10834231391388822</v>
      </c>
    </row>
    <row r="16" spans="2:30" ht="30" customHeight="1">
      <c r="B16" s="48" t="s">
        <v>61</v>
      </c>
      <c r="C16" t="s">
        <v>52</v>
      </c>
      <c r="D16" s="53">
        <v>600</v>
      </c>
      <c r="E16" s="53">
        <v>600</v>
      </c>
      <c r="F16" s="53">
        <v>600</v>
      </c>
      <c r="G16" s="53">
        <v>600</v>
      </c>
      <c r="H16" s="53">
        <v>600</v>
      </c>
      <c r="I16" s="53">
        <v>600</v>
      </c>
      <c r="J16" s="53">
        <v>630</v>
      </c>
      <c r="K16" s="53">
        <v>630</v>
      </c>
      <c r="L16" s="53">
        <v>630</v>
      </c>
      <c r="M16" s="53">
        <v>630</v>
      </c>
      <c r="N16" s="53">
        <v>630</v>
      </c>
      <c r="O16" s="53">
        <v>630</v>
      </c>
      <c r="P16" s="80">
        <f>SUM(tblExpenses[[#This Row],[Column1]:[Dec]])</f>
        <v>7380</v>
      </c>
      <c r="Q16" s="49">
        <v>0.01</v>
      </c>
      <c r="R16" s="76">
        <f>tblExpenses[[#This Row],[Column1]]/tblExpenses[[#Totals],[Column1]]</f>
        <v>3.642876658267812E-3</v>
      </c>
      <c r="S16" s="50">
        <f>tblExpenses[[#This Row],[Feb]]/tblExpenses[[#Totals],[Feb]]</f>
        <v>3.4187060197715165E-3</v>
      </c>
      <c r="T16" s="50">
        <f>tblExpenses[[#This Row],[Mar]]/tblExpenses[[#Totals],[Mar]]</f>
        <v>3.2705568122972936E-3</v>
      </c>
      <c r="U16" s="50">
        <f>tblExpenses[[#This Row],[Apr]]/tblExpenses[[#Totals],[Apr]]</f>
        <v>3.3221671603776196E-3</v>
      </c>
      <c r="V16" s="50">
        <f>tblExpenses[[#This Row],[May]]/tblExpenses[[#Totals],[May]]</f>
        <v>3.0650558095578657E-3</v>
      </c>
      <c r="W16" s="50">
        <f>tblExpenses[[#This Row],[Jun]]/tblExpenses[[#Totals],[Jun]]</f>
        <v>2.9783326301159067E-3</v>
      </c>
      <c r="X16" s="50">
        <f>tblExpenses[[#This Row],[Jul]]/tblExpenses[[#Totals],[Jul]]</f>
        <v>2.2209149376359156E-3</v>
      </c>
      <c r="Y16" s="50">
        <f>tblExpenses[[#This Row],[Aug]]/tblExpenses[[#Totals],[Aug]]</f>
        <v>2.3436028709135168E-3</v>
      </c>
      <c r="Z16" s="50">
        <f>tblExpenses[[#This Row],[Sep]]/tblExpenses[[#Totals],[Sep]]</f>
        <v>2.2738192719717939E-3</v>
      </c>
      <c r="AA16" s="50">
        <f>tblExpenses[[#This Row],[Oct]]/tblExpenses[[#Totals],[Oct]]</f>
        <v>2.2832963732283499E-3</v>
      </c>
      <c r="AB16" s="50">
        <f>tblExpenses[[#This Row],[Nov]]/tblExpenses[[#Totals],[Nov]]</f>
        <v>2.2107832708626223E-3</v>
      </c>
      <c r="AC16" s="50">
        <f>tblExpenses[[#This Row],[Dec]]/tblExpenses[[#Totals],[Dec]]</f>
        <v>1.8949256222894385E-3</v>
      </c>
      <c r="AD16" s="77">
        <f>tblExpenses[[#This Row],[Yearly]]/tblExpenses[[#Totals],[Yearly]]</f>
        <v>2.6129616885114219E-3</v>
      </c>
    </row>
    <row r="17" spans="2:30" ht="30" customHeight="1">
      <c r="B17" s="48" t="s">
        <v>62</v>
      </c>
      <c r="C17" t="s">
        <v>52</v>
      </c>
      <c r="D17" s="53">
        <v>1750</v>
      </c>
      <c r="E17" s="53">
        <v>1750</v>
      </c>
      <c r="F17" s="53">
        <v>1600</v>
      </c>
      <c r="G17" s="53">
        <v>1250</v>
      </c>
      <c r="H17" s="53">
        <v>1500</v>
      </c>
      <c r="I17" s="53">
        <v>2000</v>
      </c>
      <c r="J17" s="53">
        <v>2250</v>
      </c>
      <c r="K17" s="53">
        <v>2000</v>
      </c>
      <c r="L17" s="53">
        <v>1750</v>
      </c>
      <c r="M17" s="53">
        <v>1500</v>
      </c>
      <c r="N17" s="53">
        <v>1750</v>
      </c>
      <c r="O17" s="53">
        <v>1750</v>
      </c>
      <c r="P17" s="80">
        <f>SUM(tblExpenses[[#This Row],[Column1]:[Dec]])</f>
        <v>20850</v>
      </c>
      <c r="Q17" s="49">
        <v>0.01</v>
      </c>
      <c r="R17" s="76">
        <f>tblExpenses[[#This Row],[Column1]]/tblExpenses[[#Totals],[Column1]]</f>
        <v>1.0625056919947785E-2</v>
      </c>
      <c r="S17" s="50">
        <f>tblExpenses[[#This Row],[Feb]]/tblExpenses[[#Totals],[Feb]]</f>
        <v>9.9712258910002564E-3</v>
      </c>
      <c r="T17" s="50">
        <f>tblExpenses[[#This Row],[Mar]]/tblExpenses[[#Totals],[Mar]]</f>
        <v>8.7214848327927825E-3</v>
      </c>
      <c r="U17" s="50">
        <f>tblExpenses[[#This Row],[Apr]]/tblExpenses[[#Totals],[Apr]]</f>
        <v>6.9211815841200407E-3</v>
      </c>
      <c r="V17" s="50">
        <f>tblExpenses[[#This Row],[May]]/tblExpenses[[#Totals],[May]]</f>
        <v>7.6626395238946644E-3</v>
      </c>
      <c r="W17" s="50">
        <f>tblExpenses[[#This Row],[Jun]]/tblExpenses[[#Totals],[Jun]]</f>
        <v>9.9277754337196884E-3</v>
      </c>
      <c r="X17" s="50">
        <f>tblExpenses[[#This Row],[Jul]]/tblExpenses[[#Totals],[Jul]]</f>
        <v>7.9318390629854116E-3</v>
      </c>
      <c r="Y17" s="50">
        <f>tblExpenses[[#This Row],[Aug]]/tblExpenses[[#Totals],[Aug]]</f>
        <v>7.4400091140111643E-3</v>
      </c>
      <c r="Z17" s="50">
        <f>tblExpenses[[#This Row],[Sep]]/tblExpenses[[#Totals],[Sep]]</f>
        <v>6.3161646443660943E-3</v>
      </c>
      <c r="AA17" s="50">
        <f>tblExpenses[[#This Row],[Oct]]/tblExpenses[[#Totals],[Oct]]</f>
        <v>5.4364199362579762E-3</v>
      </c>
      <c r="AB17" s="50">
        <f>tblExpenses[[#This Row],[Nov]]/tblExpenses[[#Totals],[Nov]]</f>
        <v>6.1410646412850614E-3</v>
      </c>
      <c r="AC17" s="50">
        <f>tblExpenses[[#This Row],[Dec]]/tblExpenses[[#Totals],[Dec]]</f>
        <v>5.2636822841373295E-3</v>
      </c>
      <c r="AD17" s="77">
        <f>tblExpenses[[#This Row],[Yearly]]/tblExpenses[[#Totals],[Yearly]]</f>
        <v>7.3821478598188545E-3</v>
      </c>
    </row>
    <row r="18" spans="2:30" ht="30" customHeight="1">
      <c r="B18" s="48" t="s">
        <v>63</v>
      </c>
      <c r="C18" t="s">
        <v>52</v>
      </c>
      <c r="D18" s="53">
        <v>12000</v>
      </c>
      <c r="E18" s="53">
        <v>12000</v>
      </c>
      <c r="F18" s="53">
        <v>12000</v>
      </c>
      <c r="G18" s="53">
        <v>12000</v>
      </c>
      <c r="H18" s="53">
        <v>12000</v>
      </c>
      <c r="I18" s="53">
        <v>12000</v>
      </c>
      <c r="J18" s="53">
        <v>12500</v>
      </c>
      <c r="K18" s="53">
        <v>12500</v>
      </c>
      <c r="L18" s="53">
        <v>12500</v>
      </c>
      <c r="M18" s="53">
        <v>12500</v>
      </c>
      <c r="N18" s="53">
        <v>12500</v>
      </c>
      <c r="O18" s="53">
        <v>12500</v>
      </c>
      <c r="P18" s="80">
        <f>SUM(tblExpenses[[#This Row],[Column1]:[Dec]])</f>
        <v>147000</v>
      </c>
      <c r="Q18" s="49">
        <v>0.01</v>
      </c>
      <c r="R18" s="76">
        <f>tblExpenses[[#This Row],[Column1]]/tblExpenses[[#Totals],[Column1]]</f>
        <v>7.2857533165356245E-2</v>
      </c>
      <c r="S18" s="50">
        <f>tblExpenses[[#This Row],[Feb]]/tblExpenses[[#Totals],[Feb]]</f>
        <v>6.8374120395430324E-2</v>
      </c>
      <c r="T18" s="50">
        <f>tblExpenses[[#This Row],[Mar]]/tblExpenses[[#Totals],[Mar]]</f>
        <v>6.541113624594587E-2</v>
      </c>
      <c r="U18" s="50">
        <f>tblExpenses[[#This Row],[Apr]]/tblExpenses[[#Totals],[Apr]]</f>
        <v>6.6443343207552394E-2</v>
      </c>
      <c r="V18" s="50">
        <f>tblExpenses[[#This Row],[May]]/tblExpenses[[#Totals],[May]]</f>
        <v>6.1301116191157315E-2</v>
      </c>
      <c r="W18" s="50">
        <f>tblExpenses[[#This Row],[Jun]]/tblExpenses[[#Totals],[Jun]]</f>
        <v>5.9566652602318138E-2</v>
      </c>
      <c r="X18" s="50">
        <f>tblExpenses[[#This Row],[Jul]]/tblExpenses[[#Totals],[Jul]]</f>
        <v>4.4065772572141178E-2</v>
      </c>
      <c r="Y18" s="50">
        <f>tblExpenses[[#This Row],[Aug]]/tblExpenses[[#Totals],[Aug]]</f>
        <v>4.6500056962569779E-2</v>
      </c>
      <c r="Z18" s="50">
        <f>tblExpenses[[#This Row],[Sep]]/tblExpenses[[#Totals],[Sep]]</f>
        <v>4.5115461745472096E-2</v>
      </c>
      <c r="AA18" s="50">
        <f>tblExpenses[[#This Row],[Oct]]/tblExpenses[[#Totals],[Oct]]</f>
        <v>4.5303499468816469E-2</v>
      </c>
      <c r="AB18" s="50">
        <f>tblExpenses[[#This Row],[Nov]]/tblExpenses[[#Totals],[Nov]]</f>
        <v>4.3864747437750443E-2</v>
      </c>
      <c r="AC18" s="50">
        <f>tblExpenses[[#This Row],[Dec]]/tblExpenses[[#Totals],[Dec]]</f>
        <v>3.7597730600980928E-2</v>
      </c>
      <c r="AD18" s="77">
        <f>tblExpenses[[#This Row],[Yearly]]/tblExpenses[[#Totals],[Yearly]]</f>
        <v>5.2046797860593359E-2</v>
      </c>
    </row>
    <row r="19" spans="2:30" ht="30" customHeight="1">
      <c r="B19" s="48" t="s">
        <v>64</v>
      </c>
      <c r="C19" t="s">
        <v>52</v>
      </c>
      <c r="D19" s="53">
        <v>1000</v>
      </c>
      <c r="E19" s="53">
        <v>1000</v>
      </c>
      <c r="F19" s="53">
        <v>1000</v>
      </c>
      <c r="G19" s="53">
        <v>1000</v>
      </c>
      <c r="H19" s="53">
        <v>1000</v>
      </c>
      <c r="I19" s="53">
        <v>1000</v>
      </c>
      <c r="J19" s="53">
        <v>1050</v>
      </c>
      <c r="K19" s="53">
        <v>1050</v>
      </c>
      <c r="L19" s="53">
        <v>1050</v>
      </c>
      <c r="M19" s="53">
        <v>1050</v>
      </c>
      <c r="N19" s="53">
        <v>1050</v>
      </c>
      <c r="O19" s="53">
        <v>1050</v>
      </c>
      <c r="P19" s="80">
        <f>SUM(tblExpenses[[#This Row],[Column1]:[Dec]])</f>
        <v>12300</v>
      </c>
      <c r="Q19" s="49">
        <v>0.14000000000000001</v>
      </c>
      <c r="R19" s="76">
        <f>tblExpenses[[#This Row],[Column1]]/tblExpenses[[#Totals],[Column1]]</f>
        <v>6.0714610971130201E-3</v>
      </c>
      <c r="S19" s="50">
        <f>tblExpenses[[#This Row],[Feb]]/tblExpenses[[#Totals],[Feb]]</f>
        <v>5.6978433662858612E-3</v>
      </c>
      <c r="T19" s="50">
        <f>tblExpenses[[#This Row],[Mar]]/tblExpenses[[#Totals],[Mar]]</f>
        <v>5.4509280204954897E-3</v>
      </c>
      <c r="U19" s="50">
        <f>tblExpenses[[#This Row],[Apr]]/tblExpenses[[#Totals],[Apr]]</f>
        <v>5.5369452672960331E-3</v>
      </c>
      <c r="V19" s="50">
        <f>tblExpenses[[#This Row],[May]]/tblExpenses[[#Totals],[May]]</f>
        <v>5.1084263492631099E-3</v>
      </c>
      <c r="W19" s="50">
        <f>tblExpenses[[#This Row],[Jun]]/tblExpenses[[#Totals],[Jun]]</f>
        <v>4.9638877168598442E-3</v>
      </c>
      <c r="X19" s="50">
        <f>tblExpenses[[#This Row],[Jul]]/tblExpenses[[#Totals],[Jul]]</f>
        <v>3.701524896059859E-3</v>
      </c>
      <c r="Y19" s="50">
        <f>tblExpenses[[#This Row],[Aug]]/tblExpenses[[#Totals],[Aug]]</f>
        <v>3.9060047848558615E-3</v>
      </c>
      <c r="Z19" s="50">
        <f>tblExpenses[[#This Row],[Sep]]/tblExpenses[[#Totals],[Sep]]</f>
        <v>3.7896987866196563E-3</v>
      </c>
      <c r="AA19" s="50">
        <f>tblExpenses[[#This Row],[Oct]]/tblExpenses[[#Totals],[Oct]]</f>
        <v>3.8054939553805833E-3</v>
      </c>
      <c r="AB19" s="50">
        <f>tblExpenses[[#This Row],[Nov]]/tblExpenses[[#Totals],[Nov]]</f>
        <v>3.6846387847710368E-3</v>
      </c>
      <c r="AC19" s="50">
        <f>tblExpenses[[#This Row],[Dec]]/tblExpenses[[#Totals],[Dec]]</f>
        <v>3.1582093704823977E-3</v>
      </c>
      <c r="AD19" s="77">
        <f>tblExpenses[[#This Row],[Yearly]]/tblExpenses[[#Totals],[Yearly]]</f>
        <v>4.3549361475190363E-3</v>
      </c>
    </row>
    <row r="20" spans="2:30" ht="30" customHeight="1">
      <c r="B20" s="48" t="s">
        <v>65</v>
      </c>
      <c r="C20" t="s">
        <v>52</v>
      </c>
      <c r="D20" s="53">
        <v>500</v>
      </c>
      <c r="E20" s="53">
        <v>500</v>
      </c>
      <c r="F20" s="53">
        <v>500</v>
      </c>
      <c r="G20" s="53">
        <v>500</v>
      </c>
      <c r="H20" s="53">
        <v>500</v>
      </c>
      <c r="I20" s="53">
        <v>500</v>
      </c>
      <c r="J20" s="53">
        <v>1000</v>
      </c>
      <c r="K20" s="53">
        <v>1000</v>
      </c>
      <c r="L20" s="53">
        <v>1000</v>
      </c>
      <c r="M20" s="53">
        <v>1000</v>
      </c>
      <c r="N20" s="53">
        <v>1000</v>
      </c>
      <c r="O20" s="53">
        <v>1000</v>
      </c>
      <c r="P20" s="80">
        <f>SUM(tblExpenses[[#This Row],[Column1]:[Dec]])</f>
        <v>9000</v>
      </c>
      <c r="Q20" s="49">
        <v>0.06</v>
      </c>
      <c r="R20" s="76">
        <f>tblExpenses[[#This Row],[Column1]]/tblExpenses[[#Totals],[Column1]]</f>
        <v>3.0357305485565101E-3</v>
      </c>
      <c r="S20" s="50">
        <f>tblExpenses[[#This Row],[Feb]]/tblExpenses[[#Totals],[Feb]]</f>
        <v>2.8489216831429306E-3</v>
      </c>
      <c r="T20" s="50">
        <f>tblExpenses[[#This Row],[Mar]]/tblExpenses[[#Totals],[Mar]]</f>
        <v>2.7254640102477449E-3</v>
      </c>
      <c r="U20" s="50">
        <f>tblExpenses[[#This Row],[Apr]]/tblExpenses[[#Totals],[Apr]]</f>
        <v>2.7684726336480166E-3</v>
      </c>
      <c r="V20" s="50">
        <f>tblExpenses[[#This Row],[May]]/tblExpenses[[#Totals],[May]]</f>
        <v>2.5542131746315549E-3</v>
      </c>
      <c r="W20" s="50">
        <f>tblExpenses[[#This Row],[Jun]]/tblExpenses[[#Totals],[Jun]]</f>
        <v>2.4819438584299221E-3</v>
      </c>
      <c r="X20" s="50">
        <f>tblExpenses[[#This Row],[Jul]]/tblExpenses[[#Totals],[Jul]]</f>
        <v>3.5252618057712943E-3</v>
      </c>
      <c r="Y20" s="50">
        <f>tblExpenses[[#This Row],[Aug]]/tblExpenses[[#Totals],[Aug]]</f>
        <v>3.7200045570055821E-3</v>
      </c>
      <c r="Z20" s="50">
        <f>tblExpenses[[#This Row],[Sep]]/tblExpenses[[#Totals],[Sep]]</f>
        <v>3.6092369396377678E-3</v>
      </c>
      <c r="AA20" s="50">
        <f>tblExpenses[[#This Row],[Oct]]/tblExpenses[[#Totals],[Oct]]</f>
        <v>3.6242799575053174E-3</v>
      </c>
      <c r="AB20" s="50">
        <f>tblExpenses[[#This Row],[Nov]]/tblExpenses[[#Totals],[Nov]]</f>
        <v>3.5091797950200353E-3</v>
      </c>
      <c r="AC20" s="50">
        <f>tblExpenses[[#This Row],[Dec]]/tblExpenses[[#Totals],[Dec]]</f>
        <v>3.0078184480784738E-3</v>
      </c>
      <c r="AD20" s="77">
        <f>tblExpenses[[#This Row],[Yearly]]/tblExpenses[[#Totals],[Yearly]]</f>
        <v>3.1865386445261239E-3</v>
      </c>
    </row>
    <row r="21" spans="2:30" ht="30" customHeight="1">
      <c r="B21" s="48" t="s">
        <v>66</v>
      </c>
      <c r="C21" t="s">
        <v>52</v>
      </c>
      <c r="D21" s="53">
        <v>5000</v>
      </c>
      <c r="E21" s="53">
        <v>5000</v>
      </c>
      <c r="F21" s="53">
        <v>5000</v>
      </c>
      <c r="G21" s="53">
        <v>5000</v>
      </c>
      <c r="H21" s="53">
        <v>5000</v>
      </c>
      <c r="I21" s="53">
        <v>5000</v>
      </c>
      <c r="J21" s="53">
        <v>5000</v>
      </c>
      <c r="K21" s="53">
        <v>5000</v>
      </c>
      <c r="L21" s="53">
        <v>5000</v>
      </c>
      <c r="M21" s="53">
        <v>5000</v>
      </c>
      <c r="N21" s="53">
        <v>5000</v>
      </c>
      <c r="O21" s="53">
        <v>5000</v>
      </c>
      <c r="P21" s="80">
        <f>SUM(tblExpenses[[#This Row],[Column1]:[Dec]])</f>
        <v>60000</v>
      </c>
      <c r="Q21" s="49">
        <v>0.01</v>
      </c>
      <c r="R21" s="76">
        <f>tblExpenses[[#This Row],[Column1]]/tblExpenses[[#Totals],[Column1]]</f>
        <v>3.03573054855651E-2</v>
      </c>
      <c r="S21" s="50">
        <f>tblExpenses[[#This Row],[Feb]]/tblExpenses[[#Totals],[Feb]]</f>
        <v>2.8489216831429305E-2</v>
      </c>
      <c r="T21" s="50">
        <f>tblExpenses[[#This Row],[Mar]]/tblExpenses[[#Totals],[Mar]]</f>
        <v>2.7254640102477447E-2</v>
      </c>
      <c r="U21" s="50">
        <f>tblExpenses[[#This Row],[Apr]]/tblExpenses[[#Totals],[Apr]]</f>
        <v>2.7684726336480163E-2</v>
      </c>
      <c r="V21" s="50">
        <f>tblExpenses[[#This Row],[May]]/tblExpenses[[#Totals],[May]]</f>
        <v>2.5542131746315547E-2</v>
      </c>
      <c r="W21" s="50">
        <f>tblExpenses[[#This Row],[Jun]]/tblExpenses[[#Totals],[Jun]]</f>
        <v>2.4819438584299223E-2</v>
      </c>
      <c r="X21" s="50">
        <f>tblExpenses[[#This Row],[Jul]]/tblExpenses[[#Totals],[Jul]]</f>
        <v>1.7626309028856472E-2</v>
      </c>
      <c r="Y21" s="50">
        <f>tblExpenses[[#This Row],[Aug]]/tblExpenses[[#Totals],[Aug]]</f>
        <v>1.8600022785027912E-2</v>
      </c>
      <c r="Z21" s="50">
        <f>tblExpenses[[#This Row],[Sep]]/tblExpenses[[#Totals],[Sep]]</f>
        <v>1.804618469818884E-2</v>
      </c>
      <c r="AA21" s="50">
        <f>tblExpenses[[#This Row],[Oct]]/tblExpenses[[#Totals],[Oct]]</f>
        <v>1.8121399787526589E-2</v>
      </c>
      <c r="AB21" s="50">
        <f>tblExpenses[[#This Row],[Nov]]/tblExpenses[[#Totals],[Nov]]</f>
        <v>1.7545898975100175E-2</v>
      </c>
      <c r="AC21" s="50">
        <f>tblExpenses[[#This Row],[Dec]]/tblExpenses[[#Totals],[Dec]]</f>
        <v>1.503909224039237E-2</v>
      </c>
      <c r="AD21" s="77">
        <f>tblExpenses[[#This Row],[Yearly]]/tblExpenses[[#Totals],[Yearly]]</f>
        <v>2.1243590963507492E-2</v>
      </c>
    </row>
    <row r="22" spans="2:30" ht="30" customHeight="1">
      <c r="B22" s="48" t="s">
        <v>67</v>
      </c>
      <c r="C22" t="s">
        <v>52</v>
      </c>
      <c r="D22" s="53">
        <v>6000</v>
      </c>
      <c r="E22" s="53">
        <v>6500</v>
      </c>
      <c r="F22" s="53">
        <v>7500</v>
      </c>
      <c r="G22" s="53">
        <v>2500</v>
      </c>
      <c r="H22" s="53">
        <v>15000</v>
      </c>
      <c r="I22" s="53">
        <v>5000</v>
      </c>
      <c r="J22" s="53">
        <v>5500</v>
      </c>
      <c r="K22" s="53">
        <v>4000</v>
      </c>
      <c r="L22" s="53">
        <v>5000</v>
      </c>
      <c r="M22" s="53">
        <v>4000</v>
      </c>
      <c r="N22" s="53">
        <v>3000</v>
      </c>
      <c r="O22" s="53">
        <v>25000</v>
      </c>
      <c r="P22" s="80">
        <f>SUM(tblExpenses[[#This Row],[Column1]:[Dec]])</f>
        <v>89000</v>
      </c>
      <c r="Q22" s="49">
        <v>0.01</v>
      </c>
      <c r="R22" s="76">
        <f>tblExpenses[[#This Row],[Column1]]/tblExpenses[[#Totals],[Column1]]</f>
        <v>3.6428766582678122E-2</v>
      </c>
      <c r="S22" s="50">
        <f>tblExpenses[[#This Row],[Feb]]/tblExpenses[[#Totals],[Feb]]</f>
        <v>3.7035981880858097E-2</v>
      </c>
      <c r="T22" s="50">
        <f>tblExpenses[[#This Row],[Mar]]/tblExpenses[[#Totals],[Mar]]</f>
        <v>4.0881960153716174E-2</v>
      </c>
      <c r="U22" s="50">
        <f>tblExpenses[[#This Row],[Apr]]/tblExpenses[[#Totals],[Apr]]</f>
        <v>1.3842363168240081E-2</v>
      </c>
      <c r="V22" s="50">
        <f>tblExpenses[[#This Row],[May]]/tblExpenses[[#Totals],[May]]</f>
        <v>7.662639523894664E-2</v>
      </c>
      <c r="W22" s="50">
        <f>tblExpenses[[#This Row],[Jun]]/tblExpenses[[#Totals],[Jun]]</f>
        <v>2.4819438584299223E-2</v>
      </c>
      <c r="X22" s="50">
        <f>tblExpenses[[#This Row],[Jul]]/tblExpenses[[#Totals],[Jul]]</f>
        <v>1.9388939931742118E-2</v>
      </c>
      <c r="Y22" s="50">
        <f>tblExpenses[[#This Row],[Aug]]/tblExpenses[[#Totals],[Aug]]</f>
        <v>1.4880018228022329E-2</v>
      </c>
      <c r="Z22" s="50">
        <f>tblExpenses[[#This Row],[Sep]]/tblExpenses[[#Totals],[Sep]]</f>
        <v>1.804618469818884E-2</v>
      </c>
      <c r="AA22" s="50">
        <f>tblExpenses[[#This Row],[Oct]]/tblExpenses[[#Totals],[Oct]]</f>
        <v>1.449711983002127E-2</v>
      </c>
      <c r="AB22" s="50">
        <f>tblExpenses[[#This Row],[Nov]]/tblExpenses[[#Totals],[Nov]]</f>
        <v>1.0527539385060106E-2</v>
      </c>
      <c r="AC22" s="50">
        <f>tblExpenses[[#This Row],[Dec]]/tblExpenses[[#Totals],[Dec]]</f>
        <v>7.5195461201961855E-2</v>
      </c>
      <c r="AD22" s="77">
        <f>tblExpenses[[#This Row],[Yearly]]/tblExpenses[[#Totals],[Yearly]]</f>
        <v>3.151132659586945E-2</v>
      </c>
    </row>
    <row r="23" spans="2:30" ht="30" customHeight="1">
      <c r="B23" s="48" t="s">
        <v>68</v>
      </c>
      <c r="C23" t="s">
        <v>52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80">
        <f>SUM(tblExpenses[[#This Row],[Column1]:[Dec]])</f>
        <v>0</v>
      </c>
      <c r="Q23" s="49">
        <v>0.01</v>
      </c>
      <c r="R23" s="76">
        <f>tblExpenses[[#This Row],[Column1]]/tblExpenses[[#Totals],[Column1]]</f>
        <v>0</v>
      </c>
      <c r="S23" s="50">
        <f>tblExpenses[[#This Row],[Feb]]/tblExpenses[[#Totals],[Feb]]</f>
        <v>0</v>
      </c>
      <c r="T23" s="50">
        <f>tblExpenses[[#This Row],[Mar]]/tblExpenses[[#Totals],[Mar]]</f>
        <v>0</v>
      </c>
      <c r="U23" s="50">
        <f>tblExpenses[[#This Row],[Apr]]/tblExpenses[[#Totals],[Apr]]</f>
        <v>0</v>
      </c>
      <c r="V23" s="50">
        <f>tblExpenses[[#This Row],[May]]/tblExpenses[[#Totals],[May]]</f>
        <v>0</v>
      </c>
      <c r="W23" s="50">
        <f>tblExpenses[[#This Row],[Jun]]/tblExpenses[[#Totals],[Jun]]</f>
        <v>0</v>
      </c>
      <c r="X23" s="50">
        <f>tblExpenses[[#This Row],[Jul]]/tblExpenses[[#Totals],[Jul]]</f>
        <v>0</v>
      </c>
      <c r="Y23" s="50">
        <f>tblExpenses[[#This Row],[Aug]]/tblExpenses[[#Totals],[Aug]]</f>
        <v>0</v>
      </c>
      <c r="Z23" s="50">
        <f>tblExpenses[[#This Row],[Sep]]/tblExpenses[[#Totals],[Sep]]</f>
        <v>0</v>
      </c>
      <c r="AA23" s="50">
        <f>tblExpenses[[#This Row],[Oct]]/tblExpenses[[#Totals],[Oct]]</f>
        <v>0</v>
      </c>
      <c r="AB23" s="50">
        <f>tblExpenses[[#This Row],[Nov]]/tblExpenses[[#Totals],[Nov]]</f>
        <v>0</v>
      </c>
      <c r="AC23" s="50">
        <f>tblExpenses[[#This Row],[Dec]]/tblExpenses[[#Totals],[Dec]]</f>
        <v>0</v>
      </c>
      <c r="AD23" s="77">
        <f>tblExpenses[[#This Row],[Yearly]]/tblExpenses[[#Totals],[Yearly]]</f>
        <v>0</v>
      </c>
    </row>
    <row r="24" spans="2:30" ht="30" customHeight="1">
      <c r="B24" s="48" t="s">
        <v>68</v>
      </c>
      <c r="C24" t="s">
        <v>52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80">
        <f>SUM(tblExpenses[[#This Row],[Column1]:[Dec]])</f>
        <v>0</v>
      </c>
      <c r="Q24" s="49">
        <v>0.01</v>
      </c>
      <c r="R24" s="76">
        <f>tblExpenses[[#This Row],[Column1]]/tblExpenses[[#Totals],[Column1]]</f>
        <v>0</v>
      </c>
      <c r="S24" s="50">
        <f>tblExpenses[[#This Row],[Feb]]/tblExpenses[[#Totals],[Feb]]</f>
        <v>0</v>
      </c>
      <c r="T24" s="50">
        <f>tblExpenses[[#This Row],[Mar]]/tblExpenses[[#Totals],[Mar]]</f>
        <v>0</v>
      </c>
      <c r="U24" s="50">
        <f>tblExpenses[[#This Row],[Apr]]/tblExpenses[[#Totals],[Apr]]</f>
        <v>0</v>
      </c>
      <c r="V24" s="50">
        <f>tblExpenses[[#This Row],[May]]/tblExpenses[[#Totals],[May]]</f>
        <v>0</v>
      </c>
      <c r="W24" s="50">
        <f>tblExpenses[[#This Row],[Jun]]/tblExpenses[[#Totals],[Jun]]</f>
        <v>0</v>
      </c>
      <c r="X24" s="50">
        <f>tblExpenses[[#This Row],[Jul]]/tblExpenses[[#Totals],[Jul]]</f>
        <v>0</v>
      </c>
      <c r="Y24" s="50">
        <f>tblExpenses[[#This Row],[Aug]]/tblExpenses[[#Totals],[Aug]]</f>
        <v>0</v>
      </c>
      <c r="Z24" s="50">
        <f>tblExpenses[[#This Row],[Sep]]/tblExpenses[[#Totals],[Sep]]</f>
        <v>0</v>
      </c>
      <c r="AA24" s="50">
        <f>tblExpenses[[#This Row],[Oct]]/tblExpenses[[#Totals],[Oct]]</f>
        <v>0</v>
      </c>
      <c r="AB24" s="50">
        <f>tblExpenses[[#This Row],[Nov]]/tblExpenses[[#Totals],[Nov]]</f>
        <v>0</v>
      </c>
      <c r="AC24" s="50">
        <f>tblExpenses[[#This Row],[Dec]]/tblExpenses[[#Totals],[Dec]]</f>
        <v>0</v>
      </c>
      <c r="AD24" s="77">
        <f>tblExpenses[[#This Row],[Yearly]]/tblExpenses[[#Totals],[Yearly]]</f>
        <v>0</v>
      </c>
    </row>
    <row r="25" spans="2:30" ht="30" customHeight="1">
      <c r="B25" s="48" t="s">
        <v>69</v>
      </c>
      <c r="C25" t="s">
        <v>52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80">
        <f>SUM(tblExpenses[[#This Row],[Column1]:[Dec]])</f>
        <v>0</v>
      </c>
      <c r="Q25" s="49">
        <v>0.02</v>
      </c>
      <c r="R25" s="76">
        <f>tblExpenses[[#This Row],[Column1]]/tblExpenses[[#Totals],[Column1]]</f>
        <v>0</v>
      </c>
      <c r="S25" s="50">
        <f>tblExpenses[[#This Row],[Feb]]/tblExpenses[[#Totals],[Feb]]</f>
        <v>0</v>
      </c>
      <c r="T25" s="50">
        <f>tblExpenses[[#This Row],[Mar]]/tblExpenses[[#Totals],[Mar]]</f>
        <v>0</v>
      </c>
      <c r="U25" s="50">
        <f>tblExpenses[[#This Row],[Apr]]/tblExpenses[[#Totals],[Apr]]</f>
        <v>0</v>
      </c>
      <c r="V25" s="50">
        <f>tblExpenses[[#This Row],[May]]/tblExpenses[[#Totals],[May]]</f>
        <v>0</v>
      </c>
      <c r="W25" s="50">
        <f>tblExpenses[[#This Row],[Jun]]/tblExpenses[[#Totals],[Jun]]</f>
        <v>0</v>
      </c>
      <c r="X25" s="50">
        <f>tblExpenses[[#This Row],[Jul]]/tblExpenses[[#Totals],[Jul]]</f>
        <v>0</v>
      </c>
      <c r="Y25" s="50">
        <f>tblExpenses[[#This Row],[Aug]]/tblExpenses[[#Totals],[Aug]]</f>
        <v>0</v>
      </c>
      <c r="Z25" s="50">
        <f>tblExpenses[[#This Row],[Sep]]/tblExpenses[[#Totals],[Sep]]</f>
        <v>0</v>
      </c>
      <c r="AA25" s="50">
        <f>tblExpenses[[#This Row],[Oct]]/tblExpenses[[#Totals],[Oct]]</f>
        <v>0</v>
      </c>
      <c r="AB25" s="50">
        <f>tblExpenses[[#This Row],[Nov]]/tblExpenses[[#Totals],[Nov]]</f>
        <v>0</v>
      </c>
      <c r="AC25" s="50">
        <f>tblExpenses[[#This Row],[Dec]]/tblExpenses[[#Totals],[Dec]]</f>
        <v>0</v>
      </c>
      <c r="AD25" s="77">
        <f>tblExpenses[[#This Row],[Yearly]]/tblExpenses[[#Totals],[Yearly]]</f>
        <v>0</v>
      </c>
    </row>
    <row r="26" spans="2:30" ht="30" customHeight="1">
      <c r="B26" s="54" t="s">
        <v>70</v>
      </c>
      <c r="C26" t="s">
        <v>52</v>
      </c>
      <c r="D26" s="53">
        <f>SUBTOTAL(109,tblExpenses[Column1])</f>
        <v>164705</v>
      </c>
      <c r="E26" s="53">
        <f>SUBTOTAL(109,tblExpenses[Feb])</f>
        <v>175505</v>
      </c>
      <c r="F26" s="53">
        <f>SUBTOTAL(109,tblExpenses[Mar])</f>
        <v>183455</v>
      </c>
      <c r="G26" s="53">
        <f>SUBTOTAL(109,tblExpenses[Apr])</f>
        <v>180605</v>
      </c>
      <c r="H26" s="53">
        <f>SUBTOTAL(109,tblExpenses[May])</f>
        <v>195755</v>
      </c>
      <c r="I26" s="53">
        <f>SUBTOTAL(109,tblExpenses[Jun])</f>
        <v>201455</v>
      </c>
      <c r="J26" s="53">
        <f>SUBTOTAL(109,tblExpenses[Jul])</f>
        <v>283666.875</v>
      </c>
      <c r="K26" s="53">
        <f>SUBTOTAL(109,tblExpenses[Aug])</f>
        <v>268816.875</v>
      </c>
      <c r="L26" s="53">
        <f>SUBTOTAL(109,tblExpenses[Sep])</f>
        <v>277066.875</v>
      </c>
      <c r="M26" s="53">
        <f>SUBTOTAL(109,tblExpenses[Oct])</f>
        <v>275916.875</v>
      </c>
      <c r="N26" s="53">
        <f>SUBTOTAL(109,tblExpenses[Nov])</f>
        <v>284966.875</v>
      </c>
      <c r="O26" s="53">
        <f>SUBTOTAL(109,tblExpenses[Dec])</f>
        <v>332466.875</v>
      </c>
      <c r="P26" s="81">
        <f>SUBTOTAL(109,tblExpenses[Yearly])</f>
        <v>2824381.25</v>
      </c>
      <c r="Q26" s="101">
        <f>SUBTOTAL(109,tblExpenses[Index %])</f>
        <v>1</v>
      </c>
      <c r="R26" s="102">
        <f>SUBTOTAL(109,tblExpenses[Jan %])</f>
        <v>0.99999999999999989</v>
      </c>
      <c r="S26" s="103">
        <f>SUBTOTAL(109,tblExpenses[Feb %])</f>
        <v>1</v>
      </c>
      <c r="T26" s="103">
        <f>SUBTOTAL(109,tblExpenses[Mar %])</f>
        <v>1</v>
      </c>
      <c r="U26" s="103">
        <f>SUBTOTAL(109,tblExpenses[Apr %])</f>
        <v>0.99999999999999978</v>
      </c>
      <c r="V26" s="103">
        <f>SUBTOTAL(109,tblExpenses[May %])</f>
        <v>1</v>
      </c>
      <c r="W26" s="103">
        <f>SUBTOTAL(109,tblExpenses[Jun %])</f>
        <v>1</v>
      </c>
      <c r="X26" s="103">
        <f>SUBTOTAL(109,tblExpenses[Jul %])</f>
        <v>0.99999999999999989</v>
      </c>
      <c r="Y26" s="103">
        <f>SUBTOTAL(109,tblExpenses[Aug %])</f>
        <v>1.0000000000000002</v>
      </c>
      <c r="Z26" s="103">
        <f>SUBTOTAL(109,tblExpenses[Sep %])</f>
        <v>1</v>
      </c>
      <c r="AA26" s="103">
        <f>SUBTOTAL(109,tblExpenses[Oct %])</f>
        <v>0.99999999999999989</v>
      </c>
      <c r="AB26" s="103">
        <f>SUBTOTAL(109,tblExpenses[Nov %])</f>
        <v>1</v>
      </c>
      <c r="AC26" s="103">
        <f>SUBTOTAL(109,tblExpenses[Dec %])</f>
        <v>1</v>
      </c>
      <c r="AD26" s="104">
        <f>SUBTOTAL(109,tblExpenses[Year %])</f>
        <v>1</v>
      </c>
    </row>
    <row r="27" spans="2:30" ht="10.15" customHeigh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2:30" ht="30" customHeight="1">
      <c r="B28" s="82" t="s">
        <v>71</v>
      </c>
      <c r="C28" s="83"/>
      <c r="D28" s="84">
        <f>'Cost of Sales'!$D$16-tblExpenses[[#Totals],[Column1]]</f>
        <v>-69723</v>
      </c>
      <c r="E28" s="84">
        <f>'Cost of Sales'!E16-tblExpenses[[#Totals],[Feb]]</f>
        <v>-66266</v>
      </c>
      <c r="F28" s="84">
        <f>'Cost of Sales'!F16-tblExpenses[[#Totals],[Mar]]</f>
        <v>-57610</v>
      </c>
      <c r="G28" s="84">
        <f>'Cost of Sales'!G16-tblExpenses[[#Totals],[Apr]]</f>
        <v>-28614</v>
      </c>
      <c r="H28" s="84">
        <f>'Cost of Sales'!H16-tblExpenses[[#Totals],[May]]</f>
        <v>-2942</v>
      </c>
      <c r="I28" s="84">
        <f>'Cost of Sales'!I16-tblExpenses[[#Totals],[Jun]]</f>
        <v>27256</v>
      </c>
      <c r="J28" s="84">
        <f>'Cost of Sales'!J16-tblExpenses[[#Totals],[Jul]]</f>
        <v>-19143.875</v>
      </c>
      <c r="K28" s="84">
        <f>'Cost of Sales'!K16-tblExpenses[[#Totals],[Aug]]</f>
        <v>39014.125</v>
      </c>
      <c r="L28" s="84">
        <f>'Cost of Sales'!L16-tblExpenses[[#Totals],[Sep]]</f>
        <v>76312.125</v>
      </c>
      <c r="M28" s="84">
        <f>'Cost of Sales'!M16-tblExpenses[[#Totals],[Oct]]</f>
        <v>118439.125</v>
      </c>
      <c r="N28" s="84">
        <f>'Cost of Sales'!N16-tblExpenses[[#Totals],[Nov]]</f>
        <v>164500.125</v>
      </c>
      <c r="O28" s="84">
        <f>'Cost of Sales'!O16-tblExpenses[[#Totals],[Dec]]</f>
        <v>193493.125</v>
      </c>
      <c r="P28" s="84">
        <f>SUM(D28:O28)</f>
        <v>374715.75</v>
      </c>
      <c r="Q28" s="63"/>
      <c r="R28" s="85">
        <f>D28/$P$28</f>
        <v>-0.1860690403325721</v>
      </c>
      <c r="S28" s="85">
        <f t="shared" ref="S28:AD28" si="2">E28/$P$28</f>
        <v>-0.17684338061584015</v>
      </c>
      <c r="T28" s="85">
        <f t="shared" si="2"/>
        <v>-0.15374320401531028</v>
      </c>
      <c r="U28" s="85">
        <f t="shared" si="2"/>
        <v>-7.6361882306788545E-2</v>
      </c>
      <c r="V28" s="85">
        <f t="shared" si="2"/>
        <v>-7.8512846070654882E-3</v>
      </c>
      <c r="W28" s="85">
        <f t="shared" si="2"/>
        <v>7.2737801920522427E-2</v>
      </c>
      <c r="X28" s="85">
        <f t="shared" si="2"/>
        <v>-5.1089058839934004E-2</v>
      </c>
      <c r="Y28" s="85">
        <f t="shared" si="2"/>
        <v>0.10411658703964272</v>
      </c>
      <c r="Z28" s="85">
        <f t="shared" si="2"/>
        <v>0.20365336925389446</v>
      </c>
      <c r="AA28" s="85">
        <f t="shared" si="2"/>
        <v>0.31607725322461094</v>
      </c>
      <c r="AB28" s="85">
        <f t="shared" si="2"/>
        <v>0.43899976181945916</v>
      </c>
      <c r="AC28" s="85">
        <f t="shared" si="2"/>
        <v>0.51637307745938088</v>
      </c>
      <c r="AD28" s="85">
        <f t="shared" si="2"/>
        <v>1</v>
      </c>
    </row>
  </sheetData>
  <dataValidations count="18">
    <dataValidation allowBlank="1" showInputMessage="1" showErrorMessage="1" prompt="This worksheet calculates total expenses for each month &amp; year, &amp; total annual expenses on each item. Net profit is automatically calculated based on gross profit &amp; total expenses " sqref="A1:A1048576" xr:uid="{00000000-0002-0000-0200-000000000000}"/>
    <dataValidation allowBlank="1" showInputMessage="1" showErrorMessage="1" prompt="Automatically updated title from Revenue (Sales) worksheet. Enter values in the Expenses table below to calculate total expenses" sqref="B3:B4" xr:uid="{00000000-0002-0000-0200-000001000000}"/>
    <dataValidation allowBlank="1" showInputMessage="1" showErrorMessage="1" prompt="Enter index percent in this column" sqref="Q6" xr:uid="{00000000-0002-0000-0200-000002000000}"/>
    <dataValidation allowBlank="1" showInputMessage="1" showErrorMessage="1" prompt="Net profit is automatically calculated for each month &amp; year based on gross profit &amp; total expenses" sqref="B28" xr:uid="{00000000-0002-0000-0200-000003000000}"/>
    <dataValidation allowBlank="1" showInputMessage="1" showErrorMessage="1" prompt="Enter expenses of sources listed in column B, in this column" sqref="D6:O6" xr:uid="{00000000-0002-0000-0200-000004000000}"/>
    <dataValidation allowBlank="1" showInputMessage="1" showErrorMessage="1" prompt="A trend chart for expenses over time is in this column" sqref="C6" xr:uid="{00000000-0002-0000-0200-000005000000}"/>
    <dataValidation allowBlank="1" showInputMessage="1" showErrorMessage="1" prompt="Enter expenses in this column" sqref="B6" xr:uid="{00000000-0002-0000-0200-000006000000}"/>
    <dataValidation allowBlank="1" showInputMessage="1" showErrorMessage="1" prompt="Automatically calculates proportion of expenses from different sources to total expenses for the year in this column" sqref="AD5" xr:uid="{00000000-0002-0000-0200-000007000000}"/>
    <dataValidation allowBlank="1" showInputMessage="1" showErrorMessage="1" prompt="Automatically calculates proportion of expenses from different sources to total expenses in this column, for the month in this cell" sqref="R5:AC5" xr:uid="{00000000-0002-0000-0200-000008000000}"/>
    <dataValidation allowBlank="1" showInputMessage="1" showErrorMessage="1" prompt="Automatically updated month" sqref="E5:O5" xr:uid="{00000000-0002-0000-0200-000009000000}"/>
    <dataValidation allowBlank="1" showInputMessage="1" showErrorMessage="1" prompt="The dates in this row are automatically updated based on the starting month of fiscal year. To change starting month, modify cell AC2" sqref="D5" xr:uid="{00000000-0002-0000-0200-00000A000000}"/>
    <dataValidation allowBlank="1" showInputMessage="1" showErrorMessage="1" prompt="Annual Expense is automatically calculated in this column" sqref="P5" xr:uid="{00000000-0002-0000-0200-00000B000000}"/>
    <dataValidation allowBlank="1" showInputMessage="1" showErrorMessage="1" prompt="Index percent is in this column" sqref="Q5" xr:uid="{00000000-0002-0000-0200-00000C000000}"/>
    <dataValidation allowBlank="1" showInputMessage="1" showErrorMessage="1" prompt="Month &amp; year are automatically updated in cells at right. To change month or year, modify cells AC2 and AD2 in Revenue (Sales) worksheet" sqref="E2" xr:uid="{00000000-0002-0000-0200-00000D000000}"/>
    <dataValidation allowBlank="1" showInputMessage="1" showErrorMessage="1" prompt="Automatically updated month. To change, modify cell AC2 in Revenues (Sales) worksheet" sqref="F2" xr:uid="{00000000-0002-0000-0200-00000E000000}"/>
    <dataValidation allowBlank="1" showInputMessage="1" showErrorMessage="1" prompt="Automatically updated year. To change, modify cell AD2 in Revenues (Sales) worksheet" sqref="G2" xr:uid="{00000000-0002-0000-0200-00000F000000}"/>
    <dataValidation allowBlank="1" showInputMessage="1" showErrorMessage="1" prompt="This cell is automatically updated from the projection period title in Revenue (Sales) worksheet" sqref="B2" xr:uid="{00000000-0002-0000-0200-000010000000}"/>
    <dataValidation allowBlank="1" showInputMessage="1" showErrorMessage="1" prompt="Company name is automatically updated using the entry from Revenue (Sales) sheet" sqref="AD2 B1" xr:uid="{00000000-0002-0000-0200-000011000000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200-000005000000}">
          <x14:colorSeries theme="9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theme="9" tint="-0.499984740745262"/>
          <x14:sparklines>
            <x14:sparkline>
              <xm:f>Expenses!D7:O7</xm:f>
              <xm:sqref>C7</xm:sqref>
            </x14:sparkline>
            <x14:sparkline>
              <xm:f>Expenses!D8:O8</xm:f>
              <xm:sqref>C8</xm:sqref>
            </x14:sparkline>
            <x14:sparkline>
              <xm:f>Expenses!D9:O9</xm:f>
              <xm:sqref>C9</xm:sqref>
            </x14:sparkline>
            <x14:sparkline>
              <xm:f>Expenses!D10:O10</xm:f>
              <xm:sqref>C10</xm:sqref>
            </x14:sparkline>
            <x14:sparkline>
              <xm:f>Expenses!D11:O11</xm:f>
              <xm:sqref>C11</xm:sqref>
            </x14:sparkline>
            <x14:sparkline>
              <xm:f>Expenses!D12:O12</xm:f>
              <xm:sqref>C12</xm:sqref>
            </x14:sparkline>
            <x14:sparkline>
              <xm:f>Expenses!D13:O13</xm:f>
              <xm:sqref>C13</xm:sqref>
            </x14:sparkline>
            <x14:sparkline>
              <xm:f>Expenses!D14:O14</xm:f>
              <xm:sqref>C14</xm:sqref>
            </x14:sparkline>
            <x14:sparkline>
              <xm:f>Expenses!D15:O15</xm:f>
              <xm:sqref>C15</xm:sqref>
            </x14:sparkline>
            <x14:sparkline>
              <xm:f>Expenses!D16:O16</xm:f>
              <xm:sqref>C16</xm:sqref>
            </x14:sparkline>
            <x14:sparkline>
              <xm:f>Expenses!D17:O17</xm:f>
              <xm:sqref>C17</xm:sqref>
            </x14:sparkline>
            <x14:sparkline>
              <xm:f>Expenses!D18:O18</xm:f>
              <xm:sqref>C18</xm:sqref>
            </x14:sparkline>
            <x14:sparkline>
              <xm:f>Expenses!D19:O19</xm:f>
              <xm:sqref>C19</xm:sqref>
            </x14:sparkline>
            <x14:sparkline>
              <xm:f>Expenses!D20:O20</xm:f>
              <xm:sqref>C20</xm:sqref>
            </x14:sparkline>
            <x14:sparkline>
              <xm:f>Expenses!D21:O21</xm:f>
              <xm:sqref>C21</xm:sqref>
            </x14:sparkline>
            <x14:sparkline>
              <xm:f>Expenses!D22:O22</xm:f>
              <xm:sqref>C22</xm:sqref>
            </x14:sparkline>
            <x14:sparkline>
              <xm:f>Expenses!D23:O23</xm:f>
              <xm:sqref>C23</xm:sqref>
            </x14:sparkline>
            <x14:sparkline>
              <xm:f>Expenses!D24:O24</xm:f>
              <xm:sqref>C24</xm:sqref>
            </x14:sparkline>
            <x14:sparkline>
              <xm:f>Expenses!D25:O25</xm:f>
              <xm:sqref>C25</xm:sqref>
            </x14:sparkline>
          </x14:sparklines>
        </x14:sparklineGroup>
        <x14:sparklineGroup lineWeight="1" displayEmptyCellsAs="gap" high="1" low="1" xr2:uid="{00000000-0003-0000-0200-000004000000}">
          <x14:colorSeries theme="9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theme="9" tint="-0.499984740745262"/>
          <x14:sparklines>
            <x14:sparkline>
              <xm:f>Expenses!D26:O26</xm:f>
              <xm:sqref>C26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D413-52C2-4BFC-BA99-5865C0941CD2}">
  <dimension ref="A1:G23"/>
  <sheetViews>
    <sheetView tabSelected="1" workbookViewId="0">
      <selection activeCell="AF5" sqref="AF5"/>
    </sheetView>
  </sheetViews>
  <sheetFormatPr defaultRowHeight="13.9"/>
  <cols>
    <col min="1" max="1" width="17.75" bestFit="1" customWidth="1"/>
    <col min="2" max="2" width="14.75" bestFit="1" customWidth="1"/>
    <col min="3" max="3" width="10.75" bestFit="1" customWidth="1"/>
    <col min="5" max="5" width="12.25" bestFit="1" customWidth="1"/>
    <col min="6" max="6" width="15" bestFit="1" customWidth="1"/>
    <col min="7" max="7" width="11.75" bestFit="1" customWidth="1"/>
  </cols>
  <sheetData>
    <row r="1" spans="1:7" ht="31.15">
      <c r="A1" s="72" t="s">
        <v>0</v>
      </c>
    </row>
    <row r="2" spans="1:7" ht="20.45">
      <c r="A2" s="93" t="str">
        <f>Projection_Period_Title</f>
        <v>Twelve Month</v>
      </c>
    </row>
    <row r="4" spans="1:7" ht="14.45">
      <c r="A4" s="46" t="s">
        <v>72</v>
      </c>
      <c r="B4" s="46"/>
      <c r="C4" s="46"/>
      <c r="D4" s="46"/>
      <c r="E4" s="46" t="s">
        <v>73</v>
      </c>
      <c r="F4" s="46"/>
      <c r="G4" s="46"/>
    </row>
    <row r="5" spans="1:7" ht="14.45">
      <c r="A5" s="46" t="s">
        <v>74</v>
      </c>
      <c r="B5" s="46" t="s">
        <v>75</v>
      </c>
      <c r="C5" s="46" t="s">
        <v>76</v>
      </c>
      <c r="D5" s="46"/>
      <c r="E5" s="46" t="s">
        <v>74</v>
      </c>
      <c r="F5" s="46" t="s">
        <v>75</v>
      </c>
      <c r="G5" s="46" t="s">
        <v>76</v>
      </c>
    </row>
    <row r="6" spans="1:7">
      <c r="A6">
        <v>1</v>
      </c>
      <c r="B6" t="s">
        <v>77</v>
      </c>
      <c r="C6">
        <v>120000</v>
      </c>
      <c r="E6">
        <v>1</v>
      </c>
      <c r="F6" t="s">
        <v>77</v>
      </c>
      <c r="G6">
        <v>120000</v>
      </c>
    </row>
    <row r="7" spans="1:7">
      <c r="A7">
        <v>2</v>
      </c>
      <c r="B7" t="s">
        <v>78</v>
      </c>
      <c r="C7">
        <v>120000</v>
      </c>
      <c r="E7">
        <v>2</v>
      </c>
      <c r="F7" t="s">
        <v>78</v>
      </c>
      <c r="G7">
        <v>120000</v>
      </c>
    </row>
    <row r="8" spans="1:7">
      <c r="A8">
        <v>3</v>
      </c>
      <c r="B8" t="s">
        <v>79</v>
      </c>
      <c r="C8">
        <v>120000</v>
      </c>
      <c r="E8">
        <v>3</v>
      </c>
      <c r="F8" t="s">
        <v>79</v>
      </c>
      <c r="G8">
        <v>120000</v>
      </c>
    </row>
    <row r="9" spans="1:7">
      <c r="A9">
        <v>4</v>
      </c>
      <c r="B9" t="s">
        <v>80</v>
      </c>
      <c r="C9">
        <v>120000</v>
      </c>
      <c r="E9">
        <v>4</v>
      </c>
      <c r="F9" t="s">
        <v>80</v>
      </c>
      <c r="G9">
        <v>120000</v>
      </c>
    </row>
    <row r="10" spans="1:7">
      <c r="A10">
        <v>5</v>
      </c>
      <c r="B10" t="s">
        <v>81</v>
      </c>
      <c r="C10">
        <v>100000</v>
      </c>
      <c r="E10">
        <v>5</v>
      </c>
      <c r="F10" t="s">
        <v>81</v>
      </c>
      <c r="G10">
        <v>100000</v>
      </c>
    </row>
    <row r="11" spans="1:7">
      <c r="A11">
        <v>6</v>
      </c>
      <c r="B11" t="s">
        <v>82</v>
      </c>
      <c r="C11">
        <v>100000</v>
      </c>
      <c r="E11">
        <v>6</v>
      </c>
      <c r="F11" t="s">
        <v>82</v>
      </c>
      <c r="G11">
        <v>100000</v>
      </c>
    </row>
    <row r="12" spans="1:7">
      <c r="C12">
        <f>SUM(C6:C11)</f>
        <v>680000</v>
      </c>
      <c r="E12">
        <v>7</v>
      </c>
      <c r="F12" t="s">
        <v>83</v>
      </c>
      <c r="G12">
        <v>75000</v>
      </c>
    </row>
    <row r="13" spans="1:7">
      <c r="C13" s="105">
        <f>C12/12</f>
        <v>56666.666666666664</v>
      </c>
      <c r="E13">
        <v>8</v>
      </c>
      <c r="F13" t="s">
        <v>84</v>
      </c>
      <c r="G13">
        <v>50000</v>
      </c>
    </row>
    <row r="14" spans="1:7">
      <c r="E14">
        <v>9</v>
      </c>
      <c r="F14" t="s">
        <v>85</v>
      </c>
      <c r="G14">
        <v>50000</v>
      </c>
    </row>
    <row r="15" spans="1:7">
      <c r="E15">
        <v>10</v>
      </c>
      <c r="F15" t="s">
        <v>86</v>
      </c>
      <c r="G15">
        <v>75000</v>
      </c>
    </row>
    <row r="16" spans="1:7">
      <c r="E16">
        <v>11</v>
      </c>
      <c r="F16" t="s">
        <v>87</v>
      </c>
      <c r="G16">
        <v>90000</v>
      </c>
    </row>
    <row r="17" spans="5:7">
      <c r="E17">
        <v>12</v>
      </c>
      <c r="F17" t="s">
        <v>88</v>
      </c>
      <c r="G17">
        <v>100000</v>
      </c>
    </row>
    <row r="18" spans="5:7">
      <c r="E18">
        <v>13</v>
      </c>
      <c r="F18" t="s">
        <v>89</v>
      </c>
      <c r="G18">
        <v>90000</v>
      </c>
    </row>
    <row r="19" spans="5:7">
      <c r="E19">
        <v>14</v>
      </c>
      <c r="F19" t="s">
        <v>90</v>
      </c>
      <c r="G19">
        <v>75000</v>
      </c>
    </row>
    <row r="20" spans="5:7">
      <c r="E20">
        <v>15</v>
      </c>
      <c r="F20" t="s">
        <v>91</v>
      </c>
      <c r="G20">
        <v>100000</v>
      </c>
    </row>
    <row r="21" spans="5:7">
      <c r="E21">
        <v>16</v>
      </c>
      <c r="F21" t="s">
        <v>37</v>
      </c>
      <c r="G21">
        <v>80000</v>
      </c>
    </row>
    <row r="22" spans="5:7">
      <c r="G22">
        <f>SUM(G6:G21)</f>
        <v>1465000</v>
      </c>
    </row>
    <row r="23" spans="5:7">
      <c r="G23" s="105">
        <f>G22/12</f>
        <v>122083.33333333333</v>
      </c>
    </row>
  </sheetData>
  <dataValidations count="2">
    <dataValidation allowBlank="1" showInputMessage="1" showErrorMessage="1" prompt="Company name is automatically updated using the entry from Revenue (Sales) sheet" sqref="A1" xr:uid="{2319EBA8-C291-4C0D-9DF4-DFA681CAF952}"/>
    <dataValidation allowBlank="1" showInputMessage="1" showErrorMessage="1" prompt="This cell is automatically updated from the projection period title in Revenue (Sales) worksheet" sqref="A2" xr:uid="{6D80E270-BB0A-4CC4-AFB7-BE862BA8E3F5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172D0A61A1B469F29D9827BCB42C3" ma:contentTypeVersion="10" ma:contentTypeDescription="Create a new document." ma:contentTypeScope="" ma:versionID="b16227e39ff56b44fc61ae3a3433ade0">
  <xsd:schema xmlns:xsd="http://www.w3.org/2001/XMLSchema" xmlns:xs="http://www.w3.org/2001/XMLSchema" xmlns:p="http://schemas.microsoft.com/office/2006/metadata/properties" xmlns:ns2="f814c87b-f90a-4e3f-a077-ce8265cc8594" xmlns:ns3="d73700f7-8f2d-4486-95fe-a98255e3185b" targetNamespace="http://schemas.microsoft.com/office/2006/metadata/properties" ma:root="true" ma:fieldsID="f7390ca012d164a3dcf19dc685139525" ns2:_="" ns3:_="">
    <xsd:import namespace="f814c87b-f90a-4e3f-a077-ce8265cc8594"/>
    <xsd:import namespace="d73700f7-8f2d-4486-95fe-a98255e318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14c87b-f90a-4e3f-a077-ce8265cc85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921d02d-b337-4ce5-bd1c-22d9132a6b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700f7-8f2d-4486-95fe-a98255e3185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5f50c94-4718-4caa-8e55-deffe410a057}" ma:internalName="TaxCatchAll" ma:showField="CatchAllData" ma:web="d73700f7-8f2d-4486-95fe-a98255e318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3700f7-8f2d-4486-95fe-a98255e3185b" xsi:nil="true"/>
    <lcf76f155ced4ddcb4097134ff3c332f xmlns="f814c87b-f90a-4e3f-a077-ce8265cc859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A6D41A-5D7A-44F9-B5C3-FE0BFC7B4F73}"/>
</file>

<file path=customXml/itemProps2.xml><?xml version="1.0" encoding="utf-8"?>
<ds:datastoreItem xmlns:ds="http://schemas.openxmlformats.org/officeDocument/2006/customXml" ds:itemID="{F8265E5D-9CCA-4555-B30E-6BE4CC00D9A5}"/>
</file>

<file path=customXml/itemProps3.xml><?xml version="1.0" encoding="utf-8"?>
<ds:datastoreItem xmlns:ds="http://schemas.openxmlformats.org/officeDocument/2006/customXml" ds:itemID="{2A5D311A-DBDD-403B-9EC7-1F034AAAF6FC}"/>
</file>

<file path=docProps/app.xml><?xml version="1.0" encoding="utf-8"?>
<Properties xmlns="http://schemas.openxmlformats.org/officeDocument/2006/extended-properties" xmlns:vt="http://schemas.openxmlformats.org/officeDocument/2006/docPropsVTypes">
  <Template>TM45130229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Leigh White</cp:lastModifiedBy>
  <cp:revision/>
  <dcterms:created xsi:type="dcterms:W3CDTF">2019-06-20T06:32:20Z</dcterms:created>
  <dcterms:modified xsi:type="dcterms:W3CDTF">2022-11-21T08:52:22Z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0x01010031C172D0A61A1B469F29D9827BCB42C3</vt:lpwstr>
  </property>
  <property fmtid="{D5CDD505-2E9C-101B-9397-08002B2CF9AE}" pid="3" name="MediaServiceImageTags">
    <vt:lpwstr/>
  </property>
</Properties>
</file>