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1d3c5eef19aecd/Documents/University/2025/FINM3422/Group Project/Code 1/"/>
    </mc:Choice>
  </mc:AlternateContent>
  <xr:revisionPtr revIDLastSave="0" documentId="8_{B47981D4-3293-4923-92C2-2B15CA30A8FF}" xr6:coauthVersionLast="47" xr6:coauthVersionMax="47" xr10:uidLastSave="{00000000-0000-0000-0000-000000000000}"/>
  <bookViews>
    <workbookView xWindow="-98" yWindow="-98" windowWidth="22695" windowHeight="14595" activeTab="1" xr2:uid="{DEBAADB3-9B81-4A89-A877-73E6D8092F6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C44" i="2"/>
  <c r="C43" i="2"/>
  <c r="C42" i="2"/>
  <c r="J3" i="2" s="1"/>
  <c r="F6" i="2"/>
  <c r="F7" i="2" s="1"/>
  <c r="G6" i="2"/>
  <c r="G7" i="2" s="1"/>
  <c r="H6" i="2"/>
  <c r="H7" i="2" s="1"/>
  <c r="I6" i="2"/>
  <c r="J6" i="2"/>
  <c r="C39" i="2"/>
  <c r="I5" i="2" s="1"/>
  <c r="I9" i="2" l="1"/>
  <c r="I10" i="2" s="1"/>
  <c r="C45" i="2"/>
  <c r="I7" i="2"/>
  <c r="J5" i="2"/>
  <c r="C13" i="2" s="1"/>
  <c r="C14" i="2" s="1"/>
  <c r="C15" i="2" l="1"/>
  <c r="G9" i="2"/>
  <c r="G10" i="2" s="1"/>
  <c r="H9" i="2"/>
  <c r="H10" i="2" s="1"/>
  <c r="F9" i="2"/>
  <c r="F10" i="2" s="1"/>
  <c r="J9" i="2"/>
  <c r="C23" i="2" s="1"/>
  <c r="J7" i="2"/>
  <c r="C24" i="2" l="1"/>
  <c r="J10" i="2"/>
  <c r="C25" i="2" s="1"/>
  <c r="C16" i="2"/>
  <c r="C20" i="2" s="1"/>
  <c r="C26" i="2" l="1"/>
  <c r="C29" i="2" s="1"/>
  <c r="C19" i="2"/>
  <c r="I63" i="1" l="1"/>
  <c r="J63" i="1" s="1"/>
  <c r="H63" i="1"/>
  <c r="D61" i="1"/>
  <c r="C41" i="1"/>
  <c r="D41" i="1" s="1"/>
  <c r="C31" i="1"/>
  <c r="D33" i="1" s="1"/>
  <c r="C30" i="1"/>
  <c r="F17" i="1"/>
  <c r="F21" i="1" s="1"/>
  <c r="E33" i="1" s="1"/>
  <c r="C12" i="1"/>
  <c r="D43" i="1" l="1"/>
  <c r="D44" i="1"/>
  <c r="E41" i="1"/>
  <c r="D45" i="1"/>
  <c r="C50" i="1" s="1"/>
  <c r="D42" i="1"/>
  <c r="C33" i="1"/>
  <c r="J64" i="1"/>
  <c r="E42" i="1" l="1"/>
  <c r="E43" i="1"/>
  <c r="E44" i="1"/>
  <c r="F41" i="1"/>
  <c r="E45" i="1"/>
  <c r="E56" i="1" l="1"/>
  <c r="E69" i="1"/>
  <c r="E70" i="1" s="1"/>
  <c r="F44" i="1"/>
  <c r="G41" i="1"/>
  <c r="F45" i="1"/>
  <c r="F42" i="1"/>
  <c r="F43" i="1"/>
  <c r="G43" i="1" l="1"/>
  <c r="G44" i="1"/>
  <c r="H41" i="1"/>
  <c r="G45" i="1"/>
  <c r="G42" i="1"/>
  <c r="F56" i="1"/>
  <c r="F69" i="1"/>
  <c r="F70" i="1" s="1"/>
  <c r="E57" i="1"/>
  <c r="E61" i="1"/>
  <c r="G69" i="1" l="1"/>
  <c r="G70" i="1" s="1"/>
  <c r="G56" i="1"/>
  <c r="F57" i="1"/>
  <c r="F61" i="1"/>
  <c r="I41" i="1"/>
  <c r="H45" i="1"/>
  <c r="H42" i="1"/>
  <c r="H43" i="1"/>
  <c r="H44" i="1"/>
  <c r="G61" i="1" l="1"/>
  <c r="G57" i="1"/>
  <c r="H56" i="1"/>
  <c r="H69" i="1"/>
  <c r="H70" i="1" s="1"/>
  <c r="I44" i="1"/>
  <c r="I45" i="1"/>
  <c r="I42" i="1"/>
  <c r="I43" i="1"/>
  <c r="I61" i="1" l="1"/>
  <c r="I56" i="1"/>
  <c r="I57" i="1" s="1"/>
  <c r="I69" i="1"/>
  <c r="I70" i="1" s="1"/>
  <c r="E72" i="1" s="1"/>
  <c r="H57" i="1"/>
  <c r="H61" i="1"/>
  <c r="E63" i="1" s="1"/>
  <c r="E59" i="1"/>
</calcChain>
</file>

<file path=xl/sharedStrings.xml><?xml version="1.0" encoding="utf-8"?>
<sst xmlns="http://schemas.openxmlformats.org/spreadsheetml/2006/main" count="71" uniqueCount="57">
  <si>
    <t>Country Risk Premium Inputs</t>
  </si>
  <si>
    <t>Country Risk Premium</t>
  </si>
  <si>
    <t>Default spread</t>
  </si>
  <si>
    <t>sd(Equity)</t>
  </si>
  <si>
    <t>sd(Bonds)</t>
  </si>
  <si>
    <t>CAPM Inputs</t>
  </si>
  <si>
    <t>Domestic CAPM</t>
  </si>
  <si>
    <t>Risk Free (Peru)</t>
  </si>
  <si>
    <t>Risk Free</t>
  </si>
  <si>
    <t>Risk Free (US)</t>
  </si>
  <si>
    <t xml:space="preserve">MRP </t>
  </si>
  <si>
    <t>Asset Beta</t>
  </si>
  <si>
    <t>(based on an average of local asset equties from comparable firms)</t>
  </si>
  <si>
    <t>Tax Rate</t>
  </si>
  <si>
    <t>Required Rate of Return</t>
  </si>
  <si>
    <t>MRP (Peru)</t>
  </si>
  <si>
    <t>MRP (? given)</t>
  </si>
  <si>
    <t>Inflation (Peru)</t>
  </si>
  <si>
    <t>Inflation (US)</t>
  </si>
  <si>
    <t>Lambda</t>
  </si>
  <si>
    <t>Return on Equity</t>
  </si>
  <si>
    <t>Growth Rate</t>
  </si>
  <si>
    <t>FCF forcast</t>
  </si>
  <si>
    <t> </t>
  </si>
  <si>
    <t>Revenue</t>
  </si>
  <si>
    <t>EBITDA</t>
  </si>
  <si>
    <t>EBIT</t>
  </si>
  <si>
    <t>EBIAT</t>
  </si>
  <si>
    <t>FCF</t>
  </si>
  <si>
    <t>Valuation</t>
  </si>
  <si>
    <t>Terminal</t>
  </si>
  <si>
    <t>NPV</t>
  </si>
  <si>
    <t>IRR</t>
  </si>
  <si>
    <t>Financial Year</t>
  </si>
  <si>
    <t>Revenue ($'000)</t>
  </si>
  <si>
    <t>Free Cash Flow</t>
  </si>
  <si>
    <t>Discount Factor</t>
  </si>
  <si>
    <t>WACC</t>
  </si>
  <si>
    <t>Valuation Assumptions</t>
  </si>
  <si>
    <t xml:space="preserve">FCF Growth Rate </t>
  </si>
  <si>
    <t>Terminal Growth Rate</t>
  </si>
  <si>
    <t>Discounted Free Cash Flows</t>
  </si>
  <si>
    <t>Terminal FCF</t>
  </si>
  <si>
    <t>PV of Terminal FCF</t>
  </si>
  <si>
    <t>PV of FCF</t>
  </si>
  <si>
    <t>Share Price</t>
  </si>
  <si>
    <t>Last Basic Share Count ('000s)</t>
  </si>
  <si>
    <t>Debt</t>
  </si>
  <si>
    <t>Equity Value</t>
  </si>
  <si>
    <t>Enterprise Value</t>
  </si>
  <si>
    <t>Cash and Cash Equivalents</t>
  </si>
  <si>
    <t>Reveue Growth Rate</t>
  </si>
  <si>
    <t>FCF over Revenue</t>
  </si>
  <si>
    <t>Free Cash Flow Estimate 2</t>
  </si>
  <si>
    <t>Average</t>
  </si>
  <si>
    <t>Discounted Free Cash Flows 2</t>
  </si>
  <si>
    <t xml:space="preserve">Sum of PV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</si>
</sst>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5" formatCode="_-* #,##0.00000_-;\-* #,##0.00000_-;_-* &quot;-&quot;??_-;_-@_-"/>
    <numFmt numFmtId="166" formatCode="0.000%"/>
    <numFmt numFmtId="173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2"/>
    </font>
    <font>
      <sz val="8"/>
      <color rgb="FF000000"/>
      <name val="Aptos Narrow"/>
    </font>
    <font>
      <b/>
      <sz val="8"/>
      <color rgb="FFFF0000"/>
      <name val="Aptos Narrow"/>
      <family val="2"/>
    </font>
    <font>
      <sz val="8"/>
      <color rgb="FFFF0000"/>
      <name val="Aptos Narrow"/>
    </font>
    <font>
      <sz val="11"/>
      <color rgb="FF232A3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9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/>
    <xf numFmtId="0" fontId="5" fillId="0" borderId="4" xfId="0" applyFont="1" applyBorder="1"/>
    <xf numFmtId="4" fontId="5" fillId="0" borderId="5" xfId="0" applyNumberFormat="1" applyFont="1" applyBorder="1"/>
    <xf numFmtId="164" fontId="5" fillId="0" borderId="5" xfId="0" applyNumberFormat="1" applyFont="1" applyBorder="1"/>
    <xf numFmtId="0" fontId="5" fillId="0" borderId="5" xfId="0" applyFont="1" applyBorder="1"/>
    <xf numFmtId="4" fontId="0" fillId="0" borderId="0" xfId="0" applyNumberFormat="1"/>
    <xf numFmtId="43" fontId="0" fillId="2" borderId="0" xfId="1" applyFont="1" applyFill="1"/>
    <xf numFmtId="2" fontId="0" fillId="0" borderId="0" xfId="0" applyNumberFormat="1"/>
    <xf numFmtId="165" fontId="0" fillId="2" borderId="0" xfId="1" applyNumberFormat="1" applyFont="1" applyFill="1"/>
    <xf numFmtId="166" fontId="0" fillId="0" borderId="0" xfId="0" applyNumberFormat="1"/>
    <xf numFmtId="10" fontId="0" fillId="0" borderId="0" xfId="3" applyNumberFormat="1" applyFont="1"/>
    <xf numFmtId="0" fontId="0" fillId="4" borderId="0" xfId="0" applyFill="1"/>
    <xf numFmtId="4" fontId="0" fillId="4" borderId="0" xfId="0" applyNumberFormat="1" applyFill="1"/>
    <xf numFmtId="165" fontId="0" fillId="4" borderId="0" xfId="1" applyNumberFormat="1" applyFont="1" applyFill="1"/>
    <xf numFmtId="3" fontId="0" fillId="0" borderId="0" xfId="0" applyNumberFormat="1"/>
    <xf numFmtId="0" fontId="2" fillId="0" borderId="0" xfId="0" applyFont="1"/>
    <xf numFmtId="173" fontId="2" fillId="0" borderId="0" xfId="0" applyNumberFormat="1" applyFont="1"/>
    <xf numFmtId="9" fontId="0" fillId="0" borderId="0" xfId="3" applyNumberFormat="1" applyFont="1"/>
    <xf numFmtId="3" fontId="8" fillId="0" borderId="0" xfId="0" applyNumberFormat="1" applyFont="1"/>
    <xf numFmtId="44" fontId="0" fillId="0" borderId="0" xfId="2" applyFont="1"/>
    <xf numFmtId="43" fontId="0" fillId="0" borderId="0" xfId="1" applyFont="1"/>
    <xf numFmtId="4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1d3c5eef19aecd/Documents/University/2024/Semester%201/FINM3403/Group%20Project/FINM3403%20Data.xlsx" TargetMode="External"/><Relationship Id="rId1" Type="http://schemas.openxmlformats.org/officeDocument/2006/relationships/externalLinkPath" Target="/bf1d3c5eef19aecd/Documents/University/2024/Semester%201/FINM3403/Group%20Project/FINM3403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hibit 1"/>
      <sheetName val="Exhibit 2"/>
      <sheetName val="Exhibit 2A"/>
      <sheetName val="Exhibit 3"/>
      <sheetName val="Exhibit 4"/>
      <sheetName val="Exhibit 6"/>
      <sheetName val="Calculations Page"/>
    </sheetNames>
    <sheetDataSet>
      <sheetData sheetId="0">
        <row r="48">
          <cell r="I48">
            <v>0.14201133333333332</v>
          </cell>
          <cell r="J48">
            <v>0.16868953888888888</v>
          </cell>
          <cell r="K48">
            <v>0.29127241111111113</v>
          </cell>
          <cell r="L48">
            <v>0.11859713204802014</v>
          </cell>
          <cell r="M48">
            <v>9.5389904320987651E-2</v>
          </cell>
        </row>
      </sheetData>
      <sheetData sheetId="1" refreshError="1"/>
      <sheetData sheetId="2" refreshError="1"/>
      <sheetData sheetId="3">
        <row r="8">
          <cell r="J8">
            <v>314039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9FCB-3D94-4ED8-8B09-FFB5F9072D52}">
  <dimension ref="B7:J72"/>
  <sheetViews>
    <sheetView topLeftCell="A2" workbookViewId="0">
      <selection activeCell="E48" sqref="E48"/>
    </sheetView>
  </sheetViews>
  <sheetFormatPr defaultRowHeight="14.25" x14ac:dyDescent="0.45"/>
  <cols>
    <col min="2" max="2" width="30" customWidth="1"/>
    <col min="3" max="3" width="14.9296875" bestFit="1" customWidth="1"/>
    <col min="4" max="4" width="13.46484375" bestFit="1" customWidth="1"/>
    <col min="5" max="5" width="15.86328125" customWidth="1"/>
    <col min="6" max="7" width="13.46484375" bestFit="1" customWidth="1"/>
    <col min="8" max="8" width="10.1328125" bestFit="1" customWidth="1"/>
    <col min="9" max="9" width="10.1328125" customWidth="1"/>
  </cols>
  <sheetData>
    <row r="7" spans="2:5" x14ac:dyDescent="0.45">
      <c r="B7" s="1" t="s">
        <v>0</v>
      </c>
      <c r="D7" t="s">
        <v>1</v>
      </c>
    </row>
    <row r="8" spans="2:5" x14ac:dyDescent="0.45">
      <c r="B8" t="s">
        <v>2</v>
      </c>
      <c r="C8" s="2">
        <v>2.0799999999999999E-2</v>
      </c>
    </row>
    <row r="9" spans="2:5" x14ac:dyDescent="0.45">
      <c r="B9" t="s">
        <v>3</v>
      </c>
      <c r="C9" s="2">
        <v>5.3800000000000001E-2</v>
      </c>
    </row>
    <row r="10" spans="2:5" x14ac:dyDescent="0.45">
      <c r="B10" t="s">
        <v>4</v>
      </c>
      <c r="C10" s="2">
        <v>9.1999999999999998E-3</v>
      </c>
    </row>
    <row r="12" spans="2:5" x14ac:dyDescent="0.45">
      <c r="B12" t="s">
        <v>1</v>
      </c>
      <c r="C12" s="2">
        <f>C8*(C9/C10)</f>
        <v>0.12163478260869565</v>
      </c>
      <c r="D12" s="3">
        <v>4.6699999999999998E-2</v>
      </c>
    </row>
    <row r="16" spans="2:5" x14ac:dyDescent="0.45">
      <c r="B16" s="1" t="s">
        <v>5</v>
      </c>
      <c r="E16" s="1" t="s">
        <v>6</v>
      </c>
    </row>
    <row r="17" spans="2:7" x14ac:dyDescent="0.45">
      <c r="B17" t="s">
        <v>7</v>
      </c>
      <c r="C17" s="2">
        <v>5.0500000000000003E-2</v>
      </c>
      <c r="E17" t="s">
        <v>8</v>
      </c>
      <c r="F17" s="2">
        <f>5.41%</f>
        <v>5.4100000000000002E-2</v>
      </c>
    </row>
    <row r="18" spans="2:7" x14ac:dyDescent="0.45">
      <c r="B18" t="s">
        <v>9</v>
      </c>
      <c r="C18" s="4">
        <v>2.92E-2</v>
      </c>
      <c r="E18" t="s">
        <v>10</v>
      </c>
      <c r="F18" s="5">
        <v>7.0000000000000007E-2</v>
      </c>
    </row>
    <row r="19" spans="2:7" x14ac:dyDescent="0.45">
      <c r="E19" t="s">
        <v>11</v>
      </c>
      <c r="F19">
        <v>0.62</v>
      </c>
      <c r="G19" t="s">
        <v>12</v>
      </c>
    </row>
    <row r="20" spans="2:7" x14ac:dyDescent="0.45">
      <c r="B20" t="s">
        <v>11</v>
      </c>
      <c r="C20" s="6">
        <v>0.81</v>
      </c>
    </row>
    <row r="21" spans="2:7" x14ac:dyDescent="0.45">
      <c r="B21" t="s">
        <v>13</v>
      </c>
      <c r="C21" s="5">
        <v>0.3</v>
      </c>
      <c r="E21" t="s">
        <v>14</v>
      </c>
      <c r="F21" s="2">
        <f>F17+F19*F18</f>
        <v>9.7500000000000003E-2</v>
      </c>
    </row>
    <row r="22" spans="2:7" x14ac:dyDescent="0.45">
      <c r="B22" t="s">
        <v>15</v>
      </c>
      <c r="C22" s="5">
        <v>7.0000000000000007E-2</v>
      </c>
    </row>
    <row r="23" spans="2:7" x14ac:dyDescent="0.45">
      <c r="B23" t="s">
        <v>16</v>
      </c>
      <c r="C23" s="7">
        <v>0.05</v>
      </c>
    </row>
    <row r="24" spans="2:7" x14ac:dyDescent="0.45">
      <c r="C24" s="5"/>
    </row>
    <row r="25" spans="2:7" x14ac:dyDescent="0.45">
      <c r="B25" t="s">
        <v>17</v>
      </c>
      <c r="C25" s="5">
        <v>0.02</v>
      </c>
    </row>
    <row r="26" spans="2:7" x14ac:dyDescent="0.45">
      <c r="B26" t="s">
        <v>18</v>
      </c>
      <c r="C26" s="2">
        <v>2.7799999999999998E-2</v>
      </c>
    </row>
    <row r="30" spans="2:7" x14ac:dyDescent="0.45">
      <c r="B30" t="s">
        <v>1</v>
      </c>
      <c r="C30" s="4">
        <f>C12</f>
        <v>0.12163478260869565</v>
      </c>
    </row>
    <row r="31" spans="2:7" x14ac:dyDescent="0.45">
      <c r="B31" t="s">
        <v>19</v>
      </c>
      <c r="C31" s="8">
        <f>100/75</f>
        <v>1.3333333333333333</v>
      </c>
    </row>
    <row r="33" spans="2:9" x14ac:dyDescent="0.45">
      <c r="B33" t="s">
        <v>20</v>
      </c>
      <c r="C33" s="2">
        <f>C18+C20*(C23)+C31*C30</f>
        <v>0.23187971014492753</v>
      </c>
      <c r="D33" s="3">
        <f>C18+C20*(C23)+C31*D12</f>
        <v>0.13196666666666668</v>
      </c>
      <c r="E33" s="2">
        <f>F21</f>
        <v>9.7500000000000003E-2</v>
      </c>
    </row>
    <row r="35" spans="2:9" x14ac:dyDescent="0.45">
      <c r="B35" s="9" t="s">
        <v>21</v>
      </c>
      <c r="C35" s="10">
        <v>0.03</v>
      </c>
    </row>
    <row r="38" spans="2:9" x14ac:dyDescent="0.45">
      <c r="B38" s="11" t="s">
        <v>22</v>
      </c>
    </row>
    <row r="39" spans="2:9" x14ac:dyDescent="0.45">
      <c r="B39" s="12"/>
      <c r="C39" s="12"/>
      <c r="D39" s="12"/>
      <c r="E39" s="13">
        <v>1</v>
      </c>
      <c r="F39" s="13">
        <v>2</v>
      </c>
      <c r="G39" s="13">
        <v>3</v>
      </c>
      <c r="H39" s="13">
        <v>4</v>
      </c>
      <c r="I39" s="13">
        <v>5</v>
      </c>
    </row>
    <row r="40" spans="2:9" x14ac:dyDescent="0.45">
      <c r="B40" s="14" t="s">
        <v>23</v>
      </c>
      <c r="C40" s="15">
        <v>2012</v>
      </c>
      <c r="D40" s="15">
        <v>2013</v>
      </c>
      <c r="E40" s="15">
        <v>2014</v>
      </c>
      <c r="F40" s="15">
        <v>2015</v>
      </c>
      <c r="G40" s="15">
        <v>2016</v>
      </c>
      <c r="H40" s="16">
        <v>2017</v>
      </c>
      <c r="I40" s="17">
        <v>2018</v>
      </c>
    </row>
    <row r="41" spans="2:9" x14ac:dyDescent="0.45">
      <c r="B41" s="18" t="s">
        <v>24</v>
      </c>
      <c r="C41" s="19">
        <f>'[1]Exhibit 3'!J8</f>
        <v>314039</v>
      </c>
      <c r="D41" s="20">
        <f>C41*(1+'[1]Exhibit 1'!$I$48)</f>
        <v>358636.09710866667</v>
      </c>
      <c r="E41" s="20">
        <f>D41*(1+'[1]Exhibit 1'!$I$48)</f>
        <v>409566.4874405312</v>
      </c>
      <c r="F41" s="20">
        <f>E41*(1+'[1]Exhibit 1'!$I$48)</f>
        <v>467729.57041061093</v>
      </c>
      <c r="G41" s="20">
        <f>F41*(1+'[1]Exhibit 1'!$I$48)</f>
        <v>534152.47034404892</v>
      </c>
      <c r="H41" s="20">
        <f>G41*(1+'[1]Exhibit 1'!$I$48)</f>
        <v>610008.17486090108</v>
      </c>
      <c r="I41" s="20">
        <f>H41*(1+'[1]Exhibit 1'!$I$48)</f>
        <v>696636.24911713076</v>
      </c>
    </row>
    <row r="42" spans="2:9" x14ac:dyDescent="0.45">
      <c r="B42" s="18" t="s">
        <v>25</v>
      </c>
      <c r="C42" s="21" t="s">
        <v>23</v>
      </c>
      <c r="D42" s="19">
        <f>D41*'[1]Exhibit 1'!$K$48</f>
        <v>104460.80071631994</v>
      </c>
      <c r="E42" s="19">
        <f>E41*'[1]Exhibit 1'!$K$48</f>
        <v>119295.41830711214</v>
      </c>
      <c r="F42" s="19">
        <f>F41*'[1]Exhibit 1'!$K$48</f>
        <v>136236.71972146287</v>
      </c>
      <c r="G42" s="19">
        <f>G41*'[1]Exhibit 1'!$K$48</f>
        <v>155583.87793806742</v>
      </c>
      <c r="H42" s="19">
        <f>H41*'[1]Exhibit 1'!$K$48</f>
        <v>177678.55188922296</v>
      </c>
      <c r="I42" s="19">
        <f>I41*'[1]Exhibit 1'!$K$48</f>
        <v>202910.91994774734</v>
      </c>
    </row>
    <row r="43" spans="2:9" x14ac:dyDescent="0.45">
      <c r="B43" s="18" t="s">
        <v>26</v>
      </c>
      <c r="C43" s="21" t="s">
        <v>23</v>
      </c>
      <c r="D43" s="19">
        <f>D41*'[1]Exhibit 1'!$J$48</f>
        <v>60498.157850171752</v>
      </c>
      <c r="E43" s="19">
        <f>E41*'[1]Exhibit 1'!$J$48</f>
        <v>69089.581910685112</v>
      </c>
      <c r="F43" s="19">
        <f>F41*'[1]Exhibit 1'!$J$48</f>
        <v>78901.085557264043</v>
      </c>
      <c r="G43" s="19">
        <f>G41*'[1]Exhibit 1'!$J$48</f>
        <v>90105.933918698502</v>
      </c>
      <c r="H43" s="19">
        <f>H41*'[1]Exhibit 1'!$J$48</f>
        <v>102901.9977357381</v>
      </c>
      <c r="I43" s="19">
        <f>I41*'[1]Exhibit 1'!$J$48</f>
        <v>117515.24763685391</v>
      </c>
    </row>
    <row r="44" spans="2:9" x14ac:dyDescent="0.45">
      <c r="B44" s="18" t="s">
        <v>27</v>
      </c>
      <c r="C44" s="21" t="s">
        <v>23</v>
      </c>
      <c r="D44" s="19">
        <f>D41*'[1]Exhibit 1'!$L$48</f>
        <v>42533.212565983114</v>
      </c>
      <c r="E44" s="19">
        <f>E41*'[1]Exhibit 1'!$L$48</f>
        <v>48573.410793428462</v>
      </c>
      <c r="F44" s="19">
        <f>F41*'[1]Exhibit 1'!$L$48</f>
        <v>55471.385624750954</v>
      </c>
      <c r="G44" s="19">
        <f>G41*'[1]Exhibit 1'!$L$48</f>
        <v>63348.951059169332</v>
      </c>
      <c r="H44" s="19">
        <f>H41*'[1]Exhibit 1'!$L$48</f>
        <v>72345.22006435004</v>
      </c>
      <c r="I44" s="19">
        <f>I41*'[1]Exhibit 1'!$L$48</f>
        <v>82619.061225981815</v>
      </c>
    </row>
    <row r="45" spans="2:9" x14ac:dyDescent="0.45">
      <c r="B45" s="18" t="s">
        <v>28</v>
      </c>
      <c r="C45" s="21" t="s">
        <v>23</v>
      </c>
      <c r="D45" s="19">
        <f>D41*'[1]Exhibit 1'!$M$48</f>
        <v>34210.262989248149</v>
      </c>
      <c r="E45" s="19">
        <f>E41*'[1]Exhibit 1'!$M$48</f>
        <v>39068.508050035263</v>
      </c>
      <c r="F45" s="19">
        <f>F41*'[1]Exhibit 1'!$M$48</f>
        <v>44616.678969564833</v>
      </c>
      <c r="G45" s="19">
        <f>G41*'[1]Exhibit 1'!$M$48</f>
        <v>50952.753038938019</v>
      </c>
      <c r="H45" s="19">
        <f>H41*'[1]Exhibit 1'!$M$48</f>
        <v>58188.62143500166</v>
      </c>
      <c r="I45" s="19">
        <f>I41*'[1]Exhibit 1'!$M$48</f>
        <v>66452.065149814822</v>
      </c>
    </row>
    <row r="48" spans="2:9" x14ac:dyDescent="0.45">
      <c r="B48" s="11" t="s">
        <v>29</v>
      </c>
    </row>
    <row r="50" spans="2:10" x14ac:dyDescent="0.45">
      <c r="B50" s="22"/>
      <c r="C50" s="23">
        <f>D45/(D33-C35)</f>
        <v>335504.37714202167</v>
      </c>
    </row>
    <row r="54" spans="2:10" x14ac:dyDescent="0.45">
      <c r="I54" t="s">
        <v>30</v>
      </c>
    </row>
    <row r="55" spans="2:10" x14ac:dyDescent="0.45">
      <c r="E55">
        <v>1</v>
      </c>
      <c r="F55">
        <v>2</v>
      </c>
      <c r="G55">
        <v>3</v>
      </c>
      <c r="H55">
        <v>4</v>
      </c>
      <c r="I55">
        <v>5</v>
      </c>
    </row>
    <row r="56" spans="2:10" x14ac:dyDescent="0.45">
      <c r="D56">
        <v>-400000</v>
      </c>
      <c r="E56" s="22">
        <f>E45</f>
        <v>39068.508050035263</v>
      </c>
      <c r="F56" s="22">
        <f>F45</f>
        <v>44616.678969564833</v>
      </c>
      <c r="G56" s="22">
        <f>G45</f>
        <v>50952.753038938019</v>
      </c>
      <c r="H56" s="22">
        <f>H45</f>
        <v>58188.62143500166</v>
      </c>
      <c r="I56" s="24">
        <f>I45/(D33-C35)</f>
        <v>651703.80990338163</v>
      </c>
    </row>
    <row r="57" spans="2:10" x14ac:dyDescent="0.45">
      <c r="D57">
        <v>-400000</v>
      </c>
      <c r="E57">
        <f>E56/(1+$D$33)^E55</f>
        <v>34513.832606998381</v>
      </c>
      <c r="F57">
        <f>F56/(1+$D$33)^F55</f>
        <v>34820.095992781025</v>
      </c>
      <c r="G57">
        <f>G56/(1+$D$33)^G55</f>
        <v>35129.077050128551</v>
      </c>
      <c r="H57">
        <f>H56/(1+$D$33)^H55</f>
        <v>35440.799894684809</v>
      </c>
      <c r="I57">
        <f>I56/(1+$D$33)^I55</f>
        <v>350656.64128231985</v>
      </c>
    </row>
    <row r="59" spans="2:10" x14ac:dyDescent="0.45">
      <c r="D59" s="9" t="s">
        <v>31</v>
      </c>
      <c r="E59" s="25">
        <f>SUM(E57:I57)</f>
        <v>490560.44682691258</v>
      </c>
    </row>
    <row r="61" spans="2:10" x14ac:dyDescent="0.45">
      <c r="D61">
        <f>D56</f>
        <v>-400000</v>
      </c>
      <c r="E61">
        <f>E56</f>
        <v>39068.508050035263</v>
      </c>
      <c r="F61">
        <f>F56</f>
        <v>44616.678969564833</v>
      </c>
      <c r="G61">
        <f>G56</f>
        <v>50952.753038938019</v>
      </c>
      <c r="H61">
        <f>H56</f>
        <v>58188.62143500166</v>
      </c>
      <c r="I61">
        <f>I45/(F63-C35)</f>
        <v>541802.4064395827</v>
      </c>
    </row>
    <row r="63" spans="2:10" x14ac:dyDescent="0.45">
      <c r="D63" t="s">
        <v>32</v>
      </c>
      <c r="E63" s="26">
        <f>IRR(D61:I61,0.15)</f>
        <v>0.1526512495073582</v>
      </c>
      <c r="F63" s="26">
        <v>0.15265000000000001</v>
      </c>
      <c r="H63" s="2">
        <f>C18+C20*(C23)</f>
        <v>6.9700000000000012E-2</v>
      </c>
      <c r="I63" s="26">
        <f>F63-H63</f>
        <v>8.2949999999999996E-2</v>
      </c>
      <c r="J63" s="27">
        <f>I63/C31</f>
        <v>6.2212499999999997E-2</v>
      </c>
    </row>
    <row r="64" spans="2:10" x14ac:dyDescent="0.45">
      <c r="J64" s="2">
        <f>C18+C20*(C23)+C31*J63</f>
        <v>0.15265000000000001</v>
      </c>
    </row>
    <row r="67" spans="4:9" x14ac:dyDescent="0.45">
      <c r="I67" t="s">
        <v>30</v>
      </c>
    </row>
    <row r="68" spans="4:9" x14ac:dyDescent="0.45">
      <c r="D68" s="28"/>
      <c r="E68" s="28">
        <v>1</v>
      </c>
      <c r="F68" s="28">
        <v>2</v>
      </c>
      <c r="G68" s="28">
        <v>3</v>
      </c>
      <c r="H68" s="28">
        <v>4</v>
      </c>
      <c r="I68" s="28">
        <v>5</v>
      </c>
    </row>
    <row r="69" spans="4:9" x14ac:dyDescent="0.45">
      <c r="D69" s="28">
        <v>-400000</v>
      </c>
      <c r="E69" s="29">
        <f>E45</f>
        <v>39068.508050035263</v>
      </c>
      <c r="F69" s="29">
        <f>F45</f>
        <v>44616.678969564833</v>
      </c>
      <c r="G69" s="29">
        <f>G45</f>
        <v>50952.753038938019</v>
      </c>
      <c r="H69" s="29">
        <f>H45</f>
        <v>58188.62143500166</v>
      </c>
      <c r="I69" s="29">
        <f>I45/(E33-C35)</f>
        <v>984475.0392565158</v>
      </c>
    </row>
    <row r="70" spans="4:9" x14ac:dyDescent="0.45">
      <c r="D70" s="28">
        <v>-400000</v>
      </c>
      <c r="E70" s="28">
        <f>E69/(1+$E$33)^E68</f>
        <v>35597.72943055605</v>
      </c>
      <c r="F70" s="28">
        <f>F69/(1+$D$33)^F68</f>
        <v>34820.095992781025</v>
      </c>
      <c r="G70" s="28">
        <f>G69/(1+$D$33)^G68</f>
        <v>35129.077050128551</v>
      </c>
      <c r="H70" s="28">
        <f>H69/(1+$D$33)^H68</f>
        <v>35440.799894684809</v>
      </c>
      <c r="I70" s="28">
        <f>I69/(1+$D$33)^I68</f>
        <v>529707.98305314395</v>
      </c>
    </row>
    <row r="71" spans="4:9" x14ac:dyDescent="0.45">
      <c r="D71" s="28"/>
      <c r="E71" s="28"/>
      <c r="F71" s="28"/>
      <c r="G71" s="28"/>
      <c r="H71" s="28"/>
      <c r="I71" s="28"/>
    </row>
    <row r="72" spans="4:9" x14ac:dyDescent="0.45">
      <c r="D72" s="28" t="s">
        <v>31</v>
      </c>
      <c r="E72" s="30">
        <f>SUM(E70:I70)</f>
        <v>670695.68542129442</v>
      </c>
      <c r="F72" s="28"/>
      <c r="G72" s="28"/>
      <c r="H72" s="28"/>
      <c r="I7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239-5FCC-4BFA-8322-79AC31DAA6F4}">
  <dimension ref="B2:M46"/>
  <sheetViews>
    <sheetView tabSelected="1" zoomScale="86" workbookViewId="0">
      <selection activeCell="D34" sqref="D34"/>
    </sheetView>
  </sheetViews>
  <sheetFormatPr defaultRowHeight="14.25" x14ac:dyDescent="0.45"/>
  <cols>
    <col min="2" max="2" width="30.265625" customWidth="1"/>
    <col min="3" max="3" width="12.796875" bestFit="1" customWidth="1"/>
    <col min="6" max="9" width="11.19921875" bestFit="1" customWidth="1"/>
    <col min="10" max="10" width="12.9296875" customWidth="1"/>
  </cols>
  <sheetData>
    <row r="2" spans="2:13" s="32" customFormat="1" x14ac:dyDescent="0.45">
      <c r="B2" s="32" t="s">
        <v>33</v>
      </c>
      <c r="C2" s="32">
        <v>2023</v>
      </c>
      <c r="D2" s="32">
        <v>2024</v>
      </c>
      <c r="F2" s="32">
        <v>2025</v>
      </c>
      <c r="G2" s="32">
        <v>2026</v>
      </c>
      <c r="H2" s="32">
        <v>2027</v>
      </c>
      <c r="I2" s="32">
        <v>2028</v>
      </c>
      <c r="J2" s="32">
        <v>2029</v>
      </c>
      <c r="M2" s="33"/>
    </row>
    <row r="3" spans="2:13" x14ac:dyDescent="0.45">
      <c r="B3" t="s">
        <v>34</v>
      </c>
      <c r="C3" s="31">
        <v>222078</v>
      </c>
      <c r="D3" s="31">
        <v>221146</v>
      </c>
      <c r="F3" s="37">
        <v>195190</v>
      </c>
      <c r="G3" s="37">
        <v>207488</v>
      </c>
      <c r="H3" s="37">
        <v>217760</v>
      </c>
      <c r="I3" s="37">
        <f>(1+$C$42)*H3</f>
        <v>240330</v>
      </c>
      <c r="J3" s="37">
        <f>(1+$C$42)*I3</f>
        <v>265239.295095518</v>
      </c>
    </row>
    <row r="4" spans="2:13" x14ac:dyDescent="0.45">
      <c r="F4" s="37"/>
      <c r="G4" s="37"/>
      <c r="H4" s="37"/>
      <c r="I4" s="37"/>
      <c r="J4" s="37"/>
    </row>
    <row r="5" spans="2:13" x14ac:dyDescent="0.45">
      <c r="B5" t="s">
        <v>35</v>
      </c>
      <c r="C5" s="31">
        <v>97603</v>
      </c>
      <c r="D5" s="31">
        <v>95543</v>
      </c>
      <c r="F5" s="37">
        <v>77430</v>
      </c>
      <c r="G5" s="37">
        <v>96065</v>
      </c>
      <c r="H5" s="37">
        <v>74169</v>
      </c>
      <c r="I5" s="37">
        <f>H5*$C$39+H5</f>
        <v>71045.338512204573</v>
      </c>
      <c r="J5" s="37">
        <f>I5*$C$39+I5</f>
        <v>68053.231462116761</v>
      </c>
    </row>
    <row r="6" spans="2:13" x14ac:dyDescent="0.45">
      <c r="B6" t="s">
        <v>36</v>
      </c>
      <c r="C6" s="31"/>
      <c r="D6" s="31"/>
      <c r="F6" s="37">
        <f>1/((1+$C$38)^(F2-$D$2))</f>
        <v>0.93589143659335516</v>
      </c>
      <c r="G6" s="37">
        <f>1/((1+$C$38)^(G2-$D$2))</f>
        <v>0.87589278108877422</v>
      </c>
      <c r="H6" s="37">
        <f>1/((1+$C$38)^(H2-$D$2))</f>
        <v>0.81974055319492201</v>
      </c>
      <c r="I6" s="37">
        <f>1/((1+$C$38)^(I2-$D$2))</f>
        <v>0.76718816396342726</v>
      </c>
      <c r="J6" s="37">
        <f>1/((1+$C$38)^(J2-$D$2))</f>
        <v>0.7180048329091504</v>
      </c>
    </row>
    <row r="7" spans="2:13" x14ac:dyDescent="0.45">
      <c r="B7" t="s">
        <v>41</v>
      </c>
      <c r="F7" s="37">
        <f>F5*F6</f>
        <v>72466.073935423497</v>
      </c>
      <c r="G7" s="37">
        <f t="shared" ref="G7:J7" si="0">G5*G6</f>
        <v>84142.640015293102</v>
      </c>
      <c r="H7" s="37">
        <f t="shared" si="0"/>
        <v>60799.337089914174</v>
      </c>
      <c r="I7" s="37">
        <f>I5*I6</f>
        <v>54505.142811338395</v>
      </c>
      <c r="J7" s="37">
        <f t="shared" si="0"/>
        <v>48862.549084884879</v>
      </c>
    </row>
    <row r="8" spans="2:13" x14ac:dyDescent="0.45">
      <c r="F8" s="37"/>
      <c r="G8" s="37"/>
      <c r="H8" s="37"/>
      <c r="I8" s="37"/>
      <c r="J8" s="37"/>
    </row>
    <row r="9" spans="2:13" x14ac:dyDescent="0.45">
      <c r="B9" t="s">
        <v>53</v>
      </c>
      <c r="F9" s="37">
        <f>F3*$C$45</f>
        <v>85057.417754613562</v>
      </c>
      <c r="G9" s="37">
        <f>G3*$C$45</f>
        <v>90416.483913465127</v>
      </c>
      <c r="H9" s="37">
        <f t="shared" ref="H9:J9" si="1">H3*$C$45</f>
        <v>94892.685538422287</v>
      </c>
      <c r="I9" s="37">
        <f t="shared" si="1"/>
        <v>104727.95332223103</v>
      </c>
      <c r="J9" s="37">
        <f t="shared" si="1"/>
        <v>115582.6093953517</v>
      </c>
    </row>
    <row r="10" spans="2:13" x14ac:dyDescent="0.45">
      <c r="B10" t="s">
        <v>55</v>
      </c>
      <c r="F10" s="37">
        <f>F9*F6</f>
        <v>79604.508895286446</v>
      </c>
      <c r="G10" s="37">
        <f t="shared" ref="G10:J10" si="2">G9*G6</f>
        <v>79195.145551233392</v>
      </c>
      <c r="H10" s="37">
        <f>H9*H6</f>
        <v>77787.38253741806</v>
      </c>
      <c r="I10" s="37">
        <f t="shared" si="2"/>
        <v>80346.046224929931</v>
      </c>
      <c r="J10" s="37">
        <f t="shared" si="2"/>
        <v>82988.872146113092</v>
      </c>
    </row>
    <row r="11" spans="2:13" x14ac:dyDescent="0.45">
      <c r="F11" s="37"/>
      <c r="G11" s="37"/>
      <c r="H11" s="37"/>
      <c r="I11" s="37"/>
      <c r="J11" s="37"/>
    </row>
    <row r="12" spans="2:13" x14ac:dyDescent="0.45">
      <c r="F12" s="37"/>
      <c r="G12" s="37"/>
      <c r="H12" s="37"/>
      <c r="I12" s="37"/>
      <c r="J12" s="37"/>
    </row>
    <row r="13" spans="2:13" x14ac:dyDescent="0.45">
      <c r="B13" t="s">
        <v>42</v>
      </c>
      <c r="C13">
        <f>J5*(1+C40)/(C38-C40)</f>
        <v>1431222.5998218369</v>
      </c>
    </row>
    <row r="14" spans="2:13" x14ac:dyDescent="0.45">
      <c r="B14" t="s">
        <v>43</v>
      </c>
      <c r="C14">
        <f>C13*J6</f>
        <v>1027624.7436408779</v>
      </c>
    </row>
    <row r="15" spans="2:13" x14ac:dyDescent="0.45">
      <c r="B15" t="s">
        <v>44</v>
      </c>
      <c r="C15">
        <f>SUM(F7:J7)</f>
        <v>320775.74293685408</v>
      </c>
    </row>
    <row r="16" spans="2:13" x14ac:dyDescent="0.45">
      <c r="B16" t="s">
        <v>49</v>
      </c>
      <c r="C16" s="37">
        <f>SUM(C14:C15)</f>
        <v>1348400.486577732</v>
      </c>
    </row>
    <row r="17" spans="2:3" x14ac:dyDescent="0.45">
      <c r="B17" t="s">
        <v>50</v>
      </c>
      <c r="C17">
        <v>16536</v>
      </c>
    </row>
    <row r="18" spans="2:3" x14ac:dyDescent="0.45">
      <c r="B18" t="s">
        <v>47</v>
      </c>
      <c r="C18" s="31">
        <v>1334878</v>
      </c>
    </row>
    <row r="19" spans="2:3" x14ac:dyDescent="0.45">
      <c r="B19" t="s">
        <v>48</v>
      </c>
      <c r="C19" s="31">
        <f>C16+C17-C18</f>
        <v>30058.486577732023</v>
      </c>
    </row>
    <row r="20" spans="2:3" x14ac:dyDescent="0.45">
      <c r="B20" t="s">
        <v>45</v>
      </c>
      <c r="C20" s="36">
        <f>C16/C41</f>
        <v>2.1236994417931614</v>
      </c>
    </row>
    <row r="23" spans="2:3" x14ac:dyDescent="0.45">
      <c r="B23" t="s">
        <v>42</v>
      </c>
      <c r="C23" s="38">
        <f>(J9*(1+C40))/(C38-C40)</f>
        <v>2430809.5171805923</v>
      </c>
    </row>
    <row r="24" spans="2:3" x14ac:dyDescent="0.45">
      <c r="B24" t="s">
        <v>43</v>
      </c>
      <c r="C24">
        <f>C23*J6</f>
        <v>1745332.9812172237</v>
      </c>
    </row>
    <row r="25" spans="2:3" x14ac:dyDescent="0.45">
      <c r="B25" t="s">
        <v>56</v>
      </c>
      <c r="C25">
        <f>SUM(F10:J10)</f>
        <v>399921.95535498089</v>
      </c>
    </row>
    <row r="26" spans="2:3" x14ac:dyDescent="0.45">
      <c r="B26" t="s">
        <v>49</v>
      </c>
      <c r="C26" s="37">
        <f>C24+C25</f>
        <v>2145254.9365722043</v>
      </c>
    </row>
    <row r="27" spans="2:3" x14ac:dyDescent="0.45">
      <c r="B27" t="s">
        <v>50</v>
      </c>
    </row>
    <row r="29" spans="2:3" x14ac:dyDescent="0.45">
      <c r="B29" t="s">
        <v>45</v>
      </c>
      <c r="C29" s="36">
        <f>C26/C41</f>
        <v>3.3787266888825607</v>
      </c>
    </row>
    <row r="37" spans="2:3" x14ac:dyDescent="0.45">
      <c r="B37" t="s">
        <v>38</v>
      </c>
    </row>
    <row r="38" spans="2:3" x14ac:dyDescent="0.45">
      <c r="B38" t="s">
        <v>37</v>
      </c>
      <c r="C38" s="2">
        <v>6.8500000000000005E-2</v>
      </c>
    </row>
    <row r="39" spans="2:3" x14ac:dyDescent="0.45">
      <c r="B39" t="s">
        <v>39</v>
      </c>
      <c r="C39">
        <f>-(F5-H5)/F5</f>
        <v>-4.2115459124370397E-2</v>
      </c>
    </row>
    <row r="40" spans="2:3" x14ac:dyDescent="0.45">
      <c r="B40" t="s">
        <v>40</v>
      </c>
      <c r="C40" s="34">
        <v>0.02</v>
      </c>
    </row>
    <row r="41" spans="2:3" x14ac:dyDescent="0.45">
      <c r="B41" t="s">
        <v>46</v>
      </c>
      <c r="C41" s="35">
        <v>634930</v>
      </c>
    </row>
    <row r="42" spans="2:3" x14ac:dyDescent="0.45">
      <c r="B42" t="s">
        <v>51</v>
      </c>
      <c r="C42">
        <f>(H3-F3)/H3</f>
        <v>0.10364621601763409</v>
      </c>
    </row>
    <row r="43" spans="2:3" x14ac:dyDescent="0.45">
      <c r="B43" t="s">
        <v>52</v>
      </c>
      <c r="C43">
        <f>D5/D3</f>
        <v>0.43203584961970826</v>
      </c>
    </row>
    <row r="44" spans="2:3" x14ac:dyDescent="0.45">
      <c r="C44">
        <f>C5/C3</f>
        <v>0.43949873467880657</v>
      </c>
    </row>
    <row r="45" spans="2:3" x14ac:dyDescent="0.45">
      <c r="B45" t="s">
        <v>54</v>
      </c>
      <c r="C45">
        <f>AVERAGE(C43:C44)</f>
        <v>0.43576729214925741</v>
      </c>
    </row>
    <row r="46" spans="2:3" x14ac:dyDescent="0.45">
      <c r="C4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Phillips</dc:creator>
  <cp:lastModifiedBy>Robin Phillips</cp:lastModifiedBy>
  <dcterms:created xsi:type="dcterms:W3CDTF">2025-04-22T06:18:53Z</dcterms:created>
  <dcterms:modified xsi:type="dcterms:W3CDTF">2025-04-25T02:37:12Z</dcterms:modified>
</cp:coreProperties>
</file>