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vitadd-my.sharepoint.com/personal/simon_ravnic_panvita_si/Documents/aaPrivat/AKMS/Točen v nulo 2025/"/>
    </mc:Choice>
  </mc:AlternateContent>
  <xr:revisionPtr revIDLastSave="197" documentId="8_{9EC61524-7F1E-574B-BB2A-7819609ED165}" xr6:coauthVersionLast="47" xr6:coauthVersionMax="47" xr10:uidLastSave="{5DF47F67-A93F-0949-A062-5D9E43839B3C}"/>
  <bookViews>
    <workbookView xWindow="2860" yWindow="1840" windowWidth="29040" windowHeight="22060" xr2:uid="{B1C474AA-14A0-F24B-ACAB-FA280ABE2931}"/>
  </bookViews>
  <sheets>
    <sheet name="formule" sheetId="1" r:id="rId1"/>
    <sheet name="Tekma 2025" sheetId="10" r:id="rId2"/>
    <sheet name="TEKMOVALNI LIST" sheetId="2" r:id="rId3"/>
    <sheet name="TEKMOVALNI LIST blank" sheetId="9" r:id="rId4"/>
    <sheet name="Arhiv 2022" sheetId="3" r:id="rId5"/>
    <sheet name="Arhiv 2020" sheetId="4" r:id="rId6"/>
    <sheet name="Arhiv2021" sheetId="6" r:id="rId7"/>
  </sheets>
  <definedNames>
    <definedName name="_xlnm.Print_Area" localSheetId="2">'TEKMOVALNI LIST'!$A$1:$H$22</definedName>
    <definedName name="_xlnm.Print_Area" localSheetId="3">'TEKMOVALNI LIST blank'!$A$1:$H$21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3" i="1"/>
  <c r="D4" i="1"/>
  <c r="D5" i="1"/>
  <c r="D6" i="1"/>
  <c r="D7" i="1"/>
  <c r="D8" i="1"/>
  <c r="D9" i="1"/>
  <c r="D10" i="1"/>
  <c r="D2" i="1"/>
  <c r="CX12" i="10"/>
  <c r="CS12" i="10"/>
  <c r="CR12" i="10"/>
  <c r="CQ12" i="10"/>
  <c r="CP12" i="10"/>
  <c r="CX11" i="10"/>
  <c r="CW11" i="10"/>
  <c r="CS11" i="10"/>
  <c r="CR11" i="10"/>
  <c r="CQ11" i="10"/>
  <c r="CP11" i="10"/>
  <c r="CK11" i="10"/>
  <c r="CW12" i="10" s="1"/>
  <c r="CC11" i="10"/>
  <c r="CA11" i="10"/>
  <c r="BY11" i="10"/>
  <c r="BW11" i="10"/>
  <c r="BU11" i="10"/>
  <c r="BS11" i="10"/>
  <c r="BQ11" i="10"/>
  <c r="BO11" i="10"/>
  <c r="BM11" i="10"/>
  <c r="BK11" i="10"/>
  <c r="BI11" i="10"/>
  <c r="BG11" i="10"/>
  <c r="CF11" i="10" s="1"/>
  <c r="CV12" i="10" s="1"/>
  <c r="BE11" i="10"/>
  <c r="BB11" i="10"/>
  <c r="AZ11" i="10"/>
  <c r="AX11" i="10"/>
  <c r="AV11" i="10"/>
  <c r="AT11" i="10"/>
  <c r="AR11" i="10"/>
  <c r="AP11" i="10"/>
  <c r="AN11" i="10"/>
  <c r="BC11" i="10" s="1"/>
  <c r="CU12" i="10" s="1"/>
  <c r="AD11" i="10"/>
  <c r="AF11" i="10" s="1"/>
  <c r="U11" i="10"/>
  <c r="W11" i="10" s="1"/>
  <c r="H11" i="10"/>
  <c r="CX10" i="10"/>
  <c r="CS10" i="10"/>
  <c r="CR10" i="10"/>
  <c r="CQ10" i="10"/>
  <c r="CP10" i="10"/>
  <c r="CK10" i="10"/>
  <c r="CC10" i="10"/>
  <c r="CA10" i="10"/>
  <c r="BY10" i="10"/>
  <c r="BW10" i="10"/>
  <c r="BU10" i="10"/>
  <c r="BS10" i="10"/>
  <c r="BQ10" i="10"/>
  <c r="BO10" i="10"/>
  <c r="BM10" i="10"/>
  <c r="BK10" i="10"/>
  <c r="BI10" i="10"/>
  <c r="BG10" i="10"/>
  <c r="BE10" i="10"/>
  <c r="CF10" i="10" s="1"/>
  <c r="BB10" i="10"/>
  <c r="AZ10" i="10"/>
  <c r="AX10" i="10"/>
  <c r="AV10" i="10"/>
  <c r="AT10" i="10"/>
  <c r="AR10" i="10"/>
  <c r="AP10" i="10"/>
  <c r="AN10" i="10"/>
  <c r="BC10" i="10" s="1"/>
  <c r="CU11" i="10" s="1"/>
  <c r="AD10" i="10"/>
  <c r="AF10" i="10" s="1"/>
  <c r="U10" i="10"/>
  <c r="W10" i="10" s="1"/>
  <c r="H10" i="10"/>
  <c r="CX9" i="10"/>
  <c r="CS9" i="10"/>
  <c r="CR9" i="10"/>
  <c r="CQ9" i="10"/>
  <c r="CP9" i="10"/>
  <c r="CK9" i="10"/>
  <c r="CW10" i="10" s="1"/>
  <c r="CC9" i="10"/>
  <c r="CA9" i="10"/>
  <c r="BY9" i="10"/>
  <c r="BW9" i="10"/>
  <c r="CF9" i="10" s="1"/>
  <c r="CV10" i="10" s="1"/>
  <c r="BU9" i="10"/>
  <c r="BS9" i="10"/>
  <c r="BQ9" i="10"/>
  <c r="BO9" i="10"/>
  <c r="BM9" i="10"/>
  <c r="BK9" i="10"/>
  <c r="BI9" i="10"/>
  <c r="BG9" i="10"/>
  <c r="BE9" i="10"/>
  <c r="BB9" i="10"/>
  <c r="AZ9" i="10"/>
  <c r="AX9" i="10"/>
  <c r="AV9" i="10"/>
  <c r="AT9" i="10"/>
  <c r="AR9" i="10"/>
  <c r="BC9" i="10" s="1"/>
  <c r="CU10" i="10" s="1"/>
  <c r="AP9" i="10"/>
  <c r="AN9" i="10"/>
  <c r="U9" i="10"/>
  <c r="W9" i="10" s="1"/>
  <c r="H9" i="10"/>
  <c r="CX8" i="10"/>
  <c r="CS8" i="10"/>
  <c r="CR8" i="10"/>
  <c r="CQ8" i="10"/>
  <c r="CP8" i="10"/>
  <c r="CK8" i="10"/>
  <c r="CW9" i="10" s="1"/>
  <c r="CC8" i="10"/>
  <c r="CA8" i="10"/>
  <c r="BY8" i="10"/>
  <c r="BW8" i="10"/>
  <c r="BU8" i="10"/>
  <c r="BS8" i="10"/>
  <c r="BQ8" i="10"/>
  <c r="BO8" i="10"/>
  <c r="BM8" i="10"/>
  <c r="BK8" i="10"/>
  <c r="BI8" i="10"/>
  <c r="CF8" i="10" s="1"/>
  <c r="CV9" i="10" s="1"/>
  <c r="BG8" i="10"/>
  <c r="BE8" i="10"/>
  <c r="BB8" i="10"/>
  <c r="AZ8" i="10"/>
  <c r="AX8" i="10"/>
  <c r="AV8" i="10"/>
  <c r="AT8" i="10"/>
  <c r="AR8" i="10"/>
  <c r="AP8" i="10"/>
  <c r="AN8" i="10"/>
  <c r="BC8" i="10" s="1"/>
  <c r="CU9" i="10" s="1"/>
  <c r="U8" i="10"/>
  <c r="W8" i="10" s="1"/>
  <c r="R8" i="10"/>
  <c r="T8" i="10" s="1"/>
  <c r="H8" i="10"/>
  <c r="CX7" i="10"/>
  <c r="CS7" i="10"/>
  <c r="CR7" i="10"/>
  <c r="CQ7" i="10"/>
  <c r="CP7" i="10"/>
  <c r="CK7" i="10"/>
  <c r="CC7" i="10"/>
  <c r="CA7" i="10"/>
  <c r="CF7" i="10" s="1"/>
  <c r="CV8" i="10" s="1"/>
  <c r="BY7" i="10"/>
  <c r="BW7" i="10"/>
  <c r="BU7" i="10"/>
  <c r="BS7" i="10"/>
  <c r="BQ7" i="10"/>
  <c r="BO7" i="10"/>
  <c r="BM7" i="10"/>
  <c r="BK7" i="10"/>
  <c r="BI7" i="10"/>
  <c r="BG7" i="10"/>
  <c r="BE7" i="10"/>
  <c r="BB7" i="10"/>
  <c r="AZ7" i="10"/>
  <c r="AX7" i="10"/>
  <c r="AV7" i="10"/>
  <c r="BC7" i="10" s="1"/>
  <c r="CU8" i="10" s="1"/>
  <c r="AT7" i="10"/>
  <c r="AR7" i="10"/>
  <c r="AP7" i="10"/>
  <c r="AN7" i="10"/>
  <c r="U7" i="10"/>
  <c r="W7" i="10" s="1"/>
  <c r="CX6" i="10"/>
  <c r="CS6" i="10"/>
  <c r="CR6" i="10"/>
  <c r="CQ6" i="10"/>
  <c r="CP6" i="10"/>
  <c r="CK6" i="10"/>
  <c r="CW7" i="10" s="1"/>
  <c r="CC6" i="10"/>
  <c r="CA6" i="10"/>
  <c r="BY6" i="10"/>
  <c r="BW6" i="10"/>
  <c r="BU6" i="10"/>
  <c r="BS6" i="10"/>
  <c r="BQ6" i="10"/>
  <c r="BO6" i="10"/>
  <c r="BM6" i="10"/>
  <c r="BK6" i="10"/>
  <c r="CF6" i="10" s="1"/>
  <c r="CV7" i="10" s="1"/>
  <c r="BI6" i="10"/>
  <c r="BG6" i="10"/>
  <c r="BE6" i="10"/>
  <c r="BB6" i="10"/>
  <c r="AZ6" i="10"/>
  <c r="AX6" i="10"/>
  <c r="AV6" i="10"/>
  <c r="AT6" i="10"/>
  <c r="AR6" i="10"/>
  <c r="AP6" i="10"/>
  <c r="AN6" i="10"/>
  <c r="BC6" i="10" s="1"/>
  <c r="CU7" i="10" s="1"/>
  <c r="U6" i="10"/>
  <c r="W6" i="10" s="1"/>
  <c r="R6" i="10"/>
  <c r="T6" i="10" s="1"/>
  <c r="H6" i="10"/>
  <c r="CX5" i="10"/>
  <c r="CS5" i="10"/>
  <c r="CR5" i="10"/>
  <c r="CQ5" i="10"/>
  <c r="CP5" i="10"/>
  <c r="CK5" i="10"/>
  <c r="CC5" i="10"/>
  <c r="CF5" i="10" s="1"/>
  <c r="CV6" i="10" s="1"/>
  <c r="CA5" i="10"/>
  <c r="BY5" i="10"/>
  <c r="BW5" i="10"/>
  <c r="BU5" i="10"/>
  <c r="BS5" i="10"/>
  <c r="BQ5" i="10"/>
  <c r="BO5" i="10"/>
  <c r="BM5" i="10"/>
  <c r="BK5" i="10"/>
  <c r="BI5" i="10"/>
  <c r="BG5" i="10"/>
  <c r="BE5" i="10"/>
  <c r="BB5" i="10"/>
  <c r="AZ5" i="10"/>
  <c r="AX5" i="10"/>
  <c r="BC5" i="10" s="1"/>
  <c r="CU6" i="10" s="1"/>
  <c r="AV5" i="10"/>
  <c r="AT5" i="10"/>
  <c r="AR5" i="10"/>
  <c r="AP5" i="10"/>
  <c r="AN5" i="10"/>
  <c r="AD5" i="10"/>
  <c r="AF5" i="10" s="1"/>
  <c r="H5" i="10"/>
  <c r="CS4" i="10"/>
  <c r="CQ4" i="10"/>
  <c r="CK4" i="10"/>
  <c r="CW5" i="10" s="1"/>
  <c r="CF4" i="10"/>
  <c r="CV5" i="10" s="1"/>
  <c r="CE4" i="10"/>
  <c r="CC4" i="10"/>
  <c r="CA4" i="10"/>
  <c r="BY4" i="10"/>
  <c r="BW4" i="10"/>
  <c r="BU4" i="10"/>
  <c r="BS4" i="10"/>
  <c r="BQ4" i="10"/>
  <c r="BO4" i="10"/>
  <c r="BM4" i="10"/>
  <c r="BK4" i="10"/>
  <c r="BI4" i="10"/>
  <c r="BG4" i="10"/>
  <c r="BE4" i="10"/>
  <c r="BB4" i="10"/>
  <c r="AZ4" i="10"/>
  <c r="BC4" i="10" s="1"/>
  <c r="CU5" i="10" s="1"/>
  <c r="AX4" i="10"/>
  <c r="AV4" i="10"/>
  <c r="AT4" i="10"/>
  <c r="AR4" i="10"/>
  <c r="AP4" i="10"/>
  <c r="AN4" i="10"/>
  <c r="H4" i="10"/>
  <c r="CP1" i="10"/>
  <c r="AD11" i="3"/>
  <c r="AF11" i="3" s="1"/>
  <c r="AD10" i="3"/>
  <c r="AF10" i="3" s="1"/>
  <c r="AD5" i="3"/>
  <c r="AF5" i="3" s="1"/>
  <c r="B15" i="9"/>
  <c r="B14" i="9"/>
  <c r="B13" i="9"/>
  <c r="B12" i="9"/>
  <c r="B11" i="9"/>
  <c r="B10" i="9"/>
  <c r="B9" i="9"/>
  <c r="B8" i="9"/>
  <c r="B7" i="9"/>
  <c r="B9" i="2"/>
  <c r="B10" i="2"/>
  <c r="B11" i="2"/>
  <c r="B12" i="2"/>
  <c r="B13" i="2"/>
  <c r="B14" i="2"/>
  <c r="B15" i="2"/>
  <c r="B16" i="2"/>
  <c r="B8" i="2"/>
  <c r="C11" i="2"/>
  <c r="D11" i="2"/>
  <c r="R7" i="10" s="1"/>
  <c r="T7" i="10" s="1"/>
  <c r="E11" i="2"/>
  <c r="R9" i="10" s="1"/>
  <c r="T9" i="10" s="1"/>
  <c r="F11" i="2"/>
  <c r="R10" i="10" s="1"/>
  <c r="T10" i="10" s="1"/>
  <c r="G11" i="2"/>
  <c r="H11" i="2"/>
  <c r="C12" i="2"/>
  <c r="D12" i="2"/>
  <c r="E12" i="2"/>
  <c r="F12" i="2"/>
  <c r="U5" i="10" s="1"/>
  <c r="W5" i="10" s="1"/>
  <c r="G12" i="2"/>
  <c r="H12" i="2"/>
  <c r="G10" i="1"/>
  <c r="N10" i="1" s="1"/>
  <c r="E4" i="1"/>
  <c r="E5" i="1"/>
  <c r="E6" i="1"/>
  <c r="E7" i="1"/>
  <c r="E8" i="1"/>
  <c r="E9" i="1"/>
  <c r="E10" i="1"/>
  <c r="F10" i="1" s="1"/>
  <c r="E3" i="1"/>
  <c r="F3" i="1" s="1"/>
  <c r="H5" i="3"/>
  <c r="F4" i="1"/>
  <c r="R11" i="10" l="1"/>
  <c r="T11" i="10" s="1"/>
  <c r="R5" i="10"/>
  <c r="T5" i="10" s="1"/>
  <c r="CV11" i="10"/>
  <c r="CW6" i="10"/>
  <c r="CW8" i="10"/>
  <c r="M10" i="1"/>
  <c r="H10" i="1"/>
  <c r="I10" i="1"/>
  <c r="J10" i="1"/>
  <c r="K10" i="1"/>
  <c r="L10" i="1"/>
  <c r="E11" i="1"/>
  <c r="AT11" i="3"/>
  <c r="CK11" i="3"/>
  <c r="CW12" i="3" s="1"/>
  <c r="H11" i="3"/>
  <c r="H10" i="3"/>
  <c r="H9" i="3"/>
  <c r="H8" i="3"/>
  <c r="H6" i="3"/>
  <c r="H4" i="3"/>
  <c r="CP12" i="3"/>
  <c r="CX12" i="3"/>
  <c r="CS12" i="3"/>
  <c r="CR12" i="3"/>
  <c r="CQ12" i="3"/>
  <c r="CP11" i="3"/>
  <c r="CQ11" i="3"/>
  <c r="CR11" i="3"/>
  <c r="CS11" i="3"/>
  <c r="CX11" i="3"/>
  <c r="CP1" i="3"/>
  <c r="CS8" i="3"/>
  <c r="CX6" i="3"/>
  <c r="CX7" i="3"/>
  <c r="CX8" i="3"/>
  <c r="CX9" i="3"/>
  <c r="CX10" i="3"/>
  <c r="CX5" i="3"/>
  <c r="CS4" i="3"/>
  <c r="CS5" i="3"/>
  <c r="CS6" i="3"/>
  <c r="CS7" i="3"/>
  <c r="CS9" i="3"/>
  <c r="CS10" i="3"/>
  <c r="CQ4" i="3"/>
  <c r="CQ5" i="3"/>
  <c r="CR5" i="3"/>
  <c r="CQ6" i="3"/>
  <c r="CR6" i="3"/>
  <c r="CQ7" i="3"/>
  <c r="CR7" i="3"/>
  <c r="CQ8" i="3"/>
  <c r="CR8" i="3"/>
  <c r="CQ9" i="3"/>
  <c r="CR9" i="3"/>
  <c r="CQ10" i="3"/>
  <c r="CR10" i="3"/>
  <c r="CP5" i="3"/>
  <c r="CP6" i="3"/>
  <c r="CP7" i="3"/>
  <c r="CP8" i="3"/>
  <c r="CP9" i="3"/>
  <c r="CP10" i="3"/>
  <c r="AT10" i="3"/>
  <c r="AT9" i="3"/>
  <c r="AT8" i="3"/>
  <c r="AT7" i="3"/>
  <c r="BU11" i="3"/>
  <c r="CC11" i="3"/>
  <c r="CA11" i="3"/>
  <c r="BY11" i="3"/>
  <c r="BW11" i="3"/>
  <c r="BS11" i="3"/>
  <c r="BQ11" i="3"/>
  <c r="BO11" i="3"/>
  <c r="BM11" i="3"/>
  <c r="BK11" i="3"/>
  <c r="BI11" i="3"/>
  <c r="BG11" i="3"/>
  <c r="BE11" i="3"/>
  <c r="AT5" i="3"/>
  <c r="AT6" i="3"/>
  <c r="CK10" i="3"/>
  <c r="CW11" i="3" s="1"/>
  <c r="CK9" i="3"/>
  <c r="CW10" i="3" s="1"/>
  <c r="CK8" i="3"/>
  <c r="CW9" i="3" s="1"/>
  <c r="CK7" i="3"/>
  <c r="CW8" i="3" s="1"/>
  <c r="CK6" i="3"/>
  <c r="CW7" i="3" s="1"/>
  <c r="CK5" i="3"/>
  <c r="CW6" i="3" s="1"/>
  <c r="AN11" i="3"/>
  <c r="AN10" i="3"/>
  <c r="AN9" i="3"/>
  <c r="AN8" i="3"/>
  <c r="AN7" i="3"/>
  <c r="AN6" i="3"/>
  <c r="AN5" i="3"/>
  <c r="AN4" i="3"/>
  <c r="BB11" i="3"/>
  <c r="BB10" i="3"/>
  <c r="BB9" i="3"/>
  <c r="BB8" i="3"/>
  <c r="BB7" i="3"/>
  <c r="BB6" i="3"/>
  <c r="BB5" i="3"/>
  <c r="AZ11" i="3"/>
  <c r="AZ10" i="3"/>
  <c r="AZ9" i="3"/>
  <c r="AZ8" i="3"/>
  <c r="AZ7" i="3"/>
  <c r="AZ6" i="3"/>
  <c r="AZ5" i="3"/>
  <c r="AX11" i="3"/>
  <c r="AX10" i="3"/>
  <c r="AX9" i="3"/>
  <c r="AX8" i="3"/>
  <c r="AX7" i="3"/>
  <c r="AX6" i="3"/>
  <c r="AX5" i="3"/>
  <c r="AV11" i="3"/>
  <c r="AV10" i="3"/>
  <c r="AV9" i="3"/>
  <c r="AV8" i="3"/>
  <c r="AV7" i="3"/>
  <c r="AV6" i="3"/>
  <c r="AV5" i="3"/>
  <c r="AR11" i="3"/>
  <c r="AR10" i="3"/>
  <c r="AR9" i="3"/>
  <c r="AR8" i="3"/>
  <c r="AR7" i="3"/>
  <c r="AR6" i="3"/>
  <c r="AR5" i="3"/>
  <c r="AP11" i="3"/>
  <c r="AP10" i="3"/>
  <c r="AP9" i="3"/>
  <c r="AP8" i="3"/>
  <c r="AP7" i="3"/>
  <c r="AP6" i="3"/>
  <c r="AP5" i="3"/>
  <c r="AR4" i="3"/>
  <c r="CC10" i="3"/>
  <c r="CC9" i="3"/>
  <c r="CC8" i="3"/>
  <c r="CC7" i="3"/>
  <c r="CC6" i="3"/>
  <c r="CC5" i="3"/>
  <c r="CC4" i="3"/>
  <c r="CA10" i="3"/>
  <c r="CA9" i="3"/>
  <c r="CA8" i="3"/>
  <c r="CA7" i="3"/>
  <c r="CA6" i="3"/>
  <c r="CA5" i="3"/>
  <c r="CA4" i="3"/>
  <c r="BY10" i="3"/>
  <c r="BY9" i="3"/>
  <c r="BY8" i="3"/>
  <c r="BY7" i="3"/>
  <c r="BY6" i="3"/>
  <c r="BY5" i="3"/>
  <c r="BY4" i="3"/>
  <c r="BW10" i="3"/>
  <c r="BW9" i="3"/>
  <c r="BW8" i="3"/>
  <c r="BW7" i="3"/>
  <c r="BW6" i="3"/>
  <c r="BW5" i="3"/>
  <c r="BW4" i="3"/>
  <c r="BU10" i="3"/>
  <c r="BU9" i="3"/>
  <c r="BU8" i="3"/>
  <c r="BU7" i="3"/>
  <c r="BU6" i="3"/>
  <c r="BU5" i="3"/>
  <c r="BU4" i="3"/>
  <c r="BS10" i="3"/>
  <c r="BS9" i="3"/>
  <c r="BS8" i="3"/>
  <c r="BS7" i="3"/>
  <c r="BS6" i="3"/>
  <c r="BS5" i="3"/>
  <c r="BS4" i="3"/>
  <c r="BQ10" i="3"/>
  <c r="BQ9" i="3"/>
  <c r="BQ8" i="3"/>
  <c r="BQ7" i="3"/>
  <c r="BQ6" i="3"/>
  <c r="BQ5" i="3"/>
  <c r="BQ4" i="3"/>
  <c r="BO10" i="3"/>
  <c r="BO9" i="3"/>
  <c r="BO8" i="3"/>
  <c r="BO7" i="3"/>
  <c r="BO6" i="3"/>
  <c r="BO5" i="3"/>
  <c r="BO4" i="3"/>
  <c r="BM10" i="3"/>
  <c r="BM9" i="3"/>
  <c r="BM8" i="3"/>
  <c r="BM7" i="3"/>
  <c r="BM6" i="3"/>
  <c r="BM5" i="3"/>
  <c r="BM4" i="3"/>
  <c r="BK10" i="3"/>
  <c r="BK9" i="3"/>
  <c r="BK8" i="3"/>
  <c r="BK7" i="3"/>
  <c r="BK6" i="3"/>
  <c r="BK5" i="3"/>
  <c r="BK4" i="3"/>
  <c r="BI10" i="3"/>
  <c r="BI9" i="3"/>
  <c r="BI8" i="3"/>
  <c r="BI7" i="3"/>
  <c r="BI6" i="3"/>
  <c r="BI5" i="3"/>
  <c r="BI4" i="3"/>
  <c r="BG10" i="3"/>
  <c r="BG9" i="3"/>
  <c r="BG8" i="3"/>
  <c r="BG7" i="3"/>
  <c r="BG6" i="3"/>
  <c r="BG5" i="3"/>
  <c r="BG4" i="3"/>
  <c r="BE10" i="3"/>
  <c r="BE9" i="3"/>
  <c r="BE8" i="3"/>
  <c r="BE7" i="3"/>
  <c r="BE6" i="3"/>
  <c r="BE5" i="3"/>
  <c r="BE4" i="3"/>
  <c r="CK4" i="3"/>
  <c r="CW5" i="3" s="1"/>
  <c r="CE4" i="3"/>
  <c r="AZ4" i="3"/>
  <c r="AX4" i="3"/>
  <c r="AV4" i="3"/>
  <c r="AT4" i="3"/>
  <c r="P11" i="6"/>
  <c r="N11" i="6"/>
  <c r="L11" i="6"/>
  <c r="J11" i="6"/>
  <c r="F11" i="1" l="1"/>
  <c r="G11" i="1"/>
  <c r="BC10" i="3"/>
  <c r="CU11" i="3" s="1"/>
  <c r="BC8" i="3"/>
  <c r="CU9" i="3" s="1"/>
  <c r="BC9" i="3"/>
  <c r="CU10" i="3" s="1"/>
  <c r="CF11" i="3"/>
  <c r="CV12" i="3" s="1"/>
  <c r="BC7" i="3"/>
  <c r="CU8" i="3" s="1"/>
  <c r="BC11" i="3"/>
  <c r="BC5" i="3"/>
  <c r="CU6" i="3" s="1"/>
  <c r="BC6" i="3"/>
  <c r="CU7" i="3" s="1"/>
  <c r="CF6" i="3"/>
  <c r="CV7" i="3" s="1"/>
  <c r="CF10" i="3"/>
  <c r="CV11" i="3" s="1"/>
  <c r="CF5" i="3"/>
  <c r="CV6" i="3" s="1"/>
  <c r="CF9" i="3"/>
  <c r="CV10" i="3" s="1"/>
  <c r="CF7" i="3"/>
  <c r="CV8" i="3" s="1"/>
  <c r="CF8" i="3"/>
  <c r="CV9" i="3" s="1"/>
  <c r="CF4" i="3"/>
  <c r="CV5" i="3" s="1"/>
  <c r="D11" i="6"/>
  <c r="F11" i="6"/>
  <c r="H11" i="6"/>
  <c r="O21" i="6"/>
  <c r="O19" i="6"/>
  <c r="O17" i="6"/>
  <c r="O15" i="6"/>
  <c r="O13" i="6"/>
  <c r="O11" i="6"/>
  <c r="O12" i="6" s="1"/>
  <c r="P13" i="6" s="1"/>
  <c r="O9" i="6"/>
  <c r="M21" i="6"/>
  <c r="M19" i="6"/>
  <c r="M17" i="6"/>
  <c r="M15" i="6"/>
  <c r="M13" i="6"/>
  <c r="M11" i="6"/>
  <c r="M12" i="6" s="1"/>
  <c r="N13" i="6" s="1"/>
  <c r="M9" i="6"/>
  <c r="K21" i="6"/>
  <c r="K19" i="6"/>
  <c r="K17" i="6"/>
  <c r="K15" i="6"/>
  <c r="K13" i="6"/>
  <c r="K11" i="6"/>
  <c r="K12" i="6" s="1"/>
  <c r="L13" i="6" s="1"/>
  <c r="K9" i="6"/>
  <c r="I21" i="6"/>
  <c r="I19" i="6"/>
  <c r="I17" i="6"/>
  <c r="I15" i="6"/>
  <c r="I13" i="6"/>
  <c r="I11" i="6"/>
  <c r="I12" i="6" s="1"/>
  <c r="J13" i="6" s="1"/>
  <c r="I9" i="6"/>
  <c r="E21" i="6"/>
  <c r="E19" i="6"/>
  <c r="E17" i="6"/>
  <c r="E15" i="6"/>
  <c r="E13" i="6"/>
  <c r="E11" i="6"/>
  <c r="E12" i="6" s="1"/>
  <c r="F13" i="6" s="1"/>
  <c r="G21" i="6"/>
  <c r="G19" i="6"/>
  <c r="G17" i="6"/>
  <c r="G15" i="6"/>
  <c r="G13" i="6"/>
  <c r="G11" i="6"/>
  <c r="G12" i="6" s="1"/>
  <c r="H13" i="6" s="1"/>
  <c r="C21" i="6"/>
  <c r="C19" i="6"/>
  <c r="C17" i="6"/>
  <c r="C15" i="6"/>
  <c r="C13" i="6"/>
  <c r="C11" i="6"/>
  <c r="C12" i="6" s="1"/>
  <c r="D12" i="6" s="1"/>
  <c r="D13" i="6" s="1"/>
  <c r="G9" i="6"/>
  <c r="E9" i="6"/>
  <c r="C9" i="6"/>
  <c r="Q1" i="1"/>
  <c r="R1" i="1"/>
  <c r="S1" i="1"/>
  <c r="T1" i="1"/>
  <c r="U1" i="1"/>
  <c r="V1" i="1"/>
  <c r="P1" i="1"/>
  <c r="P2" i="1"/>
  <c r="C8" i="2" l="1"/>
  <c r="CU12" i="3"/>
  <c r="O14" i="6"/>
  <c r="P15" i="6" s="1"/>
  <c r="M14" i="6"/>
  <c r="N15" i="6" s="1"/>
  <c r="K14" i="6"/>
  <c r="L15" i="6" s="1"/>
  <c r="I14" i="6"/>
  <c r="J15" i="6" s="1"/>
  <c r="E14" i="6"/>
  <c r="F15" i="6" s="1"/>
  <c r="G14" i="6"/>
  <c r="H15" i="6" s="1"/>
  <c r="C14" i="6"/>
  <c r="D14" i="6" s="1"/>
  <c r="D15" i="6" s="1"/>
  <c r="R2" i="1"/>
  <c r="S2" i="1"/>
  <c r="T2" i="1"/>
  <c r="U2" i="1"/>
  <c r="V2" i="1"/>
  <c r="Q2" i="1"/>
  <c r="I3" i="1"/>
  <c r="G3" i="1"/>
  <c r="N3" i="1" s="1"/>
  <c r="I4" i="10" l="1"/>
  <c r="I7" i="10"/>
  <c r="K7" i="10" s="1"/>
  <c r="I8" i="10"/>
  <c r="K8" i="10" s="1"/>
  <c r="I5" i="10"/>
  <c r="K5" i="10" s="1"/>
  <c r="I10" i="10"/>
  <c r="K10" i="10" s="1"/>
  <c r="I9" i="10"/>
  <c r="K9" i="10" s="1"/>
  <c r="I11" i="10"/>
  <c r="K11" i="10" s="1"/>
  <c r="I6" i="10"/>
  <c r="K6" i="10" s="1"/>
  <c r="G8" i="2"/>
  <c r="F8" i="2"/>
  <c r="E8" i="2"/>
  <c r="D8" i="2"/>
  <c r="H8" i="2"/>
  <c r="I4" i="3"/>
  <c r="K4" i="3" s="1"/>
  <c r="I11" i="3"/>
  <c r="K11" i="3" s="1"/>
  <c r="I10" i="3"/>
  <c r="K10" i="3" s="1"/>
  <c r="I5" i="3"/>
  <c r="K5" i="3" s="1"/>
  <c r="I7" i="3"/>
  <c r="K7" i="3" s="1"/>
  <c r="I6" i="3"/>
  <c r="K6" i="3" s="1"/>
  <c r="I9" i="3"/>
  <c r="K9" i="3" s="1"/>
  <c r="I8" i="3"/>
  <c r="K8" i="3" s="1"/>
  <c r="O16" i="6"/>
  <c r="P17" i="6" s="1"/>
  <c r="M16" i="6"/>
  <c r="N17" i="6" s="1"/>
  <c r="K16" i="6"/>
  <c r="L17" i="6" s="1"/>
  <c r="I16" i="6"/>
  <c r="J17" i="6" s="1"/>
  <c r="C16" i="6"/>
  <c r="D16" i="6" s="1"/>
  <c r="D17" i="6" s="1"/>
  <c r="E16" i="6"/>
  <c r="F17" i="6" s="1"/>
  <c r="G16" i="6"/>
  <c r="H17" i="6" s="1"/>
  <c r="V3" i="1"/>
  <c r="H9" i="2" s="1"/>
  <c r="Q3" i="1"/>
  <c r="D9" i="2" s="1"/>
  <c r="L8" i="10" l="1"/>
  <c r="N8" i="10" s="1"/>
  <c r="L7" i="10"/>
  <c r="N7" i="10" s="1"/>
  <c r="L6" i="10"/>
  <c r="N6" i="10" s="1"/>
  <c r="U4" i="10"/>
  <c r="W4" i="10" s="1"/>
  <c r="K4" i="10"/>
  <c r="R4" i="10"/>
  <c r="T4" i="10" s="1"/>
  <c r="O18" i="6"/>
  <c r="P19" i="6" s="1"/>
  <c r="M18" i="6"/>
  <c r="N19" i="6" s="1"/>
  <c r="K18" i="6"/>
  <c r="L19" i="6" s="1"/>
  <c r="I18" i="6"/>
  <c r="J19" i="6" s="1"/>
  <c r="C18" i="6"/>
  <c r="D18" i="6" s="1"/>
  <c r="D19" i="6" s="1"/>
  <c r="E18" i="6"/>
  <c r="F19" i="6" s="1"/>
  <c r="G18" i="6"/>
  <c r="H19" i="6" s="1"/>
  <c r="BB4" i="3"/>
  <c r="AP4" i="3"/>
  <c r="L7" i="3" l="1"/>
  <c r="N7" i="3" s="1"/>
  <c r="L8" i="3"/>
  <c r="N8" i="3" s="1"/>
  <c r="L6" i="3"/>
  <c r="N6" i="3" s="1"/>
  <c r="BC4" i="3"/>
  <c r="O20" i="6"/>
  <c r="P21" i="6" s="1"/>
  <c r="M20" i="6"/>
  <c r="N21" i="6" s="1"/>
  <c r="K20" i="6"/>
  <c r="L21" i="6" s="1"/>
  <c r="I20" i="6"/>
  <c r="J21" i="6" s="1"/>
  <c r="C20" i="6"/>
  <c r="D20" i="6" s="1"/>
  <c r="D21" i="6" s="1"/>
  <c r="E20" i="6"/>
  <c r="F21" i="6" s="1"/>
  <c r="G20" i="6"/>
  <c r="H21" i="6" s="1"/>
  <c r="H3" i="1"/>
  <c r="P3" i="1" l="1"/>
  <c r="C9" i="2" s="1"/>
  <c r="L4" i="10" s="1"/>
  <c r="CU5" i="3"/>
  <c r="O22" i="6"/>
  <c r="P23" i="6" s="1"/>
  <c r="M22" i="6"/>
  <c r="N23" i="6" s="1"/>
  <c r="K22" i="6"/>
  <c r="I22" i="6"/>
  <c r="C22" i="6"/>
  <c r="D22" i="6" s="1"/>
  <c r="D23" i="6" s="1"/>
  <c r="D24" i="6" s="1"/>
  <c r="E22" i="6"/>
  <c r="G22" i="6"/>
  <c r="H23" i="6" s="1"/>
  <c r="N4" i="10" l="1"/>
  <c r="L23" i="6"/>
  <c r="L24" i="6" s="1"/>
  <c r="L52" i="6" s="1"/>
  <c r="F23" i="6"/>
  <c r="F24" i="6" s="1"/>
  <c r="F52" i="6" s="1"/>
  <c r="J23" i="6"/>
  <c r="J24" i="6" s="1"/>
  <c r="J52" i="6" s="1"/>
  <c r="N24" i="6"/>
  <c r="N52" i="6" s="1"/>
  <c r="P24" i="6"/>
  <c r="P52" i="6" s="1"/>
  <c r="D52" i="6"/>
  <c r="H24" i="6"/>
  <c r="H52" i="6" s="1"/>
  <c r="L4" i="3"/>
  <c r="L3" i="1"/>
  <c r="J3" i="1"/>
  <c r="K3" i="1"/>
  <c r="N4" i="3" l="1"/>
  <c r="P53" i="6"/>
  <c r="H53" i="6"/>
  <c r="N53" i="6"/>
  <c r="F53" i="6"/>
  <c r="L53" i="6"/>
  <c r="J53" i="6"/>
  <c r="R3" i="1"/>
  <c r="E9" i="2" s="1"/>
  <c r="L9" i="10" s="1"/>
  <c r="N9" i="10" s="1"/>
  <c r="S3" i="1"/>
  <c r="F9" i="2" s="1"/>
  <c r="T3" i="1"/>
  <c r="G9" i="2" s="1"/>
  <c r="M3" i="1"/>
  <c r="L5" i="10" l="1"/>
  <c r="N5" i="10" s="1"/>
  <c r="L10" i="10"/>
  <c r="N10" i="10" s="1"/>
  <c r="L11" i="10"/>
  <c r="N11" i="10" s="1"/>
  <c r="U3" i="1"/>
  <c r="L9" i="3"/>
  <c r="N9" i="3" s="1"/>
  <c r="L10" i="3" l="1"/>
  <c r="N10" i="3" s="1"/>
  <c r="L11" i="3"/>
  <c r="N11" i="3" s="1"/>
  <c r="L5" i="3"/>
  <c r="N5" i="3" s="1"/>
  <c r="G4" i="1"/>
  <c r="N4" i="1" s="1"/>
  <c r="M4" i="1"/>
  <c r="I4" i="1"/>
  <c r="L4" i="1"/>
  <c r="J4" i="1"/>
  <c r="K4" i="1"/>
  <c r="R4" i="1" l="1"/>
  <c r="E10" i="2" s="1"/>
  <c r="O9" i="10" s="1"/>
  <c r="Q9" i="10" s="1"/>
  <c r="U4" i="1"/>
  <c r="S4" i="1"/>
  <c r="F10" i="2" s="1"/>
  <c r="T4" i="1"/>
  <c r="G10" i="2" s="1"/>
  <c r="Q4" i="1"/>
  <c r="D10" i="2" s="1"/>
  <c r="V4" i="1"/>
  <c r="H10" i="2" s="1"/>
  <c r="O6" i="3"/>
  <c r="Q6" i="3" s="1"/>
  <c r="O7" i="3"/>
  <c r="Q7" i="3" s="1"/>
  <c r="O9" i="3"/>
  <c r="Q9" i="3" s="1"/>
  <c r="H4" i="1"/>
  <c r="O7" i="10" l="1"/>
  <c r="Q7" i="10" s="1"/>
  <c r="O6" i="10"/>
  <c r="Q6" i="10" s="1"/>
  <c r="O8" i="10"/>
  <c r="Q8" i="10" s="1"/>
  <c r="O8" i="3"/>
  <c r="Q8" i="3" s="1"/>
  <c r="O10" i="10"/>
  <c r="Q10" i="10" s="1"/>
  <c r="O5" i="10"/>
  <c r="Q5" i="10" s="1"/>
  <c r="O11" i="10"/>
  <c r="Q11" i="10" s="1"/>
  <c r="P4" i="1"/>
  <c r="C10" i="2" s="1"/>
  <c r="O4" i="10" s="1"/>
  <c r="Q4" i="10" s="1"/>
  <c r="O11" i="3"/>
  <c r="Q11" i="3" s="1"/>
  <c r="O5" i="3"/>
  <c r="Q5" i="3" s="1"/>
  <c r="O10" i="3"/>
  <c r="Q10" i="3" s="1"/>
  <c r="O4" i="3" l="1"/>
  <c r="Q4" i="3" s="1"/>
  <c r="G9" i="1"/>
  <c r="N9" i="1" s="1"/>
  <c r="F9" i="1"/>
  <c r="H9" i="1" s="1"/>
  <c r="G8" i="1"/>
  <c r="N8" i="1" s="1"/>
  <c r="F8" i="1"/>
  <c r="K8" i="1" s="1"/>
  <c r="L9" i="1" l="1"/>
  <c r="M9" i="1"/>
  <c r="J9" i="1"/>
  <c r="I9" i="1"/>
  <c r="K9" i="1"/>
  <c r="H8" i="1"/>
  <c r="I8" i="1"/>
  <c r="L8" i="1"/>
  <c r="J8" i="1"/>
  <c r="M8" i="1"/>
  <c r="G7" i="1"/>
  <c r="N7" i="1" s="1"/>
  <c r="F7" i="1"/>
  <c r="J7" i="1" s="1"/>
  <c r="I7" i="1" l="1"/>
  <c r="H7" i="1"/>
  <c r="K7" i="1"/>
  <c r="L7" i="1"/>
  <c r="M7" i="1"/>
  <c r="G6" i="1"/>
  <c r="N6" i="1" s="1"/>
  <c r="F6" i="1"/>
  <c r="I6" i="1" s="1"/>
  <c r="H6" i="1" l="1"/>
  <c r="K6" i="1"/>
  <c r="L6" i="1"/>
  <c r="J6" i="1"/>
  <c r="M6" i="1"/>
  <c r="G5" i="1"/>
  <c r="N5" i="1" s="1"/>
  <c r="F5" i="1"/>
  <c r="L5" i="1" s="1"/>
  <c r="V5" i="1" l="1"/>
  <c r="N11" i="1"/>
  <c r="T5" i="1"/>
  <c r="L11" i="1"/>
  <c r="J5" i="1"/>
  <c r="M5" i="1"/>
  <c r="H5" i="1"/>
  <c r="I5" i="1"/>
  <c r="V6" i="1"/>
  <c r="T6" i="1"/>
  <c r="K5" i="1"/>
  <c r="S5" i="1" l="1"/>
  <c r="K11" i="1"/>
  <c r="P5" i="1"/>
  <c r="H11" i="1"/>
  <c r="R5" i="1"/>
  <c r="R9" i="3" s="1"/>
  <c r="T9" i="3" s="1"/>
  <c r="J11" i="1"/>
  <c r="Q5" i="1"/>
  <c r="R8" i="3" s="1"/>
  <c r="T8" i="3" s="1"/>
  <c r="I11" i="1"/>
  <c r="U5" i="1"/>
  <c r="U6" i="1" s="1"/>
  <c r="U7" i="1" s="1"/>
  <c r="U8" i="1" s="1"/>
  <c r="U9" i="1" s="1"/>
  <c r="U10" i="1" s="1"/>
  <c r="M11" i="1"/>
  <c r="R4" i="3"/>
  <c r="T4" i="3" s="1"/>
  <c r="Q6" i="1"/>
  <c r="P6" i="1"/>
  <c r="R6" i="1"/>
  <c r="R6" i="3"/>
  <c r="T6" i="3" s="1"/>
  <c r="V7" i="1"/>
  <c r="H13" i="2" s="1"/>
  <c r="S6" i="1"/>
  <c r="T7" i="1"/>
  <c r="G13" i="2" s="1"/>
  <c r="Q7" i="1" l="1"/>
  <c r="D13" i="2" s="1"/>
  <c r="R7" i="3"/>
  <c r="T7" i="3" s="1"/>
  <c r="U4" i="3"/>
  <c r="W4" i="3" s="1"/>
  <c r="P7" i="1"/>
  <c r="C13" i="2" s="1"/>
  <c r="X4" i="10" s="1"/>
  <c r="Z4" i="10" s="1"/>
  <c r="U9" i="3"/>
  <c r="W9" i="3" s="1"/>
  <c r="R7" i="1"/>
  <c r="E13" i="2" s="1"/>
  <c r="X9" i="10" s="1"/>
  <c r="Z9" i="10" s="1"/>
  <c r="U8" i="3"/>
  <c r="W8" i="3" s="1"/>
  <c r="U7" i="3"/>
  <c r="W7" i="3" s="1"/>
  <c r="U6" i="3"/>
  <c r="W6" i="3" s="1"/>
  <c r="S7" i="1"/>
  <c r="F13" i="2" s="1"/>
  <c r="R5" i="3"/>
  <c r="T5" i="3" s="1"/>
  <c r="R11" i="3"/>
  <c r="T11" i="3" s="1"/>
  <c r="R10" i="3"/>
  <c r="T10" i="3" s="1"/>
  <c r="T8" i="1"/>
  <c r="G14" i="2" s="1"/>
  <c r="V8" i="1"/>
  <c r="H14" i="2" s="1"/>
  <c r="Q8" i="1"/>
  <c r="D14" i="2" s="1"/>
  <c r="AA6" i="10" l="1"/>
  <c r="AC6" i="10" s="1"/>
  <c r="AA8" i="10"/>
  <c r="AC8" i="10" s="1"/>
  <c r="AA7" i="10"/>
  <c r="AC7" i="10" s="1"/>
  <c r="AD9" i="3"/>
  <c r="AF9" i="3" s="1"/>
  <c r="AD9" i="10"/>
  <c r="AF9" i="10" s="1"/>
  <c r="AD7" i="10"/>
  <c r="AF7" i="10" s="1"/>
  <c r="AD8" i="10"/>
  <c r="AF8" i="10" s="1"/>
  <c r="AD8" i="3"/>
  <c r="AF8" i="3" s="1"/>
  <c r="AD6" i="10"/>
  <c r="AF6" i="10" s="1"/>
  <c r="AD7" i="3"/>
  <c r="AF7" i="3" s="1"/>
  <c r="AD6" i="3"/>
  <c r="AF6" i="3" s="1"/>
  <c r="X11" i="10"/>
  <c r="Z11" i="10" s="1"/>
  <c r="X5" i="10"/>
  <c r="Z5" i="10" s="1"/>
  <c r="X10" i="10"/>
  <c r="Z10" i="10" s="1"/>
  <c r="X7" i="10"/>
  <c r="Z7" i="10" s="1"/>
  <c r="X6" i="10"/>
  <c r="Z6" i="10" s="1"/>
  <c r="X8" i="10"/>
  <c r="Z8" i="10" s="1"/>
  <c r="X4" i="3"/>
  <c r="Z4" i="3" s="1"/>
  <c r="P8" i="1"/>
  <c r="C14" i="2" s="1"/>
  <c r="AA4" i="10" s="1"/>
  <c r="AC4" i="10" s="1"/>
  <c r="R8" i="1"/>
  <c r="E14" i="2" s="1"/>
  <c r="AA9" i="10" s="1"/>
  <c r="AC9" i="10" s="1"/>
  <c r="X9" i="3"/>
  <c r="Z9" i="3" s="1"/>
  <c r="V9" i="1"/>
  <c r="S8" i="1"/>
  <c r="F14" i="2" s="1"/>
  <c r="Q9" i="1"/>
  <c r="U10" i="3"/>
  <c r="W10" i="3" s="1"/>
  <c r="U5" i="3"/>
  <c r="W5" i="3" s="1"/>
  <c r="U11" i="3"/>
  <c r="W11" i="3" s="1"/>
  <c r="X6" i="3"/>
  <c r="Z6" i="3" s="1"/>
  <c r="X7" i="3"/>
  <c r="Z7" i="3" s="1"/>
  <c r="X8" i="3"/>
  <c r="Z8" i="3" s="1"/>
  <c r="T9" i="1"/>
  <c r="D15" i="2" l="1"/>
  <c r="Q10" i="1"/>
  <c r="D16" i="2" s="1"/>
  <c r="AA10" i="10"/>
  <c r="AC10" i="10" s="1"/>
  <c r="AA5" i="10"/>
  <c r="AC5" i="10" s="1"/>
  <c r="AA11" i="10"/>
  <c r="AC11" i="10" s="1"/>
  <c r="V10" i="1"/>
  <c r="H16" i="2" s="1"/>
  <c r="H15" i="2"/>
  <c r="T10" i="1"/>
  <c r="G16" i="2" s="1"/>
  <c r="G15" i="2"/>
  <c r="AA4" i="3"/>
  <c r="AC4" i="3" s="1"/>
  <c r="P9" i="1"/>
  <c r="R9" i="1"/>
  <c r="AA9" i="3"/>
  <c r="AC9" i="3" s="1"/>
  <c r="AA7" i="3"/>
  <c r="AC7" i="3" s="1"/>
  <c r="AA6" i="3"/>
  <c r="AC6" i="3" s="1"/>
  <c r="AA8" i="3"/>
  <c r="AC8" i="3" s="1"/>
  <c r="S9" i="1"/>
  <c r="X5" i="3"/>
  <c r="Z5" i="3" s="1"/>
  <c r="X11" i="3"/>
  <c r="Z11" i="3" s="1"/>
  <c r="X10" i="3"/>
  <c r="Z10" i="3" s="1"/>
  <c r="AG6" i="10" l="1"/>
  <c r="AI6" i="10" s="1"/>
  <c r="AJ6" i="10" s="1"/>
  <c r="AG7" i="10"/>
  <c r="AI7" i="10" s="1"/>
  <c r="AJ7" i="10" s="1"/>
  <c r="AG8" i="10"/>
  <c r="AI8" i="10" s="1"/>
  <c r="AJ8" i="10" s="1"/>
  <c r="E15" i="2"/>
  <c r="R10" i="1"/>
  <c r="E16" i="2" s="1"/>
  <c r="AG9" i="10" s="1"/>
  <c r="AI9" i="10" s="1"/>
  <c r="AJ9" i="10" s="1"/>
  <c r="F15" i="2"/>
  <c r="S10" i="1"/>
  <c r="F16" i="2" s="1"/>
  <c r="C15" i="2"/>
  <c r="P10" i="1"/>
  <c r="C16" i="2" s="1"/>
  <c r="AG4" i="10" s="1"/>
  <c r="AI4" i="10" s="1"/>
  <c r="AG9" i="3"/>
  <c r="AI9" i="3" s="1"/>
  <c r="AJ9" i="3" s="1"/>
  <c r="AA10" i="3"/>
  <c r="AC10" i="3" s="1"/>
  <c r="AA5" i="3"/>
  <c r="AC5" i="3" s="1"/>
  <c r="AA11" i="3"/>
  <c r="AC11" i="3" s="1"/>
  <c r="AG6" i="3"/>
  <c r="AI6" i="3" s="1"/>
  <c r="AJ6" i="3" s="1"/>
  <c r="AG7" i="3"/>
  <c r="AI7" i="3" s="1"/>
  <c r="AJ7" i="3" s="1"/>
  <c r="AG8" i="3"/>
  <c r="AI8" i="3" s="1"/>
  <c r="AJ8" i="3" s="1"/>
  <c r="AG4" i="3" l="1"/>
  <c r="AI4" i="3" s="1"/>
  <c r="CM6" i="10"/>
  <c r="CT7" i="10"/>
  <c r="CY7" i="10" s="1"/>
  <c r="AG11" i="10"/>
  <c r="AI11" i="10" s="1"/>
  <c r="AJ11" i="10" s="1"/>
  <c r="AG5" i="10"/>
  <c r="AI5" i="10" s="1"/>
  <c r="AJ5" i="10" s="1"/>
  <c r="AG10" i="10"/>
  <c r="AI10" i="10" s="1"/>
  <c r="AJ10" i="10" s="1"/>
  <c r="CM8" i="10"/>
  <c r="CT9" i="10"/>
  <c r="CY9" i="10" s="1"/>
  <c r="AD4" i="10"/>
  <c r="AF4" i="10" s="1"/>
  <c r="AJ4" i="10" s="1"/>
  <c r="AD4" i="3"/>
  <c r="AF4" i="3" s="1"/>
  <c r="CT8" i="10"/>
  <c r="CY8" i="10" s="1"/>
  <c r="CM7" i="10"/>
  <c r="CM9" i="10"/>
  <c r="CT10" i="10"/>
  <c r="CY10" i="10" s="1"/>
  <c r="CM9" i="3"/>
  <c r="CT10" i="3"/>
  <c r="CY10" i="3" s="1"/>
  <c r="CT8" i="3"/>
  <c r="CY8" i="3" s="1"/>
  <c r="CT7" i="3"/>
  <c r="CY7" i="3" s="1"/>
  <c r="CT9" i="3"/>
  <c r="CY9" i="3" s="1"/>
  <c r="AG5" i="3"/>
  <c r="AI5" i="3" s="1"/>
  <c r="AJ5" i="3" s="1"/>
  <c r="AG10" i="3"/>
  <c r="AI10" i="3" s="1"/>
  <c r="AJ10" i="3" s="1"/>
  <c r="AG11" i="3"/>
  <c r="AI11" i="3" s="1"/>
  <c r="AJ11" i="3" s="1"/>
  <c r="CM4" i="10" l="1"/>
  <c r="CT5" i="10"/>
  <c r="CY5" i="10" s="1"/>
  <c r="CM5" i="10"/>
  <c r="CT6" i="10"/>
  <c r="CY6" i="10" s="1"/>
  <c r="CT11" i="10"/>
  <c r="CY11" i="10" s="1"/>
  <c r="CM10" i="10"/>
  <c r="CT12" i="10"/>
  <c r="CY12" i="10" s="1"/>
  <c r="CZ12" i="10" s="1"/>
  <c r="CM11" i="10"/>
  <c r="AJ4" i="3"/>
  <c r="CT6" i="3"/>
  <c r="CY6" i="3" s="1"/>
  <c r="CM7" i="3"/>
  <c r="CM6" i="3"/>
  <c r="CM8" i="3"/>
  <c r="CM10" i="3"/>
  <c r="CM11" i="3"/>
  <c r="CZ9" i="10" l="1"/>
  <c r="CZ6" i="10"/>
  <c r="CN5" i="10"/>
  <c r="CZ11" i="10"/>
  <c r="CN8" i="10"/>
  <c r="CN6" i="10"/>
  <c r="CN9" i="10"/>
  <c r="CZ7" i="10"/>
  <c r="CZ10" i="10"/>
  <c r="CZ5" i="10"/>
  <c r="CN11" i="10"/>
  <c r="CN10" i="10"/>
  <c r="CN7" i="10"/>
  <c r="CZ8" i="10"/>
  <c r="CT5" i="3"/>
  <c r="CY5" i="3" s="1"/>
  <c r="CZ6" i="3" s="1"/>
  <c r="CM4" i="3"/>
  <c r="CN9" i="3" s="1"/>
  <c r="CN4" i="10"/>
  <c r="CM5" i="3"/>
  <c r="CT11" i="3"/>
  <c r="CY11" i="3" s="1"/>
  <c r="CT12" i="3"/>
  <c r="CY12" i="3" s="1"/>
  <c r="CN4" i="3" l="1"/>
  <c r="CN5" i="3"/>
  <c r="CZ9" i="3"/>
  <c r="CN6" i="3"/>
  <c r="CZ7" i="3"/>
  <c r="CN7" i="3"/>
  <c r="CN8" i="3"/>
  <c r="CZ10" i="3"/>
  <c r="CZ5" i="3"/>
  <c r="CN10" i="3"/>
  <c r="CN11" i="3"/>
  <c r="CZ12" i="3"/>
  <c r="CZ11" i="3"/>
  <c r="CZ8" i="3"/>
</calcChain>
</file>

<file path=xl/sharedStrings.xml><?xml version="1.0" encoding="utf-8"?>
<sst xmlns="http://schemas.openxmlformats.org/spreadsheetml/2006/main" count="571" uniqueCount="179">
  <si>
    <t>KM</t>
  </si>
  <si>
    <t>NM</t>
  </si>
  <si>
    <t>SM</t>
  </si>
  <si>
    <t>Posadka: _________________________________</t>
  </si>
  <si>
    <t>ČAS NAD TOČKO(min:sek)</t>
  </si>
  <si>
    <t>OZNAKA</t>
  </si>
  <si>
    <t>OPIS</t>
  </si>
  <si>
    <t>65 KTS</t>
  </si>
  <si>
    <t>70 KTS</t>
  </si>
  <si>
    <t>75 KTS</t>
  </si>
  <si>
    <t>80 KTS</t>
  </si>
  <si>
    <t>85 KTS</t>
  </si>
  <si>
    <t>75 MPH</t>
  </si>
  <si>
    <t>SP</t>
  </si>
  <si>
    <t>OT1</t>
  </si>
  <si>
    <t>OT2</t>
  </si>
  <si>
    <t>OT3</t>
  </si>
  <si>
    <t>OT4</t>
  </si>
  <si>
    <t>OT5</t>
  </si>
  <si>
    <t>OT6</t>
  </si>
  <si>
    <t>FP</t>
  </si>
  <si>
    <t>TP1</t>
  </si>
  <si>
    <t>TP2</t>
  </si>
  <si>
    <t>TP3</t>
  </si>
  <si>
    <t>TP4</t>
  </si>
  <si>
    <t>TP5</t>
  </si>
  <si>
    <t>TP6</t>
  </si>
  <si>
    <t>TP7</t>
  </si>
  <si>
    <t>REZULTATI "TOČEN V NULO 2022"</t>
  </si>
  <si>
    <t>yes</t>
  </si>
  <si>
    <t>no</t>
  </si>
  <si>
    <t>vnesi metre</t>
  </si>
  <si>
    <t>EKIPA</t>
  </si>
  <si>
    <t>LETALO</t>
  </si>
  <si>
    <t>HITROST</t>
  </si>
  <si>
    <t>Vzlet ET</t>
  </si>
  <si>
    <t>Vzlet AT</t>
  </si>
  <si>
    <t>kazen</t>
  </si>
  <si>
    <t>SP ET</t>
  </si>
  <si>
    <t>SP AT</t>
  </si>
  <si>
    <t>TP1 ET</t>
  </si>
  <si>
    <t>TP1 AT</t>
  </si>
  <si>
    <t>TP2 ET</t>
  </si>
  <si>
    <t>TP2 AT</t>
  </si>
  <si>
    <t>TP3 ET</t>
  </si>
  <si>
    <t>TP3 AT</t>
  </si>
  <si>
    <t>TP4 ET</t>
  </si>
  <si>
    <t>TP4 AT</t>
  </si>
  <si>
    <t>TP5 ET</t>
  </si>
  <si>
    <t>TP5 AT</t>
  </si>
  <si>
    <t>TP6 ET</t>
  </si>
  <si>
    <t>TP6 AT</t>
  </si>
  <si>
    <t>FP ET</t>
  </si>
  <si>
    <t>FP AT</t>
  </si>
  <si>
    <t>SUM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</si>
  <si>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</si>
  <si>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</si>
  <si>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</si>
  <si>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</si>
  <si>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</si>
  <si>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</si>
  <si>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</si>
  <si>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</si>
  <si>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</si>
  <si>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</si>
  <si>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</si>
  <si>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</si>
  <si>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</si>
  <si>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F+</t>
  </si>
  <si>
    <t>Land1</t>
  </si>
  <si>
    <t>Kazen</t>
  </si>
  <si>
    <t>Land2</t>
  </si>
  <si>
    <t>Kazni</t>
  </si>
  <si>
    <t>SKUPAJ</t>
  </si>
  <si>
    <t>Mesto</t>
  </si>
  <si>
    <t>Ruta "Točen v nulo"</t>
  </si>
  <si>
    <t>Šeruga Emil</t>
  </si>
  <si>
    <t>Slak Marjan</t>
  </si>
  <si>
    <t>S5-DCV</t>
  </si>
  <si>
    <t>No</t>
  </si>
  <si>
    <t>NAVIGACIJA</t>
  </si>
  <si>
    <t>Obratne točke</t>
  </si>
  <si>
    <t>Fotografije</t>
  </si>
  <si>
    <t>Pristajanje</t>
  </si>
  <si>
    <t>Skupaj</t>
  </si>
  <si>
    <t>Rank</t>
  </si>
  <si>
    <t>Štrakl Mitja</t>
  </si>
  <si>
    <t>Jurhar Jernej</t>
  </si>
  <si>
    <t>S5-DOG</t>
  </si>
  <si>
    <t>Rajko Grčar</t>
  </si>
  <si>
    <t>Sebastjan Jelen</t>
  </si>
  <si>
    <t>S5-PES</t>
  </si>
  <si>
    <t>Denis Nemeš</t>
  </si>
  <si>
    <t>Ravnič Kristian</t>
  </si>
  <si>
    <t>S5-DJO</t>
  </si>
  <si>
    <t>Jože Velnar</t>
  </si>
  <si>
    <t>Damijan Korpič</t>
  </si>
  <si>
    <t>Aleš Škerbinek</t>
  </si>
  <si>
    <t>Jan Gradišnik</t>
  </si>
  <si>
    <t>S5-DLC</t>
  </si>
  <si>
    <t>Matic Knez</t>
  </si>
  <si>
    <t>Tim Lenarčič</t>
  </si>
  <si>
    <t>S5-DDC</t>
  </si>
  <si>
    <t>Robi Resnik</t>
  </si>
  <si>
    <t>Marko Lepetič</t>
  </si>
  <si>
    <t>REZULTATI "TOČEN V NULO 2020"</t>
  </si>
  <si>
    <t>ČASOVNA TOČNOST</t>
  </si>
  <si>
    <t>OPAZOVANJE</t>
  </si>
  <si>
    <t>PRISTAJANJE</t>
  </si>
  <si>
    <t>VZLET</t>
  </si>
  <si>
    <t>Velnar Jože</t>
  </si>
  <si>
    <t>Korpič Damijan</t>
  </si>
  <si>
    <t>Prša Alojz</t>
  </si>
  <si>
    <t>D-EIQD</t>
  </si>
  <si>
    <t>Nonkovič Alen</t>
  </si>
  <si>
    <t>Grčar Rajko</t>
  </si>
  <si>
    <t>Buček Anton</t>
  </si>
  <si>
    <t>Fister Dušan</t>
  </si>
  <si>
    <t>Podlunšek Peter</t>
  </si>
  <si>
    <t>Čer Matej</t>
  </si>
  <si>
    <t>kopilot</t>
  </si>
  <si>
    <t>vnosno polje</t>
  </si>
  <si>
    <t>Rezultati</t>
  </si>
  <si>
    <t>VZOREC</t>
  </si>
  <si>
    <t>Trening Točen v nulo 2021</t>
  </si>
  <si>
    <t>naloga</t>
  </si>
  <si>
    <t>dejansko</t>
  </si>
  <si>
    <t>letalo</t>
  </si>
  <si>
    <t>DOG</t>
  </si>
  <si>
    <t>DJO</t>
  </si>
  <si>
    <t>DMS</t>
  </si>
  <si>
    <t>PES</t>
  </si>
  <si>
    <t>DCV</t>
  </si>
  <si>
    <t>posadka</t>
  </si>
  <si>
    <t>V/V</t>
  </si>
  <si>
    <t>Prša / Nemeš</t>
  </si>
  <si>
    <t>Fister / Štrakl</t>
  </si>
  <si>
    <t>Buček / Šeruga</t>
  </si>
  <si>
    <t>Grčar / Jelen</t>
  </si>
  <si>
    <t>Prelec / Jurhar</t>
  </si>
  <si>
    <t>Velnar / Korpič</t>
  </si>
  <si>
    <t>klasa</t>
  </si>
  <si>
    <t>sportsman/advanced</t>
  </si>
  <si>
    <t>Advanced</t>
  </si>
  <si>
    <t>Sportsman</t>
  </si>
  <si>
    <t>hitrost kts</t>
  </si>
  <si>
    <t>hitrost kmh</t>
  </si>
  <si>
    <t>čas štarta</t>
  </si>
  <si>
    <t>čas TP1</t>
  </si>
  <si>
    <t>čas TP2</t>
  </si>
  <si>
    <t>čas TP3</t>
  </si>
  <si>
    <t>čas TP4</t>
  </si>
  <si>
    <t>čas TP5</t>
  </si>
  <si>
    <t>čas FP</t>
  </si>
  <si>
    <t>seštevek sekund</t>
  </si>
  <si>
    <t>SP kazen</t>
  </si>
  <si>
    <t>TP3 kazen</t>
  </si>
  <si>
    <t>KAZENSKIH TOČK</t>
  </si>
  <si>
    <t>OT vrisati na karto.</t>
  </si>
  <si>
    <t>SP, OT in FP na karti označiti pravilnost DA/NE.</t>
  </si>
  <si>
    <t>Slike A-F so od SP-OT3, slike G-L od OT4-FP.</t>
  </si>
  <si>
    <t>Železniška postaja Mekotnjak, južno od Ljutomera</t>
  </si>
  <si>
    <t>Odcep ceste 712 proti Moravcem v Slov. goricah </t>
  </si>
  <si>
    <t>Cerkev Sv Jurij/Rogašovci</t>
  </si>
  <si>
    <t>Vrh griča pri Kuštanovcih (393m/1289ft)</t>
  </si>
  <si>
    <t>Odcep glavne ceste v Beltinci proti Gančani </t>
  </si>
  <si>
    <t>OT7</t>
  </si>
  <si>
    <t>TEKMOVALNI LIST RUTA "TOČEN V NULO 2025"</t>
  </si>
  <si>
    <t>TP7 ET</t>
  </si>
  <si>
    <t>TP7 AT</t>
  </si>
  <si>
    <t>REZULTATI "TOČEN V NULO 2025"</t>
  </si>
  <si>
    <t>T/O</t>
  </si>
  <si>
    <t>Vzlet LJMS - steza glede na briefing</t>
  </si>
  <si>
    <t>deg</t>
  </si>
  <si>
    <t>vodno zajetje v smeri 315 od vasi Hodoš</t>
  </si>
  <si>
    <t>LJMS</t>
  </si>
  <si>
    <t>Cerkev sv. Štefana, Dokležovje</t>
  </si>
  <si>
    <t>Prehod ceste čez železniško progo v smeri 178 od Petanjci in 260 od LJMS</t>
  </si>
  <si>
    <t xml:space="preserve">Pokopališče na sredini poti med Doljn Lakoš in Gornji Lakoš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</si>
</sst>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[h]:mm"/>
    <numFmt numFmtId="166" formatCode="#,##0.0"/>
    <numFmt numFmtId="167" formatCode="[$-F400]h:mm:ss\ AM/PM"/>
    <numFmt numFmtId="168" formatCode="#,##0.0000"/>
    <numFmt numFmtId="169" formatCode="#,##0.00000000"/>
  </numFmts>
  <fonts count="1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2" tint="-9.9978637043366805E-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sz val="11"/>
      <color rgb="FF00000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21" fontId="2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5" fillId="2" borderId="7" xfId="0" applyNumberFormat="1" applyFont="1" applyFill="1" applyBorder="1"/>
    <xf numFmtId="167" fontId="5" fillId="2" borderId="8" xfId="0" applyNumberFormat="1" applyFont="1" applyFill="1" applyBorder="1"/>
    <xf numFmtId="168" fontId="7" fillId="0" borderId="7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167" fontId="5" fillId="0" borderId="7" xfId="0" applyNumberFormat="1" applyFont="1" applyBorder="1"/>
    <xf numFmtId="0" fontId="8" fillId="0" borderId="0" xfId="0" applyFont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right"/>
    </xf>
    <xf numFmtId="0" fontId="6" fillId="0" borderId="7" xfId="0" applyFont="1" applyBorder="1"/>
    <xf numFmtId="3" fontId="6" fillId="0" borderId="8" xfId="0" applyNumberFormat="1" applyFont="1" applyBorder="1"/>
    <xf numFmtId="0" fontId="5" fillId="0" borderId="8" xfId="0" applyFont="1" applyBorder="1"/>
    <xf numFmtId="0" fontId="5" fillId="2" borderId="8" xfId="0" applyFont="1" applyFill="1" applyBorder="1"/>
    <xf numFmtId="0" fontId="6" fillId="0" borderId="9" xfId="0" applyFont="1" applyBorder="1"/>
    <xf numFmtId="3" fontId="6" fillId="0" borderId="10" xfId="0" applyNumberFormat="1" applyFont="1" applyBorder="1"/>
    <xf numFmtId="0" fontId="5" fillId="3" borderId="0" xfId="0" applyFont="1" applyFill="1"/>
    <xf numFmtId="0" fontId="9" fillId="0" borderId="0" xfId="0" applyFont="1"/>
    <xf numFmtId="0" fontId="9" fillId="0" borderId="0" xfId="0" applyFont="1" applyAlignment="1">
      <alignment wrapText="1"/>
    </xf>
    <xf numFmtId="0" fontId="0" fillId="4" borderId="0" xfId="0" applyFill="1"/>
    <xf numFmtId="0" fontId="0" fillId="2" borderId="0" xfId="0" applyFill="1"/>
    <xf numFmtId="21" fontId="0" fillId="2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10" fillId="4" borderId="0" xfId="0" applyFont="1" applyFill="1"/>
    <xf numFmtId="1" fontId="0" fillId="2" borderId="0" xfId="0" applyNumberFormat="1" applyFill="1"/>
    <xf numFmtId="0" fontId="0" fillId="8" borderId="0" xfId="0" applyFill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7" borderId="0" xfId="0" applyNumberFormat="1" applyFill="1"/>
    <xf numFmtId="4" fontId="0" fillId="2" borderId="0" xfId="0" applyNumberFormat="1" applyFill="1"/>
    <xf numFmtId="0" fontId="2" fillId="0" borderId="0" xfId="0" applyFont="1"/>
    <xf numFmtId="0" fontId="8" fillId="0" borderId="0" xfId="0" applyFont="1"/>
    <xf numFmtId="2" fontId="4" fillId="0" borderId="0" xfId="0" applyNumberFormat="1" applyFont="1"/>
    <xf numFmtId="20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9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/>
    <xf numFmtId="2" fontId="0" fillId="9" borderId="0" xfId="0" applyNumberFormat="1" applyFill="1"/>
    <xf numFmtId="167" fontId="0" fillId="0" borderId="0" xfId="0" applyNumberFormat="1"/>
    <xf numFmtId="45" fontId="0" fillId="0" borderId="0" xfId="0" applyNumberForma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4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83</xdr:col>
      <xdr:colOff>152400</xdr:colOff>
      <xdr:row>13</xdr:row>
      <xdr:rowOff>38100</xdr:rowOff>
    </xdr:from>
    <xdr:to>
      <xdr:col>91</xdr:col>
      <xdr:colOff>276929</xdr:colOff>
      <xdr:row>40</xdr:row>
      <xdr:rowOff>127353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B3A1A-AA54-3B42-9EBA-5B7A5CC846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alphaModFix/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0424100" y="2717800"/>
          <a:ext cx="4086929" cy="55756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148167</xdr:colOff>
      <xdr:row>7</xdr:row>
      <xdr:rowOff>134056</xdr:rowOff>
    </xdr:from>
    <xdr:to>
      <xdr:col>22</xdr:col>
      <xdr:colOff>213430</xdr:colOff>
      <xdr:row>35</xdr:row>
      <xdr:rowOff>178153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D5E3F1-BC26-41D1-A5B4-3D346C3433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alphaModFix/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5465778" y="1524000"/>
          <a:ext cx="4122208" cy="5575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3CB4-2378-F24A-8CB5-0F271469346E}">
  <sheetPr>
    <pageSetUpPr fitToPage="1"/>
  </sheetPr>
  <dimension ref="A1:V35"/>
  <sheetViews>
    <sheetView tabSelected="1" workbookViewId="0">
      <selection activeCell="B23" sqref="B23:B33"/>
    </sheetView>
  </sheetViews>
  <sheetFormatPr baseColWidth="10" defaultColWidth="11" defaultRowHeight="16" x14ac:dyDescent="0.2"/>
  <cols>
    <col min="1" max="1" width="62.33203125" bestFit="1" customWidth="1"/>
    <col min="2" max="3" width="13.33203125" bestFit="1" customWidth="1"/>
    <col min="4" max="4" width="12.1640625" bestFit="1" customWidth="1"/>
    <col min="5" max="8" width="11" style="1" bestFit="1"/>
    <col min="9" max="9" width="12.6640625" style="73" bestFit="1" customWidth="1"/>
    <col min="10" max="14" width="11.1640625" bestFit="1" customWidth="1"/>
    <col min="16" max="22" width="11.1640625" bestFit="1" customWidth="1"/>
  </cols>
  <sheetData>
    <row r="1" spans="1:22" x14ac:dyDescent="0.2">
      <c r="D1" s="67" t="s">
        <v>173</v>
      </c>
      <c r="E1" s="1" t="s">
        <v>0</v>
      </c>
      <c r="F1" s="1" t="s">
        <v>1</v>
      </c>
      <c r="G1" s="1" t="s">
        <v>2</v>
      </c>
      <c r="H1" s="1">
        <v>65</v>
      </c>
      <c r="I1" s="1">
        <v>70</v>
      </c>
      <c r="J1" s="1">
        <v>75</v>
      </c>
      <c r="K1" s="1">
        <v>80</v>
      </c>
      <c r="L1" s="1">
        <v>85</v>
      </c>
      <c r="M1" s="1">
        <v>90</v>
      </c>
      <c r="N1" s="1">
        <v>75</v>
      </c>
      <c r="P1" s="1">
        <f>H1</f>
        <v>65</v>
      </c>
      <c r="Q1" s="1">
        <f t="shared" ref="Q1:V1" si="0">I1</f>
        <v>70</v>
      </c>
      <c r="R1" s="1">
        <f t="shared" si="0"/>
        <v>75</v>
      </c>
      <c r="S1" s="1">
        <f t="shared" si="0"/>
        <v>80</v>
      </c>
      <c r="T1" s="1">
        <f t="shared" si="0"/>
        <v>85</v>
      </c>
      <c r="U1" s="1">
        <f t="shared" si="0"/>
        <v>90</v>
      </c>
      <c r="V1" s="1">
        <f t="shared" si="0"/>
        <v>75</v>
      </c>
    </row>
    <row r="2" spans="1:22" x14ac:dyDescent="0.2">
      <c r="A2" t="s">
        <v>176</v>
      </c>
      <c r="B2" s="68">
        <v>46.600850335001397</v>
      </c>
      <c r="C2" s="68">
        <v>16.180022953671202</v>
      </c>
      <c r="D2" s="69">
        <f>MOD(DEGREES(ATAN2(
COS(RADIANS(B2))*SIN(RADIANS(B3)) - SIN(RADIANS(B2))*COS(RADIANS(B3))*COS(RADIANS(C3-C2)),
SIN(RADIANS(C3-C2))*COS(RADIANS(B3))
)),360)</f>
        <v>189.68607148826936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P2" s="70">
        <f>H2/24</f>
        <v>0.16666666666666666</v>
      </c>
      <c r="Q2" s="70">
        <f>I2/24</f>
        <v>0.16666666666666666</v>
      </c>
      <c r="R2" s="70">
        <f t="shared" ref="R2:V2" si="1">J2/24</f>
        <v>0.16666666666666666</v>
      </c>
      <c r="S2" s="70">
        <f t="shared" si="1"/>
        <v>0.16666666666666666</v>
      </c>
      <c r="T2" s="70">
        <f t="shared" si="1"/>
        <v>0.16666666666666666</v>
      </c>
      <c r="U2" s="70">
        <f t="shared" si="1"/>
        <v>0.16666666666666666</v>
      </c>
      <c r="V2" s="70">
        <f t="shared" si="1"/>
        <v>0.16666666666666666</v>
      </c>
    </row>
    <row r="3" spans="1:22" x14ac:dyDescent="0.2">
      <c r="A3" t="s">
        <v>161</v>
      </c>
      <c r="B3" s="68">
        <v>46.500800369520903</v>
      </c>
      <c r="C3" s="68">
        <v>16.1552150892832</v>
      </c>
      <c r="D3" s="69">
        <f t="shared" ref="D3:D10" si="2">MOD(DEGREES(ATAN2(
COS(RADIANS(B3))*SIN(RADIANS(B4)) - SIN(RADIANS(B3))*COS(RADIANS(B4))*COS(RADIANS(C4-C3)),
SIN(RADIANS(C4-C3))*COS(RADIANS(B4))
)),360)</f>
        <v>278.12217329160904</v>
      </c>
      <c r="E3" s="71">
        <f t="shared" ref="E3:E10" si="3">2*6371*ASIN(MIN(1,SQRT(POWER(SIN((RADIANS(B3)-RADIANS(B2))/2),2)+COS(RADIANS(B2))*COS(RADIANS(B3))*POWER(SIN((RADIANS(C3)-RADIANS(C2))/2),2))))</f>
        <v>11.285633542247748</v>
      </c>
      <c r="F3" s="1">
        <f t="shared" ref="F3:F9" si="4">E3*0.539957</f>
        <v>6.0937568305714676</v>
      </c>
      <c r="G3" s="1">
        <f>E3/1.609</f>
        <v>7.0140668379414217</v>
      </c>
      <c r="H3" s="1">
        <f t="shared" ref="H3:M10" si="5">60*$F3/H$1</f>
        <v>5.6250063051428931</v>
      </c>
      <c r="I3" s="1">
        <f t="shared" si="5"/>
        <v>5.2232201404898291</v>
      </c>
      <c r="J3" s="1">
        <f t="shared" si="5"/>
        <v>4.8750054644571739</v>
      </c>
      <c r="K3" s="1">
        <f t="shared" si="5"/>
        <v>4.5703176229286004</v>
      </c>
      <c r="L3" s="1">
        <f t="shared" si="5"/>
        <v>4.3014754098151533</v>
      </c>
      <c r="M3" s="1">
        <f t="shared" si="5"/>
        <v>4.0625045537143114</v>
      </c>
      <c r="N3" s="1">
        <f t="shared" ref="N3:N10" si="6">60*$G3/N$1</f>
        <v>5.6112534703531374</v>
      </c>
      <c r="P3" s="70">
        <f>P2+(H3/24)</f>
        <v>0.40104192938095384</v>
      </c>
      <c r="Q3" s="70">
        <f>Q2+(I3/24)</f>
        <v>0.38430083918707619</v>
      </c>
      <c r="R3" s="70">
        <f t="shared" ref="R3:V8" si="7">R2+(J3/24)</f>
        <v>0.36979189435238224</v>
      </c>
      <c r="S3" s="70">
        <f t="shared" si="7"/>
        <v>0.35709656762202502</v>
      </c>
      <c r="T3" s="70">
        <f t="shared" si="7"/>
        <v>0.34589480874229805</v>
      </c>
      <c r="U3" s="70">
        <f t="shared" si="7"/>
        <v>0.33593768973809629</v>
      </c>
      <c r="V3" s="70">
        <f t="shared" si="7"/>
        <v>0.40046889459804735</v>
      </c>
    </row>
    <row r="4" spans="1:22" x14ac:dyDescent="0.2">
      <c r="A4" t="s">
        <v>162</v>
      </c>
      <c r="B4" s="68">
        <v>46.515128472554302</v>
      </c>
      <c r="C4" s="68">
        <v>16.008368673660499</v>
      </c>
      <c r="D4" s="69">
        <f t="shared" si="2"/>
        <v>22.254525998819162</v>
      </c>
      <c r="E4" s="71">
        <f t="shared" si="3"/>
        <v>11.350573114600447</v>
      </c>
      <c r="F4" s="1">
        <f t="shared" si="4"/>
        <v>6.1288214072403138</v>
      </c>
      <c r="G4" s="1">
        <f t="shared" ref="G4:G9" si="8">E4/1.609</f>
        <v>7.0544270444999668</v>
      </c>
      <c r="H4" s="1">
        <f t="shared" si="5"/>
        <v>5.6573736066833664</v>
      </c>
      <c r="I4" s="1">
        <f t="shared" si="5"/>
        <v>5.2532754919202693</v>
      </c>
      <c r="J4" s="1">
        <f t="shared" si="5"/>
        <v>4.9030571257922508</v>
      </c>
      <c r="K4" s="1">
        <f t="shared" si="5"/>
        <v>4.5966160554302355</v>
      </c>
      <c r="L4" s="1">
        <f t="shared" si="5"/>
        <v>4.326226875699045</v>
      </c>
      <c r="M4" s="1">
        <f t="shared" si="5"/>
        <v>4.0858809381602095</v>
      </c>
      <c r="N4" s="1">
        <f t="shared" si="6"/>
        <v>5.6435416355999735</v>
      </c>
      <c r="P4" s="70">
        <f t="shared" ref="P4:Q8" si="9">P3+(H4/24)</f>
        <v>0.63676582965942741</v>
      </c>
      <c r="Q4" s="70">
        <f t="shared" si="9"/>
        <v>0.60318731801708747</v>
      </c>
      <c r="R4" s="70">
        <f t="shared" si="7"/>
        <v>0.5740859412603927</v>
      </c>
      <c r="S4" s="70">
        <f t="shared" si="7"/>
        <v>0.5486222365982848</v>
      </c>
      <c r="T4" s="70">
        <f t="shared" si="7"/>
        <v>0.52615426189642489</v>
      </c>
      <c r="U4" s="70">
        <f t="shared" si="7"/>
        <v>0.506182728828105</v>
      </c>
      <c r="V4" s="70">
        <f t="shared" si="7"/>
        <v>0.63561646274804628</v>
      </c>
    </row>
    <row r="5" spans="1:22" x14ac:dyDescent="0.2">
      <c r="A5" t="s">
        <v>177</v>
      </c>
      <c r="B5" s="68">
        <v>46.616981674720421</v>
      </c>
      <c r="C5" s="68">
        <v>16.069057084510899</v>
      </c>
      <c r="D5" s="69">
        <f t="shared" si="2"/>
        <v>353.15140372477038</v>
      </c>
      <c r="E5" s="71">
        <f t="shared" si="3"/>
        <v>12.239018736166773</v>
      </c>
      <c r="F5" s="1">
        <f t="shared" si="4"/>
        <v>6.608543839724403</v>
      </c>
      <c r="G5" s="1">
        <f t="shared" si="8"/>
        <v>7.6065995874249683</v>
      </c>
      <c r="H5" s="1">
        <f t="shared" si="5"/>
        <v>6.1001943135917562</v>
      </c>
      <c r="I5" s="1">
        <f t="shared" si="5"/>
        <v>5.6644661483352028</v>
      </c>
      <c r="J5" s="1">
        <f t="shared" si="5"/>
        <v>5.2868350717795218</v>
      </c>
      <c r="K5" s="1">
        <f t="shared" si="5"/>
        <v>4.9564078797933018</v>
      </c>
      <c r="L5" s="1">
        <f t="shared" si="5"/>
        <v>4.6648544750995784</v>
      </c>
      <c r="M5" s="1">
        <f t="shared" si="5"/>
        <v>4.405695893149602</v>
      </c>
      <c r="N5" s="1">
        <f t="shared" si="6"/>
        <v>6.0852796699399745</v>
      </c>
      <c r="P5" s="70">
        <f>P4+(H5/24)</f>
        <v>0.89094059272575055</v>
      </c>
      <c r="Q5" s="70">
        <f>Q4+(I5/24)</f>
        <v>0.83920674086438762</v>
      </c>
      <c r="R5" s="70">
        <f t="shared" si="7"/>
        <v>0.79437073591787277</v>
      </c>
      <c r="S5" s="70">
        <f t="shared" si="7"/>
        <v>0.75513923158967233</v>
      </c>
      <c r="T5" s="70">
        <f t="shared" si="7"/>
        <v>0.72052319835890732</v>
      </c>
      <c r="U5" s="70">
        <f t="shared" si="7"/>
        <v>0.68975339104267175</v>
      </c>
      <c r="V5" s="70">
        <f t="shared" si="7"/>
        <v>0.88916978232887856</v>
      </c>
    </row>
    <row r="6" spans="1:22" x14ac:dyDescent="0.2">
      <c r="A6" t="s">
        <v>163</v>
      </c>
      <c r="B6" s="68">
        <v>46.800823749993327</v>
      </c>
      <c r="C6" s="68">
        <v>16.036800946819529</v>
      </c>
      <c r="D6" s="69">
        <f t="shared" si="2"/>
        <v>78.901523481162442</v>
      </c>
      <c r="E6" s="71">
        <f t="shared" si="3"/>
        <v>20.589722207221286</v>
      </c>
      <c r="F6" s="1">
        <f t="shared" si="4"/>
        <v>11.117564633844584</v>
      </c>
      <c r="G6" s="1">
        <f t="shared" si="8"/>
        <v>12.796595529658973</v>
      </c>
      <c r="H6" s="1">
        <f t="shared" si="5"/>
        <v>10.262367354318078</v>
      </c>
      <c r="I6" s="1">
        <f t="shared" si="5"/>
        <v>9.5293411147239286</v>
      </c>
      <c r="J6" s="1">
        <f t="shared" si="5"/>
        <v>8.8940517070756666</v>
      </c>
      <c r="K6" s="1">
        <f t="shared" si="5"/>
        <v>8.3381734753834387</v>
      </c>
      <c r="L6" s="1">
        <f t="shared" si="5"/>
        <v>7.8476926827138236</v>
      </c>
      <c r="M6" s="1">
        <f t="shared" si="5"/>
        <v>7.4117097558963891</v>
      </c>
      <c r="N6" s="1">
        <f t="shared" si="6"/>
        <v>10.237276423727177</v>
      </c>
      <c r="P6" s="70">
        <f t="shared" si="9"/>
        <v>1.3185392324890037</v>
      </c>
      <c r="Q6" s="70">
        <f t="shared" si="9"/>
        <v>1.2362626206445513</v>
      </c>
      <c r="R6" s="70">
        <f t="shared" si="7"/>
        <v>1.1649562237126923</v>
      </c>
      <c r="S6" s="70">
        <f t="shared" si="7"/>
        <v>1.1025631263973157</v>
      </c>
      <c r="T6" s="70">
        <f t="shared" si="7"/>
        <v>1.0475103934719834</v>
      </c>
      <c r="U6" s="70">
        <f t="shared" si="7"/>
        <v>0.99857463087168796</v>
      </c>
      <c r="V6" s="70">
        <f t="shared" si="7"/>
        <v>1.3157229666508443</v>
      </c>
    </row>
    <row r="7" spans="1:22" x14ac:dyDescent="0.2">
      <c r="A7" t="s">
        <v>174</v>
      </c>
      <c r="B7">
        <v>46.836955230315297</v>
      </c>
      <c r="C7">
        <v>16.308447828457499</v>
      </c>
      <c r="D7" s="69">
        <f t="shared" si="2"/>
        <v>229.51043839900501</v>
      </c>
      <c r="E7" s="71">
        <f t="shared" si="3"/>
        <v>21.056825375148438</v>
      </c>
      <c r="F7" s="1">
        <f t="shared" si="4"/>
        <v>11.369780259089026</v>
      </c>
      <c r="G7" s="1">
        <f t="shared" si="8"/>
        <v>13.086902035517985</v>
      </c>
      <c r="H7" s="1">
        <f t="shared" si="5"/>
        <v>10.49518177762064</v>
      </c>
      <c r="I7" s="1">
        <f t="shared" si="5"/>
        <v>9.7455259363620232</v>
      </c>
      <c r="J7" s="1">
        <f t="shared" si="5"/>
        <v>9.095824207271221</v>
      </c>
      <c r="K7" s="1">
        <f t="shared" si="5"/>
        <v>8.5273351943167697</v>
      </c>
      <c r="L7" s="1">
        <f t="shared" si="5"/>
        <v>8.0257272417099017</v>
      </c>
      <c r="M7" s="1">
        <f t="shared" si="5"/>
        <v>7.5798535060593508</v>
      </c>
      <c r="N7" s="1">
        <f t="shared" si="6"/>
        <v>10.469521628414387</v>
      </c>
      <c r="P7" s="70">
        <f t="shared" si="9"/>
        <v>1.7558384732231971</v>
      </c>
      <c r="Q7" s="70">
        <f t="shared" si="9"/>
        <v>1.6423262013263022</v>
      </c>
      <c r="R7" s="70">
        <f t="shared" si="7"/>
        <v>1.5439488990156598</v>
      </c>
      <c r="S7" s="70">
        <f t="shared" si="7"/>
        <v>1.4578687594938478</v>
      </c>
      <c r="T7" s="70">
        <f t="shared" si="7"/>
        <v>1.3819156952098959</v>
      </c>
      <c r="U7" s="70">
        <f t="shared" si="7"/>
        <v>1.3144018602908276</v>
      </c>
      <c r="V7" s="70">
        <f t="shared" si="7"/>
        <v>1.7519530345014438</v>
      </c>
    </row>
    <row r="8" spans="1:22" x14ac:dyDescent="0.2">
      <c r="A8" t="s">
        <v>164</v>
      </c>
      <c r="B8" s="68">
        <v>46.775187195231062</v>
      </c>
      <c r="C8" s="68">
        <v>16.20289251762869</v>
      </c>
      <c r="D8" s="69">
        <f t="shared" si="2"/>
        <v>144.91288150752052</v>
      </c>
      <c r="E8" s="71">
        <f t="shared" si="3"/>
        <v>10.569524999862779</v>
      </c>
      <c r="F8" s="1">
        <f t="shared" si="4"/>
        <v>5.7070890103509067</v>
      </c>
      <c r="G8" s="1">
        <f t="shared" si="8"/>
        <v>6.5690024859308753</v>
      </c>
      <c r="H8" s="1">
        <f t="shared" si="5"/>
        <v>5.2680821634008366</v>
      </c>
      <c r="I8" s="1">
        <f t="shared" si="5"/>
        <v>4.8917905803007766</v>
      </c>
      <c r="J8" s="1">
        <f t="shared" si="5"/>
        <v>4.5656712082807251</v>
      </c>
      <c r="K8" s="1">
        <f t="shared" si="5"/>
        <v>4.2803167577631793</v>
      </c>
      <c r="L8" s="1">
        <f t="shared" si="5"/>
        <v>4.0285334190712279</v>
      </c>
      <c r="M8" s="1">
        <f t="shared" si="5"/>
        <v>3.8047260069006041</v>
      </c>
      <c r="N8" s="1">
        <f t="shared" si="6"/>
        <v>5.2552019887446999</v>
      </c>
      <c r="P8" s="70">
        <f>P7+(H8/24)</f>
        <v>1.9753418966982319</v>
      </c>
      <c r="Q8" s="70">
        <f t="shared" si="9"/>
        <v>1.8461508088388345</v>
      </c>
      <c r="R8" s="70">
        <f t="shared" si="7"/>
        <v>1.73418519936069</v>
      </c>
      <c r="S8" s="70">
        <f t="shared" si="7"/>
        <v>1.6362152910673136</v>
      </c>
      <c r="T8" s="70">
        <f t="shared" si="7"/>
        <v>1.5497712543378637</v>
      </c>
      <c r="U8" s="70">
        <f t="shared" si="7"/>
        <v>1.4729321105783528</v>
      </c>
      <c r="V8" s="70">
        <f t="shared" si="7"/>
        <v>1.970919784032473</v>
      </c>
    </row>
    <row r="9" spans="1:22" x14ac:dyDescent="0.2">
      <c r="A9" t="s">
        <v>178</v>
      </c>
      <c r="B9" s="68">
        <v>46.552346317575889</v>
      </c>
      <c r="C9" s="68">
        <v>16.430293184364789</v>
      </c>
      <c r="D9" s="69">
        <f t="shared" si="2"/>
        <v>292.6004119770036</v>
      </c>
      <c r="E9" s="71">
        <f t="shared" si="3"/>
        <v>30.250882696150487</v>
      </c>
      <c r="F9" s="1">
        <f t="shared" si="4"/>
        <v>16.334175867965328</v>
      </c>
      <c r="G9" s="1">
        <f t="shared" si="8"/>
        <v>18.801045802455246</v>
      </c>
      <c r="H9" s="1">
        <f t="shared" si="5"/>
        <v>15.077700801198766</v>
      </c>
      <c r="I9" s="1">
        <f t="shared" si="5"/>
        <v>14.00072217254171</v>
      </c>
      <c r="J9" s="1">
        <f t="shared" si="5"/>
        <v>13.067340694372263</v>
      </c>
      <c r="K9" s="1">
        <f t="shared" si="5"/>
        <v>12.250631900973996</v>
      </c>
      <c r="L9" s="1">
        <f t="shared" si="5"/>
        <v>11.53000649503435</v>
      </c>
      <c r="M9" s="1">
        <f t="shared" si="5"/>
        <v>10.889450578643553</v>
      </c>
      <c r="N9" s="1">
        <f t="shared" si="6"/>
        <v>15.040836641964198</v>
      </c>
      <c r="P9" s="70">
        <f t="shared" ref="P9" si="10">P8+(H9/24)</f>
        <v>2.6035794300815138</v>
      </c>
      <c r="Q9" s="70">
        <f t="shared" ref="Q9" si="11">Q8+(I9/24)</f>
        <v>2.4295142326947392</v>
      </c>
      <c r="R9" s="70">
        <f t="shared" ref="R9" si="12">R8+(J9/24)</f>
        <v>2.2786577282928677</v>
      </c>
      <c r="S9" s="70">
        <f t="shared" ref="S9" si="13">S8+(K9/24)</f>
        <v>2.1466582869412303</v>
      </c>
      <c r="T9" s="70">
        <f t="shared" ref="T9" si="14">T8+(L9/24)</f>
        <v>2.0301881916309616</v>
      </c>
      <c r="U9" s="70">
        <f t="shared" ref="U9" si="15">U8+(M9/24)</f>
        <v>1.9266592180218343</v>
      </c>
      <c r="V9" s="70">
        <f t="shared" ref="V9" si="16">V8+(N9/24)</f>
        <v>2.5976213107809811</v>
      </c>
    </row>
    <row r="10" spans="1:22" x14ac:dyDescent="0.2">
      <c r="A10" t="s">
        <v>165</v>
      </c>
      <c r="B10" s="68">
        <v>46.608093848672603</v>
      </c>
      <c r="C10" s="68">
        <v>16.234769094059349</v>
      </c>
      <c r="D10" s="69">
        <f t="shared" si="2"/>
        <v>201.8364971554349</v>
      </c>
      <c r="E10" s="71">
        <f t="shared" si="3"/>
        <v>16.178294519833894</v>
      </c>
      <c r="F10" s="1">
        <f t="shared" ref="F10:F11" si="17">E10*0.539957</f>
        <v>8.7355833740459499</v>
      </c>
      <c r="G10" s="1">
        <f t="shared" ref="G10:G11" si="18">E10/1.609</f>
        <v>10.054875400766871</v>
      </c>
      <c r="H10" s="1">
        <f t="shared" si="5"/>
        <v>8.0636154221962624</v>
      </c>
      <c r="I10" s="1">
        <f t="shared" si="5"/>
        <v>7.4876428920393856</v>
      </c>
      <c r="J10" s="1">
        <f t="shared" si="5"/>
        <v>6.9884666992367599</v>
      </c>
      <c r="K10" s="1">
        <f t="shared" si="5"/>
        <v>6.5516875305344628</v>
      </c>
      <c r="L10" s="1">
        <f t="shared" si="5"/>
        <v>6.1662941463853764</v>
      </c>
      <c r="M10" s="1">
        <f t="shared" si="5"/>
        <v>5.8237222493639669</v>
      </c>
      <c r="N10" s="1">
        <f t="shared" si="6"/>
        <v>8.0439003206134974</v>
      </c>
      <c r="P10" s="70">
        <f t="shared" ref="P10" si="19">P9+(H10/24)</f>
        <v>2.939563406006358</v>
      </c>
      <c r="Q10" s="70">
        <f t="shared" ref="Q10" si="20">Q9+(I10/24)</f>
        <v>2.7414993531963803</v>
      </c>
      <c r="R10" s="70">
        <f t="shared" ref="R10" si="21">R9+(J10/24)</f>
        <v>2.5698438407610662</v>
      </c>
      <c r="S10" s="70">
        <f t="shared" ref="S10" si="22">S9+(K10/24)</f>
        <v>2.4196452673801661</v>
      </c>
      <c r="T10" s="70">
        <f t="shared" ref="T10" si="23">T9+(L10/24)</f>
        <v>2.2871171143970188</v>
      </c>
      <c r="U10" s="70">
        <f t="shared" ref="U10" si="24">U9+(M10/24)</f>
        <v>2.1693143117453331</v>
      </c>
      <c r="V10" s="70">
        <f t="shared" ref="V10" si="25">V9+(N10/24)</f>
        <v>2.9327838241398769</v>
      </c>
    </row>
    <row r="11" spans="1:22" x14ac:dyDescent="0.2">
      <c r="D11" s="26" t="s">
        <v>54</v>
      </c>
      <c r="E11" s="65">
        <f>SUM(E3:E10)</f>
        <v>133.52047519123184</v>
      </c>
      <c r="F11" s="65">
        <f t="shared" si="17"/>
        <v>72.095315222831971</v>
      </c>
      <c r="G11" s="65">
        <f t="shared" si="18"/>
        <v>82.983514724196297</v>
      </c>
      <c r="H11" s="65">
        <f>SUM(H3:H10)</f>
        <v>66.549521744152585</v>
      </c>
      <c r="I11" s="65">
        <f t="shared" ref="I11:N11" si="26">SUM(I3:I10)</f>
        <v>61.79598447671313</v>
      </c>
      <c r="J11" s="65">
        <f t="shared" si="26"/>
        <v>57.676252178265585</v>
      </c>
      <c r="K11" s="65">
        <f t="shared" si="26"/>
        <v>54.071486417123992</v>
      </c>
      <c r="L11" s="65">
        <f t="shared" si="26"/>
        <v>50.890810745528455</v>
      </c>
      <c r="M11" s="65">
        <f t="shared" si="26"/>
        <v>48.06354348188799</v>
      </c>
      <c r="N11" s="65">
        <f t="shared" si="26"/>
        <v>66.386811779357046</v>
      </c>
    </row>
    <row r="12" spans="1:22" x14ac:dyDescent="0.2">
      <c r="H12" s="72"/>
    </row>
    <row r="13" spans="1:22" x14ac:dyDescent="0.2">
      <c r="A13" s="63"/>
      <c r="B13" s="74"/>
      <c r="I13" s="1"/>
      <c r="J13" s="1"/>
    </row>
    <row r="14" spans="1:22" x14ac:dyDescent="0.2">
      <c r="B14" s="74"/>
      <c r="I14" s="1"/>
      <c r="J14" s="1"/>
    </row>
    <row r="15" spans="1:22" x14ac:dyDescent="0.2">
      <c r="A15" s="63"/>
      <c r="B15" s="74"/>
      <c r="D15" s="69"/>
      <c r="I15" s="1"/>
      <c r="J15" s="1"/>
    </row>
    <row r="17" spans="1:14" x14ac:dyDescent="0.2">
      <c r="A17" s="63"/>
      <c r="B17" s="74"/>
      <c r="C17" t="s">
        <v>175</v>
      </c>
    </row>
    <row r="18" spans="1:14" x14ac:dyDescent="0.2">
      <c r="B18" s="74"/>
      <c r="C18">
        <v>46.649361465959899</v>
      </c>
      <c r="D18">
        <v>16.067067664694601</v>
      </c>
      <c r="E18" s="69">
        <f>MOD(DEGREES(ATAN2(
COS(RADIANS(C18))*SIN(RADIANS(C19)) - SIN(RADIANS(C18))*COS(RADIANS(C19))*COS(RADIANS(D19-D18)),
SIN(RADIANS(D19-D18))*COS(RADIANS(C19))
)),360)</f>
        <v>177.58346240365455</v>
      </c>
    </row>
    <row r="19" spans="1:14" x14ac:dyDescent="0.2">
      <c r="A19" s="63"/>
      <c r="B19" s="74"/>
      <c r="C19" s="68">
        <v>46.616981674720421</v>
      </c>
      <c r="D19" s="68">
        <v>16.069057084510899</v>
      </c>
      <c r="H19" s="75"/>
      <c r="I19" s="75"/>
      <c r="J19" s="75"/>
      <c r="K19" s="75"/>
      <c r="L19" s="75"/>
      <c r="M19" s="75"/>
      <c r="N19" s="75"/>
    </row>
    <row r="20" spans="1:14" x14ac:dyDescent="0.2">
      <c r="B20" s="74"/>
      <c r="H20" s="75"/>
    </row>
    <row r="21" spans="1:14" x14ac:dyDescent="0.2">
      <c r="A21" s="63"/>
      <c r="B21" s="74"/>
      <c r="H21" s="75"/>
    </row>
    <row r="22" spans="1:14" x14ac:dyDescent="0.2">
      <c r="B22" s="74"/>
      <c r="C22" s="76"/>
      <c r="I22"/>
    </row>
    <row r="23" spans="1:14" x14ac:dyDescent="0.2">
      <c r="A23" s="63"/>
      <c r="B23" s="92"/>
      <c r="C23" s="76"/>
    </row>
    <row r="24" spans="1:14" x14ac:dyDescent="0.2">
      <c r="B24" s="92"/>
      <c r="C24" s="76"/>
    </row>
    <row r="25" spans="1:14" x14ac:dyDescent="0.2">
      <c r="A25" s="63"/>
      <c r="B25" s="92"/>
    </row>
    <row r="26" spans="1:14" x14ac:dyDescent="0.2">
      <c r="B26" s="92"/>
    </row>
    <row r="27" spans="1:14" x14ac:dyDescent="0.2">
      <c r="A27" s="63"/>
      <c r="B27" s="92"/>
    </row>
    <row r="28" spans="1:14" x14ac:dyDescent="0.2">
      <c r="B28" s="92"/>
      <c r="D28" s="63"/>
    </row>
    <row r="29" spans="1:14" x14ac:dyDescent="0.2">
      <c r="A29" s="63"/>
      <c r="B29" s="92"/>
      <c r="D29" s="63"/>
    </row>
    <row r="30" spans="1:14" x14ac:dyDescent="0.2">
      <c r="B30" s="92"/>
      <c r="D30" s="63"/>
    </row>
    <row r="31" spans="1:14" x14ac:dyDescent="0.2">
      <c r="A31" s="64"/>
      <c r="B31" s="92"/>
      <c r="D31" s="63"/>
    </row>
    <row r="32" spans="1:14" x14ac:dyDescent="0.2">
      <c r="B32" s="92"/>
      <c r="D32" s="63"/>
    </row>
    <row r="33" spans="1:4" x14ac:dyDescent="0.2">
      <c r="A33" s="63"/>
      <c r="B33" s="92"/>
      <c r="D33" s="63"/>
    </row>
    <row r="34" spans="1:4" x14ac:dyDescent="0.2">
      <c r="D34" s="63"/>
    </row>
    <row r="35" spans="1:4" x14ac:dyDescent="0.2">
      <c r="D35" s="63"/>
    </row>
  </sheetData>
  <pageMargins left="0.7" right="0.7" top="0.75" bottom="0.75" header="0.3" footer="0.3"/>
  <pageSetup paperSize="9" scale="4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54E0-87EC-1A4D-B7BB-08C85167A179}">
  <sheetPr>
    <pageSetUpPr fitToPage="1"/>
  </sheetPr>
  <dimension ref="A1:CZ12"/>
  <sheetViews>
    <sheetView workbookViewId="0">
      <pane xSplit="5" ySplit="3" topLeftCell="BP4" activePane="bottomRight" state="frozen"/>
      <selection pane="topRight" activeCell="F1" sqref="F1"/>
      <selection pane="bottomLeft" activeCell="A4" sqref="A4"/>
      <selection pane="bottomRight" activeCell="C21" sqref="C21"/>
    </sheetView>
  </sheetViews>
  <sheetFormatPr baseColWidth="10" defaultColWidth="11" defaultRowHeight="16" x14ac:dyDescent="0.2"/>
  <cols>
    <col min="1" max="1" width="5" customWidth="1"/>
    <col min="2" max="2" width="13" bestFit="1" customWidth="1"/>
    <col min="3" max="3" width="13.83203125" bestFit="1" customWidth="1"/>
    <col min="4" max="4" width="7.6640625" bestFit="1" customWidth="1"/>
    <col min="5" max="5" width="8.33203125" bestFit="1" customWidth="1"/>
    <col min="6" max="7" width="8.1640625" style="37" bestFit="1" customWidth="1"/>
    <col min="8" max="8" width="5.83203125" style="37" bestFit="1" customWidth="1"/>
    <col min="9" max="10" width="8.1640625" style="37" bestFit="1" customWidth="1"/>
    <col min="11" max="11" width="5.83203125" style="37" bestFit="1" customWidth="1"/>
    <col min="12" max="13" width="8.1640625" style="37" bestFit="1" customWidth="1"/>
    <col min="14" max="14" width="5.83203125" style="37" bestFit="1" customWidth="1"/>
    <col min="15" max="16" width="8.1640625" style="37" bestFit="1" customWidth="1"/>
    <col min="17" max="17" width="5.83203125" style="37" bestFit="1" customWidth="1"/>
    <col min="18" max="19" width="8.1640625" style="37" bestFit="1" customWidth="1"/>
    <col min="20" max="20" width="5.83203125" style="37" bestFit="1" customWidth="1"/>
    <col min="21" max="22" width="8.1640625" style="37" bestFit="1" customWidth="1"/>
    <col min="23" max="23" width="5.83203125" style="37" bestFit="1" customWidth="1"/>
    <col min="24" max="25" width="8.1640625" style="37" bestFit="1" customWidth="1"/>
    <col min="26" max="26" width="12.1640625" style="37" bestFit="1" customWidth="1"/>
    <col min="27" max="28" width="8.1640625" style="37" bestFit="1" customWidth="1"/>
    <col min="29" max="29" width="12.1640625" style="37" bestFit="1" customWidth="1"/>
    <col min="30" max="32" width="12.1640625" style="37" customWidth="1"/>
    <col min="33" max="34" width="8.1640625" style="37" bestFit="1" customWidth="1"/>
    <col min="35" max="35" width="5.83203125" style="37" bestFit="1" customWidth="1"/>
    <col min="36" max="36" width="8.1640625" style="37" bestFit="1" customWidth="1"/>
    <col min="37" max="37" width="3.1640625" style="36" bestFit="1" customWidth="1"/>
    <col min="38" max="38" width="5.83203125" style="36" bestFit="1" customWidth="1"/>
    <col min="39" max="39" width="4.1640625" style="36" bestFit="1" customWidth="1"/>
    <col min="40" max="40" width="5.83203125" style="36" bestFit="1" customWidth="1"/>
    <col min="41" max="41" width="4.1640625" style="36" bestFit="1" customWidth="1"/>
    <col min="42" max="42" width="5.83203125" style="36" bestFit="1" customWidth="1"/>
    <col min="43" max="43" width="4.1640625" style="36" bestFit="1" customWidth="1"/>
    <col min="44" max="44" width="5.83203125" style="36" bestFit="1" customWidth="1"/>
    <col min="45" max="45" width="4.1640625" style="36" bestFit="1" customWidth="1"/>
    <col min="46" max="46" width="5.83203125" style="36" bestFit="1" customWidth="1"/>
    <col min="47" max="47" width="4.1640625" style="36" bestFit="1" customWidth="1"/>
    <col min="48" max="48" width="5.83203125" style="36" bestFit="1" customWidth="1"/>
    <col min="49" max="49" width="4.1640625" style="36" bestFit="1" customWidth="1"/>
    <col min="50" max="50" width="5.83203125" style="36" bestFit="1" customWidth="1"/>
    <col min="51" max="51" width="4.1640625" style="36" bestFit="1" customWidth="1"/>
    <col min="52" max="52" width="5.83203125" style="36" bestFit="1" customWidth="1"/>
    <col min="53" max="53" width="3.83203125" style="36" bestFit="1" customWidth="1"/>
    <col min="54" max="54" width="5.83203125" style="36" bestFit="1" customWidth="1"/>
    <col min="55" max="55" width="5.1640625" style="36" bestFit="1" customWidth="1"/>
    <col min="56" max="56" width="3.1640625" style="39" bestFit="1" customWidth="1"/>
    <col min="57" max="57" width="5.83203125" style="39" bestFit="1" customWidth="1"/>
    <col min="58" max="58" width="3.1640625" style="39" bestFit="1" customWidth="1"/>
    <col min="59" max="59" width="5.83203125" style="39" bestFit="1" customWidth="1"/>
    <col min="60" max="60" width="3.1640625" style="39" bestFit="1" customWidth="1"/>
    <col min="61" max="61" width="5.83203125" style="39" bestFit="1" customWidth="1"/>
    <col min="62" max="62" width="3.1640625" style="39" bestFit="1" customWidth="1"/>
    <col min="63" max="63" width="5.83203125" style="39" bestFit="1" customWidth="1"/>
    <col min="64" max="64" width="3.1640625" style="39" bestFit="1" customWidth="1"/>
    <col min="65" max="65" width="5.83203125" style="39" bestFit="1" customWidth="1"/>
    <col min="66" max="66" width="3.1640625" style="39" bestFit="1" customWidth="1"/>
    <col min="67" max="67" width="5.83203125" style="39" bestFit="1" customWidth="1"/>
    <col min="68" max="68" width="3.1640625" style="39" bestFit="1" customWidth="1"/>
    <col min="69" max="69" width="5.83203125" style="39" bestFit="1" customWidth="1"/>
    <col min="70" max="70" width="3.1640625" style="39" bestFit="1" customWidth="1"/>
    <col min="71" max="71" width="5.83203125" style="39" bestFit="1" customWidth="1"/>
    <col min="72" max="72" width="3.1640625" style="39" bestFit="1" customWidth="1"/>
    <col min="73" max="73" width="5.83203125" style="39" bestFit="1" customWidth="1"/>
    <col min="74" max="74" width="4.1640625" style="39" bestFit="1" customWidth="1"/>
    <col min="75" max="75" width="5.83203125" style="39" bestFit="1" customWidth="1"/>
    <col min="76" max="76" width="4.1640625" style="39" bestFit="1" customWidth="1"/>
    <col min="77" max="77" width="5.83203125" style="39" bestFit="1" customWidth="1"/>
    <col min="78" max="78" width="4.1640625" style="39" bestFit="1" customWidth="1"/>
    <col min="79" max="79" width="5.83203125" style="39" bestFit="1" customWidth="1"/>
    <col min="80" max="80" width="4.1640625" style="39" bestFit="1" customWidth="1"/>
    <col min="81" max="81" width="5.83203125" style="39" bestFit="1" customWidth="1"/>
    <col min="82" max="82" width="3.1640625" style="39" bestFit="1" customWidth="1"/>
    <col min="83" max="83" width="5.83203125" style="39" bestFit="1" customWidth="1"/>
    <col min="84" max="84" width="5.1640625" style="39" bestFit="1" customWidth="1"/>
    <col min="85" max="85" width="10.83203125" style="41" bestFit="1" customWidth="1"/>
    <col min="86" max="88" width="6" style="41" bestFit="1" customWidth="1"/>
    <col min="89" max="89" width="5.1640625" style="41" bestFit="1" customWidth="1"/>
    <col min="90" max="90" width="5.5" style="46" bestFit="1" customWidth="1"/>
    <col min="91" max="91" width="7.33203125" style="42" bestFit="1" customWidth="1"/>
    <col min="92" max="92" width="6.33203125" style="42" bestFit="1" customWidth="1"/>
    <col min="94" max="94" width="8.1640625" customWidth="1"/>
    <col min="95" max="95" width="17.33203125" bestFit="1" customWidth="1"/>
    <col min="96" max="96" width="13.83203125" bestFit="1" customWidth="1"/>
    <col min="97" max="97" width="7.6640625" bestFit="1" customWidth="1"/>
    <col min="98" max="98" width="11.1640625" bestFit="1" customWidth="1"/>
    <col min="99" max="99" width="13.1640625" bestFit="1" customWidth="1"/>
    <col min="100" max="100" width="10.1640625" bestFit="1" customWidth="1"/>
    <col min="101" max="101" width="9.83203125" bestFit="1" customWidth="1"/>
    <col min="102" max="102" width="5.6640625" bestFit="1" customWidth="1"/>
    <col min="103" max="103" width="6.6640625" bestFit="1" customWidth="1"/>
    <col min="104" max="104" width="6" bestFit="1" customWidth="1"/>
  </cols>
  <sheetData>
    <row r="1" spans="1:104" x14ac:dyDescent="0.2">
      <c r="A1" t="s">
        <v>170</v>
      </c>
      <c r="H1" s="37">
        <v>60.1</v>
      </c>
      <c r="K1" s="37">
        <v>5.01</v>
      </c>
      <c r="N1" s="37">
        <v>5.01</v>
      </c>
      <c r="Q1" s="37">
        <v>5.01</v>
      </c>
      <c r="T1" s="37">
        <v>5.01</v>
      </c>
      <c r="W1" s="37">
        <v>5.01</v>
      </c>
      <c r="Z1" s="37">
        <v>5.01</v>
      </c>
      <c r="AC1" s="37">
        <v>5.01</v>
      </c>
      <c r="AF1" s="37">
        <v>5.01</v>
      </c>
      <c r="AI1" s="37">
        <v>5.01</v>
      </c>
      <c r="AM1" s="44" t="s">
        <v>29</v>
      </c>
      <c r="AN1" s="44"/>
      <c r="AO1" s="44" t="s">
        <v>30</v>
      </c>
      <c r="AP1" s="44"/>
      <c r="AQ1" s="44" t="s">
        <v>30</v>
      </c>
      <c r="AR1" s="44"/>
      <c r="AS1" s="44" t="s">
        <v>29</v>
      </c>
      <c r="AT1" s="44"/>
      <c r="AU1" s="44" t="s">
        <v>30</v>
      </c>
      <c r="AV1" s="44"/>
      <c r="AW1" s="44" t="s">
        <v>30</v>
      </c>
      <c r="AX1" s="44"/>
      <c r="AY1" s="44" t="s">
        <v>30</v>
      </c>
      <c r="AZ1" s="44"/>
      <c r="BA1" s="44" t="s">
        <v>30</v>
      </c>
      <c r="CP1" s="14" t="str">
        <f>A1</f>
        <v>REZULTATI "TOČEN V NULO 2025"</v>
      </c>
    </row>
    <row r="2" spans="1:104" x14ac:dyDescent="0.2">
      <c r="H2" s="37">
        <v>2</v>
      </c>
      <c r="K2" s="37">
        <v>2</v>
      </c>
      <c r="N2" s="37">
        <v>2</v>
      </c>
      <c r="Q2" s="37">
        <v>2</v>
      </c>
      <c r="T2" s="37">
        <v>2</v>
      </c>
      <c r="W2" s="37">
        <v>2</v>
      </c>
      <c r="Z2" s="37">
        <v>2</v>
      </c>
      <c r="AC2" s="37">
        <v>2</v>
      </c>
      <c r="AF2" s="37">
        <v>2</v>
      </c>
      <c r="AI2" s="37">
        <v>2</v>
      </c>
      <c r="AK2" s="36">
        <v>50</v>
      </c>
      <c r="AM2" s="36">
        <v>50</v>
      </c>
      <c r="AO2" s="36">
        <v>50</v>
      </c>
      <c r="AQ2" s="36">
        <v>50</v>
      </c>
      <c r="AS2" s="36">
        <v>50</v>
      </c>
      <c r="AU2" s="36">
        <v>50</v>
      </c>
      <c r="AW2" s="36">
        <v>50</v>
      </c>
      <c r="AY2" s="36">
        <v>50</v>
      </c>
      <c r="BA2" s="36">
        <v>50</v>
      </c>
      <c r="CG2" s="41" t="s">
        <v>31</v>
      </c>
      <c r="CP2" s="14"/>
    </row>
    <row r="3" spans="1:104" ht="17" thickBot="1" x14ac:dyDescent="0.25">
      <c r="B3" t="s">
        <v>32</v>
      </c>
      <c r="D3" t="s">
        <v>33</v>
      </c>
      <c r="E3" t="s">
        <v>34</v>
      </c>
      <c r="F3" s="37" t="s">
        <v>35</v>
      </c>
      <c r="G3" s="37" t="s">
        <v>36</v>
      </c>
      <c r="H3" s="37" t="s">
        <v>37</v>
      </c>
      <c r="I3" s="37" t="s">
        <v>38</v>
      </c>
      <c r="J3" s="37" t="s">
        <v>39</v>
      </c>
      <c r="K3" s="37" t="s">
        <v>37</v>
      </c>
      <c r="L3" s="37" t="s">
        <v>40</v>
      </c>
      <c r="M3" s="37" t="s">
        <v>41</v>
      </c>
      <c r="N3" s="37" t="s">
        <v>37</v>
      </c>
      <c r="O3" s="37" t="s">
        <v>42</v>
      </c>
      <c r="P3" s="37" t="s">
        <v>43</v>
      </c>
      <c r="Q3" s="37" t="s">
        <v>37</v>
      </c>
      <c r="R3" s="37" t="s">
        <v>44</v>
      </c>
      <c r="S3" s="37" t="s">
        <v>45</v>
      </c>
      <c r="T3" s="37" t="s">
        <v>37</v>
      </c>
      <c r="U3" s="37" t="s">
        <v>46</v>
      </c>
      <c r="V3" s="37" t="s">
        <v>47</v>
      </c>
      <c r="W3" s="37" t="s">
        <v>37</v>
      </c>
      <c r="X3" s="37" t="s">
        <v>48</v>
      </c>
      <c r="Y3" s="37" t="s">
        <v>49</v>
      </c>
      <c r="Z3" s="37" t="s">
        <v>37</v>
      </c>
      <c r="AA3" s="37" t="s">
        <v>50</v>
      </c>
      <c r="AB3" s="37" t="s">
        <v>51</v>
      </c>
      <c r="AC3" s="37" t="s">
        <v>37</v>
      </c>
      <c r="AD3" s="37" t="s">
        <v>168</v>
      </c>
      <c r="AE3" s="37" t="s">
        <v>169</v>
      </c>
      <c r="AF3" s="37" t="s">
        <v>37</v>
      </c>
      <c r="AG3" s="37" t="s">
        <v>52</v>
      </c>
      <c r="AH3" s="37" t="s">
        <v>53</v>
      </c>
      <c r="AI3" s="37" t="s">
        <v>37</v>
      </c>
      <c r="AJ3" s="37" t="s">
        <v>54</v>
      </c>
      <c r="AK3" s="36" t="s">
        <v>13</v>
      </c>
      <c r="AL3" s="36" t="s">
        <v>37</v>
      </c>
      <c r="AM3" s="36" t="s">
        <v>21</v>
      </c>
      <c r="AN3" s="36" t="s">
        <v>37</v>
      </c>
      <c r="AO3" s="36" t="s">
        <v>22</v>
      </c>
      <c r="AP3" s="36" t="s">
        <v>37</v>
      </c>
      <c r="AQ3" s="36" t="s">
        <v>23</v>
      </c>
      <c r="AR3" s="36" t="s">
        <v>37</v>
      </c>
      <c r="AS3" s="36" t="s">
        <v>24</v>
      </c>
      <c r="AT3" s="36" t="s">
        <v>37</v>
      </c>
      <c r="AU3" s="36" t="s">
        <v>25</v>
      </c>
      <c r="AV3" s="36" t="s">
        <v>37</v>
      </c>
      <c r="AW3" s="36" t="s">
        <v>26</v>
      </c>
      <c r="AX3" s="36" t="s">
        <v>37</v>
      </c>
      <c r="AY3" s="36" t="s">
        <v>27</v>
      </c>
      <c r="AZ3" s="36" t="s">
        <v>37</v>
      </c>
      <c r="BA3" s="36" t="s">
        <v>20</v>
      </c>
      <c r="BB3" s="36" t="s">
        <v>37</v>
      </c>
      <c r="BC3" s="36" t="s">
        <v>54</v>
      </c>
      <c r="BD3" s="39" t="s">
        <v>55</v>
      </c>
      <c r="BE3" s="39" t="s">
        <v>37</v>
      </c>
      <c r="BF3" s="39" t="s">
        <v>56</v>
      </c>
      <c r="BG3" s="39" t="s">
        <v>37</v>
      </c>
      <c r="BH3" s="39" t="s">
        <v>57</v>
      </c>
      <c r="BI3" s="39" t="s">
        <v>37</v>
      </c>
      <c r="BJ3" s="39" t="s">
        <v>58</v>
      </c>
      <c r="BK3" s="39" t="s">
        <v>37</v>
      </c>
      <c r="BL3" s="39" t="s">
        <v>59</v>
      </c>
      <c r="BM3" s="39" t="s">
        <v>37</v>
      </c>
      <c r="BN3" s="39" t="s">
        <v>60</v>
      </c>
      <c r="BO3" s="39" t="s">
        <v>37</v>
      </c>
      <c r="BP3" s="39" t="s">
        <v>61</v>
      </c>
      <c r="BQ3" s="39" t="s">
        <v>37</v>
      </c>
      <c r="BR3" s="39" t="s">
        <v>62</v>
      </c>
      <c r="BS3" s="39" t="s">
        <v>37</v>
      </c>
      <c r="BT3" s="39" t="s">
        <v>63</v>
      </c>
      <c r="BU3" s="39" t="s">
        <v>37</v>
      </c>
      <c r="BV3" s="39" t="s">
        <v>64</v>
      </c>
      <c r="BW3" s="39" t="s">
        <v>37</v>
      </c>
      <c r="BX3" s="39" t="s">
        <v>65</v>
      </c>
      <c r="BY3" s="39" t="s">
        <v>37</v>
      </c>
      <c r="BZ3" s="39" t="s">
        <v>66</v>
      </c>
      <c r="CA3" s="39" t="s">
        <v>37</v>
      </c>
      <c r="CB3" s="39" t="s">
        <v>67</v>
      </c>
      <c r="CC3" s="39" t="s">
        <v>37</v>
      </c>
      <c r="CD3" s="39" t="s">
        <v>68</v>
      </c>
      <c r="CE3" s="39" t="s">
        <v>37</v>
      </c>
      <c r="CF3" s="39" t="s">
        <v>54</v>
      </c>
      <c r="CG3" s="41" t="s">
        <v>69</v>
      </c>
      <c r="CH3" s="41" t="s">
        <v>70</v>
      </c>
      <c r="CI3" s="41" t="s">
        <v>71</v>
      </c>
      <c r="CJ3" s="41" t="s">
        <v>70</v>
      </c>
      <c r="CK3" s="41" t="s">
        <v>54</v>
      </c>
      <c r="CL3" s="46" t="s">
        <v>72</v>
      </c>
      <c r="CM3" s="42" t="s">
        <v>73</v>
      </c>
      <c r="CN3" s="42" t="s">
        <v>74</v>
      </c>
      <c r="CP3" s="14" t="s">
        <v>75</v>
      </c>
    </row>
    <row r="4" spans="1:104" ht="17" thickBot="1" x14ac:dyDescent="0.25">
      <c r="A4">
        <v>1</v>
      </c>
      <c r="B4" t="s">
        <v>76</v>
      </c>
      <c r="C4" t="s">
        <v>77</v>
      </c>
      <c r="D4" t="s">
        <v>78</v>
      </c>
      <c r="E4">
        <v>65</v>
      </c>
      <c r="F4" s="38">
        <v>0.46875</v>
      </c>
      <c r="G4" s="38">
        <v>0.46864583333333337</v>
      </c>
      <c r="H4" s="37">
        <f>IF(IF(ABS((F4-G4)*3600*24)&gt;$H$1,(ABS((F4-G4)*3600*24)-5)*$K$2,0)&gt;150,150,IF(ABS((F4-G4)*3600*24)&gt;$H$1,(ABS((F4-G4)*3600*24)-5)*$K$2,0))</f>
        <v>0</v>
      </c>
      <c r="I4" s="38">
        <f>$F4+'TEKMOVALNI LIST'!C$8/60</f>
        <v>0.47152777777777777</v>
      </c>
      <c r="J4" s="38"/>
      <c r="K4" s="37">
        <f>IF(IF(ABS((I4-J4)*3600*24)&gt;$K$1,(ABS((I4-J4)*3600*24)-5)*$K$2,0)&gt;150,150,IF(ABS((I4-J4)*3600*24)&gt;$K$1,(ABS((I4-J4)*3600*24)-5)*$K$2,0))</f>
        <v>150</v>
      </c>
      <c r="L4" s="38">
        <f>I$4+'TEKMOVALNI LIST'!C$9/60</f>
        <v>0.47821180993412699</v>
      </c>
      <c r="M4" s="38">
        <v>0.47598379629629628</v>
      </c>
      <c r="N4" s="37">
        <f>IF(IF(ABS((L4-M4)*3600*24)&gt;$K$1,(ABS((L4-M4)*3600*24)-5)*$K$2,0)&gt;150,150,IF(ABS((L4-M4)*3600*24)&gt;$K$1,(ABS((L4-M4)*3600*24)-5)*$K$2,0))</f>
        <v>150</v>
      </c>
      <c r="O4" s="38">
        <f>I$4+'TEKMOVALNI LIST'!C$10/60</f>
        <v>0.4821405416054349</v>
      </c>
      <c r="P4" s="38"/>
      <c r="Q4" s="37">
        <f>IF(IF(ABS((O4-P4)*3600*24)&gt;$K$1,(ABS((O4-P4)*3600*24)-5)*$K$2,0)&gt;150,150,IF(ABS((O4-P4)*3600*24)&gt;$K$1,(ABS((O4-P4)*3600*24)-5)*$K$2,0))</f>
        <v>150</v>
      </c>
      <c r="R4" s="38">
        <f>I$4+'TEKMOVALNI LIST'!C$11/60</f>
        <v>0.4863767876565403</v>
      </c>
      <c r="S4" s="38"/>
      <c r="T4" s="37">
        <f>IF(IF(ABS((R4-S4)*3600*24)&gt;$K$1,(ABS((R4-S4)*3600*24)-5)*$K$2,0)&gt;150,150,IF(ABS((R4-S4)*3600*24)&gt;$K$1,(ABS((R4-S4)*3600*24)-5)*$K$2,0))</f>
        <v>150</v>
      </c>
      <c r="U4" s="38">
        <f>I$4+'TEKMOVALNI LIST'!C$12/60</f>
        <v>0.49350343165259447</v>
      </c>
      <c r="V4" s="38"/>
      <c r="W4" s="37">
        <f>IF(IF(ABS((U4-V4)*3600*24)&gt;$K$1,(ABS((U4-V4)*3600*24)-5)*$K$2,0)&gt;150,150,IF(ABS((U4-V4)*3600*24)&gt;$K$1,(ABS((U4-V4)*3600*24)-5)*$K$2,0))</f>
        <v>150</v>
      </c>
      <c r="X4" s="38">
        <f>I$4+'TEKMOVALNI LIST'!C$13/60</f>
        <v>0.50079175233149775</v>
      </c>
      <c r="Y4" s="38">
        <v>0.49594907407407413</v>
      </c>
      <c r="Z4" s="62">
        <f>IF(IF(ABS((X4-Y4)*3600*24)&gt;$K$1,(ABS((X4-Y4)*3600*24)-5)*$K$2,0)&gt;150,150,IF(ABS((X4-Y4)*3600*24)&gt;$K$1,(ABS((X4-Y4)*3600*24)-5)*$K$2,0))</f>
        <v>150</v>
      </c>
      <c r="AA4" s="38">
        <f>I$4+'TEKMOVALNI LIST'!C$14/60</f>
        <v>0.50445014272274835</v>
      </c>
      <c r="AB4" s="38">
        <v>0.50149305555555557</v>
      </c>
      <c r="AC4" s="62">
        <f>IF(IF(ABS((AA4-AB4)*3600*24)&gt;$K$1,(ABS((AA4-AB4)*3600*24)-5)*$K$2,0)&gt;150,150,IF(ABS((AA4-AB4)*3600*24)&gt;$K$1,(ABS((AA4-AB4)*3600*24)-5)*$K$2,0))</f>
        <v>150</v>
      </c>
      <c r="AD4" s="38">
        <f>L$4+'TEKMOVALNI LIST'!C$15/60</f>
        <v>0.52160480043548552</v>
      </c>
      <c r="AE4" s="38">
        <v>0.50149305555555557</v>
      </c>
      <c r="AF4" s="62">
        <f>IF(IF(ABS((AD4-AE4)*3600*24)&gt;$K$1,(ABS((AD4-AE4)*3600*24)-5)*$K$2,0)&gt;150,150,IF(ABS((AD4-AE4)*3600*24)&gt;$K$1,(ABS((AD4-AE4)*3600*24)-5)*$K$2,0))</f>
        <v>150</v>
      </c>
      <c r="AG4" s="38">
        <f>I$4+'TEKMOVALNI LIST'!C$16/60</f>
        <v>0.52052050121121707</v>
      </c>
      <c r="AH4" s="38">
        <v>0.51026620370370368</v>
      </c>
      <c r="AI4" s="37">
        <f>IF(IF(ABS((AG4-AH4)*3600*24)&gt;$K$1,(ABS((AG4-AH4)*3600*24)-5)*$K$2,0)&gt;150,150,IF(ABS((AG4-AH4)*3600*24)&gt;$K$1,(ABS((AG4-AH4)*3600*24)-5)*$K$2,0))</f>
        <v>150</v>
      </c>
      <c r="AJ4" s="62">
        <f>H4+K4+N4+Q4+T4+W4+Z4+AC4+AI4+AF4</f>
        <v>1350</v>
      </c>
      <c r="AM4" s="36" t="s">
        <v>30</v>
      </c>
      <c r="AN4" s="36">
        <f>IF(AM4=$AM$1,0,$AM$2)</f>
        <v>50</v>
      </c>
      <c r="AO4" s="36" t="s">
        <v>30</v>
      </c>
      <c r="AP4" s="36">
        <f>IF(AO4=$AO$1,0,$AO$2)</f>
        <v>0</v>
      </c>
      <c r="AQ4" s="36" t="s">
        <v>29</v>
      </c>
      <c r="AR4" s="36">
        <f>IF(AQ4=$AO$1,0,$AO$2)</f>
        <v>50</v>
      </c>
      <c r="AS4" s="36" t="s">
        <v>30</v>
      </c>
      <c r="AT4" s="36">
        <f>IF(AS4=$AO$1,0,$AO$2)</f>
        <v>0</v>
      </c>
      <c r="AU4" s="36" t="s">
        <v>29</v>
      </c>
      <c r="AV4" s="36">
        <f>IF(AU4=$AO$1,0,$AO$2)</f>
        <v>50</v>
      </c>
      <c r="AW4" s="36" t="s">
        <v>30</v>
      </c>
      <c r="AX4" s="36">
        <f>IF(AW4=$AO$1,0,$AO$2)</f>
        <v>0</v>
      </c>
      <c r="AY4" s="36" t="s">
        <v>30</v>
      </c>
      <c r="AZ4" s="36">
        <f>IF(AY4=$AO$1,0,$AO$2)</f>
        <v>0</v>
      </c>
      <c r="BA4" s="36" t="s">
        <v>29</v>
      </c>
      <c r="BB4" s="36">
        <f>IF(BA4=$BA$1,0,$BA$2)</f>
        <v>50</v>
      </c>
      <c r="BC4" s="36">
        <f>AL4+AN4+AP4+AR4+AT4+AV4+AX4+AZ4+BB4</f>
        <v>200</v>
      </c>
      <c r="BD4" s="39">
        <v>50</v>
      </c>
      <c r="BE4" s="39">
        <f>IF(BD4="",30,IF(BD4&lt;5.1,0,IF(BD4&gt;10.1,50,15)))</f>
        <v>50</v>
      </c>
      <c r="BF4" s="39">
        <v>50</v>
      </c>
      <c r="BG4" s="39">
        <f>IF(BF4="",30,IF(BF4&lt;5.1,0,IF(BF4&gt;10.1,50,15)))</f>
        <v>50</v>
      </c>
      <c r="BI4" s="39">
        <f>IF(BH4="",30,IF(BH4&lt;5.1,0,IF(BH4&gt;10.1,50,15)))</f>
        <v>30</v>
      </c>
      <c r="BK4" s="39">
        <f>IF(BJ4="",30,IF(BJ4&lt;5.1,0,IF(BJ4&gt;10.1,50,15)))</f>
        <v>30</v>
      </c>
      <c r="BM4" s="39">
        <f>IF(BL4="",30,IF(BL4&lt;5.1,0,IF(BL4&gt;10.1,50,15)))</f>
        <v>30</v>
      </c>
      <c r="BO4" s="39">
        <f>IF(BN4="",30,IF(BN4&lt;5.1,0,IF(BN4&gt;10.1,50,15)))</f>
        <v>30</v>
      </c>
      <c r="BQ4" s="39">
        <f>IF(BP4="",30,IF(BP4&lt;5.1,0,IF(BP4&gt;10.1,50,15)))</f>
        <v>30</v>
      </c>
      <c r="BS4" s="39">
        <f>IF(BR4="",30,IF(BR4&lt;5.1,0,IF(BR4&gt;10.1,50,15)))</f>
        <v>30</v>
      </c>
      <c r="BU4" s="39">
        <f>IF(BT4="",30,IF(BT4&lt;5.1,0,IF(BT4&gt;10.1,50,15)))</f>
        <v>30</v>
      </c>
      <c r="BW4" s="39">
        <f>IF(BV4="",30,IF(BV4&lt;5.1,0,IF(BV4&gt;10.1,50,15)))</f>
        <v>30</v>
      </c>
      <c r="BY4" s="39">
        <f>IF(BX4="",30,IF(BX4&lt;5.1,0,IF(BX4&gt;10.1,50,15)))</f>
        <v>30</v>
      </c>
      <c r="CA4" s="39">
        <f>IF(BZ4="",30,IF(BZ4&lt;5.1,0,IF(BZ4&gt;10.1,50,15)))</f>
        <v>30</v>
      </c>
      <c r="CC4" s="39">
        <f>IF(CB4="",30,IF(CB4&lt;5.1,0,IF(CB4&gt;10.1,50,15)))</f>
        <v>30</v>
      </c>
      <c r="CE4" s="39">
        <f>IF(CD4&lt;5.1,0,IF(CD4&gt;10.1,50,15))</f>
        <v>0</v>
      </c>
      <c r="CF4" s="39">
        <f>BE4+BG4+BI4+BK4+BM4+BO4+BQ4+BS4+BU4+BW4+BY4+CA4+CC4</f>
        <v>430</v>
      </c>
      <c r="CH4" s="41">
        <v>200</v>
      </c>
      <c r="CJ4" s="41">
        <v>200</v>
      </c>
      <c r="CK4" s="41">
        <f>CH4+CJ4</f>
        <v>400</v>
      </c>
      <c r="CL4" s="46">
        <v>100</v>
      </c>
      <c r="CM4" s="43">
        <f>CK4+CF4+BC4+AJ4+CL4</f>
        <v>2480</v>
      </c>
      <c r="CN4" s="42">
        <f>RANK(CM4,$CM$4:$CM$11,1)</f>
        <v>8</v>
      </c>
      <c r="CP4" s="52" t="s">
        <v>79</v>
      </c>
      <c r="CQ4" s="77" t="str">
        <f t="shared" ref="CQ4:CR12" si="0">B3</f>
        <v>EKIPA</v>
      </c>
      <c r="CR4" s="77"/>
      <c r="CS4" s="53" t="str">
        <f t="shared" ref="CS4:CS12" si="1">D3</f>
        <v>LETALO</v>
      </c>
      <c r="CT4" s="53" t="s">
        <v>80</v>
      </c>
      <c r="CU4" s="53" t="s">
        <v>81</v>
      </c>
      <c r="CV4" s="53" t="s">
        <v>82</v>
      </c>
      <c r="CW4" s="53" t="s">
        <v>83</v>
      </c>
      <c r="CX4" s="53" t="s">
        <v>72</v>
      </c>
      <c r="CY4" s="53" t="s">
        <v>84</v>
      </c>
      <c r="CZ4" s="54" t="s">
        <v>85</v>
      </c>
    </row>
    <row r="5" spans="1:104" x14ac:dyDescent="0.2">
      <c r="A5">
        <v>2</v>
      </c>
      <c r="B5" t="s">
        <v>86</v>
      </c>
      <c r="C5" t="s">
        <v>87</v>
      </c>
      <c r="D5" t="s">
        <v>88</v>
      </c>
      <c r="E5">
        <v>80</v>
      </c>
      <c r="F5" s="38">
        <v>0.48958333333333331</v>
      </c>
      <c r="G5" s="38">
        <v>0.48980324074074072</v>
      </c>
      <c r="H5" s="37">
        <f>IF(IF(ABS((F5-G5)*3600*24)&gt;$H$1,(ABS((F5-G5)*3600*24)-5)*$K$2,0)&gt;150,150,IF(ABS((F5-G5)*3600*24)&gt;$H$1,(ABS((F5-G5)*3600*24)-5)*$K$2,0))</f>
        <v>0</v>
      </c>
      <c r="I5" s="38">
        <f>$F5+'TEKMOVALNI LIST'!C$8/60</f>
        <v>0.49236111111111108</v>
      </c>
      <c r="J5" s="38">
        <v>0.49234953703703704</v>
      </c>
      <c r="K5" s="37">
        <f t="shared" ref="K5:K11" si="2">IF(IF(ABS((I5-J5)*3600*24)&gt;$K$1,(ABS((I5-J5)*3600*24)-5)*$K$2,0)&gt;150,150,IF(ABS((I5-J5)*3600*24)&gt;$K$1,(ABS((I5-J5)*3600*24)-5)*$K$2,0))</f>
        <v>0</v>
      </c>
      <c r="L5" s="38">
        <f>$F5+'TEKMOVALNI LIST'!F$9/60</f>
        <v>0.49553494279370042</v>
      </c>
      <c r="M5" s="38">
        <v>0.49591435185185184</v>
      </c>
      <c r="N5" s="37">
        <f t="shared" ref="N5:N11" si="3">IF(IF(ABS((L5-M5)*3600*24)&gt;$K$1,(ABS((L5-M5)*3600*24)-5)*$K$2,0)&gt;150,150,IF(ABS((L5-M5)*3600*24)&gt;$K$1,(ABS((L5-M5)*3600*24)-5)*$K$2,0))</f>
        <v>55.561885248566298</v>
      </c>
      <c r="O5" s="38">
        <f>$F5+'TEKMOVALNI LIST'!F$10/60</f>
        <v>0.49872703727663809</v>
      </c>
      <c r="P5" s="38">
        <v>0.49991898148148151</v>
      </c>
      <c r="Q5" s="45">
        <f t="shared" ref="Q5:Q11" si="4">IF(IF(ABS((O5-P5)*3600*24)&gt;$K$1,(ABS((O5-P5)*3600*24)-5)*$K$2,0)&gt;150,150,IF(ABS((O5-P5)*3600*24)&gt;$K$1,(ABS((O5-P5)*3600*24)-5)*$K$2,0))</f>
        <v>150</v>
      </c>
      <c r="R5" s="38">
        <f>$F5+'TEKMOVALNI LIST'!F$11/60</f>
        <v>0.50216898719316116</v>
      </c>
      <c r="S5" s="38">
        <v>0.50790509259259264</v>
      </c>
      <c r="T5" s="37">
        <f t="shared" ref="T5:T11" si="5">IF(IF(ABS((R5-S5)*3600*24)&gt;$K$1,(ABS((R5-S5)*3600*24)-5)*$K$2,0)&gt;150,150,IF(ABS((R5-S5)*3600*24)&gt;$K$1,(ABS((R5-S5)*3600*24)-5)*$K$2,0))</f>
        <v>150</v>
      </c>
      <c r="U5" s="38">
        <f>$F5+'TEKMOVALNI LIST'!F$12/60</f>
        <v>0.50795938543995522</v>
      </c>
      <c r="V5" s="38">
        <v>0.5121296296296296</v>
      </c>
      <c r="W5" s="37">
        <f t="shared" ref="W5:W11" si="6">IF(IF(ABS((U5-V5)*3600*24)&gt;$K$1,(ABS((U5-V5)*3600*24)-5)*$K$2,0)&gt;150,150,IF(ABS((U5-V5)*3600*24)&gt;$K$1,(ABS((U5-V5)*3600*24)-5)*$K$2,0))</f>
        <v>150</v>
      </c>
      <c r="X5" s="38">
        <f>$F5+'TEKMOVALNI LIST'!F$13/60</f>
        <v>0.51388114599156409</v>
      </c>
      <c r="Y5" s="38">
        <v>0.51553240740740736</v>
      </c>
      <c r="Z5" s="37">
        <f t="shared" ref="Z5:Z11" si="7">IF(IF(ABS((X5-Y5)*3600*24)&gt;$K$1,(ABS((X5-Y5)*3600*24)-5)*$K$2,0)&gt;150,150,IF(ABS((X5-Y5)*3600*24)&gt;$K$1,(ABS((X5-Y5)*3600*24)-5)*$K$2,0))</f>
        <v>150</v>
      </c>
      <c r="AA5" s="38">
        <f>$F5+'TEKMOVALNI LIST'!F$14/60</f>
        <v>0.51685358818445526</v>
      </c>
      <c r="AB5" s="38">
        <v>0.52162037037037035</v>
      </c>
      <c r="AC5" s="37">
        <f t="shared" ref="AC5:AC11" si="8">IF(IF(ABS((AA5-AB5)*3600*24)&gt;$K$1,(ABS((AA5-AB5)*3600*24)-5)*$K$2,0)&gt;150,150,IF(ABS((AA5-AB5)*3600*24)&gt;$K$1,(ABS((AA5-AB5)*3600*24)-5)*$K$2,0))</f>
        <v>150</v>
      </c>
      <c r="AD5" s="38">
        <f>$F5+'TEKMOVALNI LIST'!I$14/60</f>
        <v>0.48958333333333331</v>
      </c>
      <c r="AE5" s="38">
        <v>0.52162037037037035</v>
      </c>
      <c r="AF5" s="37">
        <f t="shared" ref="AF5:AF11" si="9">IF(IF(ABS((AD5-AE5)*3600*24)&gt;$K$1,(ABS((AD5-AE5)*3600*24)-5)*$K$2,0)&gt;150,150,IF(ABS((AD5-AE5)*3600*24)&gt;$K$1,(ABS((AD5-AE5)*3600*24)-5)*$K$2,0))</f>
        <v>150</v>
      </c>
      <c r="AG5" s="38">
        <f>$F5+'TEKMOVALNI LIST'!F$16/60</f>
        <v>0.52991075445633606</v>
      </c>
      <c r="AH5" s="38"/>
      <c r="AI5" s="37">
        <f t="shared" ref="AI5:AI11" si="10">IF(IF(ABS((AG5-AH5)*3600*24)&gt;$K$1,(ABS((AG5-AH5)*3600*24)-5)*$K$2,0)&gt;150,150,IF(ABS((AG5-AH5)*3600*24)&gt;$K$1,(ABS((AG5-AH5)*3600*24)-5)*$K$2,0))</f>
        <v>150</v>
      </c>
      <c r="AJ5" s="62">
        <f t="shared" ref="AJ5:AJ11" si="11">H5+K5+N5+Q5+T5+W5+Z5+AC5+AI5+AF5</f>
        <v>1105.5618852485663</v>
      </c>
      <c r="AM5" s="36" t="s">
        <v>29</v>
      </c>
      <c r="AN5" s="36">
        <f t="shared" ref="AN5:AN11" si="12">IF(AM5=$AM$1,0,$AM$2)</f>
        <v>0</v>
      </c>
      <c r="AO5" s="36" t="s">
        <v>30</v>
      </c>
      <c r="AP5" s="36">
        <f t="shared" ref="AP5:AP11" si="13">IF(AO5=$AO$1,0,$AO$2)</f>
        <v>0</v>
      </c>
      <c r="AQ5" s="36" t="s">
        <v>30</v>
      </c>
      <c r="AR5" s="36">
        <f t="shared" ref="AR5:AR11" si="14">IF(AQ5=$AO$1,0,$AO$2)</f>
        <v>0</v>
      </c>
      <c r="AS5" s="36" t="s">
        <v>29</v>
      </c>
      <c r="AT5" s="36">
        <f>IF(AS5=$AS$1,0,$AO$2)</f>
        <v>0</v>
      </c>
      <c r="AU5" s="36" t="s">
        <v>30</v>
      </c>
      <c r="AV5" s="36">
        <f t="shared" ref="AV5:AV11" si="15">IF(AU5=$AO$1,0,$AO$2)</f>
        <v>0</v>
      </c>
      <c r="AW5" s="36" t="s">
        <v>30</v>
      </c>
      <c r="AX5" s="36">
        <f t="shared" ref="AX5:AX11" si="16">IF(AW5=$AO$1,0,$AO$2)</f>
        <v>0</v>
      </c>
      <c r="AY5" s="36" t="s">
        <v>30</v>
      </c>
      <c r="AZ5" s="36">
        <f t="shared" ref="AZ5:AZ11" si="17">IF(AY5=$AO$1,0,$AO$2)</f>
        <v>0</v>
      </c>
      <c r="BA5" s="36" t="s">
        <v>30</v>
      </c>
      <c r="BB5" s="36">
        <f t="shared" ref="BB5:BB11" si="18">IF(BA5=$BA$1,0,$BA$2)</f>
        <v>0</v>
      </c>
      <c r="BC5" s="36">
        <f t="shared" ref="BC5:BC11" si="19">AL5+AN5+AP5+AR5+AT5+AV5+AX5+AZ5+BB5</f>
        <v>0</v>
      </c>
      <c r="BD5" s="39">
        <v>0</v>
      </c>
      <c r="BE5" s="39">
        <f t="shared" ref="BE5:BG11" si="20">IF(BD5="",30,IF(BD5&lt;5.1,0,IF(BD5&gt;10.1,50,15)))</f>
        <v>0</v>
      </c>
      <c r="BG5" s="39">
        <f t="shared" si="20"/>
        <v>30</v>
      </c>
      <c r="BH5" s="40"/>
      <c r="BI5" s="39">
        <f t="shared" ref="BI5:BI11" si="21">IF(BH5="",30,IF(BH5&lt;5.1,0,IF(BH5&gt;10.1,50,15)))</f>
        <v>30</v>
      </c>
      <c r="BJ5" s="40"/>
      <c r="BK5" s="39">
        <f t="shared" ref="BK5:BM11" si="22">IF(BJ5="",30,IF(BJ5&lt;5.1,0,IF(BJ5&gt;10.1,50,15)))</f>
        <v>30</v>
      </c>
      <c r="BL5" s="39">
        <v>0</v>
      </c>
      <c r="BM5" s="39">
        <f t="shared" si="22"/>
        <v>0</v>
      </c>
      <c r="BO5" s="39">
        <f t="shared" ref="BO5:BO11" si="23">IF(BN5="",30,IF(BN5&lt;5.1,0,IF(BN5&gt;10.1,50,15)))</f>
        <v>30</v>
      </c>
      <c r="BP5" s="39">
        <v>0</v>
      </c>
      <c r="BQ5" s="39">
        <f t="shared" ref="BQ5:BQ11" si="24">IF(BP5="",30,IF(BP5&lt;5.1,0,IF(BP5&gt;10.1,50,15)))</f>
        <v>0</v>
      </c>
      <c r="BS5" s="39">
        <f t="shared" ref="BS5:BS11" si="25">IF(BR5="",30,IF(BR5&lt;5.1,0,IF(BR5&gt;10.1,50,15)))</f>
        <v>30</v>
      </c>
      <c r="BT5" s="39">
        <v>5</v>
      </c>
      <c r="BU5" s="39">
        <f t="shared" ref="BU5:BU11" si="26">IF(BT5="",30,IF(BT5&lt;5.1,0,IF(BT5&gt;10.1,50,15)))</f>
        <v>0</v>
      </c>
      <c r="BW5" s="39">
        <f t="shared" ref="BW5:BW11" si="27">IF(BV5="",30,IF(BV5&lt;5.1,0,IF(BV5&gt;10.1,50,15)))</f>
        <v>30</v>
      </c>
      <c r="BY5" s="39">
        <f t="shared" ref="BY5:BY11" si="28">IF(BX5="",30,IF(BX5&lt;5.1,0,IF(BX5&gt;10.1,50,15)))</f>
        <v>30</v>
      </c>
      <c r="CA5" s="39">
        <f t="shared" ref="CA5:CA11" si="29">IF(BZ5="",30,IF(BZ5&lt;5.1,0,IF(BZ5&gt;10.1,50,15)))</f>
        <v>30</v>
      </c>
      <c r="CC5" s="39">
        <f t="shared" ref="CC5:CC11" si="30">IF(CB5="",30,IF(CB5&lt;5.1,0,IF(CB5&gt;10.1,50,15)))</f>
        <v>30</v>
      </c>
      <c r="CF5" s="39">
        <f t="shared" ref="CF5:CF11" si="31">BE5+BG5+BI5+BK5+BM5+BO5+BQ5+BS5+BU5+BW5+BY5+CA5+CC5</f>
        <v>270</v>
      </c>
      <c r="CH5" s="41">
        <v>60</v>
      </c>
      <c r="CJ5" s="41">
        <v>200</v>
      </c>
      <c r="CK5" s="41">
        <f t="shared" ref="CK5:CK11" si="32">CH5+CJ5</f>
        <v>260</v>
      </c>
      <c r="CM5" s="43">
        <f t="shared" ref="CM5:CM11" si="33">CK5+CF5+BC5+AJ5+CL5</f>
        <v>1635.5618852485663</v>
      </c>
      <c r="CN5" s="42">
        <f t="shared" ref="CN5:CN11" si="34">RANK(CM5,$CM$4:$CM$11,1)</f>
        <v>4</v>
      </c>
      <c r="CP5" s="50">
        <f t="shared" ref="CP5:CP12" si="35">A4</f>
        <v>1</v>
      </c>
      <c r="CQ5" s="51" t="str">
        <f t="shared" si="0"/>
        <v>Šeruga Emil</v>
      </c>
      <c r="CR5" s="51" t="str">
        <f t="shared" si="0"/>
        <v>Slak Marjan</v>
      </c>
      <c r="CS5" s="51" t="str">
        <f t="shared" si="1"/>
        <v>S5-DCV</v>
      </c>
      <c r="CT5" s="55">
        <f>AJ4</f>
        <v>1350</v>
      </c>
      <c r="CU5" s="55">
        <f>BC4</f>
        <v>200</v>
      </c>
      <c r="CV5" s="55">
        <f>CF4</f>
        <v>430</v>
      </c>
      <c r="CW5" s="55">
        <f>CK4</f>
        <v>400</v>
      </c>
      <c r="CX5" s="55">
        <f>CL4</f>
        <v>100</v>
      </c>
      <c r="CY5" s="55">
        <f>SUM(CT5:CX5)</f>
        <v>2480</v>
      </c>
      <c r="CZ5" s="56">
        <f t="shared" ref="CZ5:CZ12" si="36">RANK(CY5,$CY$5:$CY$12,1)</f>
        <v>8</v>
      </c>
    </row>
    <row r="6" spans="1:104" x14ac:dyDescent="0.2">
      <c r="A6">
        <v>3</v>
      </c>
      <c r="B6" t="s">
        <v>89</v>
      </c>
      <c r="C6" t="s">
        <v>90</v>
      </c>
      <c r="D6" t="s">
        <v>91</v>
      </c>
      <c r="E6">
        <v>70</v>
      </c>
      <c r="F6" s="38">
        <v>0.49305555555555558</v>
      </c>
      <c r="G6" s="38">
        <v>0.49447916666666664</v>
      </c>
      <c r="H6" s="37">
        <f>IF(IF(ABS((F6-G6)*3600*24)&gt;$H$1,(ABS((F6-G6)*3600*24)-5)*$K$2,0)&gt;150,150,IF(ABS((F6-G6)*3600*24)&gt;$H$1,(ABS((F6-G6)*3600*24)-5)*$K$2,0))</f>
        <v>150</v>
      </c>
      <c r="I6" s="38">
        <f>$F6+'TEKMOVALNI LIST'!C$8/60</f>
        <v>0.49583333333333335</v>
      </c>
      <c r="J6" s="38">
        <v>0.49592592592592594</v>
      </c>
      <c r="K6" s="37">
        <f t="shared" si="2"/>
        <v>5.9999999999993037</v>
      </c>
      <c r="L6" s="38">
        <f>$F6+'TEKMOVALNI LIST'!D$9/60</f>
        <v>0.49946056954200685</v>
      </c>
      <c r="M6" s="38">
        <v>0.5007638888888889</v>
      </c>
      <c r="N6" s="37">
        <f t="shared" si="3"/>
        <v>150</v>
      </c>
      <c r="O6" s="38">
        <f>$F6+'TEKMOVALNI LIST'!D$10/60</f>
        <v>0.50310867752250699</v>
      </c>
      <c r="P6" s="38">
        <v>0.50498842592592597</v>
      </c>
      <c r="Q6" s="45">
        <f t="shared" si="4"/>
        <v>150</v>
      </c>
      <c r="R6" s="38">
        <f>$F6+'TEKMOVALNI LIST'!D$11/60</f>
        <v>0.50704233456996206</v>
      </c>
      <c r="S6" s="38">
        <v>0.5128935185185185</v>
      </c>
      <c r="T6" s="37">
        <f t="shared" si="5"/>
        <v>150</v>
      </c>
      <c r="U6" s="38">
        <f>$F6+'TEKMOVALNI LIST'!D$12/60</f>
        <v>0.51365993256629805</v>
      </c>
      <c r="V6" s="38"/>
      <c r="W6" s="37">
        <f t="shared" si="6"/>
        <v>150</v>
      </c>
      <c r="X6" s="38">
        <f>$F6+'TEKMOVALNI LIST'!D$13/60</f>
        <v>0.52042765891099396</v>
      </c>
      <c r="Y6" s="38">
        <v>0.52232638888888883</v>
      </c>
      <c r="Z6" s="37">
        <f t="shared" si="7"/>
        <v>150</v>
      </c>
      <c r="AA6" s="38">
        <f>$F6+'TEKMOVALNI LIST'!D$14/60</f>
        <v>0.52382473570286947</v>
      </c>
      <c r="AB6" s="38"/>
      <c r="AC6" s="37">
        <f t="shared" si="8"/>
        <v>150</v>
      </c>
      <c r="AD6" s="38">
        <f>$F6+'TEKMOVALNI LIST'!G$14/60</f>
        <v>0.51888507646118665</v>
      </c>
      <c r="AE6" s="38"/>
      <c r="AF6" s="37">
        <f t="shared" si="9"/>
        <v>150</v>
      </c>
      <c r="AG6" s="38">
        <f>$F6+'TEKMOVALNI LIST'!D$16/60</f>
        <v>0.53874721144216187</v>
      </c>
      <c r="AH6" s="38">
        <v>0.53878472222222229</v>
      </c>
      <c r="AI6" s="37">
        <f t="shared" si="10"/>
        <v>0</v>
      </c>
      <c r="AJ6" s="62">
        <f t="shared" si="11"/>
        <v>1205.9999999999993</v>
      </c>
      <c r="AM6" s="36" t="s">
        <v>29</v>
      </c>
      <c r="AN6" s="36">
        <f t="shared" si="12"/>
        <v>0</v>
      </c>
      <c r="AO6" s="36" t="s">
        <v>30</v>
      </c>
      <c r="AP6" s="36">
        <f t="shared" si="13"/>
        <v>0</v>
      </c>
      <c r="AQ6" s="36" t="s">
        <v>30</v>
      </c>
      <c r="AR6" s="36">
        <f t="shared" si="14"/>
        <v>0</v>
      </c>
      <c r="AS6" s="36" t="s">
        <v>29</v>
      </c>
      <c r="AT6" s="36">
        <f>IF(AS6=$AS$1,0,$AS$2)</f>
        <v>0</v>
      </c>
      <c r="AU6" s="36" t="s">
        <v>30</v>
      </c>
      <c r="AV6" s="36">
        <f t="shared" si="15"/>
        <v>0</v>
      </c>
      <c r="AW6" s="36" t="s">
        <v>30</v>
      </c>
      <c r="AX6" s="36">
        <f t="shared" si="16"/>
        <v>0</v>
      </c>
      <c r="AY6" s="36" t="s">
        <v>30</v>
      </c>
      <c r="AZ6" s="36">
        <f t="shared" si="17"/>
        <v>0</v>
      </c>
      <c r="BA6" s="36" t="s">
        <v>30</v>
      </c>
      <c r="BB6" s="36">
        <f t="shared" si="18"/>
        <v>0</v>
      </c>
      <c r="BC6" s="36">
        <f t="shared" si="19"/>
        <v>0</v>
      </c>
      <c r="BE6" s="39">
        <f t="shared" si="20"/>
        <v>30</v>
      </c>
      <c r="BF6" s="39">
        <v>0</v>
      </c>
      <c r="BG6" s="39">
        <f t="shared" si="20"/>
        <v>0</v>
      </c>
      <c r="BH6" s="40"/>
      <c r="BI6" s="39">
        <f t="shared" si="21"/>
        <v>30</v>
      </c>
      <c r="BJ6" s="40"/>
      <c r="BK6" s="39">
        <f t="shared" si="22"/>
        <v>30</v>
      </c>
      <c r="BL6" s="39">
        <v>0</v>
      </c>
      <c r="BM6" s="39">
        <f t="shared" si="22"/>
        <v>0</v>
      </c>
      <c r="BN6" s="39">
        <v>0</v>
      </c>
      <c r="BO6" s="39">
        <f t="shared" si="23"/>
        <v>0</v>
      </c>
      <c r="BQ6" s="39">
        <f t="shared" si="24"/>
        <v>30</v>
      </c>
      <c r="BR6" s="39">
        <v>6</v>
      </c>
      <c r="BS6" s="39">
        <f t="shared" si="25"/>
        <v>15</v>
      </c>
      <c r="BT6" s="39">
        <v>0</v>
      </c>
      <c r="BU6" s="39">
        <f t="shared" si="26"/>
        <v>0</v>
      </c>
      <c r="BW6" s="39">
        <f t="shared" si="27"/>
        <v>30</v>
      </c>
      <c r="BY6" s="39">
        <f t="shared" si="28"/>
        <v>30</v>
      </c>
      <c r="BZ6" s="39">
        <v>8</v>
      </c>
      <c r="CA6" s="39">
        <f t="shared" si="29"/>
        <v>15</v>
      </c>
      <c r="CB6" s="39">
        <v>8</v>
      </c>
      <c r="CC6" s="39">
        <f t="shared" si="30"/>
        <v>15</v>
      </c>
      <c r="CF6" s="39">
        <f t="shared" si="31"/>
        <v>225</v>
      </c>
      <c r="CH6" s="41">
        <v>40</v>
      </c>
      <c r="CJ6" s="41">
        <v>20</v>
      </c>
      <c r="CK6" s="41">
        <f t="shared" si="32"/>
        <v>60</v>
      </c>
      <c r="CL6" s="46">
        <v>100</v>
      </c>
      <c r="CM6" s="43">
        <f t="shared" si="33"/>
        <v>1590.9999999999993</v>
      </c>
      <c r="CN6" s="42">
        <f t="shared" si="34"/>
        <v>2</v>
      </c>
      <c r="CP6" s="47">
        <f t="shared" si="35"/>
        <v>2</v>
      </c>
      <c r="CQ6" s="10" t="str">
        <f t="shared" si="0"/>
        <v>Štrakl Mitja</v>
      </c>
      <c r="CR6" s="10" t="str">
        <f t="shared" si="0"/>
        <v>Jurhar Jernej</v>
      </c>
      <c r="CS6" s="10" t="str">
        <f t="shared" si="1"/>
        <v>S5-DOG</v>
      </c>
      <c r="CT6" s="57">
        <f t="shared" ref="CT6:CT11" si="37">AJ5</f>
        <v>1105.5618852485663</v>
      </c>
      <c r="CU6" s="57">
        <f t="shared" ref="CU6:CU11" si="38">BC5</f>
        <v>0</v>
      </c>
      <c r="CV6" s="57">
        <f t="shared" ref="CV6:CV11" si="39">CF5</f>
        <v>270</v>
      </c>
      <c r="CW6" s="57">
        <f t="shared" ref="CW6:CX11" si="40">CK5</f>
        <v>260</v>
      </c>
      <c r="CX6" s="57">
        <f t="shared" si="40"/>
        <v>0</v>
      </c>
      <c r="CY6" s="57">
        <f t="shared" ref="CY6:CY10" si="41">SUM(CT6:CX6)</f>
        <v>1635.5618852485663</v>
      </c>
      <c r="CZ6" s="58">
        <f t="shared" si="36"/>
        <v>4</v>
      </c>
    </row>
    <row r="7" spans="1:104" x14ac:dyDescent="0.2">
      <c r="A7">
        <v>4</v>
      </c>
      <c r="B7" t="s">
        <v>92</v>
      </c>
      <c r="C7" t="s">
        <v>93</v>
      </c>
      <c r="D7" t="s">
        <v>94</v>
      </c>
      <c r="E7">
        <v>70</v>
      </c>
      <c r="F7" s="38">
        <v>0.55208333333333337</v>
      </c>
      <c r="G7" s="38">
        <v>0.5522569444444444</v>
      </c>
      <c r="H7" s="37">
        <v>0</v>
      </c>
      <c r="I7" s="38">
        <f>$F7+'TEKMOVALNI LIST'!C$8/60</f>
        <v>0.55486111111111114</v>
      </c>
      <c r="J7" s="38">
        <v>0.55495370370370367</v>
      </c>
      <c r="K7" s="37">
        <f t="shared" si="2"/>
        <v>5.9999999999897113</v>
      </c>
      <c r="L7" s="38">
        <f>$F7+'TEKMOVALNI LIST'!D$9/60</f>
        <v>0.55848834731978469</v>
      </c>
      <c r="M7" s="38">
        <v>0.55922453703703701</v>
      </c>
      <c r="N7" s="45">
        <f t="shared" si="3"/>
        <v>117.21358314119939</v>
      </c>
      <c r="O7" s="38">
        <f>$F7+'TEKMOVALNI LIST'!D$10/60</f>
        <v>0.56213645530028478</v>
      </c>
      <c r="P7" s="38"/>
      <c r="Q7" s="37">
        <f t="shared" si="4"/>
        <v>150</v>
      </c>
      <c r="R7" s="38">
        <f>$F7+'TEKMOVALNI LIST'!D$11/60</f>
        <v>0.56607011234773985</v>
      </c>
      <c r="S7" s="38">
        <v>0.57250000000000001</v>
      </c>
      <c r="T7" s="45">
        <f t="shared" si="5"/>
        <v>150</v>
      </c>
      <c r="U7" s="38">
        <f>$F7+'TEKMOVALNI LIST'!D$12/60</f>
        <v>0.57268771034407584</v>
      </c>
      <c r="V7" s="38">
        <v>0.57751157407407405</v>
      </c>
      <c r="W7" s="45">
        <f t="shared" si="6"/>
        <v>150</v>
      </c>
      <c r="X7" s="38">
        <f>$F7+'TEKMOVALNI LIST'!D$13/60</f>
        <v>0.57945543668877175</v>
      </c>
      <c r="Y7" s="38">
        <v>0.58137731481481481</v>
      </c>
      <c r="Z7" s="37">
        <f t="shared" si="7"/>
        <v>150</v>
      </c>
      <c r="AA7" s="38">
        <f>$F7+'TEKMOVALNI LIST'!D$14/60</f>
        <v>0.58285251348064726</v>
      </c>
      <c r="AB7" s="38">
        <v>0.58701388888888884</v>
      </c>
      <c r="AC7" s="37">
        <f t="shared" si="8"/>
        <v>150</v>
      </c>
      <c r="AD7" s="38">
        <f>$F7+'TEKMOVALNI LIST'!G$14/60</f>
        <v>0.57791285423896444</v>
      </c>
      <c r="AE7" s="38">
        <v>0.58701388888888884</v>
      </c>
      <c r="AF7" s="37">
        <f t="shared" si="9"/>
        <v>150</v>
      </c>
      <c r="AG7" s="38">
        <f>$F7+'TEKMOVALNI LIST'!D$16/60</f>
        <v>0.59777498921993966</v>
      </c>
      <c r="AH7" s="38">
        <v>0.59653935185185192</v>
      </c>
      <c r="AI7" s="45">
        <f t="shared" si="10"/>
        <v>150</v>
      </c>
      <c r="AJ7" s="62">
        <f t="shared" si="11"/>
        <v>1173.2135831411892</v>
      </c>
      <c r="AM7" s="36" t="s">
        <v>29</v>
      </c>
      <c r="AN7" s="36">
        <f t="shared" si="12"/>
        <v>0</v>
      </c>
      <c r="AO7" s="36" t="s">
        <v>30</v>
      </c>
      <c r="AP7" s="36">
        <f t="shared" si="13"/>
        <v>0</v>
      </c>
      <c r="AQ7" s="36" t="s">
        <v>30</v>
      </c>
      <c r="AR7" s="36">
        <f t="shared" si="14"/>
        <v>0</v>
      </c>
      <c r="AS7" s="36" t="s">
        <v>29</v>
      </c>
      <c r="AT7" s="36">
        <f t="shared" ref="AT7:AT11" si="42">IF(AS7=$AS$1,0,$AS$2)</f>
        <v>0</v>
      </c>
      <c r="AU7" s="36" t="s">
        <v>30</v>
      </c>
      <c r="AV7" s="36">
        <f t="shared" si="15"/>
        <v>0</v>
      </c>
      <c r="AW7" s="36" t="s">
        <v>30</v>
      </c>
      <c r="AX7" s="36">
        <f t="shared" si="16"/>
        <v>0</v>
      </c>
      <c r="AY7" s="36" t="s">
        <v>30</v>
      </c>
      <c r="AZ7" s="36">
        <f t="shared" si="17"/>
        <v>0</v>
      </c>
      <c r="BA7" s="36" t="s">
        <v>30</v>
      </c>
      <c r="BB7" s="36">
        <f t="shared" si="18"/>
        <v>0</v>
      </c>
      <c r="BC7" s="36">
        <f t="shared" si="19"/>
        <v>0</v>
      </c>
      <c r="BD7" s="39">
        <v>9</v>
      </c>
      <c r="BE7" s="39">
        <f t="shared" si="20"/>
        <v>15</v>
      </c>
      <c r="BG7" s="39">
        <f t="shared" si="20"/>
        <v>30</v>
      </c>
      <c r="BH7" s="40"/>
      <c r="BI7" s="39">
        <f t="shared" si="21"/>
        <v>30</v>
      </c>
      <c r="BJ7" s="40">
        <v>0</v>
      </c>
      <c r="BK7" s="39">
        <f t="shared" si="22"/>
        <v>0</v>
      </c>
      <c r="BL7" s="39">
        <v>0</v>
      </c>
      <c r="BM7" s="39">
        <f t="shared" si="22"/>
        <v>0</v>
      </c>
      <c r="BN7" s="39">
        <v>0</v>
      </c>
      <c r="BO7" s="39">
        <f t="shared" si="23"/>
        <v>0</v>
      </c>
      <c r="BP7" s="39">
        <v>0</v>
      </c>
      <c r="BQ7" s="39">
        <f t="shared" si="24"/>
        <v>0</v>
      </c>
      <c r="BR7" s="39">
        <v>7</v>
      </c>
      <c r="BS7" s="39">
        <f t="shared" si="25"/>
        <v>15</v>
      </c>
      <c r="BT7" s="39">
        <v>0</v>
      </c>
      <c r="BU7" s="39">
        <f t="shared" si="26"/>
        <v>0</v>
      </c>
      <c r="BV7" s="39">
        <v>0</v>
      </c>
      <c r="BW7" s="39">
        <f t="shared" si="27"/>
        <v>0</v>
      </c>
      <c r="BX7" s="39">
        <v>0</v>
      </c>
      <c r="BY7" s="39">
        <f t="shared" si="28"/>
        <v>0</v>
      </c>
      <c r="CA7" s="39">
        <f t="shared" si="29"/>
        <v>30</v>
      </c>
      <c r="CC7" s="39">
        <f t="shared" si="30"/>
        <v>30</v>
      </c>
      <c r="CF7" s="39">
        <f t="shared" si="31"/>
        <v>150</v>
      </c>
      <c r="CH7" s="41">
        <v>20</v>
      </c>
      <c r="CJ7" s="41">
        <v>200</v>
      </c>
      <c r="CK7" s="41">
        <f t="shared" si="32"/>
        <v>220</v>
      </c>
      <c r="CM7" s="43">
        <f t="shared" si="33"/>
        <v>1543.2135831411892</v>
      </c>
      <c r="CN7" s="42">
        <f t="shared" si="34"/>
        <v>1</v>
      </c>
      <c r="CP7" s="47">
        <f t="shared" si="35"/>
        <v>3</v>
      </c>
      <c r="CQ7" s="10" t="str">
        <f t="shared" si="0"/>
        <v>Rajko Grčar</v>
      </c>
      <c r="CR7" s="10" t="str">
        <f t="shared" si="0"/>
        <v>Sebastjan Jelen</v>
      </c>
      <c r="CS7" s="10" t="str">
        <f t="shared" si="1"/>
        <v>S5-PES</v>
      </c>
      <c r="CT7" s="57">
        <f t="shared" si="37"/>
        <v>1205.9999999999993</v>
      </c>
      <c r="CU7" s="57">
        <f t="shared" si="38"/>
        <v>0</v>
      </c>
      <c r="CV7" s="57">
        <f t="shared" si="39"/>
        <v>225</v>
      </c>
      <c r="CW7" s="57">
        <f t="shared" si="40"/>
        <v>60</v>
      </c>
      <c r="CX7" s="57">
        <f t="shared" si="40"/>
        <v>100</v>
      </c>
      <c r="CY7" s="57">
        <f t="shared" si="41"/>
        <v>1590.9999999999993</v>
      </c>
      <c r="CZ7" s="58">
        <f t="shared" si="36"/>
        <v>2</v>
      </c>
    </row>
    <row r="8" spans="1:104" x14ac:dyDescent="0.2">
      <c r="A8">
        <v>5</v>
      </c>
      <c r="B8" t="s">
        <v>95</v>
      </c>
      <c r="C8" t="s">
        <v>96</v>
      </c>
      <c r="D8" t="s">
        <v>91</v>
      </c>
      <c r="E8">
        <v>70</v>
      </c>
      <c r="F8" s="38">
        <v>0.55902777777777779</v>
      </c>
      <c r="G8" s="38">
        <v>0.55901620370370375</v>
      </c>
      <c r="H8" s="37">
        <f>IF(IF(ABS((F8-G8)*3600*24)&gt;$H$1,(ABS((F8-G8)*3600*24)-5)*$K$2,0)&gt;150,150,IF(ABS((F8-G8)*3600*24)&gt;$H$1,(ABS((F8-G8)*3600*24)-5)*$K$2,0))</f>
        <v>0</v>
      </c>
      <c r="I8" s="38">
        <f>$F8+'TEKMOVALNI LIST'!C$8/60</f>
        <v>0.56180555555555556</v>
      </c>
      <c r="J8" s="38">
        <v>0.56200231481481489</v>
      </c>
      <c r="K8" s="37">
        <f t="shared" si="2"/>
        <v>24.00000000001171</v>
      </c>
      <c r="L8" s="38">
        <f>$F8+'TEKMOVALNI LIST'!D$9/60</f>
        <v>0.56543279176422911</v>
      </c>
      <c r="M8" s="38">
        <v>0.56627314814814811</v>
      </c>
      <c r="N8" s="37">
        <f t="shared" si="3"/>
        <v>135.21358314120221</v>
      </c>
      <c r="O8" s="38">
        <f>$F8+'TEKMOVALNI LIST'!D$10/60</f>
        <v>0.5690808997447292</v>
      </c>
      <c r="P8" s="38">
        <v>0.5710763888888889</v>
      </c>
      <c r="Q8" s="37">
        <f t="shared" si="4"/>
        <v>150</v>
      </c>
      <c r="R8" s="38">
        <f>$F8+'TEKMOVALNI LIST'!D$11/60</f>
        <v>0.57301455679218427</v>
      </c>
      <c r="S8" s="38">
        <v>0.58001157407407411</v>
      </c>
      <c r="T8" s="45">
        <f t="shared" si="5"/>
        <v>150</v>
      </c>
      <c r="U8" s="38">
        <f>$F8+'TEKMOVALNI LIST'!D$12/60</f>
        <v>0.57963215478852026</v>
      </c>
      <c r="V8" s="38">
        <v>0.58467592592592588</v>
      </c>
      <c r="W8" s="45">
        <f t="shared" si="6"/>
        <v>150</v>
      </c>
      <c r="X8" s="38">
        <f>$F8+'TEKMOVALNI LIST'!D$13/60</f>
        <v>0.58639988113321617</v>
      </c>
      <c r="Y8" s="38">
        <v>0.58868055555555554</v>
      </c>
      <c r="Z8" s="45">
        <f t="shared" si="7"/>
        <v>150</v>
      </c>
      <c r="AA8" s="38">
        <f>$F8+'TEKMOVALNI LIST'!D$14/60</f>
        <v>0.58979695792509168</v>
      </c>
      <c r="AB8" s="38">
        <v>0.59489583333333329</v>
      </c>
      <c r="AC8" s="37">
        <f t="shared" si="8"/>
        <v>150</v>
      </c>
      <c r="AD8" s="38">
        <f>$F8+'TEKMOVALNI LIST'!G$14/60</f>
        <v>0.58485729868340885</v>
      </c>
      <c r="AE8" s="38">
        <v>0.59489583333333329</v>
      </c>
      <c r="AF8" s="37">
        <f t="shared" si="9"/>
        <v>150</v>
      </c>
      <c r="AG8" s="38">
        <f>$F8+'TEKMOVALNI LIST'!D$16/60</f>
        <v>0.60471943366438408</v>
      </c>
      <c r="AH8" s="38">
        <v>0.6038310185185185</v>
      </c>
      <c r="AI8" s="37">
        <f t="shared" si="10"/>
        <v>143.51813720557104</v>
      </c>
      <c r="AJ8" s="62">
        <f t="shared" si="11"/>
        <v>1202.7317203467849</v>
      </c>
      <c r="AM8" s="36" t="s">
        <v>29</v>
      </c>
      <c r="AN8" s="36">
        <f t="shared" si="12"/>
        <v>0</v>
      </c>
      <c r="AO8" s="36" t="s">
        <v>30</v>
      </c>
      <c r="AP8" s="36">
        <f t="shared" si="13"/>
        <v>0</v>
      </c>
      <c r="AQ8" s="36" t="s">
        <v>29</v>
      </c>
      <c r="AR8" s="36">
        <f t="shared" si="14"/>
        <v>50</v>
      </c>
      <c r="AS8" s="36" t="s">
        <v>29</v>
      </c>
      <c r="AT8" s="36">
        <f t="shared" si="42"/>
        <v>0</v>
      </c>
      <c r="AU8" s="36" t="s">
        <v>30</v>
      </c>
      <c r="AV8" s="36">
        <f t="shared" si="15"/>
        <v>0</v>
      </c>
      <c r="AW8" s="36" t="s">
        <v>30</v>
      </c>
      <c r="AX8" s="36">
        <f t="shared" si="16"/>
        <v>0</v>
      </c>
      <c r="AY8" s="36" t="s">
        <v>30</v>
      </c>
      <c r="AZ8" s="36">
        <f t="shared" si="17"/>
        <v>0</v>
      </c>
      <c r="BA8" s="36" t="s">
        <v>30</v>
      </c>
      <c r="BB8" s="36">
        <f t="shared" si="18"/>
        <v>0</v>
      </c>
      <c r="BC8" s="36">
        <f t="shared" si="19"/>
        <v>50</v>
      </c>
      <c r="BD8" s="39">
        <v>50</v>
      </c>
      <c r="BE8" s="39">
        <f t="shared" si="20"/>
        <v>50</v>
      </c>
      <c r="BF8" s="39">
        <v>0</v>
      </c>
      <c r="BG8" s="39">
        <f t="shared" si="20"/>
        <v>0</v>
      </c>
      <c r="BH8" s="40"/>
      <c r="BI8" s="39">
        <f t="shared" si="21"/>
        <v>30</v>
      </c>
      <c r="BJ8" s="40"/>
      <c r="BK8" s="39">
        <f t="shared" si="22"/>
        <v>30</v>
      </c>
      <c r="BM8" s="39">
        <f t="shared" si="22"/>
        <v>30</v>
      </c>
      <c r="BO8" s="39">
        <f t="shared" si="23"/>
        <v>30</v>
      </c>
      <c r="BQ8" s="39">
        <f t="shared" si="24"/>
        <v>30</v>
      </c>
      <c r="BS8" s="39">
        <f t="shared" si="25"/>
        <v>30</v>
      </c>
      <c r="BU8" s="39">
        <f t="shared" si="26"/>
        <v>30</v>
      </c>
      <c r="BW8" s="39">
        <f t="shared" si="27"/>
        <v>30</v>
      </c>
      <c r="BY8" s="39">
        <f t="shared" si="28"/>
        <v>30</v>
      </c>
      <c r="BZ8" s="39">
        <v>0</v>
      </c>
      <c r="CA8" s="39">
        <f t="shared" si="29"/>
        <v>0</v>
      </c>
      <c r="CC8" s="39">
        <f t="shared" si="30"/>
        <v>30</v>
      </c>
      <c r="CF8" s="39">
        <f t="shared" si="31"/>
        <v>350</v>
      </c>
      <c r="CH8" s="41">
        <v>0</v>
      </c>
      <c r="CJ8" s="41">
        <v>40</v>
      </c>
      <c r="CK8" s="41">
        <f t="shared" si="32"/>
        <v>40</v>
      </c>
      <c r="CM8" s="43">
        <f t="shared" si="33"/>
        <v>1642.7317203467849</v>
      </c>
      <c r="CN8" s="42">
        <f t="shared" si="34"/>
        <v>5</v>
      </c>
      <c r="CP8" s="47">
        <f t="shared" si="35"/>
        <v>4</v>
      </c>
      <c r="CQ8" s="10" t="str">
        <f t="shared" si="0"/>
        <v>Denis Nemeš</v>
      </c>
      <c r="CR8" s="10" t="str">
        <f t="shared" si="0"/>
        <v>Ravnič Kristian</v>
      </c>
      <c r="CS8" s="10" t="str">
        <f t="shared" si="1"/>
        <v>S5-DJO</v>
      </c>
      <c r="CT8" s="57">
        <f t="shared" si="37"/>
        <v>1173.2135831411892</v>
      </c>
      <c r="CU8" s="57">
        <f t="shared" si="38"/>
        <v>0</v>
      </c>
      <c r="CV8" s="57">
        <f t="shared" si="39"/>
        <v>150</v>
      </c>
      <c r="CW8" s="57">
        <f t="shared" si="40"/>
        <v>220</v>
      </c>
      <c r="CX8" s="57">
        <f t="shared" si="40"/>
        <v>0</v>
      </c>
      <c r="CY8" s="57">
        <f t="shared" si="41"/>
        <v>1543.2135831411892</v>
      </c>
      <c r="CZ8" s="58">
        <f t="shared" si="36"/>
        <v>1</v>
      </c>
    </row>
    <row r="9" spans="1:104" x14ac:dyDescent="0.2">
      <c r="A9">
        <v>6</v>
      </c>
      <c r="B9" t="s">
        <v>97</v>
      </c>
      <c r="C9" t="s">
        <v>98</v>
      </c>
      <c r="D9" t="s">
        <v>99</v>
      </c>
      <c r="E9">
        <v>75</v>
      </c>
      <c r="F9" s="38">
        <v>0.54166666666666663</v>
      </c>
      <c r="G9" s="38">
        <v>0.54224537037037035</v>
      </c>
      <c r="H9" s="37">
        <f>IF(IF(ABS((F9-G9)*3600*24)&gt;$H$1,(ABS((F9-G9)*3600*24)-5)*$K$2,0)&gt;150,150,IF(ABS((F9-G9)*3600*24)&gt;$H$1,(ABS((F9-G9)*3600*24)-5)*$K$2,0))</f>
        <v>0</v>
      </c>
      <c r="I9" s="38">
        <f>$F9+'TEKMOVALNI LIST'!C$8/60</f>
        <v>0.5444444444444444</v>
      </c>
      <c r="J9" s="38">
        <v>0.54442129629629632</v>
      </c>
      <c r="K9" s="37">
        <f t="shared" si="2"/>
        <v>0</v>
      </c>
      <c r="L9" s="38">
        <f>$F9+'TEKMOVALNI LIST'!E$9/60</f>
        <v>0.54782986490587304</v>
      </c>
      <c r="M9" s="38"/>
      <c r="N9" s="37">
        <f t="shared" si="3"/>
        <v>150</v>
      </c>
      <c r="O9" s="38">
        <f>$F9+'TEKMOVALNI LIST'!E$10/60</f>
        <v>0.55123476568767316</v>
      </c>
      <c r="P9" s="38">
        <v>0.55313657407407402</v>
      </c>
      <c r="Q9" s="37">
        <f t="shared" si="4"/>
        <v>150</v>
      </c>
      <c r="R9" s="38">
        <f>$F9+'TEKMOVALNI LIST'!E$11/60</f>
        <v>0.55490617893196448</v>
      </c>
      <c r="S9" s="38">
        <v>0.56112268518518515</v>
      </c>
      <c r="T9" s="45">
        <f t="shared" si="5"/>
        <v>150</v>
      </c>
      <c r="U9" s="38">
        <f>$F9+'TEKMOVALNI LIST'!E$12/60</f>
        <v>0.56108260372854479</v>
      </c>
      <c r="V9" s="38">
        <v>0.56543981481481487</v>
      </c>
      <c r="W9" s="37">
        <f t="shared" si="6"/>
        <v>150</v>
      </c>
      <c r="X9" s="38">
        <f>$F9+'TEKMOVALNI LIST'!E$13/60</f>
        <v>0.56739914831692762</v>
      </c>
      <c r="Y9" s="38">
        <v>0.56916666666666671</v>
      </c>
      <c r="Z9" s="37">
        <f t="shared" si="7"/>
        <v>150</v>
      </c>
      <c r="AA9" s="38">
        <f>$F9+'TEKMOVALNI LIST'!E$14/60</f>
        <v>0.57056975332267812</v>
      </c>
      <c r="AB9" s="38">
        <v>0.57453703703703707</v>
      </c>
      <c r="AC9" s="37">
        <f t="shared" si="8"/>
        <v>150</v>
      </c>
      <c r="AD9" s="38">
        <f>$F9+'TEKMOVALNI LIST'!H$14/60</f>
        <v>0.57451532973387454</v>
      </c>
      <c r="AE9" s="38">
        <v>0.57453703703703707</v>
      </c>
      <c r="AF9" s="37">
        <f t="shared" si="9"/>
        <v>0</v>
      </c>
      <c r="AG9" s="38">
        <f>$F9+'TEKMOVALNI LIST'!E$16/60</f>
        <v>0.58449739734601769</v>
      </c>
      <c r="AH9" s="38">
        <v>0.58329861111111114</v>
      </c>
      <c r="AI9" s="37">
        <f t="shared" si="10"/>
        <v>150</v>
      </c>
      <c r="AJ9" s="62">
        <f t="shared" si="11"/>
        <v>1050</v>
      </c>
      <c r="AM9" s="36" t="s">
        <v>29</v>
      </c>
      <c r="AN9" s="36">
        <f t="shared" si="12"/>
        <v>0</v>
      </c>
      <c r="AO9" s="36" t="s">
        <v>30</v>
      </c>
      <c r="AP9" s="36">
        <f t="shared" si="13"/>
        <v>0</v>
      </c>
      <c r="AQ9" s="36" t="s">
        <v>30</v>
      </c>
      <c r="AR9" s="36">
        <f t="shared" si="14"/>
        <v>0</v>
      </c>
      <c r="AS9" s="36" t="s">
        <v>29</v>
      </c>
      <c r="AT9" s="36">
        <f t="shared" si="42"/>
        <v>0</v>
      </c>
      <c r="AU9" s="36" t="s">
        <v>30</v>
      </c>
      <c r="AV9" s="36">
        <f t="shared" si="15"/>
        <v>0</v>
      </c>
      <c r="AW9" s="36" t="s">
        <v>30</v>
      </c>
      <c r="AX9" s="36">
        <f t="shared" si="16"/>
        <v>0</v>
      </c>
      <c r="AY9" s="36" t="s">
        <v>29</v>
      </c>
      <c r="AZ9" s="36">
        <f t="shared" si="17"/>
        <v>50</v>
      </c>
      <c r="BA9" s="36" t="s">
        <v>30</v>
      </c>
      <c r="BB9" s="36">
        <f t="shared" si="18"/>
        <v>0</v>
      </c>
      <c r="BC9" s="36">
        <f t="shared" si="19"/>
        <v>50</v>
      </c>
      <c r="BE9" s="39">
        <f t="shared" si="20"/>
        <v>30</v>
      </c>
      <c r="BF9" s="39">
        <v>13</v>
      </c>
      <c r="BG9" s="39">
        <f t="shared" si="20"/>
        <v>50</v>
      </c>
      <c r="BH9" s="40"/>
      <c r="BI9" s="39">
        <f t="shared" si="21"/>
        <v>30</v>
      </c>
      <c r="BJ9" s="40"/>
      <c r="BK9" s="39">
        <f t="shared" si="22"/>
        <v>30</v>
      </c>
      <c r="BL9" s="39">
        <v>0</v>
      </c>
      <c r="BM9" s="39">
        <f t="shared" si="22"/>
        <v>0</v>
      </c>
      <c r="BO9" s="39">
        <f t="shared" si="23"/>
        <v>30</v>
      </c>
      <c r="BQ9" s="39">
        <f t="shared" si="24"/>
        <v>30</v>
      </c>
      <c r="BR9" s="39">
        <v>0</v>
      </c>
      <c r="BS9" s="39">
        <f t="shared" si="25"/>
        <v>0</v>
      </c>
      <c r="BT9" s="39">
        <v>0</v>
      </c>
      <c r="BU9" s="39">
        <f t="shared" si="26"/>
        <v>0</v>
      </c>
      <c r="BW9" s="39">
        <f t="shared" si="27"/>
        <v>30</v>
      </c>
      <c r="BX9" s="39">
        <v>0</v>
      </c>
      <c r="BY9" s="39">
        <f t="shared" si="28"/>
        <v>0</v>
      </c>
      <c r="CA9" s="39">
        <f t="shared" si="29"/>
        <v>30</v>
      </c>
      <c r="CC9" s="39">
        <f t="shared" si="30"/>
        <v>30</v>
      </c>
      <c r="CF9" s="39">
        <f t="shared" si="31"/>
        <v>290</v>
      </c>
      <c r="CH9" s="41">
        <v>200</v>
      </c>
      <c r="CJ9" s="41">
        <v>40</v>
      </c>
      <c r="CK9" s="41">
        <f t="shared" si="32"/>
        <v>240</v>
      </c>
      <c r="CM9" s="43">
        <f t="shared" si="33"/>
        <v>1630</v>
      </c>
      <c r="CN9" s="42">
        <f t="shared" si="34"/>
        <v>3</v>
      </c>
      <c r="CP9" s="47">
        <f t="shared" si="35"/>
        <v>5</v>
      </c>
      <c r="CQ9" s="10" t="str">
        <f t="shared" si="0"/>
        <v>Jože Velnar</v>
      </c>
      <c r="CR9" s="10" t="str">
        <f t="shared" si="0"/>
        <v>Damijan Korpič</v>
      </c>
      <c r="CS9" s="10" t="str">
        <f t="shared" si="1"/>
        <v>S5-PES</v>
      </c>
      <c r="CT9" s="57">
        <f t="shared" si="37"/>
        <v>1202.7317203467849</v>
      </c>
      <c r="CU9" s="57">
        <f t="shared" si="38"/>
        <v>50</v>
      </c>
      <c r="CV9" s="57">
        <f t="shared" si="39"/>
        <v>350</v>
      </c>
      <c r="CW9" s="57">
        <f t="shared" si="40"/>
        <v>40</v>
      </c>
      <c r="CX9" s="57">
        <f t="shared" si="40"/>
        <v>0</v>
      </c>
      <c r="CY9" s="57">
        <f t="shared" si="41"/>
        <v>1642.7317203467849</v>
      </c>
      <c r="CZ9" s="58">
        <f t="shared" si="36"/>
        <v>5</v>
      </c>
    </row>
    <row r="10" spans="1:104" x14ac:dyDescent="0.2">
      <c r="A10">
        <v>7</v>
      </c>
      <c r="B10" t="s">
        <v>100</v>
      </c>
      <c r="C10" t="s">
        <v>101</v>
      </c>
      <c r="D10" t="s">
        <v>102</v>
      </c>
      <c r="E10">
        <v>80</v>
      </c>
      <c r="F10" s="38">
        <v>0.58333333333333337</v>
      </c>
      <c r="G10" s="38">
        <v>0.58344907407407409</v>
      </c>
      <c r="H10" s="37">
        <f>IF(IF(ABS((F10-G10)*3600*24)&gt;$H$1,(ABS((F10-G10)*3600*24)-5)*$K$2,0)&gt;150,150,IF(ABS((F10-G10)*3600*24)&gt;$H$1,(ABS((F10-G10)*3600*24)-5)*$K$2,0))</f>
        <v>0</v>
      </c>
      <c r="I10" s="38">
        <f>$F10+'TEKMOVALNI LIST'!C$8/60</f>
        <v>0.58611111111111114</v>
      </c>
      <c r="J10" s="38">
        <v>0.58612268518518518</v>
      </c>
      <c r="K10" s="37">
        <f t="shared" si="2"/>
        <v>0</v>
      </c>
      <c r="L10" s="38">
        <f>$F10+'TEKMOVALNI LIST'!F$9/60</f>
        <v>0.58928494279370047</v>
      </c>
      <c r="M10" s="38">
        <v>0.59004629629629635</v>
      </c>
      <c r="N10" s="45">
        <f t="shared" si="3"/>
        <v>121.56188524856702</v>
      </c>
      <c r="O10" s="38">
        <f>$F10+'TEKMOVALNI LIST'!F$10/60</f>
        <v>0.59247703727663814</v>
      </c>
      <c r="P10" s="38"/>
      <c r="Q10" s="37">
        <f t="shared" si="4"/>
        <v>150</v>
      </c>
      <c r="R10" s="38">
        <f>$F10+'TEKMOVALNI LIST'!F$11/60</f>
        <v>0.59591898719316128</v>
      </c>
      <c r="S10" s="38">
        <v>0.60159722222222223</v>
      </c>
      <c r="T10" s="45">
        <f t="shared" si="5"/>
        <v>150</v>
      </c>
      <c r="U10" s="38">
        <f>$F10+'TEKMOVALNI LIST'!F$12/60</f>
        <v>0.60170938543995534</v>
      </c>
      <c r="V10" s="38">
        <v>0.60585648148148141</v>
      </c>
      <c r="W10" s="37">
        <f t="shared" si="6"/>
        <v>150</v>
      </c>
      <c r="X10" s="38">
        <f>$F10+'TEKMOVALNI LIST'!F$13/60</f>
        <v>0.6076311459915642</v>
      </c>
      <c r="Y10" s="38">
        <v>0.60935185185185181</v>
      </c>
      <c r="Z10" s="45">
        <f t="shared" si="7"/>
        <v>150</v>
      </c>
      <c r="AA10" s="38">
        <f>$F10+'TEKMOVALNI LIST'!F$14/60</f>
        <v>0.61060358818445526</v>
      </c>
      <c r="AB10" s="38">
        <v>0.61453703703703699</v>
      </c>
      <c r="AC10" s="45">
        <f t="shared" si="8"/>
        <v>150</v>
      </c>
      <c r="AD10" s="38">
        <f>$F10+'TEKMOVALNI LIST'!I$14/60</f>
        <v>0.58333333333333337</v>
      </c>
      <c r="AE10" s="38">
        <v>0.61453703703703699</v>
      </c>
      <c r="AF10" s="45">
        <f t="shared" si="9"/>
        <v>150</v>
      </c>
      <c r="AG10" s="38">
        <f>$F10+'TEKMOVALNI LIST'!F$16/60</f>
        <v>0.62366075445633617</v>
      </c>
      <c r="AH10" s="38">
        <v>0.62269675925925927</v>
      </c>
      <c r="AI10" s="37">
        <f t="shared" si="10"/>
        <v>150</v>
      </c>
      <c r="AJ10" s="62">
        <f t="shared" si="11"/>
        <v>1171.561885248567</v>
      </c>
      <c r="AM10" s="36" t="s">
        <v>29</v>
      </c>
      <c r="AN10" s="36">
        <f t="shared" si="12"/>
        <v>0</v>
      </c>
      <c r="AO10" s="36" t="s">
        <v>29</v>
      </c>
      <c r="AP10" s="36">
        <f t="shared" si="13"/>
        <v>50</v>
      </c>
      <c r="AQ10" s="36" t="s">
        <v>30</v>
      </c>
      <c r="AR10" s="36">
        <f t="shared" si="14"/>
        <v>0</v>
      </c>
      <c r="AS10" s="36" t="s">
        <v>29</v>
      </c>
      <c r="AT10" s="36">
        <f t="shared" si="42"/>
        <v>0</v>
      </c>
      <c r="AU10" s="36" t="s">
        <v>30</v>
      </c>
      <c r="AV10" s="36">
        <f t="shared" si="15"/>
        <v>0</v>
      </c>
      <c r="AW10" s="36" t="s">
        <v>30</v>
      </c>
      <c r="AX10" s="36">
        <f t="shared" si="16"/>
        <v>0</v>
      </c>
      <c r="AY10" s="36" t="s">
        <v>30</v>
      </c>
      <c r="AZ10" s="36">
        <f t="shared" si="17"/>
        <v>0</v>
      </c>
      <c r="BA10" s="36" t="s">
        <v>30</v>
      </c>
      <c r="BB10" s="36">
        <f t="shared" si="18"/>
        <v>0</v>
      </c>
      <c r="BC10" s="36">
        <f t="shared" si="19"/>
        <v>50</v>
      </c>
      <c r="BD10" s="39">
        <v>0</v>
      </c>
      <c r="BE10" s="39">
        <f t="shared" si="20"/>
        <v>0</v>
      </c>
      <c r="BG10" s="39">
        <f t="shared" si="20"/>
        <v>30</v>
      </c>
      <c r="BH10" s="40"/>
      <c r="BI10" s="39">
        <f t="shared" si="21"/>
        <v>30</v>
      </c>
      <c r="BJ10" s="40"/>
      <c r="BK10" s="39">
        <f t="shared" si="22"/>
        <v>30</v>
      </c>
      <c r="BL10" s="39">
        <v>0</v>
      </c>
      <c r="BM10" s="39">
        <f t="shared" si="22"/>
        <v>0</v>
      </c>
      <c r="BO10" s="39">
        <f t="shared" si="23"/>
        <v>30</v>
      </c>
      <c r="BQ10" s="39">
        <f t="shared" si="24"/>
        <v>30</v>
      </c>
      <c r="BS10" s="39">
        <f t="shared" si="25"/>
        <v>30</v>
      </c>
      <c r="BU10" s="39">
        <f t="shared" si="26"/>
        <v>30</v>
      </c>
      <c r="BW10" s="39">
        <f t="shared" si="27"/>
        <v>30</v>
      </c>
      <c r="BY10" s="39">
        <f t="shared" si="28"/>
        <v>30</v>
      </c>
      <c r="CA10" s="39">
        <f t="shared" si="29"/>
        <v>30</v>
      </c>
      <c r="CC10" s="39">
        <f t="shared" si="30"/>
        <v>30</v>
      </c>
      <c r="CF10" s="39">
        <f t="shared" si="31"/>
        <v>330</v>
      </c>
      <c r="CH10" s="41">
        <v>20</v>
      </c>
      <c r="CJ10" s="41">
        <v>80</v>
      </c>
      <c r="CK10" s="41">
        <f t="shared" si="32"/>
        <v>100</v>
      </c>
      <c r="CM10" s="43">
        <f t="shared" si="33"/>
        <v>1651.561885248567</v>
      </c>
      <c r="CN10" s="42">
        <f t="shared" si="34"/>
        <v>6</v>
      </c>
      <c r="CP10" s="47">
        <f t="shared" si="35"/>
        <v>6</v>
      </c>
      <c r="CQ10" s="10" t="str">
        <f t="shared" si="0"/>
        <v>Aleš Škerbinek</v>
      </c>
      <c r="CR10" s="10" t="str">
        <f t="shared" si="0"/>
        <v>Jan Gradišnik</v>
      </c>
      <c r="CS10" s="10" t="str">
        <f t="shared" si="1"/>
        <v>S5-DLC</v>
      </c>
      <c r="CT10" s="57">
        <f t="shared" si="37"/>
        <v>1050</v>
      </c>
      <c r="CU10" s="57">
        <f t="shared" si="38"/>
        <v>50</v>
      </c>
      <c r="CV10" s="57">
        <f t="shared" si="39"/>
        <v>290</v>
      </c>
      <c r="CW10" s="57">
        <f t="shared" si="40"/>
        <v>240</v>
      </c>
      <c r="CX10" s="57">
        <f t="shared" si="40"/>
        <v>0</v>
      </c>
      <c r="CY10" s="57">
        <f t="shared" si="41"/>
        <v>1630</v>
      </c>
      <c r="CZ10" s="58">
        <f t="shared" si="36"/>
        <v>3</v>
      </c>
    </row>
    <row r="11" spans="1:104" x14ac:dyDescent="0.2">
      <c r="A11">
        <v>8</v>
      </c>
      <c r="B11" t="s">
        <v>103</v>
      </c>
      <c r="C11" t="s">
        <v>104</v>
      </c>
      <c r="D11" t="s">
        <v>102</v>
      </c>
      <c r="E11">
        <v>80</v>
      </c>
      <c r="F11" s="38">
        <v>0.64583333333333337</v>
      </c>
      <c r="G11" s="38">
        <v>0.64606481481481481</v>
      </c>
      <c r="H11" s="37">
        <f>IF(IF(ABS((F11-G11)*3600*24)&gt;$H$1,(ABS((F11-G11)*3600*24)-5)*$K$2,0)&gt;150,150,IF(ABS((F11-G11)*3600*24)&gt;$H$1,(ABS((F11-G11)*3600*24)-5)*$K$2,0))</f>
        <v>0</v>
      </c>
      <c r="I11" s="38">
        <f>$F11+'TEKMOVALNI LIST'!C$8/60</f>
        <v>0.64861111111111114</v>
      </c>
      <c r="J11" s="38">
        <v>0.6485995370370371</v>
      </c>
      <c r="K11" s="37">
        <f t="shared" si="2"/>
        <v>0</v>
      </c>
      <c r="L11" s="38">
        <f>$F11+'TEKMOVALNI LIST'!F$9/60</f>
        <v>0.65178494279370047</v>
      </c>
      <c r="M11" s="38">
        <v>0.65268518518518526</v>
      </c>
      <c r="N11" s="45">
        <f t="shared" si="3"/>
        <v>145.56188524857077</v>
      </c>
      <c r="O11" s="38">
        <f>$F11+'TEKMOVALNI LIST'!F$10/60</f>
        <v>0.65497703727663814</v>
      </c>
      <c r="P11" s="38">
        <v>0.65616898148148151</v>
      </c>
      <c r="Q11" s="45">
        <f t="shared" si="4"/>
        <v>150</v>
      </c>
      <c r="R11" s="38">
        <f>$F11+'TEKMOVALNI LIST'!F$11/60</f>
        <v>0.65841898719316128</v>
      </c>
      <c r="S11" s="38">
        <v>0.66415509259259264</v>
      </c>
      <c r="T11" s="37">
        <f t="shared" si="5"/>
        <v>150</v>
      </c>
      <c r="U11" s="38">
        <f>$F11+'TEKMOVALNI LIST'!F$12/60</f>
        <v>0.66420938543995534</v>
      </c>
      <c r="V11" s="38">
        <v>0.66841435185185183</v>
      </c>
      <c r="W11" s="45">
        <f t="shared" si="6"/>
        <v>150</v>
      </c>
      <c r="X11" s="38">
        <f>$F11+'TEKMOVALNI LIST'!F$13/60</f>
        <v>0.6701311459915642</v>
      </c>
      <c r="Y11" s="38">
        <v>0.67180555555555566</v>
      </c>
      <c r="Z11" s="37">
        <f t="shared" si="7"/>
        <v>150</v>
      </c>
      <c r="AA11" s="38">
        <f>$F11+'TEKMOVALNI LIST'!F$14/60</f>
        <v>0.67310358818445526</v>
      </c>
      <c r="AB11" s="38">
        <v>0.67690972222222223</v>
      </c>
      <c r="AC11" s="45">
        <f t="shared" si="8"/>
        <v>150</v>
      </c>
      <c r="AD11" s="38">
        <f>$F11+'TEKMOVALNI LIST'!I$14/60</f>
        <v>0.64583333333333337</v>
      </c>
      <c r="AE11" s="38">
        <v>0.67690972222222223</v>
      </c>
      <c r="AF11" s="45">
        <f t="shared" si="9"/>
        <v>150</v>
      </c>
      <c r="AG11" s="38">
        <f>$F11+'TEKMOVALNI LIST'!F$16/60</f>
        <v>0.68616075445633617</v>
      </c>
      <c r="AH11" s="38">
        <v>0.68540509259259252</v>
      </c>
      <c r="AI11" s="37">
        <f t="shared" si="10"/>
        <v>120.57837005490285</v>
      </c>
      <c r="AJ11" s="62">
        <f t="shared" si="11"/>
        <v>1166.1402553034736</v>
      </c>
      <c r="AM11" s="36" t="s">
        <v>29</v>
      </c>
      <c r="AN11" s="36">
        <f t="shared" si="12"/>
        <v>0</v>
      </c>
      <c r="AO11" s="36" t="s">
        <v>30</v>
      </c>
      <c r="AP11" s="36">
        <f t="shared" si="13"/>
        <v>0</v>
      </c>
      <c r="AQ11" s="36" t="s">
        <v>29</v>
      </c>
      <c r="AR11" s="36">
        <f t="shared" si="14"/>
        <v>50</v>
      </c>
      <c r="AS11" s="36" t="s">
        <v>29</v>
      </c>
      <c r="AT11" s="36">
        <f t="shared" si="42"/>
        <v>0</v>
      </c>
      <c r="AU11" s="36" t="s">
        <v>30</v>
      </c>
      <c r="AV11" s="36">
        <f t="shared" si="15"/>
        <v>0</v>
      </c>
      <c r="AW11" s="36" t="s">
        <v>30</v>
      </c>
      <c r="AX11" s="36">
        <f t="shared" si="16"/>
        <v>0</v>
      </c>
      <c r="AY11" s="36" t="s">
        <v>30</v>
      </c>
      <c r="AZ11" s="36">
        <f t="shared" si="17"/>
        <v>0</v>
      </c>
      <c r="BA11" s="36" t="s">
        <v>30</v>
      </c>
      <c r="BB11" s="36">
        <f t="shared" si="18"/>
        <v>0</v>
      </c>
      <c r="BC11" s="36">
        <f t="shared" si="19"/>
        <v>50</v>
      </c>
      <c r="BE11" s="39">
        <f t="shared" si="20"/>
        <v>30</v>
      </c>
      <c r="BG11" s="39">
        <f t="shared" si="20"/>
        <v>30</v>
      </c>
      <c r="BH11" s="40"/>
      <c r="BI11" s="39">
        <f t="shared" si="21"/>
        <v>30</v>
      </c>
      <c r="BJ11" s="40"/>
      <c r="BK11" s="39">
        <f t="shared" si="22"/>
        <v>30</v>
      </c>
      <c r="BL11" s="39">
        <v>0</v>
      </c>
      <c r="BM11" s="39">
        <f t="shared" si="22"/>
        <v>0</v>
      </c>
      <c r="BO11" s="39">
        <f t="shared" si="23"/>
        <v>30</v>
      </c>
      <c r="BP11" s="39">
        <v>50</v>
      </c>
      <c r="BQ11" s="39">
        <f t="shared" si="24"/>
        <v>50</v>
      </c>
      <c r="BR11" s="39">
        <v>0</v>
      </c>
      <c r="BS11" s="39">
        <f t="shared" si="25"/>
        <v>0</v>
      </c>
      <c r="BT11" s="39">
        <v>0</v>
      </c>
      <c r="BU11" s="39">
        <f t="shared" si="26"/>
        <v>0</v>
      </c>
      <c r="BV11" s="39">
        <v>0</v>
      </c>
      <c r="BW11" s="39">
        <f t="shared" si="27"/>
        <v>0</v>
      </c>
      <c r="BY11" s="39">
        <f t="shared" si="28"/>
        <v>30</v>
      </c>
      <c r="CA11" s="39">
        <f t="shared" si="29"/>
        <v>30</v>
      </c>
      <c r="CC11" s="39">
        <f t="shared" si="30"/>
        <v>30</v>
      </c>
      <c r="CF11" s="39">
        <f t="shared" si="31"/>
        <v>290</v>
      </c>
      <c r="CH11" s="41">
        <v>200</v>
      </c>
      <c r="CJ11" s="41">
        <v>60</v>
      </c>
      <c r="CK11" s="41">
        <f t="shared" si="32"/>
        <v>260</v>
      </c>
      <c r="CM11" s="61">
        <f t="shared" si="33"/>
        <v>1766.1402553034736</v>
      </c>
      <c r="CN11" s="42">
        <f t="shared" si="34"/>
        <v>7</v>
      </c>
      <c r="CP11" s="47">
        <f t="shared" si="35"/>
        <v>7</v>
      </c>
      <c r="CQ11" s="10" t="str">
        <f t="shared" si="0"/>
        <v>Matic Knez</v>
      </c>
      <c r="CR11" s="10" t="str">
        <f t="shared" si="0"/>
        <v>Tim Lenarčič</v>
      </c>
      <c r="CS11" s="10" t="str">
        <f t="shared" si="1"/>
        <v>S5-DDC</v>
      </c>
      <c r="CT11" s="57">
        <f t="shared" si="37"/>
        <v>1171.561885248567</v>
      </c>
      <c r="CU11" s="57">
        <f t="shared" si="38"/>
        <v>50</v>
      </c>
      <c r="CV11" s="57">
        <f t="shared" si="39"/>
        <v>330</v>
      </c>
      <c r="CW11" s="57">
        <f t="shared" si="40"/>
        <v>100</v>
      </c>
      <c r="CX11" s="57">
        <f t="shared" si="40"/>
        <v>0</v>
      </c>
      <c r="CY11" s="57">
        <f t="shared" ref="CY11" si="43">SUM(CT11:CX11)</f>
        <v>1651.561885248567</v>
      </c>
      <c r="CZ11" s="58">
        <f t="shared" si="36"/>
        <v>6</v>
      </c>
    </row>
    <row r="12" spans="1:104" ht="17" thickBot="1" x14ac:dyDescent="0.25">
      <c r="CP12" s="48">
        <f t="shared" si="35"/>
        <v>8</v>
      </c>
      <c r="CQ12" s="49" t="str">
        <f t="shared" si="0"/>
        <v>Robi Resnik</v>
      </c>
      <c r="CR12" s="49" t="str">
        <f t="shared" si="0"/>
        <v>Marko Lepetič</v>
      </c>
      <c r="CS12" s="49" t="str">
        <f t="shared" si="1"/>
        <v>S5-DDC</v>
      </c>
      <c r="CT12" s="59">
        <f>AJ11</f>
        <v>1166.1402553034736</v>
      </c>
      <c r="CU12" s="59">
        <f>BC11</f>
        <v>50</v>
      </c>
      <c r="CV12" s="59">
        <f>CF11</f>
        <v>290</v>
      </c>
      <c r="CW12" s="59">
        <f>CK11</f>
        <v>260</v>
      </c>
      <c r="CX12" s="59">
        <f>CL11</f>
        <v>0</v>
      </c>
      <c r="CY12" s="59">
        <f>SUM(CT12:CX12)</f>
        <v>1766.1402553034736</v>
      </c>
      <c r="CZ12" s="60">
        <f t="shared" si="36"/>
        <v>7</v>
      </c>
    </row>
  </sheetData>
  <mergeCells count="1">
    <mergeCell ref="CQ4:CR4"/>
  </mergeCells>
  <conditionalFormatting sqref="CZ5:CZ12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25" right="0.25" top="0.75" bottom="0.75" header="0.3" footer="0.3"/>
  <pageSetup paperSize="9" scale="2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1552-A706-884D-9B44-8865E04CACD5}">
  <sheetPr>
    <pageSetUpPr fitToPage="1"/>
  </sheetPr>
  <dimension ref="A1:J24"/>
  <sheetViews>
    <sheetView workbookViewId="0">
      <selection activeCell="B15" sqref="B15"/>
    </sheetView>
  </sheetViews>
  <sheetFormatPr baseColWidth="10" defaultColWidth="10.83203125" defaultRowHeight="21" x14ac:dyDescent="0.25"/>
  <cols>
    <col min="1" max="1" width="10.83203125" style="2" customWidth="1"/>
    <col min="2" max="2" width="65.33203125" style="3" bestFit="1" customWidth="1"/>
    <col min="3" max="3" width="11" style="3" customWidth="1"/>
    <col min="4" max="7" width="10.83203125" style="2"/>
    <col min="8" max="8" width="10.83203125" style="2" customWidth="1"/>
    <col min="9" max="16384" width="10.83203125" style="2"/>
  </cols>
  <sheetData>
    <row r="1" spans="1:8" x14ac:dyDescent="0.25">
      <c r="A1" s="79" t="s">
        <v>167</v>
      </c>
      <c r="B1" s="79"/>
      <c r="C1" s="79"/>
      <c r="D1" s="79"/>
      <c r="E1" s="79"/>
      <c r="F1" s="79"/>
      <c r="G1" s="79"/>
      <c r="H1" s="79"/>
    </row>
    <row r="2" spans="1:8" x14ac:dyDescent="0.25">
      <c r="A2" s="13"/>
      <c r="B2" s="13"/>
      <c r="C2" s="13"/>
      <c r="D2" s="13"/>
      <c r="E2" s="13"/>
      <c r="F2" s="13"/>
      <c r="G2" s="13"/>
      <c r="H2" s="13"/>
    </row>
    <row r="3" spans="1:8" x14ac:dyDescent="0.25">
      <c r="A3" s="80" t="s">
        <v>3</v>
      </c>
      <c r="B3" s="80"/>
      <c r="C3" s="13"/>
      <c r="D3" s="13"/>
      <c r="E3" s="13"/>
      <c r="F3" s="13"/>
      <c r="G3" s="13"/>
      <c r="H3" s="13"/>
    </row>
    <row r="5" spans="1:8" x14ac:dyDescent="0.25">
      <c r="C5" s="78" t="s">
        <v>4</v>
      </c>
      <c r="D5" s="78"/>
      <c r="E5" s="78"/>
      <c r="F5" s="78"/>
      <c r="G5" s="78"/>
      <c r="H5" s="78"/>
    </row>
    <row r="6" spans="1:8" s="7" customFormat="1" ht="45" customHeight="1" x14ac:dyDescent="0.2">
      <c r="A6" s="5" t="s">
        <v>5</v>
      </c>
      <c r="B6" s="6" t="s">
        <v>6</v>
      </c>
      <c r="C6" s="8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8" s="7" customFormat="1" ht="45" customHeight="1" x14ac:dyDescent="0.2">
      <c r="A7" s="4" t="s">
        <v>171</v>
      </c>
      <c r="B7" s="6" t="s">
        <v>172</v>
      </c>
      <c r="C7" s="66">
        <v>0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</row>
    <row r="8" spans="1:8" s="7" customFormat="1" ht="45" customHeight="1" x14ac:dyDescent="0.2">
      <c r="A8" s="4" t="s">
        <v>13</v>
      </c>
      <c r="B8" s="6" t="str">
        <f>formule!A2</f>
        <v>Cerkev sv. Štefana, Dokležovje</v>
      </c>
      <c r="C8" s="12">
        <f>formule!P2</f>
        <v>0.16666666666666666</v>
      </c>
      <c r="D8" s="12">
        <f>formule!Q2</f>
        <v>0.16666666666666666</v>
      </c>
      <c r="E8" s="12">
        <f>formule!R2</f>
        <v>0.16666666666666666</v>
      </c>
      <c r="F8" s="12">
        <f>formule!S2</f>
        <v>0.16666666666666666</v>
      </c>
      <c r="G8" s="12">
        <f>formule!T2</f>
        <v>0.16666666666666666</v>
      </c>
      <c r="H8" s="12">
        <f>formule!V2</f>
        <v>0.16666666666666666</v>
      </c>
    </row>
    <row r="9" spans="1:8" s="7" customFormat="1" ht="45" customHeight="1" x14ac:dyDescent="0.2">
      <c r="A9" s="4" t="s">
        <v>14</v>
      </c>
      <c r="B9" s="6" t="str">
        <f>formule!A3</f>
        <v>Železniška postaja Mekotnjak, južno od Ljutomera</v>
      </c>
      <c r="C9" s="12">
        <f>formule!P3</f>
        <v>0.40104192938095384</v>
      </c>
      <c r="D9" s="12">
        <f>formule!Q3</f>
        <v>0.38430083918707619</v>
      </c>
      <c r="E9" s="12">
        <f>formule!R3</f>
        <v>0.36979189435238224</v>
      </c>
      <c r="F9" s="12">
        <f>formule!S3</f>
        <v>0.35709656762202502</v>
      </c>
      <c r="G9" s="12">
        <f>formule!T3</f>
        <v>0.34589480874229805</v>
      </c>
      <c r="H9" s="12">
        <f>formule!V3</f>
        <v>0.40046889459804735</v>
      </c>
    </row>
    <row r="10" spans="1:8" s="7" customFormat="1" ht="45" customHeight="1" x14ac:dyDescent="0.2">
      <c r="A10" s="4" t="s">
        <v>15</v>
      </c>
      <c r="B10" s="6" t="str">
        <f>formule!A4</f>
        <v>Odcep ceste 712 proti Moravcem v Slov. goricah </v>
      </c>
      <c r="C10" s="12">
        <f>formule!P4</f>
        <v>0.63676582965942741</v>
      </c>
      <c r="D10" s="12">
        <f>formule!Q4</f>
        <v>0.60318731801708747</v>
      </c>
      <c r="E10" s="12">
        <f>formule!R4</f>
        <v>0.5740859412603927</v>
      </c>
      <c r="F10" s="12">
        <f>formule!S4</f>
        <v>0.5486222365982848</v>
      </c>
      <c r="G10" s="12">
        <f>formule!T4</f>
        <v>0.52615426189642489</v>
      </c>
      <c r="H10" s="12">
        <f>formule!V4</f>
        <v>0.63561646274804628</v>
      </c>
    </row>
    <row r="11" spans="1:8" s="7" customFormat="1" ht="45" customHeight="1" x14ac:dyDescent="0.2">
      <c r="A11" s="4" t="s">
        <v>16</v>
      </c>
      <c r="B11" s="6" t="str">
        <f>formule!A5</f>
        <v>Prehod ceste čez železniško progo v smeri 178 od Petanjci in 260 od LJMS</v>
      </c>
      <c r="C11" s="12">
        <f>formule!P5</f>
        <v>0.89094059272575055</v>
      </c>
      <c r="D11" s="12">
        <f>formule!Q5</f>
        <v>0.83920674086438762</v>
      </c>
      <c r="E11" s="12">
        <f>formule!R5</f>
        <v>0.79437073591787277</v>
      </c>
      <c r="F11" s="12">
        <f>formule!S5</f>
        <v>0.75513923158967233</v>
      </c>
      <c r="G11" s="12">
        <f>formule!T5</f>
        <v>0.72052319835890732</v>
      </c>
      <c r="H11" s="12">
        <f>formule!V5</f>
        <v>0.88916978232887856</v>
      </c>
    </row>
    <row r="12" spans="1:8" s="7" customFormat="1" ht="45" customHeight="1" x14ac:dyDescent="0.2">
      <c r="A12" s="4" t="s">
        <v>17</v>
      </c>
      <c r="B12" s="6" t="str">
        <f>formule!A6</f>
        <v>Cerkev Sv Jurij/Rogašovci</v>
      </c>
      <c r="C12" s="12">
        <f>formule!P6</f>
        <v>1.3185392324890037</v>
      </c>
      <c r="D12" s="12">
        <f>formule!Q6</f>
        <v>1.2362626206445513</v>
      </c>
      <c r="E12" s="12">
        <f>formule!R6</f>
        <v>1.1649562237126923</v>
      </c>
      <c r="F12" s="12">
        <f>formule!S6</f>
        <v>1.1025631263973157</v>
      </c>
      <c r="G12" s="12">
        <f>formule!T6</f>
        <v>1.0475103934719834</v>
      </c>
      <c r="H12" s="12">
        <f>formule!V6</f>
        <v>1.3157229666508443</v>
      </c>
    </row>
    <row r="13" spans="1:8" s="7" customFormat="1" ht="45" customHeight="1" x14ac:dyDescent="0.2">
      <c r="A13" s="4" t="s">
        <v>18</v>
      </c>
      <c r="B13" s="6" t="str">
        <f>formule!A7</f>
        <v>vodno zajetje v smeri 315 od vasi Hodoš</v>
      </c>
      <c r="C13" s="12">
        <f>formule!P7</f>
        <v>1.7558384732231971</v>
      </c>
      <c r="D13" s="12">
        <f>formule!Q7</f>
        <v>1.6423262013263022</v>
      </c>
      <c r="E13" s="12">
        <f>formule!R7</f>
        <v>1.5439488990156598</v>
      </c>
      <c r="F13" s="12">
        <f>formule!S7</f>
        <v>1.4578687594938478</v>
      </c>
      <c r="G13" s="12">
        <f>formule!T7</f>
        <v>1.3819156952098959</v>
      </c>
      <c r="H13" s="12">
        <f>formule!V7</f>
        <v>1.7519530345014438</v>
      </c>
    </row>
    <row r="14" spans="1:8" s="7" customFormat="1" ht="45" customHeight="1" x14ac:dyDescent="0.2">
      <c r="A14" s="4" t="s">
        <v>19</v>
      </c>
      <c r="B14" s="6" t="str">
        <f>formule!A8</f>
        <v>Vrh griča pri Kuštanovcih (393m/1289ft)</v>
      </c>
      <c r="C14" s="12">
        <f>formule!P8</f>
        <v>1.9753418966982319</v>
      </c>
      <c r="D14" s="12">
        <f>formule!Q8</f>
        <v>1.8461508088388345</v>
      </c>
      <c r="E14" s="12">
        <f>formule!R8</f>
        <v>1.73418519936069</v>
      </c>
      <c r="F14" s="12">
        <f>formule!S8</f>
        <v>1.6362152910673136</v>
      </c>
      <c r="G14" s="12">
        <f>formule!T8</f>
        <v>1.5497712543378637</v>
      </c>
      <c r="H14" s="12">
        <f>formule!V8</f>
        <v>1.970919784032473</v>
      </c>
    </row>
    <row r="15" spans="1:8" s="7" customFormat="1" ht="45" customHeight="1" x14ac:dyDescent="0.2">
      <c r="A15" s="4" t="s">
        <v>166</v>
      </c>
      <c r="B15" s="6" t="str">
        <f>formule!A9</f>
        <v xml:space="preserve">Pokopališče na sredini poti med Doljn Lakoš in Gornji Lakoš </v>
      </c>
      <c r="C15" s="12">
        <f>formule!P9</f>
        <v>2.6035794300815138</v>
      </c>
      <c r="D15" s="12">
        <f>formule!Q9</f>
        <v>2.4295142326947392</v>
      </c>
      <c r="E15" s="12">
        <f>formule!R9</f>
        <v>2.2786577282928677</v>
      </c>
      <c r="F15" s="12">
        <f>formule!S9</f>
        <v>2.1466582869412303</v>
      </c>
      <c r="G15" s="12">
        <f>formule!T9</f>
        <v>2.0301881916309616</v>
      </c>
      <c r="H15" s="12">
        <f>formule!V9</f>
        <v>2.5976213107809811</v>
      </c>
    </row>
    <row r="16" spans="1:8" s="7" customFormat="1" ht="45" customHeight="1" x14ac:dyDescent="0.2">
      <c r="A16" s="4" t="s">
        <v>20</v>
      </c>
      <c r="B16" s="6" t="str">
        <f>formule!A10</f>
        <v>Odcep glavne ceste v Beltinci proti Gančani </v>
      </c>
      <c r="C16" s="12">
        <f>formule!P10</f>
        <v>2.939563406006358</v>
      </c>
      <c r="D16" s="12">
        <f>formule!Q10</f>
        <v>2.7414993531963803</v>
      </c>
      <c r="E16" s="12">
        <f>formule!R10</f>
        <v>2.5698438407610662</v>
      </c>
      <c r="F16" s="12">
        <f>formule!S10</f>
        <v>2.4196452673801661</v>
      </c>
      <c r="G16" s="12">
        <f>formule!T10</f>
        <v>2.2871171143970188</v>
      </c>
      <c r="H16" s="12">
        <f>formule!V10</f>
        <v>2.9327838241398769</v>
      </c>
    </row>
    <row r="17" spans="1:10" x14ac:dyDescent="0.25">
      <c r="D17" s="1"/>
      <c r="E17" s="1"/>
      <c r="F17" s="1"/>
      <c r="G17" s="1"/>
      <c r="J17" s="7"/>
    </row>
    <row r="18" spans="1:10" x14ac:dyDescent="0.25">
      <c r="A18" s="2" t="s">
        <v>159</v>
      </c>
    </row>
    <row r="20" spans="1:10" x14ac:dyDescent="0.25">
      <c r="A20" s="2" t="s">
        <v>158</v>
      </c>
    </row>
    <row r="21" spans="1:10" x14ac:dyDescent="0.25">
      <c r="B21" s="35"/>
      <c r="C21" s="35"/>
      <c r="D21" s="34"/>
      <c r="E21" s="34"/>
      <c r="F21" s="34"/>
    </row>
    <row r="22" spans="1:10" x14ac:dyDescent="0.25">
      <c r="A22" s="2" t="s">
        <v>160</v>
      </c>
    </row>
    <row r="24" spans="1:10" x14ac:dyDescent="0.25">
      <c r="A24" s="34"/>
    </row>
  </sheetData>
  <mergeCells count="3">
    <mergeCell ref="C5:H5"/>
    <mergeCell ref="A1:H1"/>
    <mergeCell ref="A3:B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C4E5-5342-CA4C-94E2-D96BA869D74F}">
  <sheetPr>
    <pageSetUpPr fitToPage="1"/>
  </sheetPr>
  <dimension ref="A1:J23"/>
  <sheetViews>
    <sheetView workbookViewId="0">
      <selection activeCell="A21" sqref="A21"/>
    </sheetView>
  </sheetViews>
  <sheetFormatPr baseColWidth="10" defaultColWidth="10.83203125" defaultRowHeight="21" x14ac:dyDescent="0.25"/>
  <cols>
    <col min="1" max="1" width="10.83203125" style="2" customWidth="1"/>
    <col min="2" max="2" width="65.33203125" style="3" bestFit="1" customWidth="1"/>
    <col min="3" max="3" width="11" style="3" customWidth="1"/>
    <col min="4" max="7" width="10.83203125" style="2"/>
    <col min="8" max="8" width="10.83203125" style="2" customWidth="1"/>
    <col min="9" max="16384" width="10.83203125" style="2"/>
  </cols>
  <sheetData>
    <row r="1" spans="1:10" x14ac:dyDescent="0.25">
      <c r="A1" s="79" t="s">
        <v>167</v>
      </c>
      <c r="B1" s="79"/>
      <c r="C1" s="79"/>
      <c r="D1" s="79"/>
      <c r="E1" s="79"/>
      <c r="F1" s="79"/>
      <c r="G1" s="79"/>
      <c r="H1" s="79"/>
    </row>
    <row r="2" spans="1:10" x14ac:dyDescent="0.25">
      <c r="A2" s="13"/>
      <c r="B2" s="13"/>
      <c r="C2" s="13"/>
      <c r="D2" s="13"/>
      <c r="E2" s="13"/>
      <c r="F2" s="13"/>
      <c r="G2" s="13"/>
      <c r="H2" s="13"/>
    </row>
    <row r="3" spans="1:10" x14ac:dyDescent="0.25">
      <c r="A3" s="80" t="s">
        <v>3</v>
      </c>
      <c r="B3" s="80"/>
      <c r="C3" s="13"/>
      <c r="D3" s="13"/>
      <c r="E3" s="13"/>
      <c r="F3" s="13"/>
      <c r="G3" s="13"/>
      <c r="H3" s="13"/>
    </row>
    <row r="5" spans="1:10" x14ac:dyDescent="0.25">
      <c r="C5" s="78" t="s">
        <v>4</v>
      </c>
      <c r="D5" s="78"/>
      <c r="E5" s="78"/>
      <c r="F5" s="78"/>
      <c r="G5" s="78"/>
      <c r="H5" s="78"/>
    </row>
    <row r="6" spans="1:10" s="7" customFormat="1" ht="45" customHeight="1" x14ac:dyDescent="0.2">
      <c r="A6" s="5" t="s">
        <v>5</v>
      </c>
      <c r="B6" s="6" t="s">
        <v>6</v>
      </c>
      <c r="C6" s="8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10" s="7" customFormat="1" ht="45" customHeight="1" x14ac:dyDescent="0.2">
      <c r="A7" s="4" t="s">
        <v>13</v>
      </c>
      <c r="B7" s="6" t="str">
        <f>formule!A2</f>
        <v>Cerkev sv. Štefana, Dokležovje</v>
      </c>
      <c r="C7" s="12"/>
      <c r="D7" s="12"/>
      <c r="E7" s="12"/>
      <c r="F7" s="12"/>
      <c r="G7" s="12"/>
      <c r="H7" s="12"/>
    </row>
    <row r="8" spans="1:10" s="7" customFormat="1" ht="45" customHeight="1" x14ac:dyDescent="0.2">
      <c r="A8" s="4" t="s">
        <v>14</v>
      </c>
      <c r="B8" s="6" t="str">
        <f>formule!A3</f>
        <v>Železniška postaja Mekotnjak, južno od Ljutomera</v>
      </c>
      <c r="C8" s="12"/>
      <c r="D8" s="12"/>
      <c r="E8" s="12"/>
      <c r="F8" s="12"/>
      <c r="G8" s="12"/>
      <c r="H8" s="12"/>
    </row>
    <row r="9" spans="1:10" s="7" customFormat="1" ht="45" customHeight="1" x14ac:dyDescent="0.2">
      <c r="A9" s="4" t="s">
        <v>15</v>
      </c>
      <c r="B9" s="6" t="str">
        <f>formule!A4</f>
        <v>Odcep ceste 712 proti Moravcem v Slov. goricah </v>
      </c>
      <c r="C9" s="12"/>
      <c r="D9" s="12"/>
      <c r="E9" s="12"/>
      <c r="F9" s="12"/>
      <c r="G9" s="12"/>
      <c r="H9" s="12"/>
    </row>
    <row r="10" spans="1:10" s="7" customFormat="1" ht="45" customHeight="1" x14ac:dyDescent="0.2">
      <c r="A10" s="4" t="s">
        <v>16</v>
      </c>
      <c r="B10" s="6" t="str">
        <f>formule!A5</f>
        <v>Prehod ceste čez železniško progo v smeri 178 od Petanjci in 260 od LJMS</v>
      </c>
      <c r="C10" s="12"/>
      <c r="D10" s="12"/>
      <c r="E10" s="12"/>
      <c r="F10" s="12"/>
      <c r="G10" s="12"/>
      <c r="H10" s="12"/>
    </row>
    <row r="11" spans="1:10" s="7" customFormat="1" ht="45" customHeight="1" x14ac:dyDescent="0.2">
      <c r="A11" s="4" t="s">
        <v>17</v>
      </c>
      <c r="B11" s="6" t="str">
        <f>formule!A6</f>
        <v>Cerkev Sv Jurij/Rogašovci</v>
      </c>
      <c r="C11" s="12"/>
      <c r="D11" s="12"/>
      <c r="E11" s="12"/>
      <c r="F11" s="12"/>
      <c r="G11" s="12"/>
      <c r="H11" s="12"/>
    </row>
    <row r="12" spans="1:10" s="7" customFormat="1" ht="45" customHeight="1" x14ac:dyDescent="0.2">
      <c r="A12" s="4" t="s">
        <v>18</v>
      </c>
      <c r="B12" s="6" t="str">
        <f>formule!A7</f>
        <v>vodno zajetje v smeri 315 od vasi Hodoš</v>
      </c>
      <c r="C12" s="12"/>
      <c r="D12" s="12"/>
      <c r="E12" s="12"/>
      <c r="F12" s="12"/>
      <c r="G12" s="12"/>
      <c r="H12" s="12"/>
    </row>
    <row r="13" spans="1:10" s="7" customFormat="1" ht="45" customHeight="1" x14ac:dyDescent="0.2">
      <c r="A13" s="4" t="s">
        <v>19</v>
      </c>
      <c r="B13" s="6" t="str">
        <f>formule!A8</f>
        <v>Vrh griča pri Kuštanovcih (393m/1289ft)</v>
      </c>
      <c r="C13" s="12"/>
      <c r="D13" s="12"/>
      <c r="E13" s="12"/>
      <c r="F13" s="12"/>
      <c r="G13" s="12"/>
      <c r="H13" s="12"/>
    </row>
    <row r="14" spans="1:10" s="7" customFormat="1" ht="45" customHeight="1" x14ac:dyDescent="0.2">
      <c r="A14" s="4" t="s">
        <v>166</v>
      </c>
      <c r="B14" s="6" t="str">
        <f>formule!A9</f>
        <v xml:space="preserve">Pokopališče na sredini poti med Doljn Lakoš in Gornji Lakoš </v>
      </c>
      <c r="C14" s="12"/>
      <c r="D14" s="12"/>
      <c r="E14" s="12"/>
      <c r="F14" s="12"/>
      <c r="G14" s="12"/>
      <c r="H14" s="12"/>
    </row>
    <row r="15" spans="1:10" s="7" customFormat="1" ht="45" customHeight="1" x14ac:dyDescent="0.2">
      <c r="A15" s="4" t="s">
        <v>20</v>
      </c>
      <c r="B15" s="6" t="str">
        <f>formule!A10</f>
        <v>Odcep glavne ceste v Beltinci proti Gančani </v>
      </c>
      <c r="C15" s="12"/>
      <c r="D15" s="12"/>
      <c r="E15" s="12"/>
      <c r="F15" s="12"/>
      <c r="G15" s="12"/>
      <c r="H15" s="12"/>
    </row>
    <row r="16" spans="1:10" x14ac:dyDescent="0.25">
      <c r="D16" s="1"/>
      <c r="E16" s="1"/>
      <c r="F16" s="1"/>
      <c r="G16" s="1"/>
      <c r="J16" s="7"/>
    </row>
    <row r="17" spans="1:6" x14ac:dyDescent="0.25">
      <c r="A17" s="2" t="s">
        <v>159</v>
      </c>
    </row>
    <row r="19" spans="1:6" x14ac:dyDescent="0.25">
      <c r="A19" s="2" t="s">
        <v>158</v>
      </c>
    </row>
    <row r="20" spans="1:6" x14ac:dyDescent="0.25">
      <c r="B20" s="35"/>
      <c r="C20" s="35"/>
      <c r="D20" s="34"/>
      <c r="E20" s="34"/>
      <c r="F20" s="34"/>
    </row>
    <row r="21" spans="1:6" x14ac:dyDescent="0.25">
      <c r="A21" s="2" t="s">
        <v>160</v>
      </c>
    </row>
    <row r="23" spans="1:6" x14ac:dyDescent="0.25">
      <c r="A23" s="34"/>
    </row>
  </sheetData>
  <mergeCells count="3">
    <mergeCell ref="A1:H1"/>
    <mergeCell ref="A3:B3"/>
    <mergeCell ref="C5:H5"/>
  </mergeCells>
  <pageMargins left="0.70866141732283472" right="0.70866141732283472" top="0.74803149606299213" bottom="0.74803149606299213" header="0.31496062992125984" footer="0.31496062992125984"/>
  <pageSetup paperSize="9" scale="6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0FD6-B4CC-D14A-81A9-F396B417CD8E}">
  <sheetPr>
    <pageSetUpPr fitToPage="1"/>
  </sheetPr>
  <dimension ref="A1:CZ12"/>
  <sheetViews>
    <sheetView workbookViewId="0">
      <pane xSplit="5" ySplit="3" topLeftCell="BO4" activePane="bottomRight" state="frozen"/>
      <selection pane="topRight" activeCell="F1" sqref="F1"/>
      <selection pane="bottomLeft" activeCell="A4" sqref="A4"/>
      <selection pane="bottomRight" activeCell="CM4" sqref="CM4"/>
    </sheetView>
  </sheetViews>
  <sheetFormatPr baseColWidth="10" defaultColWidth="11" defaultRowHeight="16" x14ac:dyDescent="0.2"/>
  <cols>
    <col min="1" max="1" width="5" customWidth="1"/>
    <col min="2" max="2" width="13" bestFit="1" customWidth="1"/>
    <col min="3" max="3" width="13.83203125" bestFit="1" customWidth="1"/>
    <col min="4" max="4" width="7.6640625" bestFit="1" customWidth="1"/>
    <col min="5" max="5" width="8.33203125" bestFit="1" customWidth="1"/>
    <col min="6" max="7" width="8.1640625" style="37" bestFit="1" customWidth="1"/>
    <col min="8" max="8" width="5.83203125" style="37" bestFit="1" customWidth="1"/>
    <col min="9" max="10" width="8.1640625" style="37" bestFit="1" customWidth="1"/>
    <col min="11" max="11" width="5.83203125" style="37" bestFit="1" customWidth="1"/>
    <col min="12" max="13" width="8.1640625" style="37" bestFit="1" customWidth="1"/>
    <col min="14" max="14" width="5.83203125" style="37" bestFit="1" customWidth="1"/>
    <col min="15" max="16" width="8.1640625" style="37" bestFit="1" customWidth="1"/>
    <col min="17" max="17" width="5.83203125" style="37" bestFit="1" customWidth="1"/>
    <col min="18" max="19" width="8.1640625" style="37" bestFit="1" customWidth="1"/>
    <col min="20" max="20" width="5.83203125" style="37" bestFit="1" customWidth="1"/>
    <col min="21" max="22" width="8.1640625" style="37" bestFit="1" customWidth="1"/>
    <col min="23" max="23" width="5.83203125" style="37" bestFit="1" customWidth="1"/>
    <col min="24" max="25" width="8.1640625" style="37" bestFit="1" customWidth="1"/>
    <col min="26" max="26" width="12.1640625" style="37" bestFit="1" customWidth="1"/>
    <col min="27" max="28" width="8.1640625" style="37" bestFit="1" customWidth="1"/>
    <col min="29" max="29" width="12.1640625" style="37" bestFit="1" customWidth="1"/>
    <col min="30" max="32" width="12.1640625" style="37" customWidth="1"/>
    <col min="33" max="34" width="8.1640625" style="37" bestFit="1" customWidth="1"/>
    <col min="35" max="35" width="5.83203125" style="37" bestFit="1" customWidth="1"/>
    <col min="36" max="36" width="8.1640625" style="37" bestFit="1" customWidth="1"/>
    <col min="37" max="37" width="3.1640625" style="36" bestFit="1" customWidth="1"/>
    <col min="38" max="38" width="5.83203125" style="36" bestFit="1" customWidth="1"/>
    <col min="39" max="39" width="4.1640625" style="36" bestFit="1" customWidth="1"/>
    <col min="40" max="40" width="5.83203125" style="36" bestFit="1" customWidth="1"/>
    <col min="41" max="41" width="4.1640625" style="36" bestFit="1" customWidth="1"/>
    <col min="42" max="42" width="5.83203125" style="36" bestFit="1" customWidth="1"/>
    <col min="43" max="43" width="4.1640625" style="36" bestFit="1" customWidth="1"/>
    <col min="44" max="44" width="5.83203125" style="36" bestFit="1" customWidth="1"/>
    <col min="45" max="45" width="4.1640625" style="36" bestFit="1" customWidth="1"/>
    <col min="46" max="46" width="5.83203125" style="36" bestFit="1" customWidth="1"/>
    <col min="47" max="47" width="4.1640625" style="36" bestFit="1" customWidth="1"/>
    <col min="48" max="48" width="5.83203125" style="36" bestFit="1" customWidth="1"/>
    <col min="49" max="49" width="4.1640625" style="36" bestFit="1" customWidth="1"/>
    <col min="50" max="50" width="5.83203125" style="36" bestFit="1" customWidth="1"/>
    <col min="51" max="51" width="4.1640625" style="36" bestFit="1" customWidth="1"/>
    <col min="52" max="52" width="5.83203125" style="36" bestFit="1" customWidth="1"/>
    <col min="53" max="53" width="3.83203125" style="36" bestFit="1" customWidth="1"/>
    <col min="54" max="54" width="5.83203125" style="36" bestFit="1" customWidth="1"/>
    <col min="55" max="55" width="5.1640625" style="36" bestFit="1" customWidth="1"/>
    <col min="56" max="56" width="3.1640625" style="39" bestFit="1" customWidth="1"/>
    <col min="57" max="57" width="5.83203125" style="39" bestFit="1" customWidth="1"/>
    <col min="58" max="58" width="3.1640625" style="39" bestFit="1" customWidth="1"/>
    <col min="59" max="59" width="5.83203125" style="39" bestFit="1" customWidth="1"/>
    <col min="60" max="60" width="3.1640625" style="39" bestFit="1" customWidth="1"/>
    <col min="61" max="61" width="5.83203125" style="39" bestFit="1" customWidth="1"/>
    <col min="62" max="62" width="3.1640625" style="39" bestFit="1" customWidth="1"/>
    <col min="63" max="63" width="5.83203125" style="39" bestFit="1" customWidth="1"/>
    <col min="64" max="64" width="3.1640625" style="39" bestFit="1" customWidth="1"/>
    <col min="65" max="65" width="5.83203125" style="39" bestFit="1" customWidth="1"/>
    <col min="66" max="66" width="3.1640625" style="39" bestFit="1" customWidth="1"/>
    <col min="67" max="67" width="5.83203125" style="39" bestFit="1" customWidth="1"/>
    <col min="68" max="68" width="3.1640625" style="39" bestFit="1" customWidth="1"/>
    <col min="69" max="69" width="5.83203125" style="39" bestFit="1" customWidth="1"/>
    <col min="70" max="70" width="3.1640625" style="39" bestFit="1" customWidth="1"/>
    <col min="71" max="71" width="5.83203125" style="39" bestFit="1" customWidth="1"/>
    <col min="72" max="72" width="3.1640625" style="39" bestFit="1" customWidth="1"/>
    <col min="73" max="73" width="5.83203125" style="39" bestFit="1" customWidth="1"/>
    <col min="74" max="74" width="4.1640625" style="39" bestFit="1" customWidth="1"/>
    <col min="75" max="75" width="5.83203125" style="39" bestFit="1" customWidth="1"/>
    <col min="76" max="76" width="4.1640625" style="39" bestFit="1" customWidth="1"/>
    <col min="77" max="77" width="5.83203125" style="39" bestFit="1" customWidth="1"/>
    <col min="78" max="78" width="4.1640625" style="39" bestFit="1" customWidth="1"/>
    <col min="79" max="79" width="5.83203125" style="39" bestFit="1" customWidth="1"/>
    <col min="80" max="80" width="4.1640625" style="39" bestFit="1" customWidth="1"/>
    <col min="81" max="81" width="5.83203125" style="39" bestFit="1" customWidth="1"/>
    <col min="82" max="82" width="3.1640625" style="39" bestFit="1" customWidth="1"/>
    <col min="83" max="83" width="5.83203125" style="39" bestFit="1" customWidth="1"/>
    <col min="84" max="84" width="5.1640625" style="39" bestFit="1" customWidth="1"/>
    <col min="85" max="85" width="10.83203125" style="41" bestFit="1" customWidth="1"/>
    <col min="86" max="88" width="6" style="41" bestFit="1" customWidth="1"/>
    <col min="89" max="89" width="5.1640625" style="41" bestFit="1" customWidth="1"/>
    <col min="90" max="90" width="5.5" style="46" bestFit="1" customWidth="1"/>
    <col min="91" max="91" width="7.33203125" style="42" bestFit="1" customWidth="1"/>
    <col min="92" max="92" width="6.33203125" style="42" bestFit="1" customWidth="1"/>
    <col min="94" max="94" width="30" bestFit="1" customWidth="1"/>
    <col min="95" max="95" width="17.33203125" bestFit="1" customWidth="1"/>
    <col min="96" max="96" width="13.83203125" bestFit="1" customWidth="1"/>
    <col min="97" max="97" width="7.6640625" bestFit="1" customWidth="1"/>
    <col min="98" max="98" width="11.1640625" bestFit="1" customWidth="1"/>
    <col min="99" max="99" width="13.1640625" bestFit="1" customWidth="1"/>
    <col min="100" max="100" width="10.1640625" bestFit="1" customWidth="1"/>
    <col min="101" max="101" width="9.83203125" bestFit="1" customWidth="1"/>
    <col min="102" max="102" width="5.6640625" bestFit="1" customWidth="1"/>
    <col min="103" max="103" width="6.6640625" bestFit="1" customWidth="1"/>
    <col min="104" max="104" width="6" bestFit="1" customWidth="1"/>
  </cols>
  <sheetData>
    <row r="1" spans="1:104" x14ac:dyDescent="0.2">
      <c r="A1" t="s">
        <v>28</v>
      </c>
      <c r="H1" s="37">
        <v>60.1</v>
      </c>
      <c r="K1" s="37">
        <v>5.01</v>
      </c>
      <c r="N1" s="37">
        <v>5.01</v>
      </c>
      <c r="Q1" s="37">
        <v>5.01</v>
      </c>
      <c r="T1" s="37">
        <v>5.01</v>
      </c>
      <c r="W1" s="37">
        <v>5.01</v>
      </c>
      <c r="Z1" s="37">
        <v>5.01</v>
      </c>
      <c r="AC1" s="37">
        <v>5.01</v>
      </c>
      <c r="AF1" s="37">
        <v>5.01</v>
      </c>
      <c r="AI1" s="37">
        <v>5.01</v>
      </c>
      <c r="AM1" s="44" t="s">
        <v>29</v>
      </c>
      <c r="AN1" s="44"/>
      <c r="AO1" s="44" t="s">
        <v>30</v>
      </c>
      <c r="AP1" s="44"/>
      <c r="AQ1" s="44" t="s">
        <v>30</v>
      </c>
      <c r="AR1" s="44"/>
      <c r="AS1" s="44" t="s">
        <v>29</v>
      </c>
      <c r="AT1" s="44"/>
      <c r="AU1" s="44" t="s">
        <v>30</v>
      </c>
      <c r="AV1" s="44"/>
      <c r="AW1" s="44" t="s">
        <v>30</v>
      </c>
      <c r="AX1" s="44"/>
      <c r="AY1" s="44" t="s">
        <v>30</v>
      </c>
      <c r="AZ1" s="44"/>
      <c r="BA1" s="44" t="s">
        <v>30</v>
      </c>
      <c r="CP1" s="14" t="str">
        <f>A1</f>
        <v>REZULTATI "TOČEN V NULO 2022"</v>
      </c>
    </row>
    <row r="2" spans="1:104" x14ac:dyDescent="0.2">
      <c r="H2" s="37">
        <v>2</v>
      </c>
      <c r="K2" s="37">
        <v>2</v>
      </c>
      <c r="N2" s="37">
        <v>2</v>
      </c>
      <c r="Q2" s="37">
        <v>2</v>
      </c>
      <c r="T2" s="37">
        <v>2</v>
      </c>
      <c r="W2" s="37">
        <v>2</v>
      </c>
      <c r="Z2" s="37">
        <v>2</v>
      </c>
      <c r="AC2" s="37">
        <v>2</v>
      </c>
      <c r="AF2" s="37">
        <v>2</v>
      </c>
      <c r="AI2" s="37">
        <v>2</v>
      </c>
      <c r="AK2" s="36">
        <v>50</v>
      </c>
      <c r="AM2" s="36">
        <v>50</v>
      </c>
      <c r="AO2" s="36">
        <v>50</v>
      </c>
      <c r="AQ2" s="36">
        <v>50</v>
      </c>
      <c r="AS2" s="36">
        <v>50</v>
      </c>
      <c r="AU2" s="36">
        <v>50</v>
      </c>
      <c r="AW2" s="36">
        <v>50</v>
      </c>
      <c r="AY2" s="36">
        <v>50</v>
      </c>
      <c r="BA2" s="36">
        <v>50</v>
      </c>
      <c r="CG2" s="41" t="s">
        <v>31</v>
      </c>
      <c r="CP2" s="14"/>
    </row>
    <row r="3" spans="1:104" ht="17" thickBot="1" x14ac:dyDescent="0.25">
      <c r="B3" t="s">
        <v>32</v>
      </c>
      <c r="D3" t="s">
        <v>33</v>
      </c>
      <c r="E3" t="s">
        <v>34</v>
      </c>
      <c r="F3" s="37" t="s">
        <v>35</v>
      </c>
      <c r="G3" s="37" t="s">
        <v>36</v>
      </c>
      <c r="H3" s="37" t="s">
        <v>37</v>
      </c>
      <c r="I3" s="37" t="s">
        <v>38</v>
      </c>
      <c r="J3" s="37" t="s">
        <v>39</v>
      </c>
      <c r="K3" s="37" t="s">
        <v>37</v>
      </c>
      <c r="L3" s="37" t="s">
        <v>40</v>
      </c>
      <c r="M3" s="37" t="s">
        <v>41</v>
      </c>
      <c r="N3" s="37" t="s">
        <v>37</v>
      </c>
      <c r="O3" s="37" t="s">
        <v>42</v>
      </c>
      <c r="P3" s="37" t="s">
        <v>43</v>
      </c>
      <c r="Q3" s="37" t="s">
        <v>37</v>
      </c>
      <c r="R3" s="37" t="s">
        <v>44</v>
      </c>
      <c r="S3" s="37" t="s">
        <v>45</v>
      </c>
      <c r="T3" s="37" t="s">
        <v>37</v>
      </c>
      <c r="U3" s="37" t="s">
        <v>46</v>
      </c>
      <c r="V3" s="37" t="s">
        <v>47</v>
      </c>
      <c r="W3" s="37" t="s">
        <v>37</v>
      </c>
      <c r="X3" s="37" t="s">
        <v>48</v>
      </c>
      <c r="Y3" s="37" t="s">
        <v>49</v>
      </c>
      <c r="Z3" s="37" t="s">
        <v>37</v>
      </c>
      <c r="AA3" s="37" t="s">
        <v>50</v>
      </c>
      <c r="AB3" s="37" t="s">
        <v>51</v>
      </c>
      <c r="AC3" s="37" t="s">
        <v>37</v>
      </c>
      <c r="AD3" s="37" t="s">
        <v>168</v>
      </c>
      <c r="AE3" s="37" t="s">
        <v>169</v>
      </c>
      <c r="AF3" s="37" t="s">
        <v>37</v>
      </c>
      <c r="AG3" s="37" t="s">
        <v>52</v>
      </c>
      <c r="AH3" s="37" t="s">
        <v>53</v>
      </c>
      <c r="AI3" s="37" t="s">
        <v>37</v>
      </c>
      <c r="AJ3" s="37" t="s">
        <v>54</v>
      </c>
      <c r="AK3" s="36" t="s">
        <v>13</v>
      </c>
      <c r="AL3" s="36" t="s">
        <v>37</v>
      </c>
      <c r="AM3" s="36" t="s">
        <v>21</v>
      </c>
      <c r="AN3" s="36" t="s">
        <v>37</v>
      </c>
      <c r="AO3" s="36" t="s">
        <v>22</v>
      </c>
      <c r="AP3" s="36" t="s">
        <v>37</v>
      </c>
      <c r="AQ3" s="36" t="s">
        <v>23</v>
      </c>
      <c r="AR3" s="36" t="s">
        <v>37</v>
      </c>
      <c r="AS3" s="36" t="s">
        <v>24</v>
      </c>
      <c r="AT3" s="36" t="s">
        <v>37</v>
      </c>
      <c r="AU3" s="36" t="s">
        <v>25</v>
      </c>
      <c r="AV3" s="36" t="s">
        <v>37</v>
      </c>
      <c r="AW3" s="36" t="s">
        <v>26</v>
      </c>
      <c r="AX3" s="36" t="s">
        <v>37</v>
      </c>
      <c r="AY3" s="36" t="s">
        <v>27</v>
      </c>
      <c r="AZ3" s="36" t="s">
        <v>37</v>
      </c>
      <c r="BA3" s="36" t="s">
        <v>20</v>
      </c>
      <c r="BB3" s="36" t="s">
        <v>37</v>
      </c>
      <c r="BC3" s="36" t="s">
        <v>54</v>
      </c>
      <c r="BD3" s="39" t="s">
        <v>55</v>
      </c>
      <c r="BE3" s="39" t="s">
        <v>37</v>
      </c>
      <c r="BF3" s="39" t="s">
        <v>56</v>
      </c>
      <c r="BG3" s="39" t="s">
        <v>37</v>
      </c>
      <c r="BH3" s="39" t="s">
        <v>57</v>
      </c>
      <c r="BI3" s="39" t="s">
        <v>37</v>
      </c>
      <c r="BJ3" s="39" t="s">
        <v>58</v>
      </c>
      <c r="BK3" s="39" t="s">
        <v>37</v>
      </c>
      <c r="BL3" s="39" t="s">
        <v>59</v>
      </c>
      <c r="BM3" s="39" t="s">
        <v>37</v>
      </c>
      <c r="BN3" s="39" t="s">
        <v>60</v>
      </c>
      <c r="BO3" s="39" t="s">
        <v>37</v>
      </c>
      <c r="BP3" s="39" t="s">
        <v>61</v>
      </c>
      <c r="BQ3" s="39" t="s">
        <v>37</v>
      </c>
      <c r="BR3" s="39" t="s">
        <v>62</v>
      </c>
      <c r="BS3" s="39" t="s">
        <v>37</v>
      </c>
      <c r="BT3" s="39" t="s">
        <v>63</v>
      </c>
      <c r="BU3" s="39" t="s">
        <v>37</v>
      </c>
      <c r="BV3" s="39" t="s">
        <v>64</v>
      </c>
      <c r="BW3" s="39" t="s">
        <v>37</v>
      </c>
      <c r="BX3" s="39" t="s">
        <v>65</v>
      </c>
      <c r="BY3" s="39" t="s">
        <v>37</v>
      </c>
      <c r="BZ3" s="39" t="s">
        <v>66</v>
      </c>
      <c r="CA3" s="39" t="s">
        <v>37</v>
      </c>
      <c r="CB3" s="39" t="s">
        <v>67</v>
      </c>
      <c r="CC3" s="39" t="s">
        <v>37</v>
      </c>
      <c r="CD3" s="39" t="s">
        <v>68</v>
      </c>
      <c r="CE3" s="39" t="s">
        <v>37</v>
      </c>
      <c r="CF3" s="39" t="s">
        <v>54</v>
      </c>
      <c r="CG3" s="41" t="s">
        <v>69</v>
      </c>
      <c r="CH3" s="41" t="s">
        <v>70</v>
      </c>
      <c r="CI3" s="41" t="s">
        <v>71</v>
      </c>
      <c r="CJ3" s="41" t="s">
        <v>70</v>
      </c>
      <c r="CK3" s="41" t="s">
        <v>54</v>
      </c>
      <c r="CL3" s="46" t="s">
        <v>72</v>
      </c>
      <c r="CM3" s="42" t="s">
        <v>73</v>
      </c>
      <c r="CN3" s="42" t="s">
        <v>74</v>
      </c>
      <c r="CP3" s="14" t="s">
        <v>75</v>
      </c>
    </row>
    <row r="4" spans="1:104" ht="17" thickBot="1" x14ac:dyDescent="0.25">
      <c r="A4">
        <v>1</v>
      </c>
      <c r="B4" t="s">
        <v>76</v>
      </c>
      <c r="C4" t="s">
        <v>77</v>
      </c>
      <c r="D4" t="s">
        <v>78</v>
      </c>
      <c r="E4">
        <v>65</v>
      </c>
      <c r="F4" s="38">
        <v>0.46875</v>
      </c>
      <c r="G4" s="38">
        <v>0.46864583333333337</v>
      </c>
      <c r="H4" s="37">
        <f>IF(IF(ABS((F4-G4)*3600*24)&gt;$H$1,(ABS((F4-G4)*3600*24)-5)*$K$2,0)&gt;150,150,IF(ABS((F4-G4)*3600*24)&gt;$H$1,(ABS((F4-G4)*3600*24)-5)*$K$2,0))</f>
        <v>0</v>
      </c>
      <c r="I4" s="38">
        <f>$F4+'TEKMOVALNI LIST'!C$8/60</f>
        <v>0.47152777777777777</v>
      </c>
      <c r="J4" s="38"/>
      <c r="K4" s="37">
        <f>IF(IF(ABS((I4-J4)*3600*24)&gt;$K$1,(ABS((I4-J4)*3600*24)-5)*$K$2,0)&gt;150,150,IF(ABS((I4-J4)*3600*24)&gt;$K$1,(ABS((I4-J4)*3600*24)-5)*$K$2,0))</f>
        <v>150</v>
      </c>
      <c r="L4" s="38">
        <f>I$4+'TEKMOVALNI LIST'!C$9/60</f>
        <v>0.47821180993412699</v>
      </c>
      <c r="M4" s="38">
        <v>0.47598379629629628</v>
      </c>
      <c r="N4" s="37">
        <f>IF(IF(ABS((L4-M4)*3600*24)&gt;$K$1,(ABS((L4-M4)*3600*24)-5)*$K$2,0)&gt;150,150,IF(ABS((L4-M4)*3600*24)&gt;$K$1,(ABS((L4-M4)*3600*24)-5)*$K$2,0))</f>
        <v>150</v>
      </c>
      <c r="O4" s="38">
        <f>I$4+'TEKMOVALNI LIST'!C$10/60</f>
        <v>0.4821405416054349</v>
      </c>
      <c r="P4" s="38"/>
      <c r="Q4" s="37">
        <f>IF(IF(ABS((O4-P4)*3600*24)&gt;$K$1,(ABS((O4-P4)*3600*24)-5)*$K$2,0)&gt;150,150,IF(ABS((O4-P4)*3600*24)&gt;$K$1,(ABS((O4-P4)*3600*24)-5)*$K$2,0))</f>
        <v>150</v>
      </c>
      <c r="R4" s="38">
        <f>I$4+'TEKMOVALNI LIST'!C$11/60</f>
        <v>0.4863767876565403</v>
      </c>
      <c r="S4" s="38"/>
      <c r="T4" s="37">
        <f>IF(IF(ABS((R4-S4)*3600*24)&gt;$K$1,(ABS((R4-S4)*3600*24)-5)*$K$2,0)&gt;150,150,IF(ABS((R4-S4)*3600*24)&gt;$K$1,(ABS((R4-S4)*3600*24)-5)*$K$2,0))</f>
        <v>150</v>
      </c>
      <c r="U4" s="38">
        <f>I$4+'TEKMOVALNI LIST'!C$12/60</f>
        <v>0.49350343165259447</v>
      </c>
      <c r="V4" s="38"/>
      <c r="W4" s="37">
        <f>IF(IF(ABS((U4-V4)*3600*24)&gt;$K$1,(ABS((U4-V4)*3600*24)-5)*$K$2,0)&gt;150,150,IF(ABS((U4-V4)*3600*24)&gt;$K$1,(ABS((U4-V4)*3600*24)-5)*$K$2,0))</f>
        <v>150</v>
      </c>
      <c r="X4" s="38">
        <f>I$4+'TEKMOVALNI LIST'!C$13/60</f>
        <v>0.50079175233149775</v>
      </c>
      <c r="Y4" s="38">
        <v>0.49594907407407413</v>
      </c>
      <c r="Z4" s="62">
        <f>IF(IF(ABS((X4-Y4)*3600*24)&gt;$K$1,(ABS((X4-Y4)*3600*24)-5)*$K$2,0)&gt;150,150,IF(ABS((X4-Y4)*3600*24)&gt;$K$1,(ABS((X4-Y4)*3600*24)-5)*$K$2,0))</f>
        <v>150</v>
      </c>
      <c r="AA4" s="38">
        <f>I$4+'TEKMOVALNI LIST'!C$14/60</f>
        <v>0.50445014272274835</v>
      </c>
      <c r="AB4" s="38">
        <v>0.50149305555555557</v>
      </c>
      <c r="AC4" s="62">
        <f>IF(IF(ABS((AA4-AB4)*3600*24)&gt;$K$1,(ABS((AA4-AB4)*3600*24)-5)*$K$2,0)&gt;150,150,IF(ABS((AA4-AB4)*3600*24)&gt;$K$1,(ABS((AA4-AB4)*3600*24)-5)*$K$2,0))</f>
        <v>150</v>
      </c>
      <c r="AD4" s="38">
        <f>L$4+'TEKMOVALNI LIST'!C$15/60</f>
        <v>0.52160480043548552</v>
      </c>
      <c r="AE4" s="38">
        <v>0.50149305555555557</v>
      </c>
      <c r="AF4" s="62">
        <f>IF(IF(ABS((AD4-AE4)*3600*24)&gt;$K$1,(ABS((AD4-AE4)*3600*24)-5)*$K$2,0)&gt;150,150,IF(ABS((AD4-AE4)*3600*24)&gt;$K$1,(ABS((AD4-AE4)*3600*24)-5)*$K$2,0))</f>
        <v>150</v>
      </c>
      <c r="AG4" s="38">
        <f>I$4+'TEKMOVALNI LIST'!C$16/60</f>
        <v>0.52052050121121707</v>
      </c>
      <c r="AH4" s="38">
        <v>0.51026620370370368</v>
      </c>
      <c r="AI4" s="37">
        <f>IF(IF(ABS((AG4-AH4)*3600*24)&gt;$K$1,(ABS((AG4-AH4)*3600*24)-5)*$K$2,0)&gt;150,150,IF(ABS((AG4-AH4)*3600*24)&gt;$K$1,(ABS((AG4-AH4)*3600*24)-5)*$K$2,0))</f>
        <v>150</v>
      </c>
      <c r="AJ4" s="62">
        <f>H4+K4+N4+Q4+T4+W4+Z4+AC4+AI4+AF4</f>
        <v>1350</v>
      </c>
      <c r="AM4" s="36" t="s">
        <v>30</v>
      </c>
      <c r="AN4" s="36">
        <f>IF(AM4=$AM$1,0,$AM$2)</f>
        <v>50</v>
      </c>
      <c r="AO4" s="36" t="s">
        <v>30</v>
      </c>
      <c r="AP4" s="36">
        <f>IF(AO4=$AO$1,0,$AO$2)</f>
        <v>0</v>
      </c>
      <c r="AQ4" s="36" t="s">
        <v>29</v>
      </c>
      <c r="AR4" s="36">
        <f>IF(AQ4=$AO$1,0,$AO$2)</f>
        <v>50</v>
      </c>
      <c r="AS4" s="36" t="s">
        <v>30</v>
      </c>
      <c r="AT4" s="36">
        <f>IF(AS4=$AO$1,0,$AO$2)</f>
        <v>0</v>
      </c>
      <c r="AU4" s="36" t="s">
        <v>29</v>
      </c>
      <c r="AV4" s="36">
        <f>IF(AU4=$AO$1,0,$AO$2)</f>
        <v>50</v>
      </c>
      <c r="AW4" s="36" t="s">
        <v>30</v>
      </c>
      <c r="AX4" s="36">
        <f>IF(AW4=$AO$1,0,$AO$2)</f>
        <v>0</v>
      </c>
      <c r="AY4" s="36" t="s">
        <v>30</v>
      </c>
      <c r="AZ4" s="36">
        <f>IF(AY4=$AO$1,0,$AO$2)</f>
        <v>0</v>
      </c>
      <c r="BA4" s="36" t="s">
        <v>29</v>
      </c>
      <c r="BB4" s="36">
        <f>IF(BA4=$BA$1,0,$BA$2)</f>
        <v>50</v>
      </c>
      <c r="BC4" s="36">
        <f>AL4+AN4+AP4+AR4+AT4+AV4+AX4+AZ4+BB4</f>
        <v>200</v>
      </c>
      <c r="BD4" s="39">
        <v>50</v>
      </c>
      <c r="BE4" s="39">
        <f>IF(BD4="",30,IF(BD4&lt;5.1,0,IF(BD4&gt;10.1,50,15)))</f>
        <v>50</v>
      </c>
      <c r="BF4" s="39">
        <v>50</v>
      </c>
      <c r="BG4" s="39">
        <f>IF(BF4="",30,IF(BF4&lt;5.1,0,IF(BF4&gt;10.1,50,15)))</f>
        <v>50</v>
      </c>
      <c r="BI4" s="39">
        <f>IF(BH4="",30,IF(BH4&lt;5.1,0,IF(BH4&gt;10.1,50,15)))</f>
        <v>30</v>
      </c>
      <c r="BK4" s="39">
        <f>IF(BJ4="",30,IF(BJ4&lt;5.1,0,IF(BJ4&gt;10.1,50,15)))</f>
        <v>30</v>
      </c>
      <c r="BM4" s="39">
        <f>IF(BL4="",30,IF(BL4&lt;5.1,0,IF(BL4&gt;10.1,50,15)))</f>
        <v>30</v>
      </c>
      <c r="BO4" s="39">
        <f>IF(BN4="",30,IF(BN4&lt;5.1,0,IF(BN4&gt;10.1,50,15)))</f>
        <v>30</v>
      </c>
      <c r="BQ4" s="39">
        <f>IF(BP4="",30,IF(BP4&lt;5.1,0,IF(BP4&gt;10.1,50,15)))</f>
        <v>30</v>
      </c>
      <c r="BS4" s="39">
        <f>IF(BR4="",30,IF(BR4&lt;5.1,0,IF(BR4&gt;10.1,50,15)))</f>
        <v>30</v>
      </c>
      <c r="BU4" s="39">
        <f>IF(BT4="",30,IF(BT4&lt;5.1,0,IF(BT4&gt;10.1,50,15)))</f>
        <v>30</v>
      </c>
      <c r="BW4" s="39">
        <f>IF(BV4="",30,IF(BV4&lt;5.1,0,IF(BV4&gt;10.1,50,15)))</f>
        <v>30</v>
      </c>
      <c r="BY4" s="39">
        <f>IF(BX4="",30,IF(BX4&lt;5.1,0,IF(BX4&gt;10.1,50,15)))</f>
        <v>30</v>
      </c>
      <c r="CA4" s="39">
        <f>IF(BZ4="",30,IF(BZ4&lt;5.1,0,IF(BZ4&gt;10.1,50,15)))</f>
        <v>30</v>
      </c>
      <c r="CC4" s="39">
        <f>IF(CB4="",30,IF(CB4&lt;5.1,0,IF(CB4&gt;10.1,50,15)))</f>
        <v>30</v>
      </c>
      <c r="CE4" s="39">
        <f>IF(CD4&lt;5.1,0,IF(CD4&gt;10.1,50,15))</f>
        <v>0</v>
      </c>
      <c r="CF4" s="39">
        <f>BE4+BG4+BI4+BK4+BM4+BO4+BQ4+BS4+BU4+BW4+BY4+CA4+CC4</f>
        <v>430</v>
      </c>
      <c r="CH4" s="41">
        <v>200</v>
      </c>
      <c r="CJ4" s="41">
        <v>200</v>
      </c>
      <c r="CK4" s="41">
        <f>CH4+CJ4</f>
        <v>400</v>
      </c>
      <c r="CL4" s="46">
        <v>100</v>
      </c>
      <c r="CM4" s="43">
        <f>CK4+CF4+BC4+AJ4+CL4</f>
        <v>2480</v>
      </c>
      <c r="CN4" s="42">
        <f>RANK(CM4,$CM$4:$CM$11,1)</f>
        <v>8</v>
      </c>
      <c r="CP4" s="52" t="s">
        <v>79</v>
      </c>
      <c r="CQ4" s="77" t="str">
        <f t="shared" ref="CQ4:CQ12" si="0">B3</f>
        <v>EKIPA</v>
      </c>
      <c r="CR4" s="77"/>
      <c r="CS4" s="53" t="str">
        <f t="shared" ref="CS4:CS12" si="1">D3</f>
        <v>LETALO</v>
      </c>
      <c r="CT4" s="53" t="s">
        <v>80</v>
      </c>
      <c r="CU4" s="53" t="s">
        <v>81</v>
      </c>
      <c r="CV4" s="53" t="s">
        <v>82</v>
      </c>
      <c r="CW4" s="53" t="s">
        <v>83</v>
      </c>
      <c r="CX4" s="53" t="s">
        <v>72</v>
      </c>
      <c r="CY4" s="53" t="s">
        <v>84</v>
      </c>
      <c r="CZ4" s="54" t="s">
        <v>85</v>
      </c>
    </row>
    <row r="5" spans="1:104" x14ac:dyDescent="0.2">
      <c r="A5">
        <v>2</v>
      </c>
      <c r="B5" t="s">
        <v>86</v>
      </c>
      <c r="C5" t="s">
        <v>87</v>
      </c>
      <c r="D5" t="s">
        <v>88</v>
      </c>
      <c r="E5">
        <v>80</v>
      </c>
      <c r="F5" s="38">
        <v>0.48958333333333331</v>
      </c>
      <c r="G5" s="38">
        <v>0.48980324074074072</v>
      </c>
      <c r="H5" s="37">
        <f>IF(IF(ABS((F5-G5)*3600*24)&gt;$H$1,(ABS((F5-G5)*3600*24)-5)*$K$2,0)&gt;150,150,IF(ABS((F5-G5)*3600*24)&gt;$H$1,(ABS((F5-G5)*3600*24)-5)*$K$2,0))</f>
        <v>0</v>
      </c>
      <c r="I5" s="38">
        <f>$F5+'TEKMOVALNI LIST'!C$8/60</f>
        <v>0.49236111111111108</v>
      </c>
      <c r="J5" s="38">
        <v>0.49234953703703704</v>
      </c>
      <c r="K5" s="37">
        <f t="shared" ref="K5:K9" si="2">IF(IF(ABS((I5-J5)*3600*24)&gt;$K$1,(ABS((I5-J5)*3600*24)-5)*$K$2,0)&gt;150,150,IF(ABS((I5-J5)*3600*24)&gt;$K$1,(ABS((I5-J5)*3600*24)-5)*$K$2,0))</f>
        <v>0</v>
      </c>
      <c r="L5" s="38">
        <f>$F5+'TEKMOVALNI LIST'!F$9/60</f>
        <v>0.49553494279370042</v>
      </c>
      <c r="M5" s="38">
        <v>0.49591435185185184</v>
      </c>
      <c r="N5" s="37">
        <f t="shared" ref="N5:N9" si="3">IF(IF(ABS((L5-M5)*3600*24)&gt;$K$1,(ABS((L5-M5)*3600*24)-5)*$K$2,0)&gt;150,150,IF(ABS((L5-M5)*3600*24)&gt;$K$1,(ABS((L5-M5)*3600*24)-5)*$K$2,0))</f>
        <v>55.561885248566298</v>
      </c>
      <c r="O5" s="38">
        <f>$F5+'TEKMOVALNI LIST'!F$10/60</f>
        <v>0.49872703727663809</v>
      </c>
      <c r="P5" s="38">
        <v>0.49991898148148151</v>
      </c>
      <c r="Q5" s="45">
        <f t="shared" ref="Q5:Q9" si="4">IF(IF(ABS((O5-P5)*3600*24)&gt;$K$1,(ABS((O5-P5)*3600*24)-5)*$K$2,0)&gt;150,150,IF(ABS((O5-P5)*3600*24)&gt;$K$1,(ABS((O5-P5)*3600*24)-5)*$K$2,0))</f>
        <v>150</v>
      </c>
      <c r="R5" s="38">
        <f>$F5+'TEKMOVALNI LIST'!F$11/60</f>
        <v>0.50216898719316116</v>
      </c>
      <c r="S5" s="38">
        <v>0.50790509259259264</v>
      </c>
      <c r="T5" s="37">
        <f t="shared" ref="T5:T9" si="5">IF(IF(ABS((R5-S5)*3600*24)&gt;$K$1,(ABS((R5-S5)*3600*24)-5)*$K$2,0)&gt;150,150,IF(ABS((R5-S5)*3600*24)&gt;$K$1,(ABS((R5-S5)*3600*24)-5)*$K$2,0))</f>
        <v>150</v>
      </c>
      <c r="U5" s="38">
        <f>$F5+'TEKMOVALNI LIST'!F$12/60</f>
        <v>0.50795938543995522</v>
      </c>
      <c r="V5" s="38">
        <v>0.5121296296296296</v>
      </c>
      <c r="W5" s="37">
        <f t="shared" ref="W5:W9" si="6">IF(IF(ABS((U5-V5)*3600*24)&gt;$K$1,(ABS((U5-V5)*3600*24)-5)*$K$2,0)&gt;150,150,IF(ABS((U5-V5)*3600*24)&gt;$K$1,(ABS((U5-V5)*3600*24)-5)*$K$2,0))</f>
        <v>150</v>
      </c>
      <c r="X5" s="38">
        <f>$F5+'TEKMOVALNI LIST'!F$13/60</f>
        <v>0.51388114599156409</v>
      </c>
      <c r="Y5" s="38">
        <v>0.51553240740740736</v>
      </c>
      <c r="Z5" s="37">
        <f t="shared" ref="Z5:Z9" si="7">IF(IF(ABS((X5-Y5)*3600*24)&gt;$K$1,(ABS((X5-Y5)*3600*24)-5)*$K$2,0)&gt;150,150,IF(ABS((X5-Y5)*3600*24)&gt;$K$1,(ABS((X5-Y5)*3600*24)-5)*$K$2,0))</f>
        <v>150</v>
      </c>
      <c r="AA5" s="38">
        <f>$F5+'TEKMOVALNI LIST'!F$14/60</f>
        <v>0.51685358818445526</v>
      </c>
      <c r="AB5" s="38">
        <v>0.52162037037037035</v>
      </c>
      <c r="AC5" s="37">
        <f t="shared" ref="AC5:AC9" si="8">IF(IF(ABS((AA5-AB5)*3600*24)&gt;$K$1,(ABS((AA5-AB5)*3600*24)-5)*$K$2,0)&gt;150,150,IF(ABS((AA5-AB5)*3600*24)&gt;$K$1,(ABS((AA5-AB5)*3600*24)-5)*$K$2,0))</f>
        <v>150</v>
      </c>
      <c r="AD5" s="38">
        <f>$F5+'TEKMOVALNI LIST'!I$14/60</f>
        <v>0.48958333333333331</v>
      </c>
      <c r="AE5" s="38">
        <v>0.52162037037037035</v>
      </c>
      <c r="AF5" s="37">
        <f t="shared" ref="AF5:AF11" si="9">IF(IF(ABS((AD5-AE5)*3600*24)&gt;$K$1,(ABS((AD5-AE5)*3600*24)-5)*$K$2,0)&gt;150,150,IF(ABS((AD5-AE5)*3600*24)&gt;$K$1,(ABS((AD5-AE5)*3600*24)-5)*$K$2,0))</f>
        <v>150</v>
      </c>
      <c r="AG5" s="38">
        <f>$F5+'TEKMOVALNI LIST'!F$16/60</f>
        <v>0.52991075445633606</v>
      </c>
      <c r="AH5" s="38"/>
      <c r="AI5" s="37">
        <f t="shared" ref="AI5:AI9" si="10">IF(IF(ABS((AG5-AH5)*3600*24)&gt;$K$1,(ABS((AG5-AH5)*3600*24)-5)*$K$2,0)&gt;150,150,IF(ABS((AG5-AH5)*3600*24)&gt;$K$1,(ABS((AG5-AH5)*3600*24)-5)*$K$2,0))</f>
        <v>150</v>
      </c>
      <c r="AJ5" s="62">
        <f t="shared" ref="AJ5:AJ11" si="11">H5+K5+N5+Q5+T5+W5+Z5+AC5+AI5+AF5</f>
        <v>1105.5618852485663</v>
      </c>
      <c r="AM5" s="36" t="s">
        <v>29</v>
      </c>
      <c r="AN5" s="36">
        <f t="shared" ref="AN5:AN11" si="12">IF(AM5=$AM$1,0,$AM$2)</f>
        <v>0</v>
      </c>
      <c r="AO5" s="36" t="s">
        <v>30</v>
      </c>
      <c r="AP5" s="36">
        <f t="shared" ref="AP5:AP11" si="13">IF(AO5=$AO$1,0,$AO$2)</f>
        <v>0</v>
      </c>
      <c r="AQ5" s="36" t="s">
        <v>30</v>
      </c>
      <c r="AR5" s="36">
        <f t="shared" ref="AR5:AR11" si="14">IF(AQ5=$AO$1,0,$AO$2)</f>
        <v>0</v>
      </c>
      <c r="AS5" s="36" t="s">
        <v>29</v>
      </c>
      <c r="AT5" s="36">
        <f>IF(AS5=$AS$1,0,$AO$2)</f>
        <v>0</v>
      </c>
      <c r="AU5" s="36" t="s">
        <v>30</v>
      </c>
      <c r="AV5" s="36">
        <f t="shared" ref="AV5:AV11" si="15">IF(AU5=$AO$1,0,$AO$2)</f>
        <v>0</v>
      </c>
      <c r="AW5" s="36" t="s">
        <v>30</v>
      </c>
      <c r="AX5" s="36">
        <f t="shared" ref="AX5:AX11" si="16">IF(AW5=$AO$1,0,$AO$2)</f>
        <v>0</v>
      </c>
      <c r="AY5" s="36" t="s">
        <v>30</v>
      </c>
      <c r="AZ5" s="36">
        <f t="shared" ref="AZ5:AZ11" si="17">IF(AY5=$AO$1,0,$AO$2)</f>
        <v>0</v>
      </c>
      <c r="BA5" s="36" t="s">
        <v>30</v>
      </c>
      <c r="BB5" s="36">
        <f t="shared" ref="BB5:BB11" si="18">IF(BA5=$BA$1,0,$BA$2)</f>
        <v>0</v>
      </c>
      <c r="BC5" s="36">
        <f t="shared" ref="BC5:BC11" si="19">AL5+AN5+AP5+AR5+AT5+AV5+AX5+AZ5+BB5</f>
        <v>0</v>
      </c>
      <c r="BD5" s="39">
        <v>0</v>
      </c>
      <c r="BE5" s="39">
        <f t="shared" ref="BE5:BG10" si="20">IF(BD5="",30,IF(BD5&lt;5.1,0,IF(BD5&gt;10.1,50,15)))</f>
        <v>0</v>
      </c>
      <c r="BG5" s="39">
        <f t="shared" si="20"/>
        <v>30</v>
      </c>
      <c r="BH5" s="40"/>
      <c r="BI5" s="39">
        <f t="shared" ref="BI5" si="21">IF(BH5="",30,IF(BH5&lt;5.1,0,IF(BH5&gt;10.1,50,15)))</f>
        <v>30</v>
      </c>
      <c r="BJ5" s="40"/>
      <c r="BK5" s="39">
        <f t="shared" ref="BK5:BM5" si="22">IF(BJ5="",30,IF(BJ5&lt;5.1,0,IF(BJ5&gt;10.1,50,15)))</f>
        <v>30</v>
      </c>
      <c r="BL5" s="39">
        <v>0</v>
      </c>
      <c r="BM5" s="39">
        <f t="shared" si="22"/>
        <v>0</v>
      </c>
      <c r="BO5" s="39">
        <f t="shared" ref="BO5" si="23">IF(BN5="",30,IF(BN5&lt;5.1,0,IF(BN5&gt;10.1,50,15)))</f>
        <v>30</v>
      </c>
      <c r="BP5" s="39">
        <v>0</v>
      </c>
      <c r="BQ5" s="39">
        <f t="shared" ref="BQ5" si="24">IF(BP5="",30,IF(BP5&lt;5.1,0,IF(BP5&gt;10.1,50,15)))</f>
        <v>0</v>
      </c>
      <c r="BS5" s="39">
        <f t="shared" ref="BS5" si="25">IF(BR5="",30,IF(BR5&lt;5.1,0,IF(BR5&gt;10.1,50,15)))</f>
        <v>30</v>
      </c>
      <c r="BT5" s="39">
        <v>5</v>
      </c>
      <c r="BU5" s="39">
        <f t="shared" ref="BU5" si="26">IF(BT5="",30,IF(BT5&lt;5.1,0,IF(BT5&gt;10.1,50,15)))</f>
        <v>0</v>
      </c>
      <c r="BW5" s="39">
        <f t="shared" ref="BW5" si="27">IF(BV5="",30,IF(BV5&lt;5.1,0,IF(BV5&gt;10.1,50,15)))</f>
        <v>30</v>
      </c>
      <c r="BY5" s="39">
        <f t="shared" ref="BY5" si="28">IF(BX5="",30,IF(BX5&lt;5.1,0,IF(BX5&gt;10.1,50,15)))</f>
        <v>30</v>
      </c>
      <c r="CA5" s="39">
        <f t="shared" ref="CA5" si="29">IF(BZ5="",30,IF(BZ5&lt;5.1,0,IF(BZ5&gt;10.1,50,15)))</f>
        <v>30</v>
      </c>
      <c r="CC5" s="39">
        <f t="shared" ref="CC5" si="30">IF(CB5="",30,IF(CB5&lt;5.1,0,IF(CB5&gt;10.1,50,15)))</f>
        <v>30</v>
      </c>
      <c r="CF5" s="39">
        <f t="shared" ref="CF5:CF10" si="31">BE5+BG5+BI5+BK5+BM5+BO5+BQ5+BS5+BU5+BW5+BY5+CA5+CC5</f>
        <v>270</v>
      </c>
      <c r="CH5" s="41">
        <v>60</v>
      </c>
      <c r="CJ5" s="41">
        <v>200</v>
      </c>
      <c r="CK5" s="41">
        <f t="shared" ref="CK5:CK11" si="32">CH5+CJ5</f>
        <v>260</v>
      </c>
      <c r="CM5" s="43">
        <f t="shared" ref="CM5:CM11" si="33">CK5+CF5+BC5+AJ5+CL5</f>
        <v>1635.5618852485663</v>
      </c>
      <c r="CN5" s="42">
        <f t="shared" ref="CN5:CN11" si="34">RANK(CM5,$CM$4:$CM$11,1)</f>
        <v>4</v>
      </c>
      <c r="CP5" s="50">
        <f t="shared" ref="CP5:CP12" si="35">A4</f>
        <v>1</v>
      </c>
      <c r="CQ5" s="51" t="str">
        <f t="shared" si="0"/>
        <v>Šeruga Emil</v>
      </c>
      <c r="CR5" s="51" t="str">
        <f t="shared" ref="CR5:CR12" si="36">C4</f>
        <v>Slak Marjan</v>
      </c>
      <c r="CS5" s="51" t="str">
        <f t="shared" si="1"/>
        <v>S5-DCV</v>
      </c>
      <c r="CT5" s="55">
        <f>AJ4</f>
        <v>1350</v>
      </c>
      <c r="CU5" s="55">
        <f>BC4</f>
        <v>200</v>
      </c>
      <c r="CV5" s="55">
        <f>CF4</f>
        <v>430</v>
      </c>
      <c r="CW5" s="55">
        <f>CK4</f>
        <v>400</v>
      </c>
      <c r="CX5" s="55">
        <f>CL4</f>
        <v>100</v>
      </c>
      <c r="CY5" s="55">
        <f>SUM(CT5:CX5)</f>
        <v>2480</v>
      </c>
      <c r="CZ5" s="56">
        <f t="shared" ref="CZ5:CZ12" si="37">RANK(CY5,$CY$5:$CY$12,1)</f>
        <v>8</v>
      </c>
    </row>
    <row r="6" spans="1:104" x14ac:dyDescent="0.2">
      <c r="A6">
        <v>3</v>
      </c>
      <c r="B6" t="s">
        <v>89</v>
      </c>
      <c r="C6" t="s">
        <v>90</v>
      </c>
      <c r="D6" t="s">
        <v>91</v>
      </c>
      <c r="E6">
        <v>70</v>
      </c>
      <c r="F6" s="38">
        <v>0.49305555555555558</v>
      </c>
      <c r="G6" s="38">
        <v>0.49447916666666664</v>
      </c>
      <c r="H6" s="37">
        <f>IF(IF(ABS((F6-G6)*3600*24)&gt;$H$1,(ABS((F6-G6)*3600*24)-5)*$K$2,0)&gt;150,150,IF(ABS((F6-G6)*3600*24)&gt;$H$1,(ABS((F6-G6)*3600*24)-5)*$K$2,0))</f>
        <v>150</v>
      </c>
      <c r="I6" s="38">
        <f>$F6+'TEKMOVALNI LIST'!C$8/60</f>
        <v>0.49583333333333335</v>
      </c>
      <c r="J6" s="38">
        <v>0.49592592592592594</v>
      </c>
      <c r="K6" s="37">
        <f t="shared" si="2"/>
        <v>5.9999999999993037</v>
      </c>
      <c r="L6" s="38">
        <f>$F6+'TEKMOVALNI LIST'!D$9/60</f>
        <v>0.49946056954200685</v>
      </c>
      <c r="M6" s="38">
        <v>0.5007638888888889</v>
      </c>
      <c r="N6" s="37">
        <f t="shared" si="3"/>
        <v>150</v>
      </c>
      <c r="O6" s="38">
        <f>$F6+'TEKMOVALNI LIST'!D$10/60</f>
        <v>0.50310867752250699</v>
      </c>
      <c r="P6" s="38">
        <v>0.50498842592592597</v>
      </c>
      <c r="Q6" s="45">
        <f t="shared" si="4"/>
        <v>150</v>
      </c>
      <c r="R6" s="38">
        <f>$F6+'TEKMOVALNI LIST'!D$11/60</f>
        <v>0.50704233456996206</v>
      </c>
      <c r="S6" s="38">
        <v>0.5128935185185185</v>
      </c>
      <c r="T6" s="37">
        <f t="shared" si="5"/>
        <v>150</v>
      </c>
      <c r="U6" s="38">
        <f>$F6+'TEKMOVALNI LIST'!D$12/60</f>
        <v>0.51365993256629805</v>
      </c>
      <c r="V6" s="38"/>
      <c r="W6" s="37">
        <f t="shared" si="6"/>
        <v>150</v>
      </c>
      <c r="X6" s="38">
        <f>$F6+'TEKMOVALNI LIST'!D$13/60</f>
        <v>0.52042765891099396</v>
      </c>
      <c r="Y6" s="38">
        <v>0.52232638888888883</v>
      </c>
      <c r="Z6" s="37">
        <f t="shared" si="7"/>
        <v>150</v>
      </c>
      <c r="AA6" s="38">
        <f>$F6+'TEKMOVALNI LIST'!D$14/60</f>
        <v>0.52382473570286947</v>
      </c>
      <c r="AB6" s="38"/>
      <c r="AC6" s="37">
        <f t="shared" si="8"/>
        <v>150</v>
      </c>
      <c r="AD6" s="38">
        <f>$F6+'TEKMOVALNI LIST'!G$14/60</f>
        <v>0.51888507646118665</v>
      </c>
      <c r="AE6" s="38"/>
      <c r="AF6" s="37">
        <f t="shared" si="9"/>
        <v>150</v>
      </c>
      <c r="AG6" s="38">
        <f>$F6+'TEKMOVALNI LIST'!D$16/60</f>
        <v>0.53874721144216187</v>
      </c>
      <c r="AH6" s="38">
        <v>0.53878472222222229</v>
      </c>
      <c r="AI6" s="37">
        <f t="shared" si="10"/>
        <v>0</v>
      </c>
      <c r="AJ6" s="62">
        <f t="shared" si="11"/>
        <v>1205.9999999999993</v>
      </c>
      <c r="AM6" s="36" t="s">
        <v>29</v>
      </c>
      <c r="AN6" s="36">
        <f t="shared" si="12"/>
        <v>0</v>
      </c>
      <c r="AO6" s="36" t="s">
        <v>30</v>
      </c>
      <c r="AP6" s="36">
        <f t="shared" si="13"/>
        <v>0</v>
      </c>
      <c r="AQ6" s="36" t="s">
        <v>30</v>
      </c>
      <c r="AR6" s="36">
        <f t="shared" si="14"/>
        <v>0</v>
      </c>
      <c r="AS6" s="36" t="s">
        <v>29</v>
      </c>
      <c r="AT6" s="36">
        <f>IF(AS6=$AS$1,0,$AS$2)</f>
        <v>0</v>
      </c>
      <c r="AU6" s="36" t="s">
        <v>30</v>
      </c>
      <c r="AV6" s="36">
        <f t="shared" si="15"/>
        <v>0</v>
      </c>
      <c r="AW6" s="36" t="s">
        <v>30</v>
      </c>
      <c r="AX6" s="36">
        <f t="shared" si="16"/>
        <v>0</v>
      </c>
      <c r="AY6" s="36" t="s">
        <v>30</v>
      </c>
      <c r="AZ6" s="36">
        <f t="shared" si="17"/>
        <v>0</v>
      </c>
      <c r="BA6" s="36" t="s">
        <v>30</v>
      </c>
      <c r="BB6" s="36">
        <f t="shared" si="18"/>
        <v>0</v>
      </c>
      <c r="BC6" s="36">
        <f t="shared" si="19"/>
        <v>0</v>
      </c>
      <c r="BE6" s="39">
        <f t="shared" si="20"/>
        <v>30</v>
      </c>
      <c r="BF6" s="39">
        <v>0</v>
      </c>
      <c r="BG6" s="39">
        <f t="shared" si="20"/>
        <v>0</v>
      </c>
      <c r="BH6" s="40"/>
      <c r="BI6" s="39">
        <f t="shared" ref="BI6" si="38">IF(BH6="",30,IF(BH6&lt;5.1,0,IF(BH6&gt;10.1,50,15)))</f>
        <v>30</v>
      </c>
      <c r="BJ6" s="40"/>
      <c r="BK6" s="39">
        <f t="shared" ref="BK6:BM6" si="39">IF(BJ6="",30,IF(BJ6&lt;5.1,0,IF(BJ6&gt;10.1,50,15)))</f>
        <v>30</v>
      </c>
      <c r="BL6" s="39">
        <v>0</v>
      </c>
      <c r="BM6" s="39">
        <f t="shared" si="39"/>
        <v>0</v>
      </c>
      <c r="BN6" s="39">
        <v>0</v>
      </c>
      <c r="BO6" s="39">
        <f t="shared" ref="BO6" si="40">IF(BN6="",30,IF(BN6&lt;5.1,0,IF(BN6&gt;10.1,50,15)))</f>
        <v>0</v>
      </c>
      <c r="BQ6" s="39">
        <f t="shared" ref="BQ6" si="41">IF(BP6="",30,IF(BP6&lt;5.1,0,IF(BP6&gt;10.1,50,15)))</f>
        <v>30</v>
      </c>
      <c r="BR6" s="39">
        <v>6</v>
      </c>
      <c r="BS6" s="39">
        <f t="shared" ref="BS6" si="42">IF(BR6="",30,IF(BR6&lt;5.1,0,IF(BR6&gt;10.1,50,15)))</f>
        <v>15</v>
      </c>
      <c r="BT6" s="39">
        <v>0</v>
      </c>
      <c r="BU6" s="39">
        <f t="shared" ref="BU6" si="43">IF(BT6="",30,IF(BT6&lt;5.1,0,IF(BT6&gt;10.1,50,15)))</f>
        <v>0</v>
      </c>
      <c r="BW6" s="39">
        <f t="shared" ref="BW6" si="44">IF(BV6="",30,IF(BV6&lt;5.1,0,IF(BV6&gt;10.1,50,15)))</f>
        <v>30</v>
      </c>
      <c r="BY6" s="39">
        <f t="shared" ref="BY6" si="45">IF(BX6="",30,IF(BX6&lt;5.1,0,IF(BX6&gt;10.1,50,15)))</f>
        <v>30</v>
      </c>
      <c r="BZ6" s="39">
        <v>8</v>
      </c>
      <c r="CA6" s="39">
        <f t="shared" ref="CA6" si="46">IF(BZ6="",30,IF(BZ6&lt;5.1,0,IF(BZ6&gt;10.1,50,15)))</f>
        <v>15</v>
      </c>
      <c r="CB6" s="39">
        <v>8</v>
      </c>
      <c r="CC6" s="39">
        <f t="shared" ref="CC6" si="47">IF(CB6="",30,IF(CB6&lt;5.1,0,IF(CB6&gt;10.1,50,15)))</f>
        <v>15</v>
      </c>
      <c r="CF6" s="39">
        <f t="shared" si="31"/>
        <v>225</v>
      </c>
      <c r="CH6" s="41">
        <v>40</v>
      </c>
      <c r="CJ6" s="41">
        <v>20</v>
      </c>
      <c r="CK6" s="41">
        <f t="shared" si="32"/>
        <v>60</v>
      </c>
      <c r="CL6" s="46">
        <v>100</v>
      </c>
      <c r="CM6" s="43">
        <f t="shared" si="33"/>
        <v>1590.9999999999993</v>
      </c>
      <c r="CN6" s="42">
        <f t="shared" si="34"/>
        <v>2</v>
      </c>
      <c r="CP6" s="47">
        <f t="shared" si="35"/>
        <v>2</v>
      </c>
      <c r="CQ6" s="10" t="str">
        <f t="shared" si="0"/>
        <v>Štrakl Mitja</v>
      </c>
      <c r="CR6" s="10" t="str">
        <f t="shared" si="36"/>
        <v>Jurhar Jernej</v>
      </c>
      <c r="CS6" s="10" t="str">
        <f t="shared" si="1"/>
        <v>S5-DOG</v>
      </c>
      <c r="CT6" s="57">
        <f t="shared" ref="CT6:CT10" si="48">AJ5</f>
        <v>1105.5618852485663</v>
      </c>
      <c r="CU6" s="57">
        <f t="shared" ref="CU6:CU10" si="49">BC5</f>
        <v>0</v>
      </c>
      <c r="CV6" s="57">
        <f t="shared" ref="CV6:CV10" si="50">CF5</f>
        <v>270</v>
      </c>
      <c r="CW6" s="57">
        <f t="shared" ref="CW6:CW10" si="51">CK5</f>
        <v>260</v>
      </c>
      <c r="CX6" s="57">
        <f t="shared" ref="CX6:CX10" si="52">CL5</f>
        <v>0</v>
      </c>
      <c r="CY6" s="57">
        <f t="shared" ref="CY6:CY10" si="53">SUM(CT6:CX6)</f>
        <v>1635.5618852485663</v>
      </c>
      <c r="CZ6" s="58">
        <f t="shared" si="37"/>
        <v>4</v>
      </c>
    </row>
    <row r="7" spans="1:104" x14ac:dyDescent="0.2">
      <c r="A7">
        <v>4</v>
      </c>
      <c r="B7" t="s">
        <v>92</v>
      </c>
      <c r="C7" t="s">
        <v>93</v>
      </c>
      <c r="D7" t="s">
        <v>94</v>
      </c>
      <c r="E7">
        <v>70</v>
      </c>
      <c r="F7" s="38">
        <v>0.55208333333333337</v>
      </c>
      <c r="G7" s="38">
        <v>0.5522569444444444</v>
      </c>
      <c r="H7" s="37">
        <v>0</v>
      </c>
      <c r="I7" s="38">
        <f>$F7+'TEKMOVALNI LIST'!C$8/60</f>
        <v>0.55486111111111114</v>
      </c>
      <c r="J7" s="38">
        <v>0.55495370370370367</v>
      </c>
      <c r="K7" s="37">
        <f t="shared" si="2"/>
        <v>5.9999999999897113</v>
      </c>
      <c r="L7" s="38">
        <f>$F7+'TEKMOVALNI LIST'!D$9/60</f>
        <v>0.55848834731978469</v>
      </c>
      <c r="M7" s="38">
        <v>0.55922453703703701</v>
      </c>
      <c r="N7" s="45">
        <f t="shared" si="3"/>
        <v>117.21358314119939</v>
      </c>
      <c r="O7" s="38">
        <f>$F7+'TEKMOVALNI LIST'!D$10/60</f>
        <v>0.56213645530028478</v>
      </c>
      <c r="P7" s="38"/>
      <c r="Q7" s="37">
        <f t="shared" si="4"/>
        <v>150</v>
      </c>
      <c r="R7" s="38">
        <f>$F7+'TEKMOVALNI LIST'!D$11/60</f>
        <v>0.56607011234773985</v>
      </c>
      <c r="S7" s="38">
        <v>0.57250000000000001</v>
      </c>
      <c r="T7" s="45">
        <f t="shared" si="5"/>
        <v>150</v>
      </c>
      <c r="U7" s="38">
        <f>$F7+'TEKMOVALNI LIST'!D$12/60</f>
        <v>0.57268771034407584</v>
      </c>
      <c r="V7" s="38">
        <v>0.57751157407407405</v>
      </c>
      <c r="W7" s="45">
        <f t="shared" si="6"/>
        <v>150</v>
      </c>
      <c r="X7" s="38">
        <f>$F7+'TEKMOVALNI LIST'!D$13/60</f>
        <v>0.57945543668877175</v>
      </c>
      <c r="Y7" s="38">
        <v>0.58137731481481481</v>
      </c>
      <c r="Z7" s="37">
        <f t="shared" si="7"/>
        <v>150</v>
      </c>
      <c r="AA7" s="38">
        <f>$F7+'TEKMOVALNI LIST'!D$14/60</f>
        <v>0.58285251348064726</v>
      </c>
      <c r="AB7" s="38">
        <v>0.58701388888888884</v>
      </c>
      <c r="AC7" s="37">
        <f t="shared" si="8"/>
        <v>150</v>
      </c>
      <c r="AD7" s="38">
        <f>$F7+'TEKMOVALNI LIST'!G$14/60</f>
        <v>0.57791285423896444</v>
      </c>
      <c r="AE7" s="38">
        <v>0.58701388888888884</v>
      </c>
      <c r="AF7" s="37">
        <f t="shared" si="9"/>
        <v>150</v>
      </c>
      <c r="AG7" s="38">
        <f>$F7+'TEKMOVALNI LIST'!D$16/60</f>
        <v>0.59777498921993966</v>
      </c>
      <c r="AH7" s="38">
        <v>0.59653935185185192</v>
      </c>
      <c r="AI7" s="45">
        <f t="shared" si="10"/>
        <v>150</v>
      </c>
      <c r="AJ7" s="62">
        <f t="shared" si="11"/>
        <v>1173.2135831411892</v>
      </c>
      <c r="AM7" s="36" t="s">
        <v>29</v>
      </c>
      <c r="AN7" s="36">
        <f t="shared" si="12"/>
        <v>0</v>
      </c>
      <c r="AO7" s="36" t="s">
        <v>30</v>
      </c>
      <c r="AP7" s="36">
        <f t="shared" si="13"/>
        <v>0</v>
      </c>
      <c r="AQ7" s="36" t="s">
        <v>30</v>
      </c>
      <c r="AR7" s="36">
        <f t="shared" si="14"/>
        <v>0</v>
      </c>
      <c r="AS7" s="36" t="s">
        <v>29</v>
      </c>
      <c r="AT7" s="36">
        <f t="shared" ref="AT7:AT11" si="54">IF(AS7=$AS$1,0,$AS$2)</f>
        <v>0</v>
      </c>
      <c r="AU7" s="36" t="s">
        <v>30</v>
      </c>
      <c r="AV7" s="36">
        <f t="shared" si="15"/>
        <v>0</v>
      </c>
      <c r="AW7" s="36" t="s">
        <v>30</v>
      </c>
      <c r="AX7" s="36">
        <f t="shared" si="16"/>
        <v>0</v>
      </c>
      <c r="AY7" s="36" t="s">
        <v>30</v>
      </c>
      <c r="AZ7" s="36">
        <f t="shared" si="17"/>
        <v>0</v>
      </c>
      <c r="BA7" s="36" t="s">
        <v>30</v>
      </c>
      <c r="BB7" s="36">
        <f t="shared" si="18"/>
        <v>0</v>
      </c>
      <c r="BC7" s="36">
        <f t="shared" si="19"/>
        <v>0</v>
      </c>
      <c r="BD7" s="39">
        <v>9</v>
      </c>
      <c r="BE7" s="39">
        <f t="shared" si="20"/>
        <v>15</v>
      </c>
      <c r="BG7" s="39">
        <f t="shared" si="20"/>
        <v>30</v>
      </c>
      <c r="BH7" s="40"/>
      <c r="BI7" s="39">
        <f t="shared" ref="BI7" si="55">IF(BH7="",30,IF(BH7&lt;5.1,0,IF(BH7&gt;10.1,50,15)))</f>
        <v>30</v>
      </c>
      <c r="BJ7" s="40">
        <v>0</v>
      </c>
      <c r="BK7" s="39">
        <f t="shared" ref="BK7:BM7" si="56">IF(BJ7="",30,IF(BJ7&lt;5.1,0,IF(BJ7&gt;10.1,50,15)))</f>
        <v>0</v>
      </c>
      <c r="BL7" s="39">
        <v>0</v>
      </c>
      <c r="BM7" s="39">
        <f t="shared" si="56"/>
        <v>0</v>
      </c>
      <c r="BN7" s="39">
        <v>0</v>
      </c>
      <c r="BO7" s="39">
        <f t="shared" ref="BO7" si="57">IF(BN7="",30,IF(BN7&lt;5.1,0,IF(BN7&gt;10.1,50,15)))</f>
        <v>0</v>
      </c>
      <c r="BP7" s="39">
        <v>0</v>
      </c>
      <c r="BQ7" s="39">
        <f t="shared" ref="BQ7" si="58">IF(BP7="",30,IF(BP7&lt;5.1,0,IF(BP7&gt;10.1,50,15)))</f>
        <v>0</v>
      </c>
      <c r="BR7" s="39">
        <v>7</v>
      </c>
      <c r="BS7" s="39">
        <f t="shared" ref="BS7" si="59">IF(BR7="",30,IF(BR7&lt;5.1,0,IF(BR7&gt;10.1,50,15)))</f>
        <v>15</v>
      </c>
      <c r="BT7" s="39">
        <v>0</v>
      </c>
      <c r="BU7" s="39">
        <f t="shared" ref="BU7" si="60">IF(BT7="",30,IF(BT7&lt;5.1,0,IF(BT7&gt;10.1,50,15)))</f>
        <v>0</v>
      </c>
      <c r="BV7" s="39">
        <v>0</v>
      </c>
      <c r="BW7" s="39">
        <f t="shared" ref="BW7" si="61">IF(BV7="",30,IF(BV7&lt;5.1,0,IF(BV7&gt;10.1,50,15)))</f>
        <v>0</v>
      </c>
      <c r="BX7" s="39">
        <v>0</v>
      </c>
      <c r="BY7" s="39">
        <f t="shared" ref="BY7" si="62">IF(BX7="",30,IF(BX7&lt;5.1,0,IF(BX7&gt;10.1,50,15)))</f>
        <v>0</v>
      </c>
      <c r="CA7" s="39">
        <f t="shared" ref="CA7" si="63">IF(BZ7="",30,IF(BZ7&lt;5.1,0,IF(BZ7&gt;10.1,50,15)))</f>
        <v>30</v>
      </c>
      <c r="CC7" s="39">
        <f t="shared" ref="CC7" si="64">IF(CB7="",30,IF(CB7&lt;5.1,0,IF(CB7&gt;10.1,50,15)))</f>
        <v>30</v>
      </c>
      <c r="CF7" s="39">
        <f t="shared" si="31"/>
        <v>150</v>
      </c>
      <c r="CH7" s="41">
        <v>20</v>
      </c>
      <c r="CJ7" s="41">
        <v>200</v>
      </c>
      <c r="CK7" s="41">
        <f t="shared" si="32"/>
        <v>220</v>
      </c>
      <c r="CM7" s="43">
        <f t="shared" si="33"/>
        <v>1543.2135831411892</v>
      </c>
      <c r="CN7" s="42">
        <f t="shared" si="34"/>
        <v>1</v>
      </c>
      <c r="CP7" s="47">
        <f t="shared" si="35"/>
        <v>3</v>
      </c>
      <c r="CQ7" s="10" t="str">
        <f t="shared" si="0"/>
        <v>Rajko Grčar</v>
      </c>
      <c r="CR7" s="10" t="str">
        <f t="shared" si="36"/>
        <v>Sebastjan Jelen</v>
      </c>
      <c r="CS7" s="10" t="str">
        <f t="shared" si="1"/>
        <v>S5-PES</v>
      </c>
      <c r="CT7" s="57">
        <f t="shared" si="48"/>
        <v>1205.9999999999993</v>
      </c>
      <c r="CU7" s="57">
        <f t="shared" si="49"/>
        <v>0</v>
      </c>
      <c r="CV7" s="57">
        <f t="shared" si="50"/>
        <v>225</v>
      </c>
      <c r="CW7" s="57">
        <f t="shared" si="51"/>
        <v>60</v>
      </c>
      <c r="CX7" s="57">
        <f t="shared" si="52"/>
        <v>100</v>
      </c>
      <c r="CY7" s="57">
        <f t="shared" si="53"/>
        <v>1590.9999999999993</v>
      </c>
      <c r="CZ7" s="58">
        <f t="shared" si="37"/>
        <v>2</v>
      </c>
    </row>
    <row r="8" spans="1:104" x14ac:dyDescent="0.2">
      <c r="A8">
        <v>5</v>
      </c>
      <c r="B8" t="s">
        <v>95</v>
      </c>
      <c r="C8" t="s">
        <v>96</v>
      </c>
      <c r="D8" t="s">
        <v>91</v>
      </c>
      <c r="E8">
        <v>70</v>
      </c>
      <c r="F8" s="38">
        <v>0.55902777777777779</v>
      </c>
      <c r="G8" s="38">
        <v>0.55901620370370375</v>
      </c>
      <c r="H8" s="37">
        <f>IF(IF(ABS((F8-G8)*3600*24)&gt;$H$1,(ABS((F8-G8)*3600*24)-5)*$K$2,0)&gt;150,150,IF(ABS((F8-G8)*3600*24)&gt;$H$1,(ABS((F8-G8)*3600*24)-5)*$K$2,0))</f>
        <v>0</v>
      </c>
      <c r="I8" s="38">
        <f>$F8+'TEKMOVALNI LIST'!C$8/60</f>
        <v>0.56180555555555556</v>
      </c>
      <c r="J8" s="38">
        <v>0.56200231481481489</v>
      </c>
      <c r="K8" s="37">
        <f t="shared" si="2"/>
        <v>24.00000000001171</v>
      </c>
      <c r="L8" s="38">
        <f>$F8+'TEKMOVALNI LIST'!D$9/60</f>
        <v>0.56543279176422911</v>
      </c>
      <c r="M8" s="38">
        <v>0.56627314814814811</v>
      </c>
      <c r="N8" s="37">
        <f t="shared" si="3"/>
        <v>135.21358314120221</v>
      </c>
      <c r="O8" s="38">
        <f>$F8+'TEKMOVALNI LIST'!D$10/60</f>
        <v>0.5690808997447292</v>
      </c>
      <c r="P8" s="38">
        <v>0.5710763888888889</v>
      </c>
      <c r="Q8" s="37">
        <f t="shared" si="4"/>
        <v>150</v>
      </c>
      <c r="R8" s="38">
        <f>$F8+'TEKMOVALNI LIST'!D$11/60</f>
        <v>0.57301455679218427</v>
      </c>
      <c r="S8" s="38">
        <v>0.58001157407407411</v>
      </c>
      <c r="T8" s="45">
        <f t="shared" si="5"/>
        <v>150</v>
      </c>
      <c r="U8" s="38">
        <f>$F8+'TEKMOVALNI LIST'!D$12/60</f>
        <v>0.57963215478852026</v>
      </c>
      <c r="V8" s="38">
        <v>0.58467592592592588</v>
      </c>
      <c r="W8" s="45">
        <f t="shared" si="6"/>
        <v>150</v>
      </c>
      <c r="X8" s="38">
        <f>$F8+'TEKMOVALNI LIST'!D$13/60</f>
        <v>0.58639988113321617</v>
      </c>
      <c r="Y8" s="38">
        <v>0.58868055555555554</v>
      </c>
      <c r="Z8" s="45">
        <f t="shared" si="7"/>
        <v>150</v>
      </c>
      <c r="AA8" s="38">
        <f>$F8+'TEKMOVALNI LIST'!D$14/60</f>
        <v>0.58979695792509168</v>
      </c>
      <c r="AB8" s="38">
        <v>0.59489583333333329</v>
      </c>
      <c r="AC8" s="37">
        <f t="shared" si="8"/>
        <v>150</v>
      </c>
      <c r="AD8" s="38">
        <f>$F8+'TEKMOVALNI LIST'!G$14/60</f>
        <v>0.58485729868340885</v>
      </c>
      <c r="AE8" s="38">
        <v>0.59489583333333329</v>
      </c>
      <c r="AF8" s="37">
        <f t="shared" si="9"/>
        <v>150</v>
      </c>
      <c r="AG8" s="38">
        <f>$F8+'TEKMOVALNI LIST'!D$16/60</f>
        <v>0.60471943366438408</v>
      </c>
      <c r="AH8" s="38">
        <v>0.6038310185185185</v>
      </c>
      <c r="AI8" s="37">
        <f t="shared" si="10"/>
        <v>143.51813720557104</v>
      </c>
      <c r="AJ8" s="62">
        <f t="shared" si="11"/>
        <v>1202.7317203467849</v>
      </c>
      <c r="AM8" s="36" t="s">
        <v>29</v>
      </c>
      <c r="AN8" s="36">
        <f t="shared" si="12"/>
        <v>0</v>
      </c>
      <c r="AO8" s="36" t="s">
        <v>30</v>
      </c>
      <c r="AP8" s="36">
        <f t="shared" si="13"/>
        <v>0</v>
      </c>
      <c r="AQ8" s="36" t="s">
        <v>29</v>
      </c>
      <c r="AR8" s="36">
        <f t="shared" si="14"/>
        <v>50</v>
      </c>
      <c r="AS8" s="36" t="s">
        <v>29</v>
      </c>
      <c r="AT8" s="36">
        <f t="shared" si="54"/>
        <v>0</v>
      </c>
      <c r="AU8" s="36" t="s">
        <v>30</v>
      </c>
      <c r="AV8" s="36">
        <f t="shared" si="15"/>
        <v>0</v>
      </c>
      <c r="AW8" s="36" t="s">
        <v>30</v>
      </c>
      <c r="AX8" s="36">
        <f t="shared" si="16"/>
        <v>0</v>
      </c>
      <c r="AY8" s="36" t="s">
        <v>30</v>
      </c>
      <c r="AZ8" s="36">
        <f t="shared" si="17"/>
        <v>0</v>
      </c>
      <c r="BA8" s="36" t="s">
        <v>30</v>
      </c>
      <c r="BB8" s="36">
        <f t="shared" si="18"/>
        <v>0</v>
      </c>
      <c r="BC8" s="36">
        <f t="shared" si="19"/>
        <v>50</v>
      </c>
      <c r="BD8" s="39">
        <v>50</v>
      </c>
      <c r="BE8" s="39">
        <f t="shared" si="20"/>
        <v>50</v>
      </c>
      <c r="BF8" s="39">
        <v>0</v>
      </c>
      <c r="BG8" s="39">
        <f t="shared" si="20"/>
        <v>0</v>
      </c>
      <c r="BH8" s="40"/>
      <c r="BI8" s="39">
        <f t="shared" ref="BI8" si="65">IF(BH8="",30,IF(BH8&lt;5.1,0,IF(BH8&gt;10.1,50,15)))</f>
        <v>30</v>
      </c>
      <c r="BJ8" s="40"/>
      <c r="BK8" s="39">
        <f t="shared" ref="BK8:BM8" si="66">IF(BJ8="",30,IF(BJ8&lt;5.1,0,IF(BJ8&gt;10.1,50,15)))</f>
        <v>30</v>
      </c>
      <c r="BM8" s="39">
        <f t="shared" si="66"/>
        <v>30</v>
      </c>
      <c r="BO8" s="39">
        <f t="shared" ref="BO8" si="67">IF(BN8="",30,IF(BN8&lt;5.1,0,IF(BN8&gt;10.1,50,15)))</f>
        <v>30</v>
      </c>
      <c r="BQ8" s="39">
        <f t="shared" ref="BQ8" si="68">IF(BP8="",30,IF(BP8&lt;5.1,0,IF(BP8&gt;10.1,50,15)))</f>
        <v>30</v>
      </c>
      <c r="BS8" s="39">
        <f t="shared" ref="BS8" si="69">IF(BR8="",30,IF(BR8&lt;5.1,0,IF(BR8&gt;10.1,50,15)))</f>
        <v>30</v>
      </c>
      <c r="BU8" s="39">
        <f t="shared" ref="BU8" si="70">IF(BT8="",30,IF(BT8&lt;5.1,0,IF(BT8&gt;10.1,50,15)))</f>
        <v>30</v>
      </c>
      <c r="BW8" s="39">
        <f t="shared" ref="BW8" si="71">IF(BV8="",30,IF(BV8&lt;5.1,0,IF(BV8&gt;10.1,50,15)))</f>
        <v>30</v>
      </c>
      <c r="BY8" s="39">
        <f t="shared" ref="BY8" si="72">IF(BX8="",30,IF(BX8&lt;5.1,0,IF(BX8&gt;10.1,50,15)))</f>
        <v>30</v>
      </c>
      <c r="BZ8" s="39">
        <v>0</v>
      </c>
      <c r="CA8" s="39">
        <f t="shared" ref="CA8" si="73">IF(BZ8="",30,IF(BZ8&lt;5.1,0,IF(BZ8&gt;10.1,50,15)))</f>
        <v>0</v>
      </c>
      <c r="CC8" s="39">
        <f t="shared" ref="CC8" si="74">IF(CB8="",30,IF(CB8&lt;5.1,0,IF(CB8&gt;10.1,50,15)))</f>
        <v>30</v>
      </c>
      <c r="CF8" s="39">
        <f t="shared" si="31"/>
        <v>350</v>
      </c>
      <c r="CH8" s="41">
        <v>0</v>
      </c>
      <c r="CJ8" s="41">
        <v>40</v>
      </c>
      <c r="CK8" s="41">
        <f t="shared" si="32"/>
        <v>40</v>
      </c>
      <c r="CM8" s="43">
        <f t="shared" si="33"/>
        <v>1642.7317203467849</v>
      </c>
      <c r="CN8" s="42">
        <f t="shared" si="34"/>
        <v>5</v>
      </c>
      <c r="CP8" s="47">
        <f t="shared" si="35"/>
        <v>4</v>
      </c>
      <c r="CQ8" s="10" t="str">
        <f t="shared" si="0"/>
        <v>Denis Nemeš</v>
      </c>
      <c r="CR8" s="10" t="str">
        <f t="shared" si="36"/>
        <v>Ravnič Kristian</v>
      </c>
      <c r="CS8" s="10" t="str">
        <f t="shared" si="1"/>
        <v>S5-DJO</v>
      </c>
      <c r="CT8" s="57">
        <f t="shared" si="48"/>
        <v>1173.2135831411892</v>
      </c>
      <c r="CU8" s="57">
        <f t="shared" si="49"/>
        <v>0</v>
      </c>
      <c r="CV8" s="57">
        <f t="shared" si="50"/>
        <v>150</v>
      </c>
      <c r="CW8" s="57">
        <f t="shared" si="51"/>
        <v>220</v>
      </c>
      <c r="CX8" s="57">
        <f t="shared" si="52"/>
        <v>0</v>
      </c>
      <c r="CY8" s="57">
        <f t="shared" si="53"/>
        <v>1543.2135831411892</v>
      </c>
      <c r="CZ8" s="58">
        <f t="shared" si="37"/>
        <v>1</v>
      </c>
    </row>
    <row r="9" spans="1:104" x14ac:dyDescent="0.2">
      <c r="A9">
        <v>6</v>
      </c>
      <c r="B9" t="s">
        <v>97</v>
      </c>
      <c r="C9" t="s">
        <v>98</v>
      </c>
      <c r="D9" t="s">
        <v>99</v>
      </c>
      <c r="E9">
        <v>75</v>
      </c>
      <c r="F9" s="38">
        <v>0.54166666666666663</v>
      </c>
      <c r="G9" s="38">
        <v>0.54224537037037035</v>
      </c>
      <c r="H9" s="37">
        <f>IF(IF(ABS((F9-G9)*3600*24)&gt;$H$1,(ABS((F9-G9)*3600*24)-5)*$K$2,0)&gt;150,150,IF(ABS((F9-G9)*3600*24)&gt;$H$1,(ABS((F9-G9)*3600*24)-5)*$K$2,0))</f>
        <v>0</v>
      </c>
      <c r="I9" s="38">
        <f>$F9+'TEKMOVALNI LIST'!C$8/60</f>
        <v>0.5444444444444444</v>
      </c>
      <c r="J9" s="38">
        <v>0.54442129629629632</v>
      </c>
      <c r="K9" s="37">
        <f t="shared" si="2"/>
        <v>0</v>
      </c>
      <c r="L9" s="38">
        <f>$F9+'TEKMOVALNI LIST'!E$9/60</f>
        <v>0.54782986490587304</v>
      </c>
      <c r="M9" s="38"/>
      <c r="N9" s="37">
        <f t="shared" si="3"/>
        <v>150</v>
      </c>
      <c r="O9" s="38">
        <f>$F9+'TEKMOVALNI LIST'!E$10/60</f>
        <v>0.55123476568767316</v>
      </c>
      <c r="P9" s="38">
        <v>0.55313657407407402</v>
      </c>
      <c r="Q9" s="37">
        <f t="shared" si="4"/>
        <v>150</v>
      </c>
      <c r="R9" s="38">
        <f>$F9+'TEKMOVALNI LIST'!E$11/60</f>
        <v>0.55490617893196448</v>
      </c>
      <c r="S9" s="38">
        <v>0.56112268518518515</v>
      </c>
      <c r="T9" s="45">
        <f t="shared" si="5"/>
        <v>150</v>
      </c>
      <c r="U9" s="38">
        <f>$F9+'TEKMOVALNI LIST'!E$12/60</f>
        <v>0.56108260372854479</v>
      </c>
      <c r="V9" s="38">
        <v>0.56543981481481487</v>
      </c>
      <c r="W9" s="37">
        <f t="shared" si="6"/>
        <v>150</v>
      </c>
      <c r="X9" s="38">
        <f>$F9+'TEKMOVALNI LIST'!E$13/60</f>
        <v>0.56739914831692762</v>
      </c>
      <c r="Y9" s="38">
        <v>0.56916666666666671</v>
      </c>
      <c r="Z9" s="37">
        <f t="shared" si="7"/>
        <v>150</v>
      </c>
      <c r="AA9" s="38">
        <f>$F9+'TEKMOVALNI LIST'!E$14/60</f>
        <v>0.57056975332267812</v>
      </c>
      <c r="AB9" s="38">
        <v>0.57453703703703707</v>
      </c>
      <c r="AC9" s="37">
        <f t="shared" si="8"/>
        <v>150</v>
      </c>
      <c r="AD9" s="38">
        <f>$F9+'TEKMOVALNI LIST'!H$14/60</f>
        <v>0.57451532973387454</v>
      </c>
      <c r="AE9" s="38">
        <v>0.57453703703703707</v>
      </c>
      <c r="AF9" s="37">
        <f t="shared" si="9"/>
        <v>0</v>
      </c>
      <c r="AG9" s="38">
        <f>$F9+'TEKMOVALNI LIST'!E$16/60</f>
        <v>0.58449739734601769</v>
      </c>
      <c r="AH9" s="38">
        <v>0.58329861111111114</v>
      </c>
      <c r="AI9" s="37">
        <f t="shared" si="10"/>
        <v>150</v>
      </c>
      <c r="AJ9" s="62">
        <f t="shared" si="11"/>
        <v>1050</v>
      </c>
      <c r="AM9" s="36" t="s">
        <v>29</v>
      </c>
      <c r="AN9" s="36">
        <f t="shared" si="12"/>
        <v>0</v>
      </c>
      <c r="AO9" s="36" t="s">
        <v>30</v>
      </c>
      <c r="AP9" s="36">
        <f t="shared" si="13"/>
        <v>0</v>
      </c>
      <c r="AQ9" s="36" t="s">
        <v>30</v>
      </c>
      <c r="AR9" s="36">
        <f t="shared" si="14"/>
        <v>0</v>
      </c>
      <c r="AS9" s="36" t="s">
        <v>29</v>
      </c>
      <c r="AT9" s="36">
        <f t="shared" si="54"/>
        <v>0</v>
      </c>
      <c r="AU9" s="36" t="s">
        <v>30</v>
      </c>
      <c r="AV9" s="36">
        <f t="shared" si="15"/>
        <v>0</v>
      </c>
      <c r="AW9" s="36" t="s">
        <v>30</v>
      </c>
      <c r="AX9" s="36">
        <f t="shared" si="16"/>
        <v>0</v>
      </c>
      <c r="AY9" s="36" t="s">
        <v>29</v>
      </c>
      <c r="AZ9" s="36">
        <f t="shared" si="17"/>
        <v>50</v>
      </c>
      <c r="BA9" s="36" t="s">
        <v>30</v>
      </c>
      <c r="BB9" s="36">
        <f t="shared" si="18"/>
        <v>0</v>
      </c>
      <c r="BC9" s="36">
        <f t="shared" si="19"/>
        <v>50</v>
      </c>
      <c r="BE9" s="39">
        <f t="shared" si="20"/>
        <v>30</v>
      </c>
      <c r="BF9" s="39">
        <v>13</v>
      </c>
      <c r="BG9" s="39">
        <f t="shared" si="20"/>
        <v>50</v>
      </c>
      <c r="BH9" s="40"/>
      <c r="BI9" s="39">
        <f t="shared" ref="BI9" si="75">IF(BH9="",30,IF(BH9&lt;5.1,0,IF(BH9&gt;10.1,50,15)))</f>
        <v>30</v>
      </c>
      <c r="BJ9" s="40"/>
      <c r="BK9" s="39">
        <f t="shared" ref="BK9:BM9" si="76">IF(BJ9="",30,IF(BJ9&lt;5.1,0,IF(BJ9&gt;10.1,50,15)))</f>
        <v>30</v>
      </c>
      <c r="BL9" s="39">
        <v>0</v>
      </c>
      <c r="BM9" s="39">
        <f t="shared" si="76"/>
        <v>0</v>
      </c>
      <c r="BO9" s="39">
        <f t="shared" ref="BO9" si="77">IF(BN9="",30,IF(BN9&lt;5.1,0,IF(BN9&gt;10.1,50,15)))</f>
        <v>30</v>
      </c>
      <c r="BQ9" s="39">
        <f t="shared" ref="BQ9" si="78">IF(BP9="",30,IF(BP9&lt;5.1,0,IF(BP9&gt;10.1,50,15)))</f>
        <v>30</v>
      </c>
      <c r="BR9" s="39">
        <v>0</v>
      </c>
      <c r="BS9" s="39">
        <f t="shared" ref="BS9" si="79">IF(BR9="",30,IF(BR9&lt;5.1,0,IF(BR9&gt;10.1,50,15)))</f>
        <v>0</v>
      </c>
      <c r="BT9" s="39">
        <v>0</v>
      </c>
      <c r="BU9" s="39">
        <f t="shared" ref="BU9" si="80">IF(BT9="",30,IF(BT9&lt;5.1,0,IF(BT9&gt;10.1,50,15)))</f>
        <v>0</v>
      </c>
      <c r="BW9" s="39">
        <f t="shared" ref="BW9" si="81">IF(BV9="",30,IF(BV9&lt;5.1,0,IF(BV9&gt;10.1,50,15)))</f>
        <v>30</v>
      </c>
      <c r="BX9" s="39">
        <v>0</v>
      </c>
      <c r="BY9" s="39">
        <f t="shared" ref="BY9" si="82">IF(BX9="",30,IF(BX9&lt;5.1,0,IF(BX9&gt;10.1,50,15)))</f>
        <v>0</v>
      </c>
      <c r="CA9" s="39">
        <f t="shared" ref="CA9" si="83">IF(BZ9="",30,IF(BZ9&lt;5.1,0,IF(BZ9&gt;10.1,50,15)))</f>
        <v>30</v>
      </c>
      <c r="CC9" s="39">
        <f t="shared" ref="CC9" si="84">IF(CB9="",30,IF(CB9&lt;5.1,0,IF(CB9&gt;10.1,50,15)))</f>
        <v>30</v>
      </c>
      <c r="CF9" s="39">
        <f t="shared" si="31"/>
        <v>290</v>
      </c>
      <c r="CH9" s="41">
        <v>200</v>
      </c>
      <c r="CJ9" s="41">
        <v>40</v>
      </c>
      <c r="CK9" s="41">
        <f t="shared" si="32"/>
        <v>240</v>
      </c>
      <c r="CM9" s="43">
        <f t="shared" si="33"/>
        <v>1630</v>
      </c>
      <c r="CN9" s="42">
        <f t="shared" si="34"/>
        <v>3</v>
      </c>
      <c r="CP9" s="47">
        <f t="shared" si="35"/>
        <v>5</v>
      </c>
      <c r="CQ9" s="10" t="str">
        <f t="shared" si="0"/>
        <v>Jože Velnar</v>
      </c>
      <c r="CR9" s="10" t="str">
        <f t="shared" si="36"/>
        <v>Damijan Korpič</v>
      </c>
      <c r="CS9" s="10" t="str">
        <f t="shared" si="1"/>
        <v>S5-PES</v>
      </c>
      <c r="CT9" s="57">
        <f t="shared" si="48"/>
        <v>1202.7317203467849</v>
      </c>
      <c r="CU9" s="57">
        <f t="shared" si="49"/>
        <v>50</v>
      </c>
      <c r="CV9" s="57">
        <f t="shared" si="50"/>
        <v>350</v>
      </c>
      <c r="CW9" s="57">
        <f t="shared" si="51"/>
        <v>40</v>
      </c>
      <c r="CX9" s="57">
        <f t="shared" si="52"/>
        <v>0</v>
      </c>
      <c r="CY9" s="57">
        <f t="shared" si="53"/>
        <v>1642.7317203467849</v>
      </c>
      <c r="CZ9" s="58">
        <f t="shared" si="37"/>
        <v>5</v>
      </c>
    </row>
    <row r="10" spans="1:104" x14ac:dyDescent="0.2">
      <c r="A10">
        <v>7</v>
      </c>
      <c r="B10" t="s">
        <v>100</v>
      </c>
      <c r="C10" t="s">
        <v>101</v>
      </c>
      <c r="D10" t="s">
        <v>102</v>
      </c>
      <c r="E10">
        <v>80</v>
      </c>
      <c r="F10" s="38">
        <v>0.58333333333333337</v>
      </c>
      <c r="G10" s="38">
        <v>0.58344907407407409</v>
      </c>
      <c r="H10" s="37">
        <f>IF(IF(ABS((F10-G10)*3600*24)&gt;$H$1,(ABS((F10-G10)*3600*24)-5)*$K$2,0)&gt;150,150,IF(ABS((F10-G10)*3600*24)&gt;$H$1,(ABS((F10-G10)*3600*24)-5)*$K$2,0))</f>
        <v>0</v>
      </c>
      <c r="I10" s="38">
        <f>$F10+'TEKMOVALNI LIST'!C$8/60</f>
        <v>0.58611111111111114</v>
      </c>
      <c r="J10" s="38">
        <v>0.58612268518518518</v>
      </c>
      <c r="K10" s="37">
        <f t="shared" ref="K10" si="85">IF(IF(ABS((I10-J10)*3600*24)&gt;$K$1,(ABS((I10-J10)*3600*24)-5)*$K$2,0)&gt;150,150,IF(ABS((I10-J10)*3600*24)&gt;$K$1,(ABS((I10-J10)*3600*24)-5)*$K$2,0))</f>
        <v>0</v>
      </c>
      <c r="L10" s="38">
        <f>$F10+'TEKMOVALNI LIST'!F$9/60</f>
        <v>0.58928494279370047</v>
      </c>
      <c r="M10" s="38">
        <v>0.59004629629629635</v>
      </c>
      <c r="N10" s="45">
        <f t="shared" ref="N10" si="86">IF(IF(ABS((L10-M10)*3600*24)&gt;$K$1,(ABS((L10-M10)*3600*24)-5)*$K$2,0)&gt;150,150,IF(ABS((L10-M10)*3600*24)&gt;$K$1,(ABS((L10-M10)*3600*24)-5)*$K$2,0))</f>
        <v>121.56188524856702</v>
      </c>
      <c r="O10" s="38">
        <f>$F10+'TEKMOVALNI LIST'!F$10/60</f>
        <v>0.59247703727663814</v>
      </c>
      <c r="P10" s="38"/>
      <c r="Q10" s="37">
        <f t="shared" ref="Q10" si="87">IF(IF(ABS((O10-P10)*3600*24)&gt;$K$1,(ABS((O10-P10)*3600*24)-5)*$K$2,0)&gt;150,150,IF(ABS((O10-P10)*3600*24)&gt;$K$1,(ABS((O10-P10)*3600*24)-5)*$K$2,0))</f>
        <v>150</v>
      </c>
      <c r="R10" s="38">
        <f>$F10+'TEKMOVALNI LIST'!F$11/60</f>
        <v>0.59591898719316128</v>
      </c>
      <c r="S10" s="38">
        <v>0.60159722222222223</v>
      </c>
      <c r="T10" s="45">
        <f t="shared" ref="T10" si="88">IF(IF(ABS((R10-S10)*3600*24)&gt;$K$1,(ABS((R10-S10)*3600*24)-5)*$K$2,0)&gt;150,150,IF(ABS((R10-S10)*3600*24)&gt;$K$1,(ABS((R10-S10)*3600*24)-5)*$K$2,0))</f>
        <v>150</v>
      </c>
      <c r="U10" s="38">
        <f>$F10+'TEKMOVALNI LIST'!F$12/60</f>
        <v>0.60170938543995534</v>
      </c>
      <c r="V10" s="38">
        <v>0.60585648148148141</v>
      </c>
      <c r="W10" s="37">
        <f t="shared" ref="W10" si="89">IF(IF(ABS((U10-V10)*3600*24)&gt;$K$1,(ABS((U10-V10)*3600*24)-5)*$K$2,0)&gt;150,150,IF(ABS((U10-V10)*3600*24)&gt;$K$1,(ABS((U10-V10)*3600*24)-5)*$K$2,0))</f>
        <v>150</v>
      </c>
      <c r="X10" s="38">
        <f>$F10+'TEKMOVALNI LIST'!F$13/60</f>
        <v>0.6076311459915642</v>
      </c>
      <c r="Y10" s="38">
        <v>0.60935185185185181</v>
      </c>
      <c r="Z10" s="45">
        <f t="shared" ref="Z10" si="90">IF(IF(ABS((X10-Y10)*3600*24)&gt;$K$1,(ABS((X10-Y10)*3600*24)-5)*$K$2,0)&gt;150,150,IF(ABS((X10-Y10)*3600*24)&gt;$K$1,(ABS((X10-Y10)*3600*24)-5)*$K$2,0))</f>
        <v>150</v>
      </c>
      <c r="AA10" s="38">
        <f>$F10+'TEKMOVALNI LIST'!F$14/60</f>
        <v>0.61060358818445526</v>
      </c>
      <c r="AB10" s="38">
        <v>0.61453703703703699</v>
      </c>
      <c r="AC10" s="45">
        <f t="shared" ref="AC10" si="91">IF(IF(ABS((AA10-AB10)*3600*24)&gt;$K$1,(ABS((AA10-AB10)*3600*24)-5)*$K$2,0)&gt;150,150,IF(ABS((AA10-AB10)*3600*24)&gt;$K$1,(ABS((AA10-AB10)*3600*24)-5)*$K$2,0))</f>
        <v>150</v>
      </c>
      <c r="AD10" s="38">
        <f>$F10+'TEKMOVALNI LIST'!I$14/60</f>
        <v>0.58333333333333337</v>
      </c>
      <c r="AE10" s="38">
        <v>0.61453703703703699</v>
      </c>
      <c r="AF10" s="45">
        <f t="shared" si="9"/>
        <v>150</v>
      </c>
      <c r="AG10" s="38">
        <f>$F10+'TEKMOVALNI LIST'!F$16/60</f>
        <v>0.62366075445633617</v>
      </c>
      <c r="AH10" s="38">
        <v>0.62269675925925927</v>
      </c>
      <c r="AI10" s="37">
        <f t="shared" ref="AI10" si="92">IF(IF(ABS((AG10-AH10)*3600*24)&gt;$K$1,(ABS((AG10-AH10)*3600*24)-5)*$K$2,0)&gt;150,150,IF(ABS((AG10-AH10)*3600*24)&gt;$K$1,(ABS((AG10-AH10)*3600*24)-5)*$K$2,0))</f>
        <v>150</v>
      </c>
      <c r="AJ10" s="62">
        <f t="shared" si="11"/>
        <v>1171.561885248567</v>
      </c>
      <c r="AM10" s="36" t="s">
        <v>29</v>
      </c>
      <c r="AN10" s="36">
        <f t="shared" si="12"/>
        <v>0</v>
      </c>
      <c r="AO10" s="36" t="s">
        <v>29</v>
      </c>
      <c r="AP10" s="36">
        <f t="shared" si="13"/>
        <v>50</v>
      </c>
      <c r="AQ10" s="36" t="s">
        <v>30</v>
      </c>
      <c r="AR10" s="36">
        <f t="shared" si="14"/>
        <v>0</v>
      </c>
      <c r="AS10" s="36" t="s">
        <v>29</v>
      </c>
      <c r="AT10" s="36">
        <f t="shared" si="54"/>
        <v>0</v>
      </c>
      <c r="AU10" s="36" t="s">
        <v>30</v>
      </c>
      <c r="AV10" s="36">
        <f t="shared" si="15"/>
        <v>0</v>
      </c>
      <c r="AW10" s="36" t="s">
        <v>30</v>
      </c>
      <c r="AX10" s="36">
        <f t="shared" si="16"/>
        <v>0</v>
      </c>
      <c r="AY10" s="36" t="s">
        <v>30</v>
      </c>
      <c r="AZ10" s="36">
        <f t="shared" si="17"/>
        <v>0</v>
      </c>
      <c r="BA10" s="36" t="s">
        <v>30</v>
      </c>
      <c r="BB10" s="36">
        <f t="shared" si="18"/>
        <v>0</v>
      </c>
      <c r="BC10" s="36">
        <f t="shared" si="19"/>
        <v>50</v>
      </c>
      <c r="BD10" s="39">
        <v>0</v>
      </c>
      <c r="BE10" s="39">
        <f t="shared" si="20"/>
        <v>0</v>
      </c>
      <c r="BG10" s="39">
        <f t="shared" si="20"/>
        <v>30</v>
      </c>
      <c r="BH10" s="40"/>
      <c r="BI10" s="39">
        <f t="shared" ref="BI10" si="93">IF(BH10="",30,IF(BH10&lt;5.1,0,IF(BH10&gt;10.1,50,15)))</f>
        <v>30</v>
      </c>
      <c r="BJ10" s="40"/>
      <c r="BK10" s="39">
        <f t="shared" ref="BK10:BM10" si="94">IF(BJ10="",30,IF(BJ10&lt;5.1,0,IF(BJ10&gt;10.1,50,15)))</f>
        <v>30</v>
      </c>
      <c r="BL10" s="39">
        <v>0</v>
      </c>
      <c r="BM10" s="39">
        <f t="shared" si="94"/>
        <v>0</v>
      </c>
      <c r="BO10" s="39">
        <f t="shared" ref="BO10" si="95">IF(BN10="",30,IF(BN10&lt;5.1,0,IF(BN10&gt;10.1,50,15)))</f>
        <v>30</v>
      </c>
      <c r="BQ10" s="39">
        <f t="shared" ref="BQ10" si="96">IF(BP10="",30,IF(BP10&lt;5.1,0,IF(BP10&gt;10.1,50,15)))</f>
        <v>30</v>
      </c>
      <c r="BS10" s="39">
        <f t="shared" ref="BS10" si="97">IF(BR10="",30,IF(BR10&lt;5.1,0,IF(BR10&gt;10.1,50,15)))</f>
        <v>30</v>
      </c>
      <c r="BU10" s="39">
        <f t="shared" ref="BU10" si="98">IF(BT10="",30,IF(BT10&lt;5.1,0,IF(BT10&gt;10.1,50,15)))</f>
        <v>30</v>
      </c>
      <c r="BW10" s="39">
        <f t="shared" ref="BW10" si="99">IF(BV10="",30,IF(BV10&lt;5.1,0,IF(BV10&gt;10.1,50,15)))</f>
        <v>30</v>
      </c>
      <c r="BY10" s="39">
        <f t="shared" ref="BY10" si="100">IF(BX10="",30,IF(BX10&lt;5.1,0,IF(BX10&gt;10.1,50,15)))</f>
        <v>30</v>
      </c>
      <c r="CA10" s="39">
        <f t="shared" ref="CA10" si="101">IF(BZ10="",30,IF(BZ10&lt;5.1,0,IF(BZ10&gt;10.1,50,15)))</f>
        <v>30</v>
      </c>
      <c r="CC10" s="39">
        <f t="shared" ref="CC10" si="102">IF(CB10="",30,IF(CB10&lt;5.1,0,IF(CB10&gt;10.1,50,15)))</f>
        <v>30</v>
      </c>
      <c r="CF10" s="39">
        <f t="shared" si="31"/>
        <v>330</v>
      </c>
      <c r="CH10" s="41">
        <v>20</v>
      </c>
      <c r="CJ10" s="41">
        <v>80</v>
      </c>
      <c r="CK10" s="41">
        <f t="shared" si="32"/>
        <v>100</v>
      </c>
      <c r="CM10" s="43">
        <f t="shared" si="33"/>
        <v>1651.561885248567</v>
      </c>
      <c r="CN10" s="42">
        <f t="shared" si="34"/>
        <v>6</v>
      </c>
      <c r="CP10" s="47">
        <f t="shared" si="35"/>
        <v>6</v>
      </c>
      <c r="CQ10" s="10" t="str">
        <f t="shared" si="0"/>
        <v>Aleš Škerbinek</v>
      </c>
      <c r="CR10" s="10" t="str">
        <f t="shared" si="36"/>
        <v>Jan Gradišnik</v>
      </c>
      <c r="CS10" s="10" t="str">
        <f t="shared" si="1"/>
        <v>S5-DLC</v>
      </c>
      <c r="CT10" s="57">
        <f t="shared" si="48"/>
        <v>1050</v>
      </c>
      <c r="CU10" s="57">
        <f t="shared" si="49"/>
        <v>50</v>
      </c>
      <c r="CV10" s="57">
        <f t="shared" si="50"/>
        <v>290</v>
      </c>
      <c r="CW10" s="57">
        <f t="shared" si="51"/>
        <v>240</v>
      </c>
      <c r="CX10" s="57">
        <f t="shared" si="52"/>
        <v>0</v>
      </c>
      <c r="CY10" s="57">
        <f t="shared" si="53"/>
        <v>1630</v>
      </c>
      <c r="CZ10" s="58">
        <f t="shared" si="37"/>
        <v>3</v>
      </c>
    </row>
    <row r="11" spans="1:104" x14ac:dyDescent="0.2">
      <c r="A11">
        <v>8</v>
      </c>
      <c r="B11" t="s">
        <v>103</v>
      </c>
      <c r="C11" t="s">
        <v>104</v>
      </c>
      <c r="D11" t="s">
        <v>102</v>
      </c>
      <c r="E11">
        <v>80</v>
      </c>
      <c r="F11" s="38">
        <v>0.64583333333333337</v>
      </c>
      <c r="G11" s="38">
        <v>0.64606481481481481</v>
      </c>
      <c r="H11" s="37">
        <f>IF(IF(ABS((F11-G11)*3600*24)&gt;$H$1,(ABS((F11-G11)*3600*24)-5)*$K$2,0)&gt;150,150,IF(ABS((F11-G11)*3600*24)&gt;$H$1,(ABS((F11-G11)*3600*24)-5)*$K$2,0))</f>
        <v>0</v>
      </c>
      <c r="I11" s="38">
        <f>$F11+'TEKMOVALNI LIST'!C$8/60</f>
        <v>0.64861111111111114</v>
      </c>
      <c r="J11" s="38">
        <v>0.6485995370370371</v>
      </c>
      <c r="K11" s="37">
        <f t="shared" ref="K11" si="103">IF(IF(ABS((I11-J11)*3600*24)&gt;$K$1,(ABS((I11-J11)*3600*24)-5)*$K$2,0)&gt;150,150,IF(ABS((I11-J11)*3600*24)&gt;$K$1,(ABS((I11-J11)*3600*24)-5)*$K$2,0))</f>
        <v>0</v>
      </c>
      <c r="L11" s="38">
        <f>$F11+'TEKMOVALNI LIST'!F$9/60</f>
        <v>0.65178494279370047</v>
      </c>
      <c r="M11" s="38">
        <v>0.65268518518518526</v>
      </c>
      <c r="N11" s="45">
        <f t="shared" ref="N11" si="104">IF(IF(ABS((L11-M11)*3600*24)&gt;$K$1,(ABS((L11-M11)*3600*24)-5)*$K$2,0)&gt;150,150,IF(ABS((L11-M11)*3600*24)&gt;$K$1,(ABS((L11-M11)*3600*24)-5)*$K$2,0))</f>
        <v>145.56188524857077</v>
      </c>
      <c r="O11" s="38">
        <f>$F11+'TEKMOVALNI LIST'!F$10/60</f>
        <v>0.65497703727663814</v>
      </c>
      <c r="P11" s="38">
        <v>0.65616898148148151</v>
      </c>
      <c r="Q11" s="45">
        <f t="shared" ref="Q11" si="105">IF(IF(ABS((O11-P11)*3600*24)&gt;$K$1,(ABS((O11-P11)*3600*24)-5)*$K$2,0)&gt;150,150,IF(ABS((O11-P11)*3600*24)&gt;$K$1,(ABS((O11-P11)*3600*24)-5)*$K$2,0))</f>
        <v>150</v>
      </c>
      <c r="R11" s="38">
        <f>$F11+'TEKMOVALNI LIST'!F$11/60</f>
        <v>0.65841898719316128</v>
      </c>
      <c r="S11" s="38">
        <v>0.66415509259259264</v>
      </c>
      <c r="T11" s="37">
        <f t="shared" ref="T11" si="106">IF(IF(ABS((R11-S11)*3600*24)&gt;$K$1,(ABS((R11-S11)*3600*24)-5)*$K$2,0)&gt;150,150,IF(ABS((R11-S11)*3600*24)&gt;$K$1,(ABS((R11-S11)*3600*24)-5)*$K$2,0))</f>
        <v>150</v>
      </c>
      <c r="U11" s="38">
        <f>$F11+'TEKMOVALNI LIST'!F$12/60</f>
        <v>0.66420938543995534</v>
      </c>
      <c r="V11" s="38">
        <v>0.66841435185185183</v>
      </c>
      <c r="W11" s="45">
        <f t="shared" ref="W11" si="107">IF(IF(ABS((U11-V11)*3600*24)&gt;$K$1,(ABS((U11-V11)*3600*24)-5)*$K$2,0)&gt;150,150,IF(ABS((U11-V11)*3600*24)&gt;$K$1,(ABS((U11-V11)*3600*24)-5)*$K$2,0))</f>
        <v>150</v>
      </c>
      <c r="X11" s="38">
        <f>$F11+'TEKMOVALNI LIST'!F$13/60</f>
        <v>0.6701311459915642</v>
      </c>
      <c r="Y11" s="38">
        <v>0.67180555555555566</v>
      </c>
      <c r="Z11" s="37">
        <f t="shared" ref="Z11" si="108">IF(IF(ABS((X11-Y11)*3600*24)&gt;$K$1,(ABS((X11-Y11)*3600*24)-5)*$K$2,0)&gt;150,150,IF(ABS((X11-Y11)*3600*24)&gt;$K$1,(ABS((X11-Y11)*3600*24)-5)*$K$2,0))</f>
        <v>150</v>
      </c>
      <c r="AA11" s="38">
        <f>$F11+'TEKMOVALNI LIST'!F$14/60</f>
        <v>0.67310358818445526</v>
      </c>
      <c r="AB11" s="38">
        <v>0.67690972222222223</v>
      </c>
      <c r="AC11" s="45">
        <f t="shared" ref="AC11" si="109">IF(IF(ABS((AA11-AB11)*3600*24)&gt;$K$1,(ABS((AA11-AB11)*3600*24)-5)*$K$2,0)&gt;150,150,IF(ABS((AA11-AB11)*3600*24)&gt;$K$1,(ABS((AA11-AB11)*3600*24)-5)*$K$2,0))</f>
        <v>150</v>
      </c>
      <c r="AD11" s="38">
        <f>$F11+'TEKMOVALNI LIST'!I$14/60</f>
        <v>0.64583333333333337</v>
      </c>
      <c r="AE11" s="38">
        <v>0.67690972222222223</v>
      </c>
      <c r="AF11" s="45">
        <f t="shared" si="9"/>
        <v>150</v>
      </c>
      <c r="AG11" s="38">
        <f>$F11+'TEKMOVALNI LIST'!F$16/60</f>
        <v>0.68616075445633617</v>
      </c>
      <c r="AH11" s="38">
        <v>0.68540509259259252</v>
      </c>
      <c r="AI11" s="37">
        <f t="shared" ref="AI11" si="110">IF(IF(ABS((AG11-AH11)*3600*24)&gt;$K$1,(ABS((AG11-AH11)*3600*24)-5)*$K$2,0)&gt;150,150,IF(ABS((AG11-AH11)*3600*24)&gt;$K$1,(ABS((AG11-AH11)*3600*24)-5)*$K$2,0))</f>
        <v>120.57837005490285</v>
      </c>
      <c r="AJ11" s="62">
        <f t="shared" si="11"/>
        <v>1166.1402553034736</v>
      </c>
      <c r="AM11" s="36" t="s">
        <v>29</v>
      </c>
      <c r="AN11" s="36">
        <f t="shared" si="12"/>
        <v>0</v>
      </c>
      <c r="AO11" s="36" t="s">
        <v>30</v>
      </c>
      <c r="AP11" s="36">
        <f t="shared" si="13"/>
        <v>0</v>
      </c>
      <c r="AQ11" s="36" t="s">
        <v>29</v>
      </c>
      <c r="AR11" s="36">
        <f t="shared" si="14"/>
        <v>50</v>
      </c>
      <c r="AS11" s="36" t="s">
        <v>29</v>
      </c>
      <c r="AT11" s="36">
        <f t="shared" si="54"/>
        <v>0</v>
      </c>
      <c r="AU11" s="36" t="s">
        <v>30</v>
      </c>
      <c r="AV11" s="36">
        <f t="shared" si="15"/>
        <v>0</v>
      </c>
      <c r="AW11" s="36" t="s">
        <v>30</v>
      </c>
      <c r="AX11" s="36">
        <f t="shared" si="16"/>
        <v>0</v>
      </c>
      <c r="AY11" s="36" t="s">
        <v>30</v>
      </c>
      <c r="AZ11" s="36">
        <f t="shared" si="17"/>
        <v>0</v>
      </c>
      <c r="BA11" s="36" t="s">
        <v>30</v>
      </c>
      <c r="BB11" s="36">
        <f t="shared" si="18"/>
        <v>0</v>
      </c>
      <c r="BC11" s="36">
        <f t="shared" si="19"/>
        <v>50</v>
      </c>
      <c r="BE11" s="39">
        <f t="shared" ref="BE11" si="111">IF(BD11="",30,IF(BD11&lt;5.1,0,IF(BD11&gt;10.1,50,15)))</f>
        <v>30</v>
      </c>
      <c r="BG11" s="39">
        <f t="shared" ref="BG11" si="112">IF(BF11="",30,IF(BF11&lt;5.1,0,IF(BF11&gt;10.1,50,15)))</f>
        <v>30</v>
      </c>
      <c r="BH11" s="40"/>
      <c r="BI11" s="39">
        <f t="shared" ref="BI11" si="113">IF(BH11="",30,IF(BH11&lt;5.1,0,IF(BH11&gt;10.1,50,15)))</f>
        <v>30</v>
      </c>
      <c r="BJ11" s="40"/>
      <c r="BK11" s="39">
        <f t="shared" ref="BK11" si="114">IF(BJ11="",30,IF(BJ11&lt;5.1,0,IF(BJ11&gt;10.1,50,15)))</f>
        <v>30</v>
      </c>
      <c r="BL11" s="39">
        <v>0</v>
      </c>
      <c r="BM11" s="39">
        <f t="shared" ref="BM11" si="115">IF(BL11="",30,IF(BL11&lt;5.1,0,IF(BL11&gt;10.1,50,15)))</f>
        <v>0</v>
      </c>
      <c r="BO11" s="39">
        <f t="shared" ref="BO11" si="116">IF(BN11="",30,IF(BN11&lt;5.1,0,IF(BN11&gt;10.1,50,15)))</f>
        <v>30</v>
      </c>
      <c r="BP11" s="39">
        <v>50</v>
      </c>
      <c r="BQ11" s="39">
        <f t="shared" ref="BQ11" si="117">IF(BP11="",30,IF(BP11&lt;5.1,0,IF(BP11&gt;10.1,50,15)))</f>
        <v>50</v>
      </c>
      <c r="BR11" s="39">
        <v>0</v>
      </c>
      <c r="BS11" s="39">
        <f t="shared" ref="BS11" si="118">IF(BR11="",30,IF(BR11&lt;5.1,0,IF(BR11&gt;10.1,50,15)))</f>
        <v>0</v>
      </c>
      <c r="BT11" s="39">
        <v>0</v>
      </c>
      <c r="BU11" s="39">
        <f t="shared" ref="BU11" si="119">IF(BT11="",30,IF(BT11&lt;5.1,0,IF(BT11&gt;10.1,50,15)))</f>
        <v>0</v>
      </c>
      <c r="BV11" s="39">
        <v>0</v>
      </c>
      <c r="BW11" s="39">
        <f t="shared" ref="BW11" si="120">IF(BV11="",30,IF(BV11&lt;5.1,0,IF(BV11&gt;10.1,50,15)))</f>
        <v>0</v>
      </c>
      <c r="BY11" s="39">
        <f t="shared" ref="BY11" si="121">IF(BX11="",30,IF(BX11&lt;5.1,0,IF(BX11&gt;10.1,50,15)))</f>
        <v>30</v>
      </c>
      <c r="CA11" s="39">
        <f t="shared" ref="CA11" si="122">IF(BZ11="",30,IF(BZ11&lt;5.1,0,IF(BZ11&gt;10.1,50,15)))</f>
        <v>30</v>
      </c>
      <c r="CC11" s="39">
        <f t="shared" ref="CC11" si="123">IF(CB11="",30,IF(CB11&lt;5.1,0,IF(CB11&gt;10.1,50,15)))</f>
        <v>30</v>
      </c>
      <c r="CF11" s="39">
        <f t="shared" ref="CF11" si="124">BE11+BG11+BI11+BK11+BM11+BO11+BQ11+BS11+BU11+BW11+BY11+CA11+CC11</f>
        <v>290</v>
      </c>
      <c r="CH11" s="41">
        <v>200</v>
      </c>
      <c r="CJ11" s="41">
        <v>60</v>
      </c>
      <c r="CK11" s="41">
        <f t="shared" si="32"/>
        <v>260</v>
      </c>
      <c r="CM11" s="61">
        <f t="shared" si="33"/>
        <v>1766.1402553034736</v>
      </c>
      <c r="CN11" s="42">
        <f t="shared" si="34"/>
        <v>7</v>
      </c>
      <c r="CP11" s="47">
        <f t="shared" si="35"/>
        <v>7</v>
      </c>
      <c r="CQ11" s="10" t="str">
        <f t="shared" si="0"/>
        <v>Matic Knez</v>
      </c>
      <c r="CR11" s="10" t="str">
        <f t="shared" si="36"/>
        <v>Tim Lenarčič</v>
      </c>
      <c r="CS11" s="10" t="str">
        <f t="shared" si="1"/>
        <v>S5-DDC</v>
      </c>
      <c r="CT11" s="57">
        <f t="shared" ref="CT11" si="125">AJ10</f>
        <v>1171.561885248567</v>
      </c>
      <c r="CU11" s="57">
        <f t="shared" ref="CU11" si="126">BC10</f>
        <v>50</v>
      </c>
      <c r="CV11" s="57">
        <f t="shared" ref="CV11" si="127">CF10</f>
        <v>330</v>
      </c>
      <c r="CW11" s="57">
        <f t="shared" ref="CW11" si="128">CK10</f>
        <v>100</v>
      </c>
      <c r="CX11" s="57">
        <f t="shared" ref="CX11" si="129">CL10</f>
        <v>0</v>
      </c>
      <c r="CY11" s="57">
        <f t="shared" ref="CY11" si="130">SUM(CT11:CX11)</f>
        <v>1651.561885248567</v>
      </c>
      <c r="CZ11" s="58">
        <f t="shared" si="37"/>
        <v>6</v>
      </c>
    </row>
    <row r="12" spans="1:104" ht="17" thickBot="1" x14ac:dyDescent="0.25">
      <c r="CP12" s="48">
        <f t="shared" si="35"/>
        <v>8</v>
      </c>
      <c r="CQ12" s="49" t="str">
        <f t="shared" si="0"/>
        <v>Robi Resnik</v>
      </c>
      <c r="CR12" s="49" t="str">
        <f t="shared" si="36"/>
        <v>Marko Lepetič</v>
      </c>
      <c r="CS12" s="49" t="str">
        <f t="shared" si="1"/>
        <v>S5-DDC</v>
      </c>
      <c r="CT12" s="59">
        <f>AJ11</f>
        <v>1166.1402553034736</v>
      </c>
      <c r="CU12" s="59">
        <f>BC11</f>
        <v>50</v>
      </c>
      <c r="CV12" s="59">
        <f>CF11</f>
        <v>290</v>
      </c>
      <c r="CW12" s="59">
        <f>CK11</f>
        <v>260</v>
      </c>
      <c r="CX12" s="59">
        <f>CL11</f>
        <v>0</v>
      </c>
      <c r="CY12" s="59">
        <f>SUM(CT12:CX12)</f>
        <v>1766.1402553034736</v>
      </c>
      <c r="CZ12" s="60">
        <f t="shared" si="37"/>
        <v>7</v>
      </c>
    </row>
  </sheetData>
  <mergeCells count="1">
    <mergeCell ref="CQ4:CR4"/>
  </mergeCells>
  <conditionalFormatting sqref="CZ5:CZ12">
    <cfRule type="cellIs" dxfId="2" priority="7" operator="equal">
      <formula>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25" right="0.25" top="0.75" bottom="0.75" header="0.3" footer="0.3"/>
  <pageSetup paperSize="9" scale="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A6CF-A4F4-BF45-BB97-3FFCDC0689E6}">
  <dimension ref="A1:Q11"/>
  <sheetViews>
    <sheetView workbookViewId="0">
      <selection activeCell="H9" sqref="H9"/>
    </sheetView>
  </sheetViews>
  <sheetFormatPr baseColWidth="10" defaultColWidth="11" defaultRowHeight="16" x14ac:dyDescent="0.2"/>
  <cols>
    <col min="1" max="1" width="3" customWidth="1"/>
    <col min="2" max="2" width="12.83203125" bestFit="1" customWidth="1"/>
    <col min="3" max="3" width="14.33203125" bestFit="1" customWidth="1"/>
    <col min="4" max="4" width="8" customWidth="1"/>
    <col min="5" max="5" width="6" bestFit="1" customWidth="1"/>
    <col min="6" max="13" width="4.83203125" customWidth="1"/>
    <col min="14" max="15" width="6" customWidth="1"/>
    <col min="16" max="16" width="12.33203125" customWidth="1"/>
  </cols>
  <sheetData>
    <row r="1" spans="1:17" x14ac:dyDescent="0.2">
      <c r="A1" s="9" t="s">
        <v>105</v>
      </c>
    </row>
    <row r="2" spans="1:17" x14ac:dyDescent="0.2">
      <c r="F2" s="81" t="s">
        <v>106</v>
      </c>
      <c r="G2" s="82"/>
      <c r="H2" s="82"/>
      <c r="I2" s="83"/>
      <c r="J2" s="81" t="s">
        <v>107</v>
      </c>
      <c r="K2" s="82"/>
      <c r="L2" s="82"/>
      <c r="M2" s="82"/>
      <c r="N2" s="82"/>
      <c r="O2" s="83"/>
      <c r="P2" s="10" t="s">
        <v>108</v>
      </c>
      <c r="Q2" s="10" t="s">
        <v>73</v>
      </c>
    </row>
    <row r="3" spans="1:17" x14ac:dyDescent="0.2">
      <c r="A3" s="10"/>
      <c r="B3" s="10" t="s">
        <v>32</v>
      </c>
      <c r="C3" s="10"/>
      <c r="D3" s="10" t="s">
        <v>33</v>
      </c>
      <c r="E3" s="10" t="s">
        <v>109</v>
      </c>
      <c r="F3" s="10" t="s">
        <v>13</v>
      </c>
      <c r="G3" s="10" t="s">
        <v>21</v>
      </c>
      <c r="H3" s="10" t="s">
        <v>22</v>
      </c>
      <c r="I3" s="10" t="s">
        <v>20</v>
      </c>
      <c r="J3" s="10" t="s">
        <v>13</v>
      </c>
      <c r="K3" s="10" t="s">
        <v>21</v>
      </c>
      <c r="L3" s="10" t="s">
        <v>22</v>
      </c>
      <c r="M3" s="10" t="s">
        <v>20</v>
      </c>
      <c r="N3" s="10" t="s">
        <v>55</v>
      </c>
      <c r="O3" s="10" t="s">
        <v>56</v>
      </c>
      <c r="P3" s="10" t="s">
        <v>37</v>
      </c>
      <c r="Q3" s="10"/>
    </row>
    <row r="4" spans="1:17" x14ac:dyDescent="0.2">
      <c r="A4" s="10">
        <v>1</v>
      </c>
      <c r="B4" s="10" t="s">
        <v>110</v>
      </c>
      <c r="C4" s="10" t="s">
        <v>111</v>
      </c>
      <c r="D4" s="10" t="s">
        <v>91</v>
      </c>
      <c r="E4" s="11">
        <v>0</v>
      </c>
      <c r="F4" s="11">
        <v>-25.999999999997669</v>
      </c>
      <c r="G4" s="11">
        <v>-9.4575748225999234</v>
      </c>
      <c r="H4" s="11">
        <v>0</v>
      </c>
      <c r="I4" s="11">
        <v>-20.000000000015916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-30</v>
      </c>
      <c r="Q4" s="11">
        <v>-85.457574822613509</v>
      </c>
    </row>
    <row r="5" spans="1:17" x14ac:dyDescent="0.2">
      <c r="A5" s="10">
        <v>2</v>
      </c>
      <c r="B5" s="10" t="s">
        <v>112</v>
      </c>
      <c r="C5" s="10" t="s">
        <v>93</v>
      </c>
      <c r="D5" s="10" t="s">
        <v>113</v>
      </c>
      <c r="E5" s="11">
        <v>0</v>
      </c>
      <c r="F5" s="11">
        <v>-12.000000000001876</v>
      </c>
      <c r="G5" s="11">
        <v>-35.999999999986443</v>
      </c>
      <c r="H5" s="11">
        <v>-11.006479481634557</v>
      </c>
      <c r="I5" s="11">
        <v>-19.999999999996732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-80</v>
      </c>
      <c r="Q5" s="11">
        <v>-159.00647948161961</v>
      </c>
    </row>
    <row r="6" spans="1:17" x14ac:dyDescent="0.2">
      <c r="A6" s="10">
        <v>3</v>
      </c>
      <c r="B6" s="10" t="s">
        <v>114</v>
      </c>
      <c r="C6" s="10" t="s">
        <v>115</v>
      </c>
      <c r="D6" s="10" t="s">
        <v>91</v>
      </c>
      <c r="E6" s="11">
        <v>0</v>
      </c>
      <c r="F6" s="11">
        <v>-18.000000000002814</v>
      </c>
      <c r="G6" s="11">
        <v>0</v>
      </c>
      <c r="H6" s="11">
        <v>-11.221228016064799</v>
      </c>
      <c r="I6" s="11">
        <v>-12.000000000001876</v>
      </c>
      <c r="J6" s="11">
        <v>-50</v>
      </c>
      <c r="K6" s="11">
        <v>0</v>
      </c>
      <c r="L6" s="11">
        <v>0</v>
      </c>
      <c r="M6" s="11">
        <v>0</v>
      </c>
      <c r="N6" s="11">
        <v>-100</v>
      </c>
      <c r="O6" s="11">
        <v>0</v>
      </c>
      <c r="P6" s="11">
        <v>-80</v>
      </c>
      <c r="Q6" s="11">
        <v>-271.22122801606952</v>
      </c>
    </row>
    <row r="7" spans="1:17" x14ac:dyDescent="0.2">
      <c r="A7" s="10">
        <v>4</v>
      </c>
      <c r="B7" s="10" t="s">
        <v>116</v>
      </c>
      <c r="C7" s="10" t="s">
        <v>86</v>
      </c>
      <c r="D7" s="10" t="s">
        <v>91</v>
      </c>
      <c r="E7" s="11">
        <v>0</v>
      </c>
      <c r="F7" s="11">
        <v>-19.999999999996732</v>
      </c>
      <c r="G7" s="11">
        <v>-28.542425177399622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-230</v>
      </c>
      <c r="Q7" s="11">
        <v>-279</v>
      </c>
    </row>
    <row r="8" spans="1:17" x14ac:dyDescent="0.2">
      <c r="A8" s="10">
        <v>5</v>
      </c>
      <c r="B8" s="10" t="s">
        <v>117</v>
      </c>
      <c r="C8" s="10" t="s">
        <v>87</v>
      </c>
      <c r="D8" s="10" t="s">
        <v>88</v>
      </c>
      <c r="E8" s="11">
        <v>0</v>
      </c>
      <c r="F8" s="11">
        <v>-22.000000000009834</v>
      </c>
      <c r="G8" s="11">
        <v>-16.000000000008896</v>
      </c>
      <c r="H8" s="11">
        <v>-132.00000000000145</v>
      </c>
      <c r="I8" s="11">
        <v>-15.665226781863595</v>
      </c>
      <c r="J8" s="11">
        <v>0</v>
      </c>
      <c r="K8" s="11">
        <v>0</v>
      </c>
      <c r="L8" s="11">
        <v>0</v>
      </c>
      <c r="M8" s="11">
        <v>0</v>
      </c>
      <c r="N8" s="11">
        <v>-100</v>
      </c>
      <c r="O8" s="11">
        <v>-100</v>
      </c>
      <c r="P8" s="11">
        <v>-80</v>
      </c>
      <c r="Q8" s="11">
        <v>-465.6652267818838</v>
      </c>
    </row>
    <row r="9" spans="1:17" x14ac:dyDescent="0.2">
      <c r="A9" s="10">
        <v>6</v>
      </c>
      <c r="B9" s="10" t="s">
        <v>86</v>
      </c>
      <c r="C9" s="10" t="s">
        <v>118</v>
      </c>
      <c r="D9" s="10" t="s">
        <v>88</v>
      </c>
      <c r="E9" s="11">
        <v>0</v>
      </c>
      <c r="F9" s="11">
        <v>0</v>
      </c>
      <c r="G9" s="11">
        <v>-9.9999999999887734</v>
      </c>
      <c r="H9" s="11">
        <v>0</v>
      </c>
      <c r="I9" s="11">
        <v>-7.6652267818495545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-460</v>
      </c>
      <c r="Q9" s="11">
        <v>-477.66522678183833</v>
      </c>
    </row>
    <row r="10" spans="1:17" x14ac:dyDescent="0.2">
      <c r="A10" s="10">
        <v>7</v>
      </c>
      <c r="B10" s="10" t="s">
        <v>119</v>
      </c>
      <c r="C10" s="10" t="s">
        <v>120</v>
      </c>
      <c r="D10" s="10" t="s">
        <v>88</v>
      </c>
      <c r="E10" s="11">
        <v>0</v>
      </c>
      <c r="F10" s="11">
        <v>-70.000000000017337</v>
      </c>
      <c r="G10" s="11">
        <v>-36.000000000005627</v>
      </c>
      <c r="H10" s="11">
        <v>-42.000000000006565</v>
      </c>
      <c r="I10" s="11">
        <v>-15.66522678188278</v>
      </c>
      <c r="J10" s="11">
        <v>-50</v>
      </c>
      <c r="K10" s="11">
        <v>0</v>
      </c>
      <c r="L10" s="11">
        <v>0</v>
      </c>
      <c r="M10" s="11">
        <v>0</v>
      </c>
      <c r="N10" s="11">
        <v>-40</v>
      </c>
      <c r="O10" s="11">
        <v>0</v>
      </c>
      <c r="P10" s="11">
        <v>-460</v>
      </c>
      <c r="Q10" s="11">
        <v>-713.66522678191234</v>
      </c>
    </row>
    <row r="11" spans="1:17" x14ac:dyDescent="0.2">
      <c r="A11" s="10">
        <v>8</v>
      </c>
      <c r="B11" s="10" t="s">
        <v>76</v>
      </c>
      <c r="C11" s="10" t="s">
        <v>77</v>
      </c>
      <c r="D11" s="10" t="s">
        <v>78</v>
      </c>
      <c r="E11" s="11">
        <v>-50</v>
      </c>
      <c r="F11" s="11">
        <v>-59.999999999990195</v>
      </c>
      <c r="G11" s="11">
        <v>-18.000000000002814</v>
      </c>
      <c r="H11" s="11">
        <v>-68.000000000004235</v>
      </c>
      <c r="I11" s="11">
        <v>-13.999999999995794</v>
      </c>
      <c r="J11" s="11">
        <v>-50</v>
      </c>
      <c r="K11" s="11">
        <v>-50</v>
      </c>
      <c r="L11" s="11">
        <v>0</v>
      </c>
      <c r="M11" s="11">
        <v>0</v>
      </c>
      <c r="N11" s="11">
        <v>-100</v>
      </c>
      <c r="O11" s="11">
        <v>0</v>
      </c>
      <c r="P11" s="11">
        <v>-460</v>
      </c>
      <c r="Q11" s="11">
        <v>-869.99999999999307</v>
      </c>
    </row>
  </sheetData>
  <sortState xmlns:xlrd2="http://schemas.microsoft.com/office/spreadsheetml/2017/richdata2" ref="A4:Q11">
    <sortCondition descending="1" ref="Q4:Q11"/>
  </sortState>
  <mergeCells count="2">
    <mergeCell ref="F2:I2"/>
    <mergeCell ref="J2:O2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B167-A587-4466-BF97-FA249ED4CCD6}">
  <sheetPr>
    <pageSetUpPr fitToPage="1"/>
  </sheetPr>
  <dimension ref="A1:P54"/>
  <sheetViews>
    <sheetView zoomScale="90" zoomScaleNormal="90" workbookViewId="0">
      <selection activeCell="F53" sqref="F53"/>
    </sheetView>
  </sheetViews>
  <sheetFormatPr baseColWidth="10" defaultColWidth="10.5" defaultRowHeight="16" x14ac:dyDescent="0.2"/>
  <cols>
    <col min="1" max="1" width="23" bestFit="1" customWidth="1"/>
    <col min="2" max="2" width="10.5" style="14"/>
    <col min="3" max="3" width="11.83203125" style="15" customWidth="1"/>
    <col min="4" max="4" width="10.5" style="15"/>
    <col min="5" max="5" width="12" customWidth="1"/>
    <col min="7" max="7" width="11.5" bestFit="1" customWidth="1"/>
    <col min="9" max="9" width="11.5" bestFit="1" customWidth="1"/>
    <col min="11" max="11" width="11.5" bestFit="1" customWidth="1"/>
    <col min="13" max="13" width="11.5" bestFit="1" customWidth="1"/>
    <col min="15" max="15" width="11.5" bestFit="1" customWidth="1"/>
  </cols>
  <sheetData>
    <row r="1" spans="1:16" x14ac:dyDescent="0.2">
      <c r="E1" s="84" t="s">
        <v>121</v>
      </c>
      <c r="F1" s="84"/>
    </row>
    <row r="3" spans="1:16" ht="17" thickBot="1" x14ac:dyDescent="0.25">
      <c r="A3" t="s">
        <v>122</v>
      </c>
      <c r="C3" s="85" t="s">
        <v>123</v>
      </c>
      <c r="D3" s="85"/>
    </row>
    <row r="4" spans="1:16" x14ac:dyDescent="0.2">
      <c r="A4" t="s">
        <v>124</v>
      </c>
      <c r="C4" s="16" t="s">
        <v>125</v>
      </c>
      <c r="D4" s="17" t="s">
        <v>126</v>
      </c>
      <c r="E4" s="16" t="s">
        <v>125</v>
      </c>
      <c r="F4" s="17" t="s">
        <v>126</v>
      </c>
      <c r="G4" s="16" t="s">
        <v>125</v>
      </c>
      <c r="H4" s="17" t="s">
        <v>126</v>
      </c>
      <c r="I4" s="16" t="s">
        <v>125</v>
      </c>
      <c r="J4" s="17" t="s">
        <v>126</v>
      </c>
      <c r="K4" s="16" t="s">
        <v>125</v>
      </c>
      <c r="L4" s="17" t="s">
        <v>126</v>
      </c>
      <c r="M4" s="16" t="s">
        <v>125</v>
      </c>
      <c r="N4" s="17" t="s">
        <v>126</v>
      </c>
      <c r="O4" s="16" t="s">
        <v>125</v>
      </c>
      <c r="P4" s="17" t="s">
        <v>126</v>
      </c>
    </row>
    <row r="5" spans="1:16" x14ac:dyDescent="0.2">
      <c r="B5" s="18" t="s">
        <v>127</v>
      </c>
      <c r="C5" s="86" t="s">
        <v>128</v>
      </c>
      <c r="D5" s="87"/>
      <c r="E5" s="86" t="s">
        <v>129</v>
      </c>
      <c r="F5" s="87"/>
      <c r="G5" s="86" t="s">
        <v>130</v>
      </c>
      <c r="H5" s="87"/>
      <c r="I5" s="86" t="s">
        <v>131</v>
      </c>
      <c r="J5" s="87"/>
      <c r="K5" s="86" t="s">
        <v>131</v>
      </c>
      <c r="L5" s="87"/>
      <c r="M5" s="86" t="s">
        <v>132</v>
      </c>
      <c r="N5" s="87"/>
      <c r="O5" s="86" t="s">
        <v>131</v>
      </c>
      <c r="P5" s="87"/>
    </row>
    <row r="6" spans="1:16" x14ac:dyDescent="0.2">
      <c r="B6" s="18" t="s">
        <v>133</v>
      </c>
      <c r="C6" s="86" t="s">
        <v>134</v>
      </c>
      <c r="D6" s="87"/>
      <c r="E6" s="86" t="s">
        <v>135</v>
      </c>
      <c r="F6" s="87"/>
      <c r="G6" s="86" t="s">
        <v>136</v>
      </c>
      <c r="H6" s="87"/>
      <c r="I6" s="86" t="s">
        <v>137</v>
      </c>
      <c r="J6" s="87"/>
      <c r="K6" s="86" t="s">
        <v>138</v>
      </c>
      <c r="L6" s="87"/>
      <c r="M6" s="86" t="s">
        <v>139</v>
      </c>
      <c r="N6" s="87"/>
      <c r="O6" s="86" t="s">
        <v>140</v>
      </c>
      <c r="P6" s="87"/>
    </row>
    <row r="7" spans="1:16" x14ac:dyDescent="0.2">
      <c r="B7" s="18" t="s">
        <v>141</v>
      </c>
      <c r="C7" s="86" t="s">
        <v>142</v>
      </c>
      <c r="D7" s="87"/>
      <c r="E7" s="86" t="s">
        <v>143</v>
      </c>
      <c r="F7" s="87"/>
      <c r="G7" s="86" t="s">
        <v>143</v>
      </c>
      <c r="H7" s="87"/>
      <c r="I7" s="86" t="s">
        <v>144</v>
      </c>
      <c r="J7" s="87"/>
      <c r="K7" s="86" t="s">
        <v>143</v>
      </c>
      <c r="L7" s="87"/>
      <c r="M7" s="86" t="s">
        <v>144</v>
      </c>
      <c r="N7" s="87"/>
      <c r="O7" s="86" t="s">
        <v>144</v>
      </c>
      <c r="P7" s="87"/>
    </row>
    <row r="8" spans="1:16" x14ac:dyDescent="0.2">
      <c r="B8" s="18" t="s">
        <v>145</v>
      </c>
      <c r="C8" s="86">
        <v>80</v>
      </c>
      <c r="D8" s="87"/>
      <c r="E8" s="86">
        <v>60</v>
      </c>
      <c r="F8" s="87"/>
      <c r="G8" s="90">
        <v>80</v>
      </c>
      <c r="H8" s="91"/>
      <c r="I8" s="90">
        <v>80</v>
      </c>
      <c r="J8" s="91"/>
      <c r="K8" s="90">
        <v>70</v>
      </c>
      <c r="L8" s="91"/>
      <c r="M8" s="90">
        <v>65.173199999999994</v>
      </c>
      <c r="N8" s="91"/>
      <c r="O8" s="90">
        <v>70</v>
      </c>
      <c r="P8" s="91"/>
    </row>
    <row r="9" spans="1:16" x14ac:dyDescent="0.2">
      <c r="B9" s="18" t="s">
        <v>146</v>
      </c>
      <c r="C9" s="88">
        <f>C8*1.852</f>
        <v>148.16</v>
      </c>
      <c r="D9" s="89"/>
      <c r="E9" s="88">
        <f>E8*1.852</f>
        <v>111.12</v>
      </c>
      <c r="F9" s="89"/>
      <c r="G9" s="88">
        <f>G8*1.852</f>
        <v>148.16</v>
      </c>
      <c r="H9" s="89"/>
      <c r="I9" s="88">
        <f>I8*1.852</f>
        <v>148.16</v>
      </c>
      <c r="J9" s="89"/>
      <c r="K9" s="88">
        <f>K8*1.852</f>
        <v>129.64000000000001</v>
      </c>
      <c r="L9" s="89"/>
      <c r="M9" s="88">
        <f>M8*1.852</f>
        <v>120.70076639999999</v>
      </c>
      <c r="N9" s="89"/>
      <c r="O9" s="88">
        <f>O8*1.852</f>
        <v>129.64000000000001</v>
      </c>
      <c r="P9" s="89"/>
    </row>
    <row r="10" spans="1:16" x14ac:dyDescent="0.2">
      <c r="A10" t="s">
        <v>13</v>
      </c>
      <c r="B10" s="18" t="s">
        <v>147</v>
      </c>
      <c r="C10" s="19">
        <v>0.54166666666666663</v>
      </c>
      <c r="D10" s="20">
        <v>0.54166666666666663</v>
      </c>
      <c r="E10" s="19">
        <v>0.4680555555555555</v>
      </c>
      <c r="F10" s="20">
        <v>0.46840277777777778</v>
      </c>
      <c r="G10" s="19">
        <v>0.4055555555555555</v>
      </c>
      <c r="H10" s="20">
        <v>0.40567129629629628</v>
      </c>
      <c r="I10" s="19">
        <v>0.59375</v>
      </c>
      <c r="J10" s="19">
        <v>0.59375</v>
      </c>
      <c r="K10" s="19">
        <v>0.5444444444444444</v>
      </c>
      <c r="L10" s="20">
        <v>0.54447916666666674</v>
      </c>
      <c r="M10" s="19">
        <v>0.62430555555555556</v>
      </c>
      <c r="N10" s="20">
        <v>0.62494212962962969</v>
      </c>
      <c r="O10" s="19">
        <v>0.64166666666666672</v>
      </c>
      <c r="P10" s="20">
        <v>0.64178240740740744</v>
      </c>
    </row>
    <row r="11" spans="1:16" x14ac:dyDescent="0.2">
      <c r="A11">
        <v>10</v>
      </c>
      <c r="B11" s="18"/>
      <c r="C11" s="21">
        <f>$A11/(C$8*1.852)*60</f>
        <v>4.0496760259179263</v>
      </c>
      <c r="D11" s="22">
        <f>IF(ABS((D10-C10)*86400)&lt;5.1,0,2*ABS((D10-C10)*86400))</f>
        <v>0</v>
      </c>
      <c r="E11" s="21">
        <f>$A11/(E$8*1.852)*60</f>
        <v>5.3995680345572357</v>
      </c>
      <c r="F11" s="22">
        <f>IF(ABS((F10-E10)*86400)&lt;5.1,0,2*ABS((F10-E10)*86400))</f>
        <v>60.000000000009379</v>
      </c>
      <c r="G11" s="21">
        <f>$A11/(G$8*1.852)*60</f>
        <v>4.0496760259179263</v>
      </c>
      <c r="H11" s="22">
        <f>IF(ABS((H10-G10)*86400)&lt;5.1,0,2*ABS((H10-G10)*86400))</f>
        <v>20.000000000006324</v>
      </c>
      <c r="I11" s="21">
        <f>$A11/(I$8*1.852)*60</f>
        <v>4.0496760259179263</v>
      </c>
      <c r="J11" s="22">
        <f>IF(IF(ABS((J10-I10)*86400)&lt;5.1,0,2*ABS((J10-I10)*86400))&gt;150,150,IF(ABS((J10-I10)*86400)&lt;5.1,0,2*ABS((J10-I10)*86400)))</f>
        <v>0</v>
      </c>
      <c r="K11" s="21">
        <f>$A11/(K$8*1.852)*60</f>
        <v>4.6282011724776293</v>
      </c>
      <c r="L11" s="22">
        <f>IF(IF(ABS((L10-K10)*86400)&lt;5.1,0,2*ABS((L10-K10)*86400))&gt;150,150,IF(ABS((L10-K10)*86400)&lt;5.1,0,2*ABS((L10-K10)*86400)))</f>
        <v>0</v>
      </c>
      <c r="M11" s="21">
        <f>$A11/(M$8*1.852)*60</f>
        <v>4.9709709216891937</v>
      </c>
      <c r="N11" s="22">
        <f>IF(IF(ABS((N10-M10)*86400)&lt;5.1,0,2*ABS((N10-M10)*86400))&gt;150,150,IF(ABS((N10-M10)*86400)&lt;5.1,0,2*ABS((N10-M10)*86400)))</f>
        <v>110.0000000000108</v>
      </c>
      <c r="O11" s="21">
        <f>$A11/(O$8*1.852)*60</f>
        <v>4.6282011724776293</v>
      </c>
      <c r="P11" s="22">
        <f>IF(IF(ABS((P10-O10)*86400)&lt;5.1,0,2*ABS((P10-O10)*86400))&gt;150,150,IF(ABS((P10-O10)*86400)&lt;5.1,0,2*ABS((P10-O10)*86400)))</f>
        <v>19.999999999996732</v>
      </c>
    </row>
    <row r="12" spans="1:16" x14ac:dyDescent="0.2">
      <c r="A12" t="s">
        <v>21</v>
      </c>
      <c r="B12" s="18" t="s">
        <v>148</v>
      </c>
      <c r="C12" s="23">
        <f>C10+TIME(0,LEFT(C11,FIND(",",C11,1)),ROUND(MID(C11,FIND(",",C11,1)+1,4)/10000*60,0))</f>
        <v>0.54447916666666663</v>
      </c>
      <c r="D12" s="20">
        <f>C12+0.00014</f>
        <v>0.54461916666666665</v>
      </c>
      <c r="E12" s="23">
        <f>E10+TIME(0,LEFT(E11,FIND(",",E11,1)),ROUND(MID(E11,FIND(",",E11,1)+1,4)/10000*60,0))</f>
        <v>0.47180555555555548</v>
      </c>
      <c r="F12" s="20">
        <v>0.47197916666666667</v>
      </c>
      <c r="G12" s="23">
        <f>G10+TIME(0,LEFT(G11,FIND(",",G11,1)),ROUND(MID(G11,FIND(",",G11,1)+1,4)/10000*60,0))</f>
        <v>0.4083680555555555</v>
      </c>
      <c r="H12" s="20">
        <v>0.40831018518518519</v>
      </c>
      <c r="I12" s="23">
        <f>I10+TIME(0,LEFT(I11,FIND(",",I11,1)),ROUND(MID(I11,FIND(",",I11,1)+1,4)/10000*60,0))</f>
        <v>0.5965625</v>
      </c>
      <c r="J12" s="20">
        <v>0.59710648148148149</v>
      </c>
      <c r="K12" s="23">
        <f>K10+TIME(0,LEFT(K11,FIND(",",K11,1)),ROUND(MID(K11,FIND(",",K11,1)+1,4)/10000*60,0))</f>
        <v>0.54766203703703698</v>
      </c>
      <c r="L12" s="20">
        <v>0.54775462962962962</v>
      </c>
      <c r="M12" s="23">
        <f>M10+TIME(0,LEFT(M11,FIND(",",M11,1)),ROUND(MID(M11,FIND(",",M11,1)+1,4)/10000*60,0))</f>
        <v>0.62775462962962958</v>
      </c>
      <c r="N12" s="20">
        <v>0.62848379629629625</v>
      </c>
      <c r="O12" s="23">
        <f>O10+TIME(0,LEFT(O11,FIND(",",O11,1)),ROUND(MID(O11,FIND(",",O11,1)+1,4)/10000*60,0))</f>
        <v>0.6448842592592593</v>
      </c>
      <c r="P12" s="20">
        <v>0.6449421296296296</v>
      </c>
    </row>
    <row r="13" spans="1:16" x14ac:dyDescent="0.2">
      <c r="A13">
        <v>24.7</v>
      </c>
      <c r="B13" s="18"/>
      <c r="C13" s="21">
        <f>A13/($C$8*1.852)*60</f>
        <v>10.002699784017279</v>
      </c>
      <c r="D13" s="22">
        <f>IF(ABS((D12-C12)*86400)&lt;5.1,0,2*ABS((D12-C12)*86400))</f>
        <v>24.192000000005009</v>
      </c>
      <c r="E13" s="21">
        <f>$A13/(E$8*1.852)*60</f>
        <v>13.336933045356371</v>
      </c>
      <c r="F13" s="22">
        <f>IF(ABS((F12-E12)*86400)&lt;5.1,0,2*ABS((F12-E12)*86400))</f>
        <v>30.000000000014282</v>
      </c>
      <c r="G13" s="21">
        <f>$A13/(G$8*1.852)*60</f>
        <v>10.002699784017279</v>
      </c>
      <c r="H13" s="22">
        <f>IF(ABS((H12-G12)*86400)&lt;5.1,0,2*ABS((H12-G12)*86400))</f>
        <v>0</v>
      </c>
      <c r="I13" s="21">
        <f>$A13/(I$8*1.852)*60</f>
        <v>10.002699784017279</v>
      </c>
      <c r="J13" s="22">
        <f>IF(IF(ABS((J12-I12)*86400)&lt;5.1,0,2*ABS((J12-I12)*86400))&gt;150,150,IF(ABS((J12-I12)*86400)&lt;5.1,0,2*ABS((J12-I12)*86400)))</f>
        <v>94.000000000001904</v>
      </c>
      <c r="K13" s="21">
        <f>$A13/(K$8*1.852)*60</f>
        <v>11.431656896019744</v>
      </c>
      <c r="L13" s="22">
        <f>IF(IF(ABS((L12-K12)*86400)&lt;5.1,0,2*ABS((L12-K12)*86400))&gt;150,150,IF(ABS((L12-K12)*86400)&lt;5.1,0,2*ABS((L12-K12)*86400)))</f>
        <v>16.000000000008896</v>
      </c>
      <c r="M13" s="21">
        <f>$A13/(M$8*1.852)*60</f>
        <v>12.278298176572308</v>
      </c>
      <c r="N13" s="22">
        <f>IF(IF(ABS((N12-M12)*86400)&lt;5.1,0,2*ABS((N12-M12)*86400))&gt;150,150,IF(ABS((N12-M12)*86400)&lt;5.1,0,2*ABS((N12-M12)*86400)))</f>
        <v>126.00000000000051</v>
      </c>
      <c r="O13" s="21">
        <f>$A13/(O$8*1.852)*60</f>
        <v>11.431656896019744</v>
      </c>
      <c r="P13" s="22">
        <f>IF(IF(ABS((P12-O12)*86400)&lt;5.1,0,2*ABS((P12-O12)*86400))&gt;150,150,IF(ABS((P12-O12)*86400)&lt;5.1,0,2*ABS((P12-O12)*86400)))</f>
        <v>0</v>
      </c>
    </row>
    <row r="14" spans="1:16" x14ac:dyDescent="0.2">
      <c r="A14" t="s">
        <v>22</v>
      </c>
      <c r="B14" s="24" t="s">
        <v>149</v>
      </c>
      <c r="C14" s="23">
        <f>C12+TIME(0,LEFT(C13,FIND(",",C13,1)),ROUND(MID(C13,FIND(",",C13,1)+1,4)/10000*60,0))</f>
        <v>0.55142361111111104</v>
      </c>
      <c r="D14" s="20">
        <f>C14+0.00004</f>
        <v>0.55146361111111108</v>
      </c>
      <c r="E14" s="23">
        <f>E12+TIME(0,LEFT(E13,FIND(",",E13,1)),ROUND(MID(E13,FIND(",",E13,1)+1,4)/10000*60,0))</f>
        <v>0.48106481481481472</v>
      </c>
      <c r="F14" s="20">
        <v>0.48112268518518514</v>
      </c>
      <c r="G14" s="23">
        <f>G12+TIME(0,LEFT(G13,FIND(",",G13,1)),ROUND(MID(G13,FIND(",",G13,1)+1,4)/10000*60,0))</f>
        <v>0.41531249999999992</v>
      </c>
      <c r="H14" s="20">
        <v>0.41524305555555557</v>
      </c>
      <c r="I14" s="23">
        <f>I12+TIME(0,LEFT(I13,FIND(",",I13,1)),ROUND(MID(I13,FIND(",",I13,1)+1,4)/10000*60,0))</f>
        <v>0.60350694444444442</v>
      </c>
      <c r="J14" s="20">
        <v>0.60416666666666663</v>
      </c>
      <c r="K14" s="23">
        <f>K12+TIME(0,LEFT(K13,FIND(",",K13,1)),ROUND(MID(K13,FIND(",",K13,1)+1,4)/10000*60,0))</f>
        <v>0.55560185185185174</v>
      </c>
      <c r="L14" s="20">
        <v>0.55572916666666672</v>
      </c>
      <c r="M14" s="23">
        <f>M12+TIME(0,LEFT(M13,FIND(",",M13,1)),ROUND(MID(M13,FIND(",",M13,1)+1,4)/10000*60,0))</f>
        <v>0.63628472222222221</v>
      </c>
      <c r="N14" s="20">
        <v>0.63719907407407406</v>
      </c>
      <c r="O14" s="23">
        <f>O12+TIME(0,LEFT(O13,FIND(",",O13,1)),ROUND(MID(O13,FIND(",",O13,1)+1,4)/10000*60,0))</f>
        <v>0.65282407407407406</v>
      </c>
      <c r="P14" s="20">
        <v>0.65311342592592592</v>
      </c>
    </row>
    <row r="15" spans="1:16" x14ac:dyDescent="0.2">
      <c r="A15">
        <v>13.5</v>
      </c>
      <c r="B15" s="18"/>
      <c r="C15" s="21">
        <f>A15/($C$8*1.852)*60</f>
        <v>5.4670626349892011</v>
      </c>
      <c r="D15" s="22">
        <f>IF(ABS((D14-C14)*86400)&lt;5.1,0,2*ABS((D14-C14)*86400))</f>
        <v>0</v>
      </c>
      <c r="E15" s="21">
        <f>$A15/(E$8*1.852)*60</f>
        <v>7.2894168466522675</v>
      </c>
      <c r="F15" s="22">
        <f>IF(ABS((F14-E14)*86400)&lt;5.1,0,2*ABS((F14-E14)*86400))</f>
        <v>0</v>
      </c>
      <c r="G15" s="21">
        <f>$A15/(G$8*1.852)*60</f>
        <v>5.4670626349892011</v>
      </c>
      <c r="H15" s="22">
        <f>IF(ABS((H14-G14)*86400)&lt;5.1,0,2*ABS((H14-G14)*86400))</f>
        <v>11.999999999982691</v>
      </c>
      <c r="I15" s="21">
        <f>$A15/(I$8*1.852)*60</f>
        <v>5.4670626349892011</v>
      </c>
      <c r="J15" s="22">
        <f>IF(IF(ABS((J14-I14)*86400)&lt;5.1,0,2*ABS((J14-I14)*86400))&gt;150,150,IF(ABS((J14-I14)*86400)&lt;5.1,0,2*ABS((J14-I14)*86400)))</f>
        <v>113.99999999999864</v>
      </c>
      <c r="K15" s="21">
        <f>$A15/(K$8*1.852)*60</f>
        <v>6.2480715828448004</v>
      </c>
      <c r="L15" s="22">
        <f>IF(IF(ABS((L14-K14)*86400)&lt;5.1,0,2*ABS((L14-K14)*86400))&gt;150,150,IF(ABS((L14-K14)*86400)&lt;5.1,0,2*ABS((L14-K14)*86400)))</f>
        <v>22.000000000029019</v>
      </c>
      <c r="M15" s="21">
        <f>$A15/(M$8*1.852)*60</f>
        <v>6.710810744280411</v>
      </c>
      <c r="N15" s="22">
        <f>IF(IF(ABS((N14-M14)*86400)&lt;5.1,0,2*ABS((N14-M14)*86400))&gt;150,150,IF(ABS((N14-M14)*86400)&lt;5.1,0,2*ABS((N14-M14)*86400)))</f>
        <v>150</v>
      </c>
      <c r="O15" s="21">
        <f>$A15/(O$8*1.852)*60</f>
        <v>6.2480715828448004</v>
      </c>
      <c r="P15" s="22">
        <f>IF(IF(ABS((P14-O14)*86400)&lt;5.1,0,2*ABS((P14-O14)*86400))&gt;150,150,IF(ABS((P14-O14)*86400)&lt;5.1,0,2*ABS((P14-O14)*86400)))</f>
        <v>50.000000000001421</v>
      </c>
    </row>
    <row r="16" spans="1:16" x14ac:dyDescent="0.2">
      <c r="A16" t="s">
        <v>23</v>
      </c>
      <c r="B16" s="24" t="s">
        <v>150</v>
      </c>
      <c r="C16" s="23">
        <f>C14+TIME(0,LEFT(C15,FIND(",",C15,1)),ROUND(MID(C15,FIND(",",C15,1)+1,4)/10000*60,0))</f>
        <v>0.55521990740740734</v>
      </c>
      <c r="D16" s="20">
        <f>C16+0.00004</f>
        <v>0.55525990740740738</v>
      </c>
      <c r="E16" s="23">
        <f>E14+TIME(0,LEFT(E15,FIND(",",E15,1)),ROUND(MID(E15,FIND(",",E15,1)+1,4)/10000*60,0))</f>
        <v>0.48612268518518509</v>
      </c>
      <c r="F16" s="20">
        <v>0.48616898148148152</v>
      </c>
      <c r="G16" s="23">
        <f>G14+TIME(0,LEFT(G15,FIND(",",G15,1)),ROUND(MID(G15,FIND(",",G15,1)+1,4)/10000*60,0))</f>
        <v>0.41910879629629622</v>
      </c>
      <c r="H16" s="20">
        <v>0.41924768518518518</v>
      </c>
      <c r="I16" s="23">
        <f>I14+TIME(0,LEFT(I15,FIND(",",I15,1)),ROUND(MID(I15,FIND(",",I15,1)+1,4)/10000*60,0))</f>
        <v>0.60730324074074071</v>
      </c>
      <c r="J16" s="20">
        <v>0.60788194444444443</v>
      </c>
      <c r="K16" s="23">
        <f>K14+TIME(0,LEFT(K15,FIND(",",K15,1)),ROUND(MID(K15,FIND(",",K15,1)+1,4)/10000*60,0))</f>
        <v>0.55994212962962953</v>
      </c>
      <c r="L16" s="20">
        <v>0.56024305555555554</v>
      </c>
      <c r="M16" s="23">
        <f>M14+TIME(0,LEFT(M15,FIND(",",M15,1)),ROUND(MID(M15,FIND(",",M15,1)+1,4)/10000*60,0))</f>
        <v>0.64094907407407409</v>
      </c>
      <c r="N16" s="20">
        <v>0.64247685185185188</v>
      </c>
      <c r="O16" s="23">
        <f>O14+TIME(0,LEFT(O15,FIND(",",O15,1)),ROUND(MID(O15,FIND(",",O15,1)+1,4)/10000*60,0))</f>
        <v>0.65716435185185185</v>
      </c>
      <c r="P16" s="20">
        <v>0.65763888888888888</v>
      </c>
    </row>
    <row r="17" spans="1:16" x14ac:dyDescent="0.2">
      <c r="A17">
        <v>21.5</v>
      </c>
      <c r="B17" s="18"/>
      <c r="C17" s="21">
        <f>A17/($C$8*1.852)*60</f>
        <v>8.7068034557235432</v>
      </c>
      <c r="D17" s="22">
        <f>IF(ABS((D16-C16)*86400)&lt;5.1,0,2*ABS((D16-C16)*86400))</f>
        <v>0</v>
      </c>
      <c r="E17" s="21">
        <f>$A17/(E$8*1.852)*60</f>
        <v>11.609071274298056</v>
      </c>
      <c r="F17" s="22">
        <f>IF(ABS((F16-E16)*86400)&lt;5.1,0,2*ABS((F16-E16)*86400))</f>
        <v>0</v>
      </c>
      <c r="G17" s="21">
        <f>$A17/(G$8*1.852)*60</f>
        <v>8.7068034557235432</v>
      </c>
      <c r="H17" s="22">
        <f>IF(ABS((H16-G16)*86400)&lt;5.1,0,2*ABS((H16-G16)*86400))</f>
        <v>24.000000000013344</v>
      </c>
      <c r="I17" s="21">
        <f>$A17/(I$8*1.852)*60</f>
        <v>8.7068034557235432</v>
      </c>
      <c r="J17" s="22">
        <f>IF(IF(ABS((J16-I16)*86400)&lt;5.1,0,2*ABS((J16-I16)*86400))&gt;150,150,IF(ABS((J16-I16)*86400)&lt;5.1,0,2*ABS((J16-I16)*86400)))</f>
        <v>100.00000000000284</v>
      </c>
      <c r="K17" s="21">
        <f>$A17/(K$8*1.852)*60</f>
        <v>9.950632520826904</v>
      </c>
      <c r="L17" s="22">
        <f>IF(IF(ABS((L16-K16)*86400)&lt;5.1,0,2*ABS((L16-K16)*86400))&gt;150,150,IF(ABS((L16-K16)*86400)&lt;5.1,0,2*ABS((L16-K16)*86400)))</f>
        <v>52.000000000014523</v>
      </c>
      <c r="M17" s="21">
        <f>$A17/(M$8*1.852)*60</f>
        <v>10.687587481631766</v>
      </c>
      <c r="N17" s="22">
        <f>IF(IF(ABS((N16-M16)*86400)&lt;5.1,0,2*ABS((N16-M16)*86400))&gt;150,150,IF(ABS((N16-M16)*86400)&lt;5.1,0,2*ABS((N16-M16)*86400)))</f>
        <v>150</v>
      </c>
      <c r="O17" s="21">
        <f>$A17/(O$8*1.852)*60</f>
        <v>9.950632520826904</v>
      </c>
      <c r="P17" s="22">
        <f>IF(IF(ABS((P16-O16)*86400)&lt;5.1,0,2*ABS((P16-O16)*86400))&gt;150,150,IF(ABS((P16-O16)*86400)&lt;5.1,0,2*ABS((P16-O16)*86400)))</f>
        <v>82.000000000000028</v>
      </c>
    </row>
    <row r="18" spans="1:16" x14ac:dyDescent="0.2">
      <c r="A18" t="s">
        <v>24</v>
      </c>
      <c r="B18" s="24" t="s">
        <v>151</v>
      </c>
      <c r="C18" s="23">
        <f>C16+TIME(0,LEFT(C17,FIND(",",C17,1)),ROUND(MID(C17,FIND(",",C17,1)+1,4)/10000*60,0))</f>
        <v>0.56126157407407395</v>
      </c>
      <c r="D18" s="20">
        <f>C18+0.00004</f>
        <v>0.56130157407407399</v>
      </c>
      <c r="E18" s="23">
        <f>E16+TIME(0,LEFT(E17,FIND(",",E17,1)),ROUND(MID(E17,FIND(",",E17,1)+1,4)/10000*60,0))</f>
        <v>0.49418981481481472</v>
      </c>
      <c r="F18" s="20">
        <v>0.49436342592592591</v>
      </c>
      <c r="G18" s="23">
        <f>G16+TIME(0,LEFT(G17,FIND(",",G17,1)),ROUND(MID(G17,FIND(",",G17,1)+1,4)/10000*60,0))</f>
        <v>0.42515046296296288</v>
      </c>
      <c r="H18" s="20">
        <v>0.4251967592592592</v>
      </c>
      <c r="I18" s="23">
        <f>I16+TIME(0,LEFT(I17,FIND(",",I17,1)),ROUND(MID(I17,FIND(",",I17,1)+1,4)/10000*60,0))</f>
        <v>0.61334490740740732</v>
      </c>
      <c r="J18" s="20">
        <v>0.61447916666666669</v>
      </c>
      <c r="K18" s="23">
        <f>K16+TIME(0,LEFT(K17,FIND(",",K17,1)),ROUND(MID(K17,FIND(",",K17,1)+1,4)/10000*60,0))</f>
        <v>0.56685185185185172</v>
      </c>
      <c r="L18" s="20">
        <v>0.56712962962962965</v>
      </c>
      <c r="M18" s="23">
        <f>M16+TIME(0,LEFT(M17,FIND(",",M17,1)),ROUND(MID(M17,FIND(",",M17,1)+1,4)/10000*60,0))</f>
        <v>0.64836805555555554</v>
      </c>
      <c r="N18" s="20">
        <v>0.65</v>
      </c>
      <c r="O18" s="23">
        <f>O16+TIME(0,LEFT(O17,FIND(",",O17,1)),ROUND(MID(O17,FIND(",",O17,1)+1,4)/10000*60,0))</f>
        <v>0.66407407407407404</v>
      </c>
      <c r="P18" s="20">
        <v>0.66456018518518511</v>
      </c>
    </row>
    <row r="19" spans="1:16" x14ac:dyDescent="0.2">
      <c r="A19">
        <v>20.399999999999999</v>
      </c>
      <c r="B19" s="18"/>
      <c r="C19" s="21">
        <f>A19/($C$8*1.852)*60</f>
        <v>8.2613390928725714</v>
      </c>
      <c r="D19" s="22">
        <f>IF(ABS((D18-C18)*86400)&lt;5.1,0,2*ABS((D18-C18)*86400))</f>
        <v>0</v>
      </c>
      <c r="E19" s="21">
        <f>$A19/(E$8*1.852)*60</f>
        <v>11.015118790496759</v>
      </c>
      <c r="F19" s="22">
        <f>IF(ABS((F18-E18)*86400)&lt;5.1,0,2*ABS((F18-E18)*86400))</f>
        <v>30.000000000014282</v>
      </c>
      <c r="G19" s="21">
        <f>$A19/(G$8*1.852)*60</f>
        <v>8.2613390928725714</v>
      </c>
      <c r="H19" s="22">
        <f>IF(ABS((H18-G18)*86400)&lt;5.1,0,2*ABS((H18-G18)*86400))</f>
        <v>0</v>
      </c>
      <c r="I19" s="21">
        <f>$A19/(I$8*1.852)*60</f>
        <v>8.2613390928725714</v>
      </c>
      <c r="J19" s="22">
        <f>IF(IF(ABS((J18-I18)*86400)&lt;5.1,0,2*ABS((J18-I18)*86400))&gt;150,150,IF(ABS((J18-I18)*86400)&lt;5.1,0,2*ABS((J18-I18)*86400)))</f>
        <v>150</v>
      </c>
      <c r="K19" s="21">
        <f>$A19/(K$8*1.852)*60</f>
        <v>9.4415303918543643</v>
      </c>
      <c r="L19" s="22">
        <f>IF(IF(ABS((L18-K18)*86400)&lt;5.1,0,2*ABS((L18-K18)*86400))&gt;150,150,IF(ABS((L18-K18)*86400)&lt;5.1,0,2*ABS((L18-K18)*86400)))</f>
        <v>48.000000000026688</v>
      </c>
      <c r="M19" s="21">
        <f>$A19/(M$8*1.852)*60</f>
        <v>10.140780680245955</v>
      </c>
      <c r="N19" s="22">
        <f>IF(IF(ABS((N18-M18)*86400)&lt;5.1,0,2*ABS((N18-M18)*86400))&gt;150,150,IF(ABS((N18-M18)*86400)&lt;5.1,0,2*ABS((N18-M18)*86400)))</f>
        <v>150</v>
      </c>
      <c r="O19" s="21">
        <f>$A19/(O$8*1.852)*60</f>
        <v>9.4415303918543643</v>
      </c>
      <c r="P19" s="22">
        <f>IF(IF(ABS((P18-O18)*86400)&lt;5.1,0,2*ABS((P18-O18)*86400))&gt;150,150,IF(ABS((P18-O18)*86400)&lt;5.1,0,2*ABS((P18-O18)*86400)))</f>
        <v>83.999999999993946</v>
      </c>
    </row>
    <row r="20" spans="1:16" x14ac:dyDescent="0.2">
      <c r="A20" t="s">
        <v>23</v>
      </c>
      <c r="B20" s="24" t="s">
        <v>152</v>
      </c>
      <c r="C20" s="23">
        <f>C18+TIME(0,LEFT(C19,FIND(",",C19,1)),ROUND(MID(C19,FIND(",",C19,1)+1,4)/10000*60,0))</f>
        <v>0.56700231481481467</v>
      </c>
      <c r="D20" s="20">
        <f>C20+0.00004</f>
        <v>0.56704231481481471</v>
      </c>
      <c r="E20" s="23">
        <f>E18+TIME(0,LEFT(E19,FIND(",",E19,1)),ROUND(MID(E19,FIND(",",E19,1)+1,4)/10000*60,0))</f>
        <v>0.50184027777777773</v>
      </c>
      <c r="F20" s="20">
        <v>0.5019675925925926</v>
      </c>
      <c r="G20" s="23">
        <f>G18+TIME(0,LEFT(G19,FIND(",",G19,1)),ROUND(MID(G19,FIND(",",G19,1)+1,4)/10000*60,0))</f>
        <v>0.43089120370370365</v>
      </c>
      <c r="H20" s="20">
        <v>0.43077546296296299</v>
      </c>
      <c r="I20" s="23">
        <f>I18+TIME(0,LEFT(I19,FIND(",",I19,1)),ROUND(MID(I19,FIND(",",I19,1)+1,4)/10000*60,0))</f>
        <v>0.61908564814814804</v>
      </c>
      <c r="J20" s="20">
        <v>0.61976851851851855</v>
      </c>
      <c r="K20" s="23">
        <f>K18+TIME(0,LEFT(K19,FIND(",",K19,1)),ROUND(MID(K19,FIND(",",K19,1)+1,4)/10000*60,0))</f>
        <v>0.57340277777777759</v>
      </c>
      <c r="L20" s="20">
        <v>0.57355324074074077</v>
      </c>
      <c r="M20" s="23">
        <f>M18+TIME(0,LEFT(M19,FIND(",",M19,1)),ROUND(MID(M19,FIND(",",M19,1)+1,4)/10000*60,0))</f>
        <v>0.65540509259259261</v>
      </c>
      <c r="N20" s="20">
        <v>0.656712962962963</v>
      </c>
      <c r="O20" s="23">
        <f>O18+TIME(0,LEFT(O19,FIND(",",O19,1)),ROUND(MID(O19,FIND(",",O19,1)+1,4)/10000*60,0))</f>
        <v>0.67062499999999992</v>
      </c>
      <c r="P20" s="20">
        <v>0.67092592592592604</v>
      </c>
    </row>
    <row r="21" spans="1:16" x14ac:dyDescent="0.2">
      <c r="A21">
        <v>7.1</v>
      </c>
      <c r="B21" s="18"/>
      <c r="C21" s="21">
        <f>A21/($C$8*1.852)*60</f>
        <v>2.8752699784017279</v>
      </c>
      <c r="D21" s="22">
        <f>IF(ABS((D20-C20)*86400)&lt;5.1,0,2*ABS((D20-C20)*86400))</f>
        <v>0</v>
      </c>
      <c r="E21" s="21">
        <f>$A21/(E$8*1.852)*60</f>
        <v>3.8336933045356365</v>
      </c>
      <c r="F21" s="22">
        <f>IF(ABS((F20-E20)*86400)&lt;5.1,0,2*ABS((F20-E20)*86400))</f>
        <v>22.000000000009834</v>
      </c>
      <c r="G21" s="21">
        <f>$A21/(G$8*1.852)*60</f>
        <v>2.8752699784017279</v>
      </c>
      <c r="H21" s="22">
        <f>IF(ABS((H20-G20)*86400)&lt;5.1,0,2*ABS((H20-G20)*86400))</f>
        <v>19.999999999987139</v>
      </c>
      <c r="I21" s="21">
        <f>$A21/(I$8*1.852)*60</f>
        <v>2.8752699784017279</v>
      </c>
      <c r="J21" s="22">
        <f>IF(IF(ABS((J20-I20)*86400)&lt;5.1,0,2*ABS((J20-I20)*86400))&gt;150,150,IF(ABS((J20-I20)*86400)&lt;5.1,0,2*ABS((J20-I20)*86400)))</f>
        <v>118.00000000002484</v>
      </c>
      <c r="K21" s="21">
        <f>$A21/(K$8*1.852)*60</f>
        <v>3.2860228324591172</v>
      </c>
      <c r="L21" s="22">
        <f>IF(IF(ABS((L20-K20)*86400)&lt;5.1,0,2*ABS((L20-K20)*86400))&gt;150,150,IF(ABS((L20-K20)*86400)&lt;5.1,0,2*ABS((L20-K20)*86400)))</f>
        <v>26.000000000036039</v>
      </c>
      <c r="M21" s="21">
        <f>$A21/(M$8*1.852)*60</f>
        <v>3.5293893543993273</v>
      </c>
      <c r="N21" s="22">
        <f>IF(IF(ABS((N20-M20)*86400)&lt;5.1,0,2*ABS((N20-M20)*86400))&gt;150,150,IF(ABS((N20-M20)*86400)&lt;5.1,0,2*ABS((N20-M20)*86400)))</f>
        <v>150</v>
      </c>
      <c r="O21" s="21">
        <f>$A21/(O$8*1.852)*60</f>
        <v>3.2860228324591172</v>
      </c>
      <c r="P21" s="22">
        <f>IF(IF(ABS((P20-O20)*86400)&lt;5.1,0,2*ABS((P20-O20)*86400))&gt;150,150,IF(ABS((P20-O20)*86400)&lt;5.1,0,2*ABS((P20-O20)*86400)))</f>
        <v>52.000000000033708</v>
      </c>
    </row>
    <row r="22" spans="1:16" x14ac:dyDescent="0.2">
      <c r="A22" t="s">
        <v>20</v>
      </c>
      <c r="B22" s="18" t="s">
        <v>153</v>
      </c>
      <c r="C22" s="23">
        <f>C20+TIME(0,LEFT(C21,FIND(",",C21,1)),ROUND(MID(C21,FIND(",",C21,1)+1,4)/10000*60,0))</f>
        <v>0.5690046296296295</v>
      </c>
      <c r="D22" s="20">
        <f>C22+0.00004</f>
        <v>0.56904462962962954</v>
      </c>
      <c r="E22" s="23">
        <f>E20+TIME(0,LEFT(E21,FIND(",",E21,1)),ROUND(MID(E21,FIND(",",E21,1)+1,4)/10000*60,0))</f>
        <v>0.50450231481481478</v>
      </c>
      <c r="F22" s="20">
        <v>0.50458333333333327</v>
      </c>
      <c r="G22" s="23">
        <f>G20+TIME(0,LEFT(G21,FIND(",",G21,1)),ROUND(MID(G21,FIND(",",G21,1)+1,4)/10000*60,0))</f>
        <v>0.43289351851851848</v>
      </c>
      <c r="H22" s="20">
        <v>0.43292824074074071</v>
      </c>
      <c r="I22" s="23">
        <f>I20+TIME(0,LEFT(I21,FIND(",",I21,1)),ROUND(MID(I21,FIND(",",I21,1)+1,4)/10000*60,0))</f>
        <v>0.62108796296296287</v>
      </c>
      <c r="J22" s="20">
        <v>0.6216666666666667</v>
      </c>
      <c r="K22" s="23">
        <f>K20+TIME(0,LEFT(K21,FIND(",",K21,1)),ROUND(MID(K21,FIND(",",K21,1)+1,4)/10000*60,0))</f>
        <v>0.57568287037037014</v>
      </c>
      <c r="L22" s="20">
        <v>0.57571759259259259</v>
      </c>
      <c r="M22" s="23">
        <f>M20+TIME(0,LEFT(M21,FIND(",",M21,1)),ROUND(MID(M21,FIND(",",M21,1)+1,4)/10000*60,0))</f>
        <v>0.65785879629629629</v>
      </c>
      <c r="N22" s="20">
        <v>0.65858796296296296</v>
      </c>
      <c r="O22" s="23">
        <f>O20+TIME(0,LEFT(O21,FIND(",",O21,1)),ROUND(MID(O21,FIND(",",O21,1)+1,4)/10000*60,0))</f>
        <v>0.67290509259259246</v>
      </c>
      <c r="P22" s="20">
        <v>0.67297453703703702</v>
      </c>
    </row>
    <row r="23" spans="1:16" x14ac:dyDescent="0.2">
      <c r="B23" s="18"/>
      <c r="C23" s="25"/>
      <c r="D23" s="22">
        <f>ABS((D22-C22)*86400)</f>
        <v>3.4560000000034563</v>
      </c>
      <c r="E23" s="25"/>
      <c r="F23" s="22">
        <f>IF(IF(ABS((F22-E22)*86400)&lt;5.1,0,2*ABS((F22-E22)*86400))&gt;150,150,IF(ABS((F22-E22)*86400)&lt;5.1,0,2*ABS((F22-E22)*86400)))</f>
        <v>13.999999999995794</v>
      </c>
      <c r="G23" s="25"/>
      <c r="H23" s="22">
        <f>IF(ABS((H22-G22)*86400)&lt;5.1,0,2*ABS((H22-G22)*86400))</f>
        <v>0</v>
      </c>
      <c r="I23" s="25"/>
      <c r="J23" s="22">
        <f>IF(IF(ABS((J22-I22)*86400)&lt;5.1,0,2*ABS((J22-I22)*86400))&gt;150,150,IF(ABS((J22-I22)*86400)&lt;5.1,0,2*ABS((J22-I22)*86400)))</f>
        <v>100.00000000002203</v>
      </c>
      <c r="K23" s="25"/>
      <c r="L23" s="22">
        <f>IF(IF(ABS((L22-K22)*86400)&lt;5.1,0,2*ABS((L22-K22)*86400))&gt;150,150,IF(ABS((L22-K22)*86400)&lt;5.1,0,2*ABS((L22-K22)*86400)))</f>
        <v>0</v>
      </c>
      <c r="M23" s="25"/>
      <c r="N23" s="22">
        <f>IF(IF(ABS((N22-M22)*86400)&lt;5.1,0,2*ABS((N22-M22)*86400))&gt;150,150,IF(ABS((N22-M22)*86400)&lt;5.1,0,2*ABS((N22-M22)*86400)))</f>
        <v>126.00000000000051</v>
      </c>
      <c r="O23" s="25"/>
      <c r="P23" s="22">
        <f>IF(IF(ABS((P22-O22)*86400)&lt;5.1,0,2*ABS((P22-O22)*86400))&gt;150,150,IF(ABS((P22-O22)*86400)&lt;5.1,0,2*ABS((P22-O22)*86400)))</f>
        <v>12.00000000002106</v>
      </c>
    </row>
    <row r="24" spans="1:16" s="14" customFormat="1" x14ac:dyDescent="0.2">
      <c r="B24" s="26" t="s">
        <v>154</v>
      </c>
      <c r="C24" s="27"/>
      <c r="D24" s="28">
        <f>D11+D13+D15+D21+D23+D17+D19</f>
        <v>27.648000000008466</v>
      </c>
      <c r="E24" s="27"/>
      <c r="F24" s="28">
        <f>F11+F13+F15+F21+F23+F17+F19</f>
        <v>156.00000000004357</v>
      </c>
      <c r="G24" s="27"/>
      <c r="H24" s="28">
        <f>H11+H13+H15+H21+H23+H17+H19</f>
        <v>75.999999999989498</v>
      </c>
      <c r="I24" s="27"/>
      <c r="J24" s="28">
        <f>J11+J13+J15+J21+J23+J17+J19</f>
        <v>676.00000000005025</v>
      </c>
      <c r="K24" s="27"/>
      <c r="L24" s="28">
        <f>L11+L13+L15+L21+L23+L17+L19</f>
        <v>164.00000000011516</v>
      </c>
      <c r="M24" s="27"/>
      <c r="N24" s="28">
        <f>N11+N13+N15+N21+N23+N17+N19</f>
        <v>962.00000000001182</v>
      </c>
      <c r="O24" s="27"/>
      <c r="P24" s="28">
        <f>P11+P13+P15+P21+P23+P17+P19</f>
        <v>300.0000000000469</v>
      </c>
    </row>
    <row r="25" spans="1:16" x14ac:dyDescent="0.2">
      <c r="B25" s="18"/>
      <c r="C25" s="25"/>
      <c r="D25" s="29"/>
      <c r="E25" s="25"/>
      <c r="F25" s="29"/>
      <c r="G25" s="25"/>
      <c r="H25" s="29"/>
      <c r="I25" s="25"/>
      <c r="J25" s="29"/>
      <c r="K25" s="25"/>
      <c r="L25" s="29"/>
      <c r="M25" s="25"/>
      <c r="N25" s="29"/>
      <c r="O25" s="25"/>
      <c r="P25" s="29"/>
    </row>
    <row r="26" spans="1:16" x14ac:dyDescent="0.2">
      <c r="B26" s="18" t="s">
        <v>13</v>
      </c>
      <c r="C26" s="25"/>
      <c r="D26" s="30">
        <v>10</v>
      </c>
      <c r="E26" s="25"/>
      <c r="F26" s="30">
        <v>0</v>
      </c>
      <c r="G26" s="25"/>
      <c r="H26" s="30">
        <v>0</v>
      </c>
      <c r="I26" s="25"/>
      <c r="J26" s="30">
        <v>50</v>
      </c>
      <c r="K26" s="25"/>
      <c r="L26" s="30">
        <v>0</v>
      </c>
      <c r="M26" s="25"/>
      <c r="N26" s="30">
        <v>0</v>
      </c>
      <c r="O26" s="25"/>
      <c r="P26" s="30">
        <v>0</v>
      </c>
    </row>
    <row r="27" spans="1:16" x14ac:dyDescent="0.2">
      <c r="B27" s="18" t="s">
        <v>21</v>
      </c>
      <c r="C27" s="25"/>
      <c r="D27" s="30">
        <v>0</v>
      </c>
      <c r="E27" s="25"/>
      <c r="F27" s="30">
        <v>50</v>
      </c>
      <c r="G27" s="25"/>
      <c r="H27" s="30">
        <v>0</v>
      </c>
      <c r="I27" s="25"/>
      <c r="J27" s="30">
        <v>50</v>
      </c>
      <c r="K27" s="25"/>
      <c r="L27" s="30">
        <v>0</v>
      </c>
      <c r="M27" s="25"/>
      <c r="N27" s="30">
        <v>0</v>
      </c>
      <c r="O27" s="25"/>
      <c r="P27" s="30">
        <v>0</v>
      </c>
    </row>
    <row r="28" spans="1:16" x14ac:dyDescent="0.2">
      <c r="B28" s="18" t="s">
        <v>22</v>
      </c>
      <c r="C28" s="25"/>
      <c r="D28" s="30">
        <v>0</v>
      </c>
      <c r="E28" s="25"/>
      <c r="F28" s="30">
        <v>0</v>
      </c>
      <c r="G28" s="25"/>
      <c r="H28" s="30">
        <v>0</v>
      </c>
      <c r="I28" s="25"/>
      <c r="J28" s="30">
        <v>0</v>
      </c>
      <c r="K28" s="25"/>
      <c r="L28" s="30">
        <v>0</v>
      </c>
      <c r="M28" s="25"/>
      <c r="N28" s="30">
        <v>0</v>
      </c>
      <c r="O28" s="25"/>
      <c r="P28" s="30">
        <v>0</v>
      </c>
    </row>
    <row r="29" spans="1:16" x14ac:dyDescent="0.2">
      <c r="B29" s="18" t="s">
        <v>23</v>
      </c>
      <c r="C29" s="25"/>
      <c r="D29" s="30">
        <v>0</v>
      </c>
      <c r="E29" s="25"/>
      <c r="F29" s="30">
        <v>0</v>
      </c>
      <c r="G29" s="25"/>
      <c r="H29" s="30">
        <v>0</v>
      </c>
      <c r="I29" s="25"/>
      <c r="J29" s="30">
        <v>50</v>
      </c>
      <c r="K29" s="25"/>
      <c r="L29" s="30">
        <v>0</v>
      </c>
      <c r="M29" s="25"/>
      <c r="N29" s="30">
        <v>0</v>
      </c>
      <c r="O29" s="25"/>
      <c r="P29" s="30">
        <v>50</v>
      </c>
    </row>
    <row r="30" spans="1:16" x14ac:dyDescent="0.2">
      <c r="B30" s="18" t="s">
        <v>24</v>
      </c>
      <c r="C30" s="25"/>
      <c r="D30" s="30">
        <v>0</v>
      </c>
      <c r="E30" s="25"/>
      <c r="F30" s="30">
        <v>50</v>
      </c>
      <c r="G30" s="25"/>
      <c r="H30" s="30">
        <v>0</v>
      </c>
      <c r="I30" s="25"/>
      <c r="J30" s="30">
        <v>0</v>
      </c>
      <c r="K30" s="25"/>
      <c r="L30" s="30">
        <v>0</v>
      </c>
      <c r="M30" s="25"/>
      <c r="N30" s="30">
        <v>0</v>
      </c>
      <c r="O30" s="25"/>
      <c r="P30" s="30">
        <v>0</v>
      </c>
    </row>
    <row r="31" spans="1:16" x14ac:dyDescent="0.2">
      <c r="B31" s="18" t="s">
        <v>25</v>
      </c>
      <c r="C31" s="25"/>
      <c r="D31" s="30">
        <v>0</v>
      </c>
      <c r="E31" s="25"/>
      <c r="F31" s="30">
        <v>0</v>
      </c>
      <c r="G31" s="25"/>
      <c r="H31" s="30">
        <v>0</v>
      </c>
      <c r="I31" s="25"/>
      <c r="J31" s="30">
        <v>0</v>
      </c>
      <c r="K31" s="25"/>
      <c r="L31" s="30">
        <v>0</v>
      </c>
      <c r="M31" s="25"/>
      <c r="N31" s="30">
        <v>0</v>
      </c>
      <c r="O31" s="25"/>
      <c r="P31" s="30">
        <v>0</v>
      </c>
    </row>
    <row r="32" spans="1:16" x14ac:dyDescent="0.2">
      <c r="B32" s="18" t="s">
        <v>20</v>
      </c>
      <c r="C32" s="25"/>
      <c r="D32" s="30">
        <v>0</v>
      </c>
      <c r="E32" s="25"/>
      <c r="F32" s="30">
        <v>0</v>
      </c>
      <c r="G32" s="25"/>
      <c r="H32" s="30">
        <v>0</v>
      </c>
      <c r="I32" s="25"/>
      <c r="J32" s="30">
        <v>0</v>
      </c>
      <c r="K32" s="25"/>
      <c r="L32" s="30">
        <v>0</v>
      </c>
      <c r="M32" s="25"/>
      <c r="N32" s="30">
        <v>0</v>
      </c>
      <c r="O32" s="25"/>
      <c r="P32" s="30">
        <v>0</v>
      </c>
    </row>
    <row r="33" spans="2:16" x14ac:dyDescent="0.2">
      <c r="B33" s="18">
        <v>1</v>
      </c>
      <c r="C33" s="25"/>
      <c r="D33" s="30">
        <v>0</v>
      </c>
      <c r="E33" s="25"/>
      <c r="F33" s="30">
        <v>0</v>
      </c>
      <c r="G33" s="25"/>
      <c r="H33" s="30">
        <v>0</v>
      </c>
      <c r="I33" s="25"/>
      <c r="J33" s="30">
        <v>15</v>
      </c>
      <c r="K33" s="25"/>
      <c r="L33" s="30">
        <v>0</v>
      </c>
      <c r="M33" s="25"/>
      <c r="N33" s="30">
        <v>30</v>
      </c>
      <c r="O33" s="25"/>
      <c r="P33" s="30">
        <v>30</v>
      </c>
    </row>
    <row r="34" spans="2:16" x14ac:dyDescent="0.2">
      <c r="B34" s="18">
        <v>2</v>
      </c>
      <c r="C34" s="25"/>
      <c r="D34" s="30">
        <v>10</v>
      </c>
      <c r="E34" s="25"/>
      <c r="F34" s="30">
        <v>30</v>
      </c>
      <c r="G34" s="25"/>
      <c r="H34" s="30">
        <v>30</v>
      </c>
      <c r="I34" s="25"/>
      <c r="J34" s="30">
        <v>0</v>
      </c>
      <c r="K34" s="25"/>
      <c r="L34" s="30">
        <v>30</v>
      </c>
      <c r="M34" s="25"/>
      <c r="N34" s="30">
        <v>0</v>
      </c>
      <c r="O34" s="25"/>
      <c r="P34" s="30">
        <v>0</v>
      </c>
    </row>
    <row r="35" spans="2:16" x14ac:dyDescent="0.2">
      <c r="B35" s="18">
        <v>3</v>
      </c>
      <c r="C35" s="25"/>
      <c r="D35" s="30">
        <v>10</v>
      </c>
      <c r="E35" s="25"/>
      <c r="F35" s="30">
        <v>30</v>
      </c>
      <c r="G35" s="25"/>
      <c r="H35" s="30">
        <v>0</v>
      </c>
      <c r="I35" s="25"/>
      <c r="J35" s="30">
        <v>30</v>
      </c>
      <c r="K35" s="25"/>
      <c r="L35" s="30">
        <v>0</v>
      </c>
      <c r="M35" s="25"/>
      <c r="N35" s="30">
        <v>30</v>
      </c>
      <c r="O35" s="25"/>
      <c r="P35" s="30">
        <v>15</v>
      </c>
    </row>
    <row r="36" spans="2:16" x14ac:dyDescent="0.2">
      <c r="B36" s="18">
        <v>4</v>
      </c>
      <c r="C36" s="25"/>
      <c r="D36" s="30">
        <v>0</v>
      </c>
      <c r="E36" s="25"/>
      <c r="F36" s="30">
        <v>0</v>
      </c>
      <c r="G36" s="25"/>
      <c r="H36" s="30">
        <v>30</v>
      </c>
      <c r="I36" s="25"/>
      <c r="J36" s="30">
        <v>30</v>
      </c>
      <c r="K36" s="25"/>
      <c r="L36" s="30">
        <v>0</v>
      </c>
      <c r="M36" s="25"/>
      <c r="N36" s="30">
        <v>30</v>
      </c>
      <c r="O36" s="25"/>
      <c r="P36" s="30">
        <v>30</v>
      </c>
    </row>
    <row r="37" spans="2:16" x14ac:dyDescent="0.2">
      <c r="B37" s="18">
        <v>5</v>
      </c>
      <c r="C37" s="25"/>
      <c r="D37" s="30">
        <v>0</v>
      </c>
      <c r="E37" s="25"/>
      <c r="F37" s="30">
        <v>50</v>
      </c>
      <c r="G37" s="25"/>
      <c r="H37" s="30">
        <v>30</v>
      </c>
      <c r="I37" s="25"/>
      <c r="J37" s="30">
        <v>30</v>
      </c>
      <c r="K37" s="25"/>
      <c r="L37" s="30">
        <v>30</v>
      </c>
      <c r="M37" s="25"/>
      <c r="N37" s="30">
        <v>0</v>
      </c>
      <c r="O37" s="25"/>
      <c r="P37" s="30">
        <v>30</v>
      </c>
    </row>
    <row r="38" spans="2:16" x14ac:dyDescent="0.2">
      <c r="B38" s="18">
        <v>6</v>
      </c>
      <c r="C38" s="25"/>
      <c r="D38" s="30">
        <v>10</v>
      </c>
      <c r="E38" s="25"/>
      <c r="F38" s="30">
        <v>30</v>
      </c>
      <c r="G38" s="25"/>
      <c r="H38" s="30">
        <v>30</v>
      </c>
      <c r="I38" s="25"/>
      <c r="J38" s="30">
        <v>0</v>
      </c>
      <c r="K38" s="25"/>
      <c r="L38" s="30">
        <v>30</v>
      </c>
      <c r="M38" s="25"/>
      <c r="N38" s="30">
        <v>30</v>
      </c>
      <c r="O38" s="25"/>
      <c r="P38" s="30">
        <v>0</v>
      </c>
    </row>
    <row r="39" spans="2:16" x14ac:dyDescent="0.2">
      <c r="B39" s="18">
        <v>7</v>
      </c>
      <c r="C39" s="25"/>
      <c r="D39" s="30">
        <v>10</v>
      </c>
      <c r="E39" s="25"/>
      <c r="F39" s="30">
        <v>30</v>
      </c>
      <c r="G39" s="25"/>
      <c r="H39" s="30">
        <v>30</v>
      </c>
      <c r="I39" s="25"/>
      <c r="J39" s="30">
        <v>30</v>
      </c>
      <c r="K39" s="25"/>
      <c r="L39" s="30">
        <v>30</v>
      </c>
      <c r="M39" s="25"/>
      <c r="N39" s="30">
        <v>30</v>
      </c>
      <c r="O39" s="25"/>
      <c r="P39" s="30">
        <v>30</v>
      </c>
    </row>
    <row r="40" spans="2:16" x14ac:dyDescent="0.2">
      <c r="B40" s="18">
        <v>8</v>
      </c>
      <c r="C40" s="25"/>
      <c r="D40" s="30">
        <v>0</v>
      </c>
      <c r="E40" s="25"/>
      <c r="F40" s="30">
        <v>30</v>
      </c>
      <c r="G40" s="25"/>
      <c r="H40" s="30">
        <v>30</v>
      </c>
      <c r="I40" s="25"/>
      <c r="J40" s="30">
        <v>0</v>
      </c>
      <c r="K40" s="25"/>
      <c r="L40" s="30">
        <v>30</v>
      </c>
      <c r="M40" s="25"/>
      <c r="N40" s="30">
        <v>30</v>
      </c>
      <c r="O40" s="25"/>
      <c r="P40" s="30">
        <v>30</v>
      </c>
    </row>
    <row r="41" spans="2:16" x14ac:dyDescent="0.2">
      <c r="B41" s="18">
        <v>9</v>
      </c>
      <c r="C41" s="25"/>
      <c r="D41" s="30">
        <v>10</v>
      </c>
      <c r="E41" s="25"/>
      <c r="F41" s="30">
        <v>0</v>
      </c>
      <c r="G41" s="25"/>
      <c r="H41" s="30">
        <v>15</v>
      </c>
      <c r="I41" s="25"/>
      <c r="J41" s="30">
        <v>0</v>
      </c>
      <c r="K41" s="25"/>
      <c r="L41" s="30">
        <v>50</v>
      </c>
      <c r="M41" s="25"/>
      <c r="N41" s="30">
        <v>0</v>
      </c>
      <c r="O41" s="25"/>
      <c r="P41" s="30">
        <v>0</v>
      </c>
    </row>
    <row r="42" spans="2:16" x14ac:dyDescent="0.2">
      <c r="B42" s="18">
        <v>10</v>
      </c>
      <c r="C42" s="25"/>
      <c r="D42" s="30">
        <v>10</v>
      </c>
      <c r="E42" s="25"/>
      <c r="F42" s="30">
        <v>30</v>
      </c>
      <c r="G42" s="25"/>
      <c r="H42" s="30">
        <v>0</v>
      </c>
      <c r="I42" s="25"/>
      <c r="J42" s="30">
        <v>0</v>
      </c>
      <c r="K42" s="25"/>
      <c r="L42" s="30">
        <v>0</v>
      </c>
      <c r="M42" s="25"/>
      <c r="N42" s="30">
        <v>30</v>
      </c>
      <c r="O42" s="25"/>
      <c r="P42" s="30">
        <v>0</v>
      </c>
    </row>
    <row r="43" spans="2:16" x14ac:dyDescent="0.2">
      <c r="B43" s="18">
        <v>11</v>
      </c>
      <c r="C43" s="25"/>
      <c r="D43" s="30">
        <v>10</v>
      </c>
      <c r="E43" s="25"/>
      <c r="F43" s="30">
        <v>30</v>
      </c>
      <c r="G43" s="25"/>
      <c r="H43" s="30">
        <v>0</v>
      </c>
      <c r="I43" s="25"/>
      <c r="J43" s="30">
        <v>0</v>
      </c>
      <c r="K43" s="25"/>
      <c r="L43" s="30">
        <v>0</v>
      </c>
      <c r="M43" s="25"/>
      <c r="N43" s="30">
        <v>15</v>
      </c>
      <c r="O43" s="25"/>
      <c r="P43" s="30">
        <v>0</v>
      </c>
    </row>
    <row r="44" spans="2:16" x14ac:dyDescent="0.2">
      <c r="B44" s="18">
        <v>12</v>
      </c>
      <c r="C44" s="25"/>
      <c r="D44" s="30">
        <v>10</v>
      </c>
      <c r="E44" s="25"/>
      <c r="F44" s="30">
        <v>0</v>
      </c>
      <c r="G44" s="25"/>
      <c r="H44" s="30">
        <v>0</v>
      </c>
      <c r="I44" s="25"/>
      <c r="J44" s="30">
        <v>0</v>
      </c>
      <c r="K44" s="25"/>
      <c r="L44" s="30">
        <v>0</v>
      </c>
      <c r="M44" s="25"/>
      <c r="N44" s="30">
        <v>0</v>
      </c>
      <c r="O44" s="25"/>
      <c r="P44" s="30">
        <v>30</v>
      </c>
    </row>
    <row r="45" spans="2:16" x14ac:dyDescent="0.2">
      <c r="B45" s="18">
        <v>13</v>
      </c>
      <c r="C45" s="25"/>
      <c r="D45" s="30">
        <v>0</v>
      </c>
      <c r="E45" s="25"/>
      <c r="F45" s="30">
        <v>30</v>
      </c>
      <c r="G45" s="25"/>
      <c r="H45" s="30">
        <v>15</v>
      </c>
      <c r="I45" s="25"/>
      <c r="J45" s="30">
        <v>0</v>
      </c>
      <c r="K45" s="25"/>
      <c r="L45" s="30">
        <v>30</v>
      </c>
      <c r="M45" s="25"/>
      <c r="N45" s="30">
        <v>30</v>
      </c>
      <c r="O45" s="25"/>
      <c r="P45" s="30">
        <v>15</v>
      </c>
    </row>
    <row r="46" spans="2:16" x14ac:dyDescent="0.2">
      <c r="B46" s="18"/>
      <c r="C46" s="25"/>
      <c r="D46" s="29"/>
      <c r="E46" s="25"/>
      <c r="F46" s="29"/>
      <c r="G46" s="25"/>
      <c r="H46" s="29"/>
      <c r="I46" s="25"/>
      <c r="J46" s="29"/>
      <c r="K46" s="25"/>
      <c r="L46" s="29"/>
      <c r="M46" s="25"/>
      <c r="N46" s="29"/>
      <c r="O46" s="25"/>
      <c r="P46" s="29"/>
    </row>
    <row r="47" spans="2:16" x14ac:dyDescent="0.2">
      <c r="B47" s="18" t="s">
        <v>69</v>
      </c>
      <c r="C47" s="25"/>
      <c r="D47" s="29"/>
      <c r="E47" s="25"/>
      <c r="F47" s="29">
        <v>40</v>
      </c>
      <c r="G47" s="25"/>
      <c r="H47" s="29">
        <v>200</v>
      </c>
      <c r="I47" s="25"/>
      <c r="J47" s="29">
        <v>200</v>
      </c>
      <c r="K47" s="25"/>
      <c r="L47" s="29">
        <v>20</v>
      </c>
      <c r="M47" s="25"/>
      <c r="N47" s="29">
        <v>200</v>
      </c>
      <c r="O47" s="25"/>
      <c r="P47" s="29">
        <v>20</v>
      </c>
    </row>
    <row r="48" spans="2:16" x14ac:dyDescent="0.2">
      <c r="B48" s="18" t="s">
        <v>71</v>
      </c>
      <c r="C48" s="25"/>
      <c r="D48" s="29"/>
      <c r="E48" s="25"/>
      <c r="F48" s="29">
        <v>80</v>
      </c>
      <c r="G48" s="25"/>
      <c r="H48" s="29">
        <v>40</v>
      </c>
      <c r="I48" s="25"/>
      <c r="J48" s="29">
        <v>200</v>
      </c>
      <c r="K48" s="25"/>
      <c r="L48" s="29">
        <v>60</v>
      </c>
      <c r="M48" s="25"/>
      <c r="N48" s="29">
        <v>200</v>
      </c>
      <c r="O48" s="25"/>
      <c r="P48" s="29">
        <v>0</v>
      </c>
    </row>
    <row r="49" spans="2:16" x14ac:dyDescent="0.2">
      <c r="B49" s="18"/>
      <c r="C49" s="25"/>
      <c r="D49" s="29"/>
      <c r="E49" s="25"/>
      <c r="F49" s="29"/>
      <c r="G49" s="25"/>
      <c r="H49" s="29"/>
      <c r="I49" s="25"/>
      <c r="J49" s="29"/>
      <c r="K49" s="25"/>
      <c r="L49" s="29"/>
      <c r="M49" s="25"/>
      <c r="N49" s="29"/>
      <c r="O49" s="25"/>
      <c r="P49" s="29"/>
    </row>
    <row r="50" spans="2:16" x14ac:dyDescent="0.2">
      <c r="B50" s="18"/>
      <c r="C50" s="25"/>
      <c r="D50" s="29"/>
      <c r="E50" s="25"/>
      <c r="F50" s="29"/>
      <c r="G50" s="25"/>
      <c r="H50" s="29"/>
      <c r="I50" s="25" t="s">
        <v>155</v>
      </c>
      <c r="J50" s="29">
        <v>150</v>
      </c>
      <c r="K50" s="25"/>
      <c r="L50" s="29"/>
      <c r="M50" s="25"/>
      <c r="N50" s="29"/>
      <c r="O50" s="25" t="s">
        <v>156</v>
      </c>
      <c r="P50" s="29">
        <v>150</v>
      </c>
    </row>
    <row r="51" spans="2:16" x14ac:dyDescent="0.2">
      <c r="B51" s="18"/>
      <c r="C51" s="25"/>
      <c r="D51" s="29"/>
      <c r="E51" s="25"/>
      <c r="F51" s="29"/>
      <c r="G51" s="25"/>
      <c r="H51" s="29"/>
      <c r="I51" s="25"/>
      <c r="J51" s="29"/>
      <c r="K51" s="25"/>
      <c r="L51" s="29"/>
      <c r="M51" s="25"/>
      <c r="N51" s="29"/>
      <c r="O51" s="25"/>
      <c r="P51" s="29"/>
    </row>
    <row r="52" spans="2:16" ht="17" thickBot="1" x14ac:dyDescent="0.25">
      <c r="B52" s="26" t="s">
        <v>157</v>
      </c>
      <c r="C52" s="31"/>
      <c r="D52" s="32">
        <f>IFERROR(SUM(D24:D45),0)*-1</f>
        <v>-117.64800000000847</v>
      </c>
      <c r="E52" s="31"/>
      <c r="F52" s="32">
        <f>IFERROR(SUM(F24:F49),0)*-1</f>
        <v>-666.00000000004354</v>
      </c>
      <c r="G52" s="31"/>
      <c r="H52" s="32">
        <f>IFERROR(SUM(H24:H49),0)*-1</f>
        <v>-525.99999999998954</v>
      </c>
      <c r="I52" s="31"/>
      <c r="J52" s="32">
        <f>IFERROR(SUM(J24:J49),0)*-1</f>
        <v>-1361.0000000000502</v>
      </c>
      <c r="K52" s="31"/>
      <c r="L52" s="32">
        <f>IFERROR(SUM(L24:L49),0)*-1</f>
        <v>-474.00000000011516</v>
      </c>
      <c r="M52" s="31"/>
      <c r="N52" s="32">
        <f>IFERROR(SUM(N24:N49),0)*-1</f>
        <v>-1617.0000000000118</v>
      </c>
      <c r="O52" s="31"/>
      <c r="P52" s="32">
        <f>IFERROR(SUM(P24:P49),0)*-1</f>
        <v>-580.00000000004684</v>
      </c>
    </row>
    <row r="53" spans="2:16" x14ac:dyDescent="0.2">
      <c r="B53" s="18"/>
      <c r="C53" s="33"/>
      <c r="D53" s="33"/>
      <c r="F53">
        <f>RANK(F52,$F$52:$P$52,0)</f>
        <v>4</v>
      </c>
      <c r="H53">
        <f>RANK(H52,$F$52:$P$52,0)</f>
        <v>2</v>
      </c>
      <c r="J53">
        <f>RANK(J52,$F$52:$P$52,0)</f>
        <v>5</v>
      </c>
      <c r="L53">
        <f>RANK(L52,$F$52:$P$52,0)</f>
        <v>1</v>
      </c>
      <c r="N53">
        <f>RANK(N52,$F$52:$P$52,0)</f>
        <v>6</v>
      </c>
      <c r="P53">
        <f>RANK(P52,$F$52:$P$52,0)</f>
        <v>3</v>
      </c>
    </row>
    <row r="54" spans="2:16" x14ac:dyDescent="0.2">
      <c r="B54" s="18"/>
      <c r="F54" s="15"/>
      <c r="H54" s="15"/>
      <c r="J54" s="15"/>
      <c r="L54" s="15"/>
      <c r="N54" s="15"/>
      <c r="P54" s="15"/>
    </row>
  </sheetData>
  <mergeCells count="37">
    <mergeCell ref="C7:D7"/>
    <mergeCell ref="E7:F7"/>
    <mergeCell ref="G7:H7"/>
    <mergeCell ref="I7:J7"/>
    <mergeCell ref="K7:L7"/>
    <mergeCell ref="M7:N7"/>
    <mergeCell ref="M5:N5"/>
    <mergeCell ref="M6:N6"/>
    <mergeCell ref="M8:N8"/>
    <mergeCell ref="M9:N9"/>
    <mergeCell ref="O5:P5"/>
    <mergeCell ref="O6:P6"/>
    <mergeCell ref="O8:P8"/>
    <mergeCell ref="O9:P9"/>
    <mergeCell ref="O7:P7"/>
    <mergeCell ref="C8:D8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K5:L5"/>
    <mergeCell ref="C6:D6"/>
    <mergeCell ref="E6:F6"/>
    <mergeCell ref="G6:H6"/>
    <mergeCell ref="I6:J6"/>
    <mergeCell ref="K6:L6"/>
    <mergeCell ref="I5:J5"/>
    <mergeCell ref="E1:F1"/>
    <mergeCell ref="C3:D3"/>
    <mergeCell ref="C5:D5"/>
    <mergeCell ref="E5:F5"/>
    <mergeCell ref="G5:H5"/>
  </mergeCells>
  <pageMargins left="0.25" right="0.25" top="0.75" bottom="0.75" header="0.3" footer="0.3"/>
  <pageSetup paperSize="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formule</vt:lpstr>
      <vt:lpstr>Tekma 2025</vt:lpstr>
      <vt:lpstr>TEKMOVALNI LIST</vt:lpstr>
      <vt:lpstr>TEKMOVALNI LIST blank</vt:lpstr>
      <vt:lpstr>Arhiv 2022</vt:lpstr>
      <vt:lpstr>Arhiv 2020</vt:lpstr>
      <vt:lpstr>Arhiv2021</vt:lpstr>
      <vt:lpstr>'TEKMOVALNI LIST'!Print_Area</vt:lpstr>
      <vt:lpstr>'TEKMOVALNI LIST blank'!Print_Area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Simon Ravnič</cp:lastModifiedBy>
  <cp:revision/>
  <cp:lastPrinted>2023-10-12T16:01:45Z</cp:lastPrinted>
  <dcterms:created xsi:type="dcterms:W3CDTF">2020-10-06T08:24:47Z</dcterms:created>
  <dcterms:modified xsi:type="dcterms:W3CDTF">2025-09-23T14:03:06Z</dcterms:modified>
  <cp:category/>
  <cp:contentStatus/>
</cp:coreProperties>
</file>