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STORE N GO/01 Interne Unternehmensrechnung/Excel-Beispiele/"/>
    </mc:Choice>
  </mc:AlternateContent>
  <bookViews>
    <workbookView xWindow="700" yWindow="460" windowWidth="24860" windowHeight="25320" tabRatio="500"/>
  </bookViews>
  <sheets>
    <sheet name="Blat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05" i="1" l="1"/>
  <c r="D116" i="1"/>
  <c r="E109" i="1"/>
  <c r="K127" i="1"/>
  <c r="D138" i="1"/>
  <c r="H147" i="1"/>
  <c r="K126" i="1"/>
  <c r="D137" i="1"/>
  <c r="H146" i="1"/>
  <c r="K125" i="1"/>
  <c r="D136" i="1"/>
  <c r="H145" i="1"/>
  <c r="K106" i="1"/>
  <c r="D117" i="1"/>
  <c r="F110" i="1"/>
  <c r="F109" i="1"/>
  <c r="K107" i="1"/>
  <c r="D118" i="1"/>
  <c r="G147" i="1"/>
  <c r="G146" i="1"/>
  <c r="G145" i="1"/>
  <c r="F146" i="1"/>
  <c r="F147" i="1"/>
  <c r="F145" i="1"/>
  <c r="K9" i="1"/>
  <c r="D77" i="1"/>
  <c r="E50" i="1"/>
  <c r="E52" i="1"/>
  <c r="K47" i="1"/>
  <c r="D78" i="1"/>
  <c r="F52" i="1"/>
  <c r="F50" i="1"/>
  <c r="K48" i="1"/>
  <c r="D79" i="1"/>
  <c r="D52" i="1"/>
  <c r="D54" i="1"/>
  <c r="D56" i="1"/>
  <c r="K46" i="1"/>
  <c r="E77" i="1"/>
  <c r="F56" i="1"/>
  <c r="E54" i="1"/>
  <c r="E56" i="1"/>
  <c r="E78" i="1"/>
  <c r="F58" i="1"/>
  <c r="E79" i="1"/>
  <c r="D58" i="1"/>
  <c r="D60" i="1"/>
  <c r="F77" i="1"/>
  <c r="F62" i="1"/>
  <c r="E60" i="1"/>
  <c r="E62" i="1"/>
  <c r="F78" i="1"/>
  <c r="F64" i="1"/>
  <c r="F79" i="1"/>
  <c r="D64" i="1"/>
  <c r="D66" i="1"/>
  <c r="G77" i="1"/>
  <c r="F68" i="1"/>
  <c r="E66" i="1"/>
  <c r="E68" i="1"/>
  <c r="G78" i="1"/>
  <c r="F70" i="1"/>
  <c r="G79" i="1"/>
  <c r="H79" i="1"/>
  <c r="E147" i="1"/>
  <c r="H78" i="1"/>
  <c r="E146" i="1"/>
  <c r="H77" i="1"/>
  <c r="E145" i="1"/>
  <c r="J26" i="1" a="1"/>
  <c r="J28" i="1"/>
  <c r="D147" i="1"/>
  <c r="J27" i="1"/>
  <c r="D146" i="1"/>
  <c r="J26" i="1"/>
  <c r="D145" i="1"/>
  <c r="J131" i="1"/>
  <c r="I131" i="1"/>
  <c r="H131" i="1"/>
  <c r="G131" i="1"/>
  <c r="J130" i="1"/>
  <c r="I130" i="1"/>
  <c r="H130" i="1"/>
  <c r="G130" i="1"/>
  <c r="J129" i="1"/>
  <c r="I129" i="1"/>
  <c r="H129" i="1"/>
  <c r="G129" i="1"/>
  <c r="F131" i="1"/>
  <c r="E130" i="1"/>
  <c r="D129" i="1"/>
  <c r="D132" i="1"/>
  <c r="E132" i="1"/>
  <c r="F132" i="1"/>
  <c r="G132" i="1"/>
  <c r="H132" i="1"/>
  <c r="I132" i="1"/>
  <c r="J132" i="1"/>
  <c r="K132" i="1"/>
  <c r="K131" i="1"/>
  <c r="K130" i="1"/>
  <c r="K129" i="1"/>
  <c r="K123" i="1"/>
  <c r="J111" i="1"/>
  <c r="I111" i="1"/>
  <c r="H111" i="1"/>
  <c r="G111" i="1"/>
  <c r="F111" i="1"/>
  <c r="J110" i="1"/>
  <c r="I110" i="1"/>
  <c r="H110" i="1"/>
  <c r="G110" i="1"/>
  <c r="E110" i="1"/>
  <c r="D109" i="1"/>
  <c r="G109" i="1"/>
  <c r="H109" i="1"/>
  <c r="I109" i="1"/>
  <c r="J109" i="1"/>
  <c r="D112" i="1"/>
  <c r="E112" i="1"/>
  <c r="F112" i="1"/>
  <c r="G112" i="1"/>
  <c r="H112" i="1"/>
  <c r="I112" i="1"/>
  <c r="J112" i="1"/>
  <c r="K112" i="1"/>
  <c r="K111" i="1"/>
  <c r="K110" i="1"/>
  <c r="K109" i="1"/>
  <c r="K103" i="1"/>
  <c r="K87" i="1"/>
  <c r="D91" i="1"/>
  <c r="D92" i="1"/>
  <c r="D93" i="1"/>
  <c r="D94" i="1"/>
  <c r="D96" i="1"/>
  <c r="E91" i="1"/>
  <c r="K88" i="1"/>
  <c r="E92" i="1"/>
  <c r="E93" i="1"/>
  <c r="E94" i="1"/>
  <c r="E96" i="1"/>
  <c r="F91" i="1"/>
  <c r="F92" i="1"/>
  <c r="K89" i="1"/>
  <c r="F93" i="1"/>
  <c r="F94" i="1"/>
  <c r="F96" i="1"/>
  <c r="G91" i="1"/>
  <c r="G92" i="1"/>
  <c r="G93" i="1"/>
  <c r="G94" i="1"/>
  <c r="H91" i="1"/>
  <c r="H92" i="1"/>
  <c r="H93" i="1"/>
  <c r="H94" i="1"/>
  <c r="I91" i="1"/>
  <c r="I92" i="1"/>
  <c r="I93" i="1"/>
  <c r="I94" i="1"/>
  <c r="J91" i="1"/>
  <c r="J92" i="1"/>
  <c r="J93" i="1"/>
  <c r="J94" i="1"/>
  <c r="G96" i="1"/>
  <c r="H96" i="1"/>
  <c r="I96" i="1"/>
  <c r="J96" i="1"/>
  <c r="K96" i="1"/>
  <c r="K94" i="1"/>
  <c r="K98" i="1"/>
  <c r="J98" i="1"/>
  <c r="I98" i="1"/>
  <c r="H98" i="1"/>
  <c r="G98" i="1"/>
  <c r="F98" i="1"/>
  <c r="E98" i="1"/>
  <c r="D98" i="1"/>
  <c r="K93" i="1"/>
  <c r="K91" i="1"/>
  <c r="K92" i="1"/>
  <c r="K85" i="1"/>
  <c r="D70" i="1"/>
  <c r="D72" i="1"/>
  <c r="D73" i="1"/>
  <c r="E72" i="1"/>
  <c r="E73" i="1"/>
  <c r="F72" i="1"/>
  <c r="F73" i="1"/>
  <c r="G50" i="1"/>
  <c r="G52" i="1"/>
  <c r="G54" i="1"/>
  <c r="G56" i="1"/>
  <c r="G58" i="1"/>
  <c r="G60" i="1"/>
  <c r="G62" i="1"/>
  <c r="G64" i="1"/>
  <c r="G66" i="1"/>
  <c r="G68" i="1"/>
  <c r="G70" i="1"/>
  <c r="G72" i="1"/>
  <c r="G73" i="1"/>
  <c r="H50" i="1"/>
  <c r="H52" i="1"/>
  <c r="H54" i="1"/>
  <c r="H56" i="1"/>
  <c r="H58" i="1"/>
  <c r="H60" i="1"/>
  <c r="H62" i="1"/>
  <c r="H64" i="1"/>
  <c r="H66" i="1"/>
  <c r="H68" i="1"/>
  <c r="H70" i="1"/>
  <c r="H72" i="1"/>
  <c r="H73" i="1"/>
  <c r="I50" i="1"/>
  <c r="I52" i="1"/>
  <c r="I54" i="1"/>
  <c r="I56" i="1"/>
  <c r="I58" i="1"/>
  <c r="I60" i="1"/>
  <c r="I62" i="1"/>
  <c r="I64" i="1"/>
  <c r="I66" i="1"/>
  <c r="I68" i="1"/>
  <c r="I70" i="1"/>
  <c r="I72" i="1"/>
  <c r="I73" i="1"/>
  <c r="J50" i="1"/>
  <c r="J52" i="1"/>
  <c r="J54" i="1"/>
  <c r="J56" i="1"/>
  <c r="J58" i="1"/>
  <c r="J60" i="1"/>
  <c r="J62" i="1"/>
  <c r="J64" i="1"/>
  <c r="J66" i="1"/>
  <c r="J68" i="1"/>
  <c r="J70" i="1"/>
  <c r="J72" i="1"/>
  <c r="J73" i="1"/>
  <c r="K73" i="1"/>
  <c r="E70" i="1"/>
  <c r="K70" i="1"/>
  <c r="D68" i="1"/>
  <c r="D62" i="1"/>
  <c r="K72" i="1"/>
  <c r="E71" i="1"/>
  <c r="D69" i="1"/>
  <c r="K68" i="1"/>
  <c r="F66" i="1"/>
  <c r="F67" i="1"/>
  <c r="K66" i="1"/>
  <c r="E64" i="1"/>
  <c r="K64" i="1"/>
  <c r="E65" i="1"/>
  <c r="D63" i="1"/>
  <c r="K62" i="1"/>
  <c r="F60" i="1"/>
  <c r="K60" i="1"/>
  <c r="E58" i="1"/>
  <c r="K58" i="1"/>
  <c r="E59" i="1"/>
  <c r="D57" i="1"/>
  <c r="K56" i="1"/>
  <c r="F54" i="1"/>
  <c r="K54" i="1"/>
  <c r="F55" i="1"/>
  <c r="E53" i="1"/>
  <c r="K52" i="1"/>
  <c r="D50" i="1"/>
  <c r="K50" i="1"/>
  <c r="D51" i="1"/>
  <c r="K44" i="1"/>
  <c r="G36" i="1"/>
  <c r="H36" i="1"/>
  <c r="I36" i="1"/>
  <c r="J36" i="1"/>
  <c r="G37" i="1"/>
  <c r="H37" i="1"/>
  <c r="I37" i="1"/>
  <c r="J37" i="1"/>
  <c r="H35" i="1"/>
  <c r="I35" i="1"/>
  <c r="J35" i="1"/>
  <c r="G35" i="1"/>
  <c r="F35" i="1"/>
  <c r="F36" i="1"/>
  <c r="K11" i="1"/>
  <c r="F37" i="1"/>
  <c r="F38" i="1"/>
  <c r="K10" i="1"/>
  <c r="E36" i="1"/>
  <c r="E35" i="1"/>
  <c r="E37" i="1"/>
  <c r="E38" i="1"/>
  <c r="D35" i="1"/>
  <c r="K35" i="1"/>
  <c r="D36" i="1"/>
  <c r="K36" i="1"/>
  <c r="D37" i="1"/>
  <c r="K37" i="1"/>
  <c r="K33" i="1"/>
  <c r="K38" i="1"/>
  <c r="J38" i="1"/>
  <c r="I38" i="1"/>
  <c r="H38" i="1"/>
  <c r="G38" i="1"/>
  <c r="D38" i="1"/>
  <c r="K7" i="1"/>
</calcChain>
</file>

<file path=xl/sharedStrings.xml><?xml version="1.0" encoding="utf-8"?>
<sst xmlns="http://schemas.openxmlformats.org/spreadsheetml/2006/main" count="185" uniqueCount="61">
  <si>
    <t>Energie</t>
  </si>
  <si>
    <t>Gebäude</t>
  </si>
  <si>
    <t>Instandhaltung</t>
  </si>
  <si>
    <t xml:space="preserve">Material </t>
  </si>
  <si>
    <t xml:space="preserve">Fertigung </t>
  </si>
  <si>
    <t xml:space="preserve">Verwaltung </t>
  </si>
  <si>
    <t>Vertrieb</t>
  </si>
  <si>
    <t>Summe</t>
  </si>
  <si>
    <t>Innerbetriebliche Leistungen</t>
  </si>
  <si>
    <t>1. Gleichungsverfahren</t>
  </si>
  <si>
    <t>Gleichung für Kostenstelle Energie</t>
  </si>
  <si>
    <t>Gleichung für Kostenstelle Gebäude</t>
  </si>
  <si>
    <t>Gleichung für Kostenstelle Instandhaltung</t>
  </si>
  <si>
    <t>p1*120.000=10.000+0*p1+p2*500+p3*350</t>
  </si>
  <si>
    <t>p2*6400=100.000+p1*3.000+400*p2+p3*650</t>
  </si>
  <si>
    <t>p3*4700=120.000+p1*2.000+p2*500+200*p3</t>
  </si>
  <si>
    <t>p1</t>
  </si>
  <si>
    <t>p2</t>
  </si>
  <si>
    <t>p3</t>
  </si>
  <si>
    <t>Vektor C</t>
  </si>
  <si>
    <t>Vektor B</t>
  </si>
  <si>
    <t>Matrix A</t>
  </si>
  <si>
    <t>primäre GK</t>
  </si>
  <si>
    <t>Primäre Gemeinkosten (GK)</t>
  </si>
  <si>
    <t>€/kWh</t>
  </si>
  <si>
    <t>€/h</t>
  </si>
  <si>
    <r>
      <t>€/m</t>
    </r>
    <r>
      <rPr>
        <vertAlign val="superscript"/>
        <sz val="12"/>
        <color theme="1"/>
        <rFont val="Calibri"/>
        <scheme val="minor"/>
      </rPr>
      <t>2</t>
    </r>
  </si>
  <si>
    <t>Kostenstelle</t>
  </si>
  <si>
    <t>Gesamte Gemeinkosten</t>
  </si>
  <si>
    <t>Schritt 1: Aufstellen der Gleichungssysteme</t>
  </si>
  <si>
    <t>3. Schritt: Verteilung der Gemeinkosen der Vorkostenstellen</t>
  </si>
  <si>
    <t>Schritt 2: Umstellen der Gleichungen, Übertragen in Matrizenschreibweise - Lösung des Gleichungssystems erfolgt mathematisch nach Multiplikation mit der Inversen der Matrix A aus dem Produkt von Matrix A und Vektor C</t>
  </si>
  <si>
    <t>2. Iterativverfahren</t>
  </si>
  <si>
    <t>Sekundäre Gemeinkosten</t>
  </si>
  <si>
    <t>1. Iteration</t>
  </si>
  <si>
    <t>Verrechnungspreise</t>
  </si>
  <si>
    <t>2. Iteration</t>
  </si>
  <si>
    <t>Gesamt</t>
  </si>
  <si>
    <t>3. Iteration</t>
  </si>
  <si>
    <t>4. Iteration</t>
  </si>
  <si>
    <t>Innerbetriebliche Verrechnung</t>
  </si>
  <si>
    <t>Deckungsumlage</t>
  </si>
  <si>
    <t>Gesamte Gemeinkosten v. Deckungsumlage</t>
  </si>
  <si>
    <t>Gesamte Gemeinkosten n. Deckungsumlage</t>
  </si>
  <si>
    <t>3. Gutschrift-Lastschrift-Verfahren</t>
  </si>
  <si>
    <t>€/m2</t>
  </si>
  <si>
    <t>5. Blockumlageverfahren</t>
  </si>
  <si>
    <t>4. Treppenumlageverfahren</t>
  </si>
  <si>
    <t>Zusammenfassung</t>
  </si>
  <si>
    <t>Gutschrift-Lastschrift-Verfahren</t>
  </si>
  <si>
    <t>Blockumlage</t>
  </si>
  <si>
    <t>Iterations-verfahren</t>
  </si>
  <si>
    <t>Gleichungs-verfahren</t>
  </si>
  <si>
    <t>Treppen-umlage</t>
  </si>
  <si>
    <t>Verfahren</t>
  </si>
  <si>
    <t>Material</t>
  </si>
  <si>
    <t>Fertigung</t>
  </si>
  <si>
    <t>Verwaltung</t>
  </si>
  <si>
    <t xml:space="preserve">Übersicht über die gesamten Gemeinkosten </t>
  </si>
  <si>
    <t>Übersicht über die Verrechnungspreise</t>
  </si>
  <si>
    <t>Vorlesungsbeispiel zu den Methoden der innerbetrieblichen Leistungsverrechnung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</si>
</sst>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#,##0.0"/>
    <numFmt numFmtId="166" formatCode="#,##0.000"/>
  </numFmts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vertAlign val="superscript"/>
      <sz val="12"/>
      <color theme="1"/>
      <name val="Calibri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6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189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3">
    <xf numFmtId="0" fontId="0" fillId="0" borderId="0" xfId="0"/>
    <xf numFmtId="3" fontId="0" fillId="0" borderId="0" xfId="0" applyNumberFormat="1"/>
    <xf numFmtId="0" fontId="0" fillId="0" borderId="0" xfId="0" applyAlignment="1">
      <alignment horizontal="left" indent="1"/>
    </xf>
    <xf numFmtId="0" fontId="1" fillId="3" borderId="2" xfId="0" applyFont="1" applyFill="1" applyBorder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2" xfId="0" applyFont="1" applyBorder="1"/>
    <xf numFmtId="3" fontId="0" fillId="0" borderId="3" xfId="0" applyNumberFormat="1" applyFont="1" applyBorder="1"/>
    <xf numFmtId="3" fontId="0" fillId="0" borderId="4" xfId="0" applyNumberFormat="1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2" xfId="0" applyFont="1" applyBorder="1" applyAlignment="1">
      <alignment horizontal="left" indent="1"/>
    </xf>
    <xf numFmtId="0" fontId="0" fillId="0" borderId="5" xfId="0" applyFont="1" applyBorder="1" applyAlignment="1">
      <alignment horizontal="left" indent="1"/>
    </xf>
    <xf numFmtId="3" fontId="0" fillId="0" borderId="1" xfId="0" applyNumberFormat="1" applyFont="1" applyBorder="1"/>
    <xf numFmtId="3" fontId="0" fillId="0" borderId="6" xfId="0" applyNumberFormat="1" applyFont="1" applyBorder="1"/>
    <xf numFmtId="3" fontId="1" fillId="2" borderId="0" xfId="1" applyNumberFormat="1" applyFont="1"/>
    <xf numFmtId="0" fontId="1" fillId="2" borderId="7" xfId="1" applyFont="1" applyBorder="1" applyAlignment="1">
      <alignment horizontal="left"/>
    </xf>
    <xf numFmtId="0" fontId="0" fillId="0" borderId="8" xfId="0" applyFont="1" applyBorder="1"/>
    <xf numFmtId="3" fontId="0" fillId="0" borderId="8" xfId="0" applyNumberFormat="1" applyFont="1" applyBorder="1"/>
    <xf numFmtId="0" fontId="0" fillId="0" borderId="8" xfId="0" applyFont="1" applyBorder="1" applyAlignment="1">
      <alignment horizontal="left" indent="1"/>
    </xf>
    <xf numFmtId="0" fontId="0" fillId="0" borderId="8" xfId="0" applyBorder="1"/>
    <xf numFmtId="165" fontId="0" fillId="0" borderId="8" xfId="0" applyNumberFormat="1" applyFont="1" applyBorder="1"/>
    <xf numFmtId="4" fontId="0" fillId="0" borderId="8" xfId="0" applyNumberFormat="1" applyFont="1" applyBorder="1"/>
    <xf numFmtId="166" fontId="0" fillId="0" borderId="8" xfId="0" applyNumberFormat="1" applyFont="1" applyBorder="1"/>
    <xf numFmtId="0" fontId="2" fillId="0" borderId="8" xfId="0" applyFont="1" applyBorder="1" applyAlignment="1">
      <alignment horizontal="center"/>
    </xf>
    <xf numFmtId="3" fontId="0" fillId="0" borderId="8" xfId="0" applyNumberFormat="1" applyBorder="1"/>
    <xf numFmtId="3" fontId="0" fillId="0" borderId="8" xfId="0" applyNumberFormat="1" applyBorder="1" applyAlignment="1">
      <alignment horizontal="center"/>
    </xf>
    <xf numFmtId="0" fontId="2" fillId="0" borderId="8" xfId="0" applyFont="1" applyBorder="1" applyAlignment="1"/>
    <xf numFmtId="0" fontId="0" fillId="0" borderId="8" xfId="0" applyBorder="1" applyAlignment="1">
      <alignment horizontal="center"/>
    </xf>
    <xf numFmtId="2" fontId="0" fillId="0" borderId="8" xfId="0" applyNumberFormat="1" applyBorder="1"/>
    <xf numFmtId="0" fontId="1" fillId="3" borderId="2" xfId="0" applyFont="1" applyFill="1" applyBorder="1" applyAlignment="1">
      <alignment horizontal="center" wrapText="1"/>
    </xf>
    <xf numFmtId="0" fontId="0" fillId="5" borderId="0" xfId="0" applyFill="1"/>
    <xf numFmtId="0" fontId="2" fillId="5" borderId="0" xfId="0" applyFont="1" applyFill="1"/>
    <xf numFmtId="0" fontId="0" fillId="5" borderId="0" xfId="0" quotePrefix="1" applyFill="1"/>
    <xf numFmtId="3" fontId="0" fillId="5" borderId="8" xfId="0" applyNumberFormat="1" applyFont="1" applyFill="1" applyBorder="1"/>
    <xf numFmtId="0" fontId="0" fillId="5" borderId="8" xfId="0" applyFont="1" applyFill="1" applyBorder="1"/>
    <xf numFmtId="4" fontId="0" fillId="5" borderId="8" xfId="0" applyNumberFormat="1" applyFont="1" applyFill="1" applyBorder="1"/>
    <xf numFmtId="0" fontId="1" fillId="3" borderId="8" xfId="0" applyFont="1" applyFill="1" applyBorder="1"/>
    <xf numFmtId="0" fontId="1" fillId="3" borderId="8" xfId="0" applyFont="1" applyFill="1" applyBorder="1" applyAlignment="1">
      <alignment horizontal="center"/>
    </xf>
    <xf numFmtId="164" fontId="0" fillId="0" borderId="8" xfId="0" applyNumberFormat="1" applyBorder="1"/>
    <xf numFmtId="2" fontId="2" fillId="0" borderId="8" xfId="0" applyNumberFormat="1" applyFont="1" applyBorder="1"/>
    <xf numFmtId="164" fontId="0" fillId="0" borderId="8" xfId="0" applyNumberFormat="1" applyFont="1" applyBorder="1"/>
    <xf numFmtId="3" fontId="0" fillId="5" borderId="0" xfId="0" applyNumberFormat="1" applyFont="1" applyFill="1" applyBorder="1"/>
    <xf numFmtId="0" fontId="3" fillId="4" borderId="0" xfId="22"/>
    <xf numFmtId="0" fontId="7" fillId="5" borderId="0" xfId="0" applyFont="1" applyFill="1"/>
    <xf numFmtId="0" fontId="8" fillId="5" borderId="0" xfId="0" applyFont="1" applyFill="1"/>
    <xf numFmtId="166" fontId="0" fillId="0" borderId="3" xfId="0" applyNumberFormat="1" applyFont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5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1" fillId="3" borderId="9" xfId="0" applyFont="1" applyFill="1" applyBorder="1" applyAlignment="1">
      <alignment horizontal="center"/>
    </xf>
    <xf numFmtId="0" fontId="0" fillId="0" borderId="9" xfId="0" applyBorder="1" applyAlignment="1">
      <alignment horizontal="center"/>
    </xf>
  </cellXfs>
  <cellStyles count="189">
    <cellStyle name="60 % - Akzent1" xfId="1" builtinId="32"/>
    <cellStyle name="Akzent3" xfId="22" builtinId="37"/>
    <cellStyle name="Besuchter Link" xfId="3" builtinId="9" hidden="1"/>
    <cellStyle name="Besuchter Link" xfId="5" builtinId="9" hidden="1"/>
    <cellStyle name="Besuchter Link" xfId="7" builtinId="9" hidden="1"/>
    <cellStyle name="Besuchter Link" xfId="9" builtinId="9" hidden="1"/>
    <cellStyle name="Besuchter Link" xfId="11" builtinId="9" hidden="1"/>
    <cellStyle name="Besuchter Link" xfId="13" builtinId="9" hidden="1"/>
    <cellStyle name="Besuchter Link" xfId="15" builtinId="9" hidden="1"/>
    <cellStyle name="Besuchter Link" xfId="17" builtinId="9" hidden="1"/>
    <cellStyle name="Besuchter Link" xfId="19" builtinId="9" hidden="1"/>
    <cellStyle name="Besuchter Link" xfId="21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Besuchter Link" xfId="178" builtinId="9" hidden="1"/>
    <cellStyle name="Besuchter Link" xfId="180" builtinId="9" hidden="1"/>
    <cellStyle name="Besuchter Link" xfId="182" builtinId="9" hidden="1"/>
    <cellStyle name="Besuchter Link" xfId="184" builtinId="9" hidden="1"/>
    <cellStyle name="Besuchter Link" xfId="186" builtinId="9" hidden="1"/>
    <cellStyle name="Besuchter Link" xfId="188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Stand." xfId="0" builtinId="0"/>
  </cellStyles>
  <dxfs count="10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alignment horizontal="left" vertical="bottom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C6:K11" totalsRowShown="0" headerRowDxfId="9">
  <autoFilter ref="C6:K11"/>
  <tableColumns count="9">
    <tableColumn id="1" name="Kostenstelle" dataDxfId="8"/>
    <tableColumn id="2" name="Energie" dataDxfId="7"/>
    <tableColumn id="3" name="Gebäude" dataDxfId="6"/>
    <tableColumn id="4" name="Instandhaltung" dataDxfId="5"/>
    <tableColumn id="5" name="Material " dataDxfId="4"/>
    <tableColumn id="6" name="Fertigung " dataDxfId="3"/>
    <tableColumn id="7" name="Verwaltung " dataDxfId="2"/>
    <tableColumn id="8" name="Vertrieb" dataDxfId="1"/>
    <tableColumn id="9" name="Summe" dataDxfId="0">
      <calculatedColumnFormula>SUM(D7:J7)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0"/>
  <sheetViews>
    <sheetView tabSelected="1" workbookViewId="0">
      <selection activeCell="L31" sqref="L31"/>
    </sheetView>
  </sheetViews>
  <sheetFormatPr baseColWidth="10" defaultRowHeight="16" x14ac:dyDescent="0.2"/>
  <cols>
    <col min="1" max="2" width="10.83203125" style="31"/>
    <col min="3" max="3" width="39.6640625" customWidth="1"/>
    <col min="4" max="4" width="15.6640625" customWidth="1"/>
    <col min="5" max="5" width="14" customWidth="1"/>
    <col min="6" max="6" width="15" customWidth="1"/>
    <col min="7" max="7" width="13" customWidth="1"/>
    <col min="8" max="8" width="13.6640625" customWidth="1"/>
    <col min="9" max="9" width="15.6640625" customWidth="1"/>
    <col min="10" max="10" width="13.83203125" customWidth="1"/>
    <col min="11" max="11" width="13" customWidth="1"/>
    <col min="12" max="12" width="18.6640625" style="31" customWidth="1"/>
    <col min="13" max="42" width="10.83203125" style="31"/>
  </cols>
  <sheetData>
    <row r="1" spans="3:11" s="31" customFormat="1" x14ac:dyDescent="0.2"/>
    <row r="2" spans="3:11" s="31" customFormat="1" x14ac:dyDescent="0.2"/>
    <row r="3" spans="3:11" s="31" customFormat="1" ht="38" customHeight="1" x14ac:dyDescent="0.3">
      <c r="C3" s="44" t="s">
        <v>60</v>
      </c>
      <c r="D3" s="45"/>
      <c r="E3" s="45"/>
      <c r="F3" s="45"/>
      <c r="G3" s="45"/>
      <c r="H3" s="45"/>
      <c r="I3" s="45"/>
      <c r="J3" s="45"/>
      <c r="K3" s="45"/>
    </row>
    <row r="4" spans="3:11" s="31" customFormat="1" x14ac:dyDescent="0.2"/>
    <row r="5" spans="3:11" s="31" customFormat="1" x14ac:dyDescent="0.2"/>
    <row r="6" spans="3:11" x14ac:dyDescent="0.2">
      <c r="C6" s="3" t="s">
        <v>27</v>
      </c>
      <c r="D6" s="4" t="s">
        <v>0</v>
      </c>
      <c r="E6" s="4" t="s">
        <v>1</v>
      </c>
      <c r="F6" s="4" t="s">
        <v>2</v>
      </c>
      <c r="G6" s="4" t="s">
        <v>3</v>
      </c>
      <c r="H6" s="4" t="s">
        <v>4</v>
      </c>
      <c r="I6" s="4" t="s">
        <v>5</v>
      </c>
      <c r="J6" s="4" t="s">
        <v>6</v>
      </c>
      <c r="K6" s="5" t="s">
        <v>7</v>
      </c>
    </row>
    <row r="7" spans="3:11" x14ac:dyDescent="0.2">
      <c r="C7" t="s">
        <v>23</v>
      </c>
      <c r="D7" s="1">
        <v>10000</v>
      </c>
      <c r="E7" s="1">
        <v>100000</v>
      </c>
      <c r="F7" s="1">
        <v>120000</v>
      </c>
      <c r="G7" s="1">
        <v>140000</v>
      </c>
      <c r="H7" s="1">
        <v>600000</v>
      </c>
      <c r="I7" s="1">
        <v>200000</v>
      </c>
      <c r="J7" s="1">
        <v>140000</v>
      </c>
      <c r="K7" s="1">
        <f>SUM(D7:J7)</f>
        <v>1310000</v>
      </c>
    </row>
    <row r="8" spans="3:11" x14ac:dyDescent="0.2">
      <c r="C8" t="s">
        <v>8</v>
      </c>
    </row>
    <row r="9" spans="3:11" x14ac:dyDescent="0.2">
      <c r="C9" s="2" t="s">
        <v>0</v>
      </c>
      <c r="D9" s="1">
        <v>0</v>
      </c>
      <c r="E9" s="1">
        <v>3000</v>
      </c>
      <c r="F9" s="1">
        <v>2000</v>
      </c>
      <c r="G9" s="1">
        <v>20000</v>
      </c>
      <c r="H9" s="1">
        <v>88000</v>
      </c>
      <c r="I9" s="1">
        <v>4000</v>
      </c>
      <c r="J9" s="1">
        <v>3000</v>
      </c>
      <c r="K9" s="1">
        <f>SUM(D9:J9)</f>
        <v>120000</v>
      </c>
    </row>
    <row r="10" spans="3:11" x14ac:dyDescent="0.2">
      <c r="C10" s="2" t="s">
        <v>1</v>
      </c>
      <c r="D10" s="1">
        <v>500</v>
      </c>
      <c r="E10" s="1">
        <v>400</v>
      </c>
      <c r="F10" s="1">
        <v>500</v>
      </c>
      <c r="G10" s="1">
        <v>1000</v>
      </c>
      <c r="H10" s="1">
        <v>3000</v>
      </c>
      <c r="I10" s="1">
        <v>600</v>
      </c>
      <c r="J10" s="1">
        <v>400</v>
      </c>
      <c r="K10" s="1">
        <f>SUM(D10:J10)</f>
        <v>6400</v>
      </c>
    </row>
    <row r="11" spans="3:11" x14ac:dyDescent="0.2">
      <c r="C11" s="2" t="s">
        <v>2</v>
      </c>
      <c r="D11" s="1">
        <v>350</v>
      </c>
      <c r="E11" s="1">
        <v>650</v>
      </c>
      <c r="F11" s="1">
        <v>200</v>
      </c>
      <c r="G11" s="1">
        <v>1000</v>
      </c>
      <c r="H11" s="1">
        <v>2100</v>
      </c>
      <c r="I11" s="1">
        <v>250</v>
      </c>
      <c r="J11" s="1">
        <v>150</v>
      </c>
      <c r="K11" s="1">
        <f>SUM(D11:J11)</f>
        <v>4700</v>
      </c>
    </row>
    <row r="12" spans="3:11" s="31" customFormat="1" x14ac:dyDescent="0.2"/>
    <row r="13" spans="3:11" s="31" customFormat="1" x14ac:dyDescent="0.2"/>
    <row r="14" spans="3:11" s="31" customFormat="1" x14ac:dyDescent="0.2">
      <c r="C14" s="43" t="s">
        <v>9</v>
      </c>
      <c r="D14" s="43"/>
      <c r="E14" s="43"/>
      <c r="F14" s="43"/>
      <c r="G14" s="43"/>
      <c r="H14" s="43"/>
      <c r="I14" s="43"/>
      <c r="J14" s="43"/>
      <c r="K14" s="43"/>
    </row>
    <row r="15" spans="3:11" s="31" customFormat="1" x14ac:dyDescent="0.2">
      <c r="C15" s="32"/>
    </row>
    <row r="16" spans="3:11" s="31" customFormat="1" x14ac:dyDescent="0.2">
      <c r="C16" s="32" t="s">
        <v>29</v>
      </c>
    </row>
    <row r="17" spans="3:11" s="31" customFormat="1" x14ac:dyDescent="0.2"/>
    <row r="18" spans="3:11" s="31" customFormat="1" x14ac:dyDescent="0.2">
      <c r="C18" s="31" t="s">
        <v>10</v>
      </c>
      <c r="D18" s="33" t="s">
        <v>13</v>
      </c>
    </row>
    <row r="19" spans="3:11" s="31" customFormat="1" x14ac:dyDescent="0.2">
      <c r="C19" s="31" t="s">
        <v>11</v>
      </c>
      <c r="D19" s="31" t="s">
        <v>14</v>
      </c>
    </row>
    <row r="20" spans="3:11" s="31" customFormat="1" x14ac:dyDescent="0.2">
      <c r="C20" s="31" t="s">
        <v>12</v>
      </c>
      <c r="D20" s="31" t="s">
        <v>15</v>
      </c>
    </row>
    <row r="21" spans="3:11" s="31" customFormat="1" x14ac:dyDescent="0.2"/>
    <row r="22" spans="3:11" s="31" customFormat="1" ht="39" customHeight="1" x14ac:dyDescent="0.2">
      <c r="C22" s="49" t="s">
        <v>31</v>
      </c>
      <c r="D22" s="50"/>
      <c r="E22" s="50"/>
      <c r="F22" s="50"/>
      <c r="G22" s="50"/>
      <c r="H22" s="50"/>
      <c r="I22" s="50"/>
      <c r="J22" s="50"/>
      <c r="K22" s="50"/>
    </row>
    <row r="23" spans="3:11" s="31" customFormat="1" x14ac:dyDescent="0.2"/>
    <row r="24" spans="3:11" x14ac:dyDescent="0.2">
      <c r="C24" s="47" t="s">
        <v>21</v>
      </c>
      <c r="D24" s="48"/>
      <c r="E24" s="48"/>
      <c r="F24" s="4" t="s">
        <v>20</v>
      </c>
      <c r="G24" s="4" t="s">
        <v>19</v>
      </c>
      <c r="H24" s="32"/>
      <c r="I24" s="47" t="s">
        <v>35</v>
      </c>
      <c r="J24" s="48"/>
      <c r="K24" s="48"/>
    </row>
    <row r="25" spans="3:11" x14ac:dyDescent="0.2">
      <c r="C25" s="4" t="s">
        <v>16</v>
      </c>
      <c r="D25" s="4" t="s">
        <v>17</v>
      </c>
      <c r="E25" s="4" t="s">
        <v>18</v>
      </c>
      <c r="F25" s="4"/>
      <c r="G25" s="4" t="s">
        <v>22</v>
      </c>
      <c r="H25" s="32"/>
      <c r="I25" s="24"/>
      <c r="J25" s="27"/>
      <c r="K25" s="20"/>
    </row>
    <row r="26" spans="3:11" x14ac:dyDescent="0.2">
      <c r="C26" s="25">
        <v>-120000</v>
      </c>
      <c r="D26" s="25">
        <v>500</v>
      </c>
      <c r="E26" s="25">
        <v>350</v>
      </c>
      <c r="F26" s="26" t="s">
        <v>16</v>
      </c>
      <c r="G26" s="25">
        <v>-10000</v>
      </c>
      <c r="H26" s="31"/>
      <c r="I26" s="28" t="s">
        <v>16</v>
      </c>
      <c r="J26" s="29">
        <f t="array" ref="J26:J28">MMULT(MINVERSE(C26:E28),G26:G28)</f>
        <v>0.2509505703422053</v>
      </c>
      <c r="K26" s="28" t="s">
        <v>24</v>
      </c>
    </row>
    <row r="27" spans="3:11" ht="19" x14ac:dyDescent="0.2">
      <c r="C27" s="25">
        <v>3000</v>
      </c>
      <c r="D27" s="25">
        <v>-6000</v>
      </c>
      <c r="E27" s="25">
        <v>650</v>
      </c>
      <c r="F27" s="26" t="s">
        <v>17</v>
      </c>
      <c r="G27" s="25">
        <v>-100000</v>
      </c>
      <c r="H27" s="31"/>
      <c r="I27" s="28" t="s">
        <v>17</v>
      </c>
      <c r="J27" s="29">
        <v>19.933048488887145</v>
      </c>
      <c r="K27" s="28" t="s">
        <v>26</v>
      </c>
    </row>
    <row r="28" spans="3:11" x14ac:dyDescent="0.2">
      <c r="C28" s="25">
        <v>2000</v>
      </c>
      <c r="D28" s="25">
        <v>500</v>
      </c>
      <c r="E28" s="25">
        <v>-4500</v>
      </c>
      <c r="F28" s="26" t="s">
        <v>18</v>
      </c>
      <c r="G28" s="25">
        <v>-120000</v>
      </c>
      <c r="H28" s="31"/>
      <c r="I28" s="28" t="s">
        <v>18</v>
      </c>
      <c r="J28" s="29">
        <v>28.99298341891733</v>
      </c>
      <c r="K28" s="28" t="s">
        <v>25</v>
      </c>
    </row>
    <row r="29" spans="3:11" s="31" customFormat="1" x14ac:dyDescent="0.2"/>
    <row r="30" spans="3:11" s="31" customFormat="1" x14ac:dyDescent="0.2">
      <c r="C30" s="32" t="s">
        <v>30</v>
      </c>
    </row>
    <row r="31" spans="3:11" s="31" customFormat="1" x14ac:dyDescent="0.2"/>
    <row r="32" spans="3:11" x14ac:dyDescent="0.2">
      <c r="C32" s="3" t="s">
        <v>27</v>
      </c>
      <c r="D32" s="4" t="s">
        <v>0</v>
      </c>
      <c r="E32" s="4" t="s">
        <v>1</v>
      </c>
      <c r="F32" s="4" t="s">
        <v>2</v>
      </c>
      <c r="G32" s="4" t="s">
        <v>3</v>
      </c>
      <c r="H32" s="4" t="s">
        <v>4</v>
      </c>
      <c r="I32" s="4" t="s">
        <v>5</v>
      </c>
      <c r="J32" s="4" t="s">
        <v>6</v>
      </c>
      <c r="K32" s="5" t="s">
        <v>7</v>
      </c>
    </row>
    <row r="33" spans="3:11" x14ac:dyDescent="0.2">
      <c r="C33" s="6" t="s">
        <v>23</v>
      </c>
      <c r="D33" s="7">
        <v>10000</v>
      </c>
      <c r="E33" s="7">
        <v>100000</v>
      </c>
      <c r="F33" s="7">
        <v>120000</v>
      </c>
      <c r="G33" s="7">
        <v>140000</v>
      </c>
      <c r="H33" s="7">
        <v>600000</v>
      </c>
      <c r="I33" s="7">
        <v>200000</v>
      </c>
      <c r="J33" s="7">
        <v>140000</v>
      </c>
      <c r="K33" s="8">
        <f>SUM(D33:J33)</f>
        <v>1310000</v>
      </c>
    </row>
    <row r="34" spans="3:11" x14ac:dyDescent="0.2">
      <c r="C34" s="6" t="s">
        <v>8</v>
      </c>
      <c r="D34" s="9"/>
      <c r="E34" s="9"/>
      <c r="F34" s="9"/>
      <c r="G34" s="9"/>
      <c r="H34" s="9"/>
      <c r="I34" s="9"/>
      <c r="J34" s="9"/>
      <c r="K34" s="10"/>
    </row>
    <row r="35" spans="3:11" x14ac:dyDescent="0.2">
      <c r="C35" s="11" t="s">
        <v>0</v>
      </c>
      <c r="D35" s="7">
        <f>-J26*K9</f>
        <v>-30114.068441064635</v>
      </c>
      <c r="E35" s="7">
        <f>J26*E9</f>
        <v>752.85171102661593</v>
      </c>
      <c r="F35" s="7">
        <f>+J26*F9</f>
        <v>501.90114068441062</v>
      </c>
      <c r="G35" s="7">
        <f t="shared" ref="G35:J37" si="0">+G9*$J26</f>
        <v>5019.0114068441062</v>
      </c>
      <c r="H35" s="7">
        <f t="shared" si="0"/>
        <v>22083.650190114065</v>
      </c>
      <c r="I35" s="7">
        <f t="shared" si="0"/>
        <v>1003.8022813688212</v>
      </c>
      <c r="J35" s="7">
        <f t="shared" si="0"/>
        <v>752.85171102661593</v>
      </c>
      <c r="K35" s="8">
        <f>SUM(D35:J35)</f>
        <v>0</v>
      </c>
    </row>
    <row r="36" spans="3:11" x14ac:dyDescent="0.2">
      <c r="C36" s="11" t="s">
        <v>1</v>
      </c>
      <c r="D36" s="7">
        <f>J27*D10</f>
        <v>9966.5242444435735</v>
      </c>
      <c r="E36" s="7">
        <f>-J27*K10+E10*J27</f>
        <v>-119598.29093332287</v>
      </c>
      <c r="F36" s="7">
        <f>+J27*F10</f>
        <v>9966.5242444435735</v>
      </c>
      <c r="G36" s="7">
        <f t="shared" si="0"/>
        <v>19933.048488887147</v>
      </c>
      <c r="H36" s="7">
        <f t="shared" si="0"/>
        <v>59799.145466661437</v>
      </c>
      <c r="I36" s="7">
        <f t="shared" si="0"/>
        <v>11959.829093332288</v>
      </c>
      <c r="J36" s="7">
        <f t="shared" si="0"/>
        <v>7973.2193955548582</v>
      </c>
      <c r="K36" s="8">
        <f>SUM(D36:J36)</f>
        <v>0</v>
      </c>
    </row>
    <row r="37" spans="3:11" x14ac:dyDescent="0.2">
      <c r="C37" s="12" t="s">
        <v>2</v>
      </c>
      <c r="D37" s="7">
        <f>J28*D11</f>
        <v>10147.544196621066</v>
      </c>
      <c r="E37" s="7">
        <f>J28*E11</f>
        <v>18845.439222296263</v>
      </c>
      <c r="F37" s="13">
        <f>+J28*F11-J28*K11</f>
        <v>-130468.42538512799</v>
      </c>
      <c r="G37" s="7">
        <f t="shared" si="0"/>
        <v>28992.983418917331</v>
      </c>
      <c r="H37" s="7">
        <f t="shared" si="0"/>
        <v>60885.26517972639</v>
      </c>
      <c r="I37" s="7">
        <f t="shared" si="0"/>
        <v>7248.2458547293327</v>
      </c>
      <c r="J37" s="7">
        <f t="shared" si="0"/>
        <v>4348.9475128375998</v>
      </c>
      <c r="K37" s="14">
        <f>SUM(D37:J37)</f>
        <v>-1.7280399333685637E-11</v>
      </c>
    </row>
    <row r="38" spans="3:11" x14ac:dyDescent="0.2">
      <c r="C38" s="16" t="s">
        <v>28</v>
      </c>
      <c r="D38" s="15">
        <f t="shared" ref="D38:K38" si="1">SUM(D33:D37)</f>
        <v>0</v>
      </c>
      <c r="E38" s="15">
        <f t="shared" si="1"/>
        <v>0</v>
      </c>
      <c r="F38" s="15">
        <f t="shared" si="1"/>
        <v>0</v>
      </c>
      <c r="G38" s="15">
        <f t="shared" si="1"/>
        <v>193945.04331464859</v>
      </c>
      <c r="H38" s="15">
        <f t="shared" si="1"/>
        <v>742768.06083650189</v>
      </c>
      <c r="I38" s="15">
        <f t="shared" si="1"/>
        <v>220211.87722943042</v>
      </c>
      <c r="J38" s="15">
        <f t="shared" si="1"/>
        <v>153075.01861941908</v>
      </c>
      <c r="K38" s="15">
        <f t="shared" si="1"/>
        <v>1310000</v>
      </c>
    </row>
    <row r="39" spans="3:11" s="31" customFormat="1" x14ac:dyDescent="0.2"/>
    <row r="40" spans="3:11" s="31" customFormat="1" x14ac:dyDescent="0.2"/>
    <row r="41" spans="3:11" s="31" customFormat="1" x14ac:dyDescent="0.2">
      <c r="C41" s="43" t="s">
        <v>32</v>
      </c>
      <c r="D41" s="43"/>
      <c r="E41" s="43"/>
      <c r="F41" s="43"/>
      <c r="G41" s="43"/>
      <c r="H41" s="43"/>
      <c r="I41" s="43"/>
      <c r="J41" s="43"/>
      <c r="K41" s="43"/>
    </row>
    <row r="42" spans="3:11" s="31" customFormat="1" x14ac:dyDescent="0.2"/>
    <row r="43" spans="3:11" x14ac:dyDescent="0.2">
      <c r="C43" s="3" t="s">
        <v>27</v>
      </c>
      <c r="D43" s="4" t="s">
        <v>0</v>
      </c>
      <c r="E43" s="4" t="s">
        <v>1</v>
      </c>
      <c r="F43" s="4" t="s">
        <v>2</v>
      </c>
      <c r="G43" s="4" t="s">
        <v>3</v>
      </c>
      <c r="H43" s="4" t="s">
        <v>4</v>
      </c>
      <c r="I43" s="4" t="s">
        <v>5</v>
      </c>
      <c r="J43" s="4" t="s">
        <v>6</v>
      </c>
      <c r="K43" s="5" t="s">
        <v>7</v>
      </c>
    </row>
    <row r="44" spans="3:11" x14ac:dyDescent="0.2">
      <c r="C44" s="17" t="s">
        <v>23</v>
      </c>
      <c r="D44" s="18">
        <v>10000</v>
      </c>
      <c r="E44" s="18">
        <v>100000</v>
      </c>
      <c r="F44" s="18">
        <v>120000</v>
      </c>
      <c r="G44" s="18">
        <v>140000</v>
      </c>
      <c r="H44" s="18">
        <v>600000</v>
      </c>
      <c r="I44" s="18">
        <v>200000</v>
      </c>
      <c r="J44" s="18">
        <v>140000</v>
      </c>
      <c r="K44" s="18">
        <f>SUM(D44:J44)</f>
        <v>1310000</v>
      </c>
    </row>
    <row r="45" spans="3:11" x14ac:dyDescent="0.2">
      <c r="C45" s="17" t="s">
        <v>8</v>
      </c>
      <c r="D45" s="17"/>
      <c r="E45" s="17"/>
      <c r="F45" s="17"/>
      <c r="G45" s="17"/>
      <c r="H45" s="17"/>
      <c r="I45" s="17"/>
      <c r="J45" s="17"/>
      <c r="K45" s="17"/>
    </row>
    <row r="46" spans="3:11" x14ac:dyDescent="0.2">
      <c r="C46" s="19" t="s">
        <v>0</v>
      </c>
      <c r="D46" s="18">
        <v>0</v>
      </c>
      <c r="E46" s="18">
        <v>3000</v>
      </c>
      <c r="F46" s="18">
        <v>2000</v>
      </c>
      <c r="G46" s="18">
        <v>20000</v>
      </c>
      <c r="H46" s="18">
        <v>88000</v>
      </c>
      <c r="I46" s="18">
        <v>4000</v>
      </c>
      <c r="J46" s="18">
        <v>3000</v>
      </c>
      <c r="K46" s="18">
        <f>SUM(D46:J46)</f>
        <v>120000</v>
      </c>
    </row>
    <row r="47" spans="3:11" x14ac:dyDescent="0.2">
      <c r="C47" s="19" t="s">
        <v>1</v>
      </c>
      <c r="D47" s="18">
        <v>500</v>
      </c>
      <c r="E47" s="18">
        <v>400</v>
      </c>
      <c r="F47" s="18">
        <v>500</v>
      </c>
      <c r="G47" s="18">
        <v>1000</v>
      </c>
      <c r="H47" s="18">
        <v>3000</v>
      </c>
      <c r="I47" s="18">
        <v>600</v>
      </c>
      <c r="J47" s="18">
        <v>400</v>
      </c>
      <c r="K47" s="18">
        <f>SUM(D47:J47)</f>
        <v>6400</v>
      </c>
    </row>
    <row r="48" spans="3:11" x14ac:dyDescent="0.2">
      <c r="C48" s="19" t="s">
        <v>2</v>
      </c>
      <c r="D48" s="18">
        <v>350</v>
      </c>
      <c r="E48" s="18">
        <v>650</v>
      </c>
      <c r="F48" s="18">
        <v>200</v>
      </c>
      <c r="G48" s="18">
        <v>1000</v>
      </c>
      <c r="H48" s="18">
        <v>2100</v>
      </c>
      <c r="I48" s="18">
        <v>250</v>
      </c>
      <c r="J48" s="18">
        <v>150</v>
      </c>
      <c r="K48" s="18">
        <f>SUM(D48:J48)</f>
        <v>4700</v>
      </c>
    </row>
    <row r="49" spans="3:11" x14ac:dyDescent="0.2">
      <c r="C49" s="18" t="s">
        <v>33</v>
      </c>
      <c r="D49" s="20"/>
      <c r="E49" s="20"/>
      <c r="F49" s="20"/>
      <c r="G49" s="20"/>
      <c r="H49" s="20"/>
      <c r="I49" s="20"/>
      <c r="J49" s="20"/>
      <c r="K49" s="20"/>
    </row>
    <row r="50" spans="3:11" x14ac:dyDescent="0.2">
      <c r="C50" s="18" t="s">
        <v>34</v>
      </c>
      <c r="D50" s="18">
        <f>-D44</f>
        <v>-10000</v>
      </c>
      <c r="E50" s="18">
        <f>+$D$77*E46</f>
        <v>250</v>
      </c>
      <c r="F50" s="18">
        <f t="shared" ref="F50:J50" si="2">+$D$77*F46</f>
        <v>166.66666666666666</v>
      </c>
      <c r="G50" s="18">
        <f t="shared" si="2"/>
        <v>1666.6666666666665</v>
      </c>
      <c r="H50" s="18">
        <f t="shared" si="2"/>
        <v>7333.333333333333</v>
      </c>
      <c r="I50" s="18">
        <f t="shared" si="2"/>
        <v>333.33333333333331</v>
      </c>
      <c r="J50" s="18">
        <f t="shared" si="2"/>
        <v>250</v>
      </c>
      <c r="K50" s="18">
        <f>SUM(D50:J50)</f>
        <v>-1.5347723092418164E-12</v>
      </c>
    </row>
    <row r="51" spans="3:11" x14ac:dyDescent="0.2">
      <c r="C51" s="18"/>
      <c r="D51" s="18">
        <f>D50+D44</f>
        <v>0</v>
      </c>
      <c r="E51" s="20"/>
      <c r="F51" s="18"/>
      <c r="G51" s="18"/>
      <c r="H51" s="18"/>
      <c r="I51" s="18"/>
      <c r="J51" s="18"/>
      <c r="K51" s="18"/>
    </row>
    <row r="52" spans="3:11" x14ac:dyDescent="0.2">
      <c r="C52" s="18"/>
      <c r="D52" s="18">
        <f>+$D$78*D47</f>
        <v>8354.1666666666661</v>
      </c>
      <c r="E52" s="18">
        <f>-E44-E50</f>
        <v>-100250</v>
      </c>
      <c r="F52" s="18">
        <f>+$D$78*F47</f>
        <v>8354.1666666666661</v>
      </c>
      <c r="G52" s="18">
        <f>+$D$78*G47</f>
        <v>16708.333333333332</v>
      </c>
      <c r="H52" s="18">
        <f>+$D$78*H47</f>
        <v>50125</v>
      </c>
      <c r="I52" s="18">
        <f>+$D$78*I47</f>
        <v>10025</v>
      </c>
      <c r="J52" s="18">
        <f>+$D$78*J47</f>
        <v>6683.333333333333</v>
      </c>
      <c r="K52" s="18">
        <f>SUM(D52:J52)</f>
        <v>0</v>
      </c>
    </row>
    <row r="53" spans="3:11" x14ac:dyDescent="0.2">
      <c r="C53" s="18"/>
      <c r="D53" s="18"/>
      <c r="E53" s="18">
        <f>+E52+E44+E50</f>
        <v>0</v>
      </c>
      <c r="F53" s="18"/>
      <c r="G53" s="18"/>
      <c r="H53" s="18"/>
      <c r="I53" s="18"/>
      <c r="J53" s="18"/>
      <c r="K53" s="18"/>
    </row>
    <row r="54" spans="3:11" x14ac:dyDescent="0.2">
      <c r="C54" s="18"/>
      <c r="D54" s="18">
        <f>$D$79*D48</f>
        <v>9996.0648148148139</v>
      </c>
      <c r="E54" s="18">
        <f>$D$79*E48</f>
        <v>18564.120370370369</v>
      </c>
      <c r="F54" s="18">
        <f>-$D$79*(K48-F48)</f>
        <v>-128520.83333333333</v>
      </c>
      <c r="G54" s="18">
        <f>$D$79*G48</f>
        <v>28560.185185185182</v>
      </c>
      <c r="H54" s="18">
        <f>$D$79*H48</f>
        <v>59976.388888888883</v>
      </c>
      <c r="I54" s="18">
        <f>$D$79*I48</f>
        <v>7140.0462962962956</v>
      </c>
      <c r="J54" s="18">
        <f>$D$79*J48</f>
        <v>4284.0277777777774</v>
      </c>
      <c r="K54" s="18">
        <f>SUM(D54:J54)</f>
        <v>-7.2759576141834259E-12</v>
      </c>
    </row>
    <row r="55" spans="3:11" x14ac:dyDescent="0.2">
      <c r="C55" s="18"/>
      <c r="D55" s="18"/>
      <c r="E55" s="18"/>
      <c r="F55" s="18">
        <f>F54+F52+F50+F44</f>
        <v>0</v>
      </c>
      <c r="G55" s="18"/>
      <c r="H55" s="18"/>
      <c r="I55" s="18"/>
      <c r="J55" s="18"/>
      <c r="K55" s="18"/>
    </row>
    <row r="56" spans="3:11" x14ac:dyDescent="0.2">
      <c r="C56" s="18" t="s">
        <v>36</v>
      </c>
      <c r="D56" s="18">
        <f>-D52-D54</f>
        <v>-18350.231481481482</v>
      </c>
      <c r="E56" s="18">
        <f>$E$77*E46</f>
        <v>458.75578703703701</v>
      </c>
      <c r="F56" s="18">
        <f t="shared" ref="F56:J56" si="3">$E$77*F46</f>
        <v>305.83719135802465</v>
      </c>
      <c r="G56" s="18">
        <f t="shared" si="3"/>
        <v>3058.3719135802467</v>
      </c>
      <c r="H56" s="18">
        <f t="shared" si="3"/>
        <v>13456.836419753086</v>
      </c>
      <c r="I56" s="18">
        <f t="shared" si="3"/>
        <v>611.67438271604931</v>
      </c>
      <c r="J56" s="18">
        <f t="shared" si="3"/>
        <v>458.75578703703701</v>
      </c>
      <c r="K56" s="18">
        <f>SUM(D56:J56)</f>
        <v>-3.694822225952521E-12</v>
      </c>
    </row>
    <row r="57" spans="3:11" x14ac:dyDescent="0.2">
      <c r="C57" s="18"/>
      <c r="D57" s="18">
        <f>D56+D54+D52</f>
        <v>0</v>
      </c>
      <c r="E57" s="18"/>
      <c r="F57" s="18"/>
      <c r="G57" s="18"/>
      <c r="H57" s="18"/>
      <c r="I57" s="18"/>
      <c r="J57" s="18"/>
      <c r="K57" s="18"/>
    </row>
    <row r="58" spans="3:11" x14ac:dyDescent="0.2">
      <c r="C58" s="18"/>
      <c r="D58" s="18">
        <f>+$E$78*D47</f>
        <v>1585.2396797839506</v>
      </c>
      <c r="E58" s="18">
        <f>-$E$78*(K47-E47)</f>
        <v>-19022.876157407405</v>
      </c>
      <c r="F58" s="18">
        <f>+$E$78*F47</f>
        <v>1585.2396797839506</v>
      </c>
      <c r="G58" s="18">
        <f>+$E$78*G47</f>
        <v>3170.4793595679012</v>
      </c>
      <c r="H58" s="18">
        <f>+$E$78*H47</f>
        <v>9511.4380787037026</v>
      </c>
      <c r="I58" s="18">
        <f>+$E$78*I47</f>
        <v>1902.2876157407406</v>
      </c>
      <c r="J58" s="18">
        <f>+$E$78*J47</f>
        <v>1268.1917438271605</v>
      </c>
      <c r="K58" s="18">
        <f>SUM(D58:J58)</f>
        <v>0</v>
      </c>
    </row>
    <row r="59" spans="3:11" x14ac:dyDescent="0.2">
      <c r="C59" s="18"/>
      <c r="D59" s="18"/>
      <c r="E59" s="18">
        <f>E58+E54+E56</f>
        <v>5.1159076974727213E-13</v>
      </c>
      <c r="F59" s="18"/>
      <c r="G59" s="18"/>
      <c r="H59" s="18"/>
      <c r="I59" s="18"/>
      <c r="J59" s="18"/>
      <c r="K59" s="18"/>
    </row>
    <row r="60" spans="3:11" x14ac:dyDescent="0.2">
      <c r="C60" s="18"/>
      <c r="D60" s="18">
        <f>$E$79*D48</f>
        <v>147.08375664437585</v>
      </c>
      <c r="E60" s="18">
        <f>$E$79*E48</f>
        <v>273.1555480538409</v>
      </c>
      <c r="F60" s="18">
        <f>-E79*(K48-F48)</f>
        <v>-1891.0768711419753</v>
      </c>
      <c r="G60" s="18">
        <f>$E$79*G48</f>
        <v>420.23930469821676</v>
      </c>
      <c r="H60" s="18">
        <f>$E$79*H48</f>
        <v>882.50253986625512</v>
      </c>
      <c r="I60" s="18">
        <f>$E$79*I48</f>
        <v>105.05982617455419</v>
      </c>
      <c r="J60" s="18">
        <f>$E$79*J48</f>
        <v>63.035895704732511</v>
      </c>
      <c r="K60" s="18">
        <f>SUM(D60:J60)</f>
        <v>0</v>
      </c>
    </row>
    <row r="61" spans="3:11" x14ac:dyDescent="0.2">
      <c r="C61" s="18"/>
      <c r="D61" s="18"/>
      <c r="E61" s="18"/>
      <c r="F61" s="18"/>
      <c r="G61" s="18"/>
      <c r="H61" s="18"/>
      <c r="I61" s="18"/>
      <c r="J61" s="18"/>
      <c r="K61" s="18"/>
    </row>
    <row r="62" spans="3:11" x14ac:dyDescent="0.2">
      <c r="C62" s="18" t="s">
        <v>38</v>
      </c>
      <c r="D62" s="18">
        <f>-$F$77*K46</f>
        <v>-1732.3234364283264</v>
      </c>
      <c r="E62" s="18">
        <f t="shared" ref="E62:J62" si="4">+$F$77*E46</f>
        <v>43.308085910708158</v>
      </c>
      <c r="F62" s="18">
        <f t="shared" si="4"/>
        <v>28.872057273805439</v>
      </c>
      <c r="G62" s="18">
        <f t="shared" si="4"/>
        <v>288.72057273805439</v>
      </c>
      <c r="H62" s="18">
        <f t="shared" si="4"/>
        <v>1270.3705200474394</v>
      </c>
      <c r="I62" s="18">
        <f t="shared" si="4"/>
        <v>57.744114547610877</v>
      </c>
      <c r="J62" s="18">
        <f t="shared" si="4"/>
        <v>43.308085910708158</v>
      </c>
      <c r="K62" s="18">
        <f>SUM(D62:J62)</f>
        <v>0</v>
      </c>
    </row>
    <row r="63" spans="3:11" x14ac:dyDescent="0.2">
      <c r="C63" s="18"/>
      <c r="D63" s="18">
        <f>D62+D60+D58</f>
        <v>0</v>
      </c>
      <c r="E63" s="18"/>
      <c r="F63" s="18"/>
      <c r="G63" s="18"/>
      <c r="H63" s="18"/>
      <c r="I63" s="18"/>
      <c r="J63" s="18"/>
      <c r="K63" s="18"/>
    </row>
    <row r="64" spans="3:11" x14ac:dyDescent="0.2">
      <c r="C64" s="18"/>
      <c r="D64" s="18">
        <f>$F$78*D47</f>
        <v>26.371969497045754</v>
      </c>
      <c r="E64" s="18">
        <f>F78*-(K47-E47)</f>
        <v>-316.46363396454905</v>
      </c>
      <c r="F64" s="18">
        <f>$F$78*F47</f>
        <v>26.371969497045754</v>
      </c>
      <c r="G64" s="18">
        <f>$F$78*G47</f>
        <v>52.743938994091508</v>
      </c>
      <c r="H64" s="18">
        <f>$F$78*H47</f>
        <v>158.23181698227452</v>
      </c>
      <c r="I64" s="18">
        <f>$F$78*I47</f>
        <v>31.646363396454905</v>
      </c>
      <c r="J64" s="18">
        <f>$F$78*J47</f>
        <v>21.097575597636602</v>
      </c>
      <c r="K64" s="18">
        <f>SUM(D64:J64)</f>
        <v>2.8421709430404007E-14</v>
      </c>
    </row>
    <row r="65" spans="3:11" x14ac:dyDescent="0.2">
      <c r="C65" s="18"/>
      <c r="D65" s="18"/>
      <c r="E65" s="18">
        <f>E64+E62+E60</f>
        <v>0</v>
      </c>
      <c r="F65" s="18"/>
      <c r="G65" s="18"/>
      <c r="H65" s="18"/>
      <c r="I65" s="18"/>
      <c r="J65" s="18"/>
      <c r="K65" s="18"/>
    </row>
    <row r="66" spans="3:11" x14ac:dyDescent="0.2">
      <c r="C66" s="18"/>
      <c r="D66" s="18">
        <f>$F$79*D48</f>
        <v>4.2967576377328704</v>
      </c>
      <c r="E66" s="18">
        <f>$F$79*E48</f>
        <v>7.9796927557896167</v>
      </c>
      <c r="F66" s="18">
        <f>-F79*(K48-F48)</f>
        <v>-55.244026770851193</v>
      </c>
      <c r="G66" s="18">
        <f>$F$79*G48</f>
        <v>12.276450393522486</v>
      </c>
      <c r="H66" s="18">
        <f>$F$79*H48</f>
        <v>25.780545826397223</v>
      </c>
      <c r="I66" s="18">
        <f>$F$79*I48</f>
        <v>3.0691125983806216</v>
      </c>
      <c r="J66" s="18">
        <f>$F$79*J48</f>
        <v>1.8414675590283731</v>
      </c>
      <c r="K66" s="18">
        <f>SUM(D66:J66)</f>
        <v>0</v>
      </c>
    </row>
    <row r="67" spans="3:11" x14ac:dyDescent="0.2">
      <c r="C67" s="18"/>
      <c r="D67" s="18"/>
      <c r="E67" s="18"/>
      <c r="F67" s="18">
        <f>F66+F64+F62</f>
        <v>0</v>
      </c>
      <c r="G67" s="18"/>
      <c r="H67" s="18"/>
      <c r="I67" s="18"/>
      <c r="J67" s="18"/>
      <c r="K67" s="18"/>
    </row>
    <row r="68" spans="3:11" x14ac:dyDescent="0.2">
      <c r="C68" s="18" t="s">
        <v>39</v>
      </c>
      <c r="D68" s="18">
        <f>-G77*K46</f>
        <v>-30.668727134778628</v>
      </c>
      <c r="E68" s="18">
        <f t="shared" ref="E68:J68" si="5">+$G$77*E46</f>
        <v>0.76671817836946565</v>
      </c>
      <c r="F68" s="18">
        <f t="shared" si="5"/>
        <v>0.51114545224631047</v>
      </c>
      <c r="G68" s="18">
        <f t="shared" si="5"/>
        <v>5.1114545224631049</v>
      </c>
      <c r="H68" s="18">
        <f t="shared" si="5"/>
        <v>22.490399898837659</v>
      </c>
      <c r="I68" s="18">
        <f t="shared" si="5"/>
        <v>1.0222909044926209</v>
      </c>
      <c r="J68" s="18">
        <f t="shared" si="5"/>
        <v>0.76671817836946565</v>
      </c>
      <c r="K68" s="18">
        <f>SUM(D68:J68)</f>
        <v>0</v>
      </c>
    </row>
    <row r="69" spans="3:11" x14ac:dyDescent="0.2">
      <c r="C69" s="18"/>
      <c r="D69" s="18">
        <f>D68+D66+D64</f>
        <v>0</v>
      </c>
      <c r="E69" s="18"/>
      <c r="F69" s="18"/>
      <c r="G69" s="18"/>
      <c r="H69" s="18"/>
      <c r="I69" s="18"/>
      <c r="J69" s="18"/>
      <c r="K69" s="18"/>
    </row>
    <row r="70" spans="3:11" x14ac:dyDescent="0.2">
      <c r="C70" s="18"/>
      <c r="D70" s="18">
        <f>$G$78*D47</f>
        <v>0.72886757784659018</v>
      </c>
      <c r="E70" s="18">
        <f>G78*-(K47-E47)</f>
        <v>-8.7464109341590817</v>
      </c>
      <c r="F70" s="18">
        <f>$G$78*F47</f>
        <v>0.72886757784659018</v>
      </c>
      <c r="G70" s="18">
        <f>$G$78*G47</f>
        <v>1.4577351556931804</v>
      </c>
      <c r="H70" s="18">
        <f>$G$78*H47</f>
        <v>4.3732054670795408</v>
      </c>
      <c r="I70" s="18">
        <f>$G$78*I47</f>
        <v>0.87464109341590812</v>
      </c>
      <c r="J70" s="18">
        <f>$G$78*J47</f>
        <v>0.58309406227727212</v>
      </c>
      <c r="K70" s="18">
        <f>SUM(D70:J70)</f>
        <v>0</v>
      </c>
    </row>
    <row r="71" spans="3:11" x14ac:dyDescent="0.2">
      <c r="C71" s="18"/>
      <c r="D71" s="18"/>
      <c r="E71" s="18">
        <f>E70+E68+E66</f>
        <v>0</v>
      </c>
      <c r="F71" s="18"/>
      <c r="G71" s="18"/>
      <c r="H71" s="18"/>
      <c r="I71" s="18"/>
      <c r="J71" s="18"/>
      <c r="K71" s="18"/>
    </row>
    <row r="72" spans="3:11" x14ac:dyDescent="0.2">
      <c r="C72" s="18"/>
      <c r="D72" s="21">
        <f>$G$79*D48</f>
        <v>9.64454578961145E-2</v>
      </c>
      <c r="E72" s="21">
        <f>$G$79*E48</f>
        <v>0.17911299323564123</v>
      </c>
      <c r="F72" s="21">
        <f>-G79*(K48-F48)</f>
        <v>-1.2400130300929009</v>
      </c>
      <c r="G72" s="21">
        <f>$G$79*G48</f>
        <v>0.2755584511317557</v>
      </c>
      <c r="H72" s="21">
        <f>$G$79*H48</f>
        <v>0.57867274737668706</v>
      </c>
      <c r="I72" s="21">
        <f>$G$79*I48</f>
        <v>6.8889612782938925E-2</v>
      </c>
      <c r="J72" s="21">
        <f>$G$79*J48</f>
        <v>4.1333767669763356E-2</v>
      </c>
      <c r="K72" s="18">
        <f>SUM(D72:J72)</f>
        <v>-1.3183898417423734E-16</v>
      </c>
    </row>
    <row r="73" spans="3:11" x14ac:dyDescent="0.2">
      <c r="C73" s="18"/>
      <c r="D73" s="18">
        <f>D70+D72</f>
        <v>0.82531303574270465</v>
      </c>
      <c r="E73" s="18">
        <f>+E72</f>
        <v>0.17911299323564123</v>
      </c>
      <c r="F73" s="18">
        <f>F72+F70+F68</f>
        <v>0</v>
      </c>
      <c r="G73" s="18">
        <f>+SUM(G50:G72)+G44</f>
        <v>193944.86147328652</v>
      </c>
      <c r="H73" s="18">
        <f>+SUM(H50:H72)+H44</f>
        <v>742767.32442151464</v>
      </c>
      <c r="I73" s="18">
        <f>+SUM(I50:I72)+I44</f>
        <v>220211.82686641411</v>
      </c>
      <c r="J73" s="18">
        <f>+SUM(J50:J72)+J44</f>
        <v>153074.98281275574</v>
      </c>
      <c r="K73" s="18">
        <f>SUM(D73:J73)</f>
        <v>1310000</v>
      </c>
    </row>
    <row r="74" spans="3:11" s="31" customFormat="1" x14ac:dyDescent="0.2">
      <c r="C74" s="42"/>
      <c r="D74" s="42"/>
      <c r="E74" s="42"/>
      <c r="F74" s="42"/>
      <c r="G74" s="42"/>
      <c r="H74" s="42"/>
      <c r="I74" s="42"/>
      <c r="J74" s="42"/>
      <c r="K74" s="42"/>
    </row>
    <row r="75" spans="3:11" s="31" customFormat="1" x14ac:dyDescent="0.2">
      <c r="C75" s="42"/>
      <c r="D75" s="42"/>
      <c r="E75" s="42"/>
      <c r="F75" s="42"/>
      <c r="G75" s="42"/>
      <c r="H75" s="42"/>
      <c r="I75" s="42"/>
      <c r="J75" s="42"/>
      <c r="K75" s="42"/>
    </row>
    <row r="76" spans="3:11" x14ac:dyDescent="0.2">
      <c r="C76" s="37" t="s">
        <v>35</v>
      </c>
      <c r="D76" s="38" t="s">
        <v>34</v>
      </c>
      <c r="E76" s="38" t="s">
        <v>36</v>
      </c>
      <c r="F76" s="38" t="s">
        <v>38</v>
      </c>
      <c r="G76" s="38" t="s">
        <v>39</v>
      </c>
      <c r="H76" s="38" t="s">
        <v>37</v>
      </c>
      <c r="I76" s="31"/>
      <c r="J76" s="31"/>
      <c r="K76" s="31"/>
    </row>
    <row r="77" spans="3:11" x14ac:dyDescent="0.2">
      <c r="C77" s="20" t="s">
        <v>16</v>
      </c>
      <c r="D77" s="39">
        <f>D44/K9</f>
        <v>8.3333333333333329E-2</v>
      </c>
      <c r="E77" s="39">
        <f>-D56/K46</f>
        <v>0.15291859567901234</v>
      </c>
      <c r="F77" s="39">
        <f>(D58+D60)/K46</f>
        <v>1.443602863690272E-2</v>
      </c>
      <c r="G77" s="39">
        <f>(D64+D66)/K46</f>
        <v>2.5557272612315523E-4</v>
      </c>
      <c r="H77" s="40">
        <f>SUM(D77:G77)</f>
        <v>0.25094353037537154</v>
      </c>
      <c r="I77" s="31"/>
      <c r="J77" s="31"/>
      <c r="K77" s="31"/>
    </row>
    <row r="78" spans="3:11" x14ac:dyDescent="0.2">
      <c r="C78" s="20" t="s">
        <v>17</v>
      </c>
      <c r="D78" s="39">
        <f>-E52/(K47-E47)</f>
        <v>16.708333333333332</v>
      </c>
      <c r="E78" s="39">
        <f>(E54+E56)/(K47-E47)</f>
        <v>3.1704793595679011</v>
      </c>
      <c r="F78" s="39">
        <f>(E60+E62)/(K47-E47)</f>
        <v>5.2743938994091508E-2</v>
      </c>
      <c r="G78" s="39">
        <f>(E66+E68)/(K47-E47)</f>
        <v>1.4577351556931803E-3</v>
      </c>
      <c r="H78" s="40">
        <f>SUM(D78:G78)</f>
        <v>19.933014367051019</v>
      </c>
      <c r="I78" s="31"/>
      <c r="J78" s="31"/>
      <c r="K78" s="31"/>
    </row>
    <row r="79" spans="3:11" x14ac:dyDescent="0.2">
      <c r="C79" s="20" t="s">
        <v>18</v>
      </c>
      <c r="D79" s="41">
        <f>+(F52+F50+F44)/(K48-F48)</f>
        <v>28.560185185185183</v>
      </c>
      <c r="E79" s="39">
        <f>(F56+F58)/(K48-F48)</f>
        <v>0.42023930469821674</v>
      </c>
      <c r="F79" s="39">
        <f>(F62+F64)/(K48-F48)</f>
        <v>1.2276450393522487E-2</v>
      </c>
      <c r="G79" s="39">
        <f>(F68+F70)/(K48-F48)</f>
        <v>2.7555845113175572E-4</v>
      </c>
      <c r="H79" s="40">
        <f>SUM(D79:G79)</f>
        <v>28.992976498728055</v>
      </c>
      <c r="I79" s="31"/>
      <c r="J79" s="31"/>
      <c r="K79" s="31"/>
    </row>
    <row r="80" spans="3:11" s="31" customFormat="1" x14ac:dyDescent="0.2"/>
    <row r="81" spans="3:12" s="31" customFormat="1" x14ac:dyDescent="0.2"/>
    <row r="82" spans="3:12" s="31" customFormat="1" x14ac:dyDescent="0.2">
      <c r="C82" s="43" t="s">
        <v>44</v>
      </c>
      <c r="D82" s="43"/>
      <c r="E82" s="43"/>
      <c r="F82" s="43"/>
      <c r="G82" s="43"/>
      <c r="H82" s="43"/>
      <c r="I82" s="43"/>
      <c r="J82" s="43"/>
      <c r="K82" s="43"/>
      <c r="L82" s="43"/>
    </row>
    <row r="83" spans="3:12" s="31" customFormat="1" x14ac:dyDescent="0.2"/>
    <row r="84" spans="3:12" x14ac:dyDescent="0.2">
      <c r="C84" s="3" t="s">
        <v>27</v>
      </c>
      <c r="D84" s="4" t="s">
        <v>0</v>
      </c>
      <c r="E84" s="4" t="s">
        <v>1</v>
      </c>
      <c r="F84" s="4" t="s">
        <v>2</v>
      </c>
      <c r="G84" s="4" t="s">
        <v>3</v>
      </c>
      <c r="H84" s="4" t="s">
        <v>4</v>
      </c>
      <c r="I84" s="4" t="s">
        <v>5</v>
      </c>
      <c r="J84" s="4" t="s">
        <v>6</v>
      </c>
      <c r="K84" s="5" t="s">
        <v>7</v>
      </c>
      <c r="L84" s="5" t="s">
        <v>35</v>
      </c>
    </row>
    <row r="85" spans="3:12" x14ac:dyDescent="0.2">
      <c r="C85" s="17" t="s">
        <v>23</v>
      </c>
      <c r="D85" s="18">
        <v>10000</v>
      </c>
      <c r="E85" s="18">
        <v>100000</v>
      </c>
      <c r="F85" s="18">
        <v>120000</v>
      </c>
      <c r="G85" s="18">
        <v>140000</v>
      </c>
      <c r="H85" s="18">
        <v>600000</v>
      </c>
      <c r="I85" s="18">
        <v>200000</v>
      </c>
      <c r="J85" s="18">
        <v>140000</v>
      </c>
      <c r="K85" s="18">
        <f>SUM(D85:J85)</f>
        <v>1310000</v>
      </c>
      <c r="L85" s="34"/>
    </row>
    <row r="86" spans="3:12" x14ac:dyDescent="0.2">
      <c r="C86" s="17" t="s">
        <v>8</v>
      </c>
      <c r="D86" s="17"/>
      <c r="E86" s="17"/>
      <c r="F86" s="17"/>
      <c r="G86" s="17"/>
      <c r="H86" s="17"/>
      <c r="I86" s="17"/>
      <c r="J86" s="17"/>
      <c r="K86" s="17"/>
      <c r="L86" s="35"/>
    </row>
    <row r="87" spans="3:12" x14ac:dyDescent="0.2">
      <c r="C87" s="19" t="s">
        <v>0</v>
      </c>
      <c r="D87" s="18">
        <v>0</v>
      </c>
      <c r="E87" s="18">
        <v>3000</v>
      </c>
      <c r="F87" s="18">
        <v>2000</v>
      </c>
      <c r="G87" s="18">
        <v>20000</v>
      </c>
      <c r="H87" s="18">
        <v>88000</v>
      </c>
      <c r="I87" s="18">
        <v>4000</v>
      </c>
      <c r="J87" s="18">
        <v>3000</v>
      </c>
      <c r="K87" s="18">
        <f>SUM(D87:J87)</f>
        <v>120000</v>
      </c>
      <c r="L87" s="36">
        <v>0.22</v>
      </c>
    </row>
    <row r="88" spans="3:12" x14ac:dyDescent="0.2">
      <c r="C88" s="19" t="s">
        <v>1</v>
      </c>
      <c r="D88" s="18">
        <v>500</v>
      </c>
      <c r="E88" s="18">
        <v>400</v>
      </c>
      <c r="F88" s="18">
        <v>500</v>
      </c>
      <c r="G88" s="18">
        <v>1000</v>
      </c>
      <c r="H88" s="18">
        <v>3000</v>
      </c>
      <c r="I88" s="18">
        <v>600</v>
      </c>
      <c r="J88" s="18">
        <v>400</v>
      </c>
      <c r="K88" s="18">
        <f>SUM(D88:J88)</f>
        <v>6400</v>
      </c>
      <c r="L88" s="36">
        <v>17</v>
      </c>
    </row>
    <row r="89" spans="3:12" x14ac:dyDescent="0.2">
      <c r="C89" s="19" t="s">
        <v>2</v>
      </c>
      <c r="D89" s="18">
        <v>350</v>
      </c>
      <c r="E89" s="18">
        <v>650</v>
      </c>
      <c r="F89" s="18">
        <v>200</v>
      </c>
      <c r="G89" s="18">
        <v>1000</v>
      </c>
      <c r="H89" s="18">
        <v>2100</v>
      </c>
      <c r="I89" s="18">
        <v>250</v>
      </c>
      <c r="J89" s="18">
        <v>150</v>
      </c>
      <c r="K89" s="18">
        <f>SUM(D89:J89)</f>
        <v>4700</v>
      </c>
      <c r="L89" s="36">
        <v>33</v>
      </c>
    </row>
    <row r="90" spans="3:12" x14ac:dyDescent="0.2">
      <c r="C90" s="6" t="s">
        <v>40</v>
      </c>
      <c r="D90" s="9"/>
      <c r="E90" s="9"/>
      <c r="F90" s="9"/>
      <c r="G90" s="9"/>
      <c r="H90" s="9"/>
      <c r="I90" s="9"/>
      <c r="J90" s="9"/>
      <c r="K90" s="10"/>
    </row>
    <row r="91" spans="3:12" x14ac:dyDescent="0.2">
      <c r="C91" s="11" t="s">
        <v>0</v>
      </c>
      <c r="D91" s="7">
        <f>-L87*K87</f>
        <v>-26400</v>
      </c>
      <c r="E91" s="7">
        <f t="shared" ref="E91:J91" si="6">E87*$L$87</f>
        <v>660</v>
      </c>
      <c r="F91" s="7">
        <f t="shared" si="6"/>
        <v>440</v>
      </c>
      <c r="G91" s="7">
        <f t="shared" si="6"/>
        <v>4400</v>
      </c>
      <c r="H91" s="7">
        <f t="shared" si="6"/>
        <v>19360</v>
      </c>
      <c r="I91" s="7">
        <f t="shared" si="6"/>
        <v>880</v>
      </c>
      <c r="J91" s="7">
        <f t="shared" si="6"/>
        <v>660</v>
      </c>
      <c r="K91" s="8">
        <f>SUM(D91:J91)</f>
        <v>0</v>
      </c>
    </row>
    <row r="92" spans="3:12" x14ac:dyDescent="0.2">
      <c r="C92" s="11" t="s">
        <v>1</v>
      </c>
      <c r="D92" s="7">
        <f>D88*$L$88</f>
        <v>8500</v>
      </c>
      <c r="E92" s="7">
        <f>E88*$L$88-K88*L88</f>
        <v>-102000</v>
      </c>
      <c r="F92" s="7">
        <f>F88*$L$88</f>
        <v>8500</v>
      </c>
      <c r="G92" s="7">
        <f>G88*$L$88</f>
        <v>17000</v>
      </c>
      <c r="H92" s="7">
        <f>H88*$L$88</f>
        <v>51000</v>
      </c>
      <c r="I92" s="7">
        <f>I88*$L$88</f>
        <v>10200</v>
      </c>
      <c r="J92" s="7">
        <f>J88*$L$88</f>
        <v>6800</v>
      </c>
      <c r="K92" s="8">
        <f>SUM(D92:J92)</f>
        <v>0</v>
      </c>
    </row>
    <row r="93" spans="3:12" x14ac:dyDescent="0.2">
      <c r="C93" s="12" t="s">
        <v>2</v>
      </c>
      <c r="D93" s="7">
        <f>$L$89*D89</f>
        <v>11550</v>
      </c>
      <c r="E93" s="7">
        <f>$L$89*E89</f>
        <v>21450</v>
      </c>
      <c r="F93" s="7">
        <f>$L$89*F89-K89*L89</f>
        <v>-148500</v>
      </c>
      <c r="G93" s="7">
        <f>$L$89*G89</f>
        <v>33000</v>
      </c>
      <c r="H93" s="7">
        <f>$L$89*H89</f>
        <v>69300</v>
      </c>
      <c r="I93" s="7">
        <f>$L$89*I89</f>
        <v>8250</v>
      </c>
      <c r="J93" s="7">
        <f>$L$89*J89</f>
        <v>4950</v>
      </c>
      <c r="K93" s="8">
        <f>SUM(D93:J93)</f>
        <v>0</v>
      </c>
    </row>
    <row r="94" spans="3:12" x14ac:dyDescent="0.2">
      <c r="C94" s="16" t="s">
        <v>42</v>
      </c>
      <c r="D94" s="15">
        <f t="shared" ref="D94:J94" si="7">SUM(D91:D93)+D85</f>
        <v>3650</v>
      </c>
      <c r="E94" s="15">
        <f t="shared" si="7"/>
        <v>20110</v>
      </c>
      <c r="F94" s="15">
        <f t="shared" si="7"/>
        <v>-19560</v>
      </c>
      <c r="G94" s="15">
        <f t="shared" si="7"/>
        <v>194400</v>
      </c>
      <c r="H94" s="15">
        <f t="shared" si="7"/>
        <v>739660</v>
      </c>
      <c r="I94" s="15">
        <f t="shared" si="7"/>
        <v>219330</v>
      </c>
      <c r="J94" s="15">
        <f t="shared" si="7"/>
        <v>152410</v>
      </c>
      <c r="K94" s="15">
        <f>SUM(D94:J94)</f>
        <v>1310000</v>
      </c>
    </row>
    <row r="95" spans="3:12" s="31" customFormat="1" x14ac:dyDescent="0.2">
      <c r="C95" s="7"/>
      <c r="D95" s="7"/>
      <c r="E95" s="7"/>
      <c r="F95" s="7"/>
      <c r="G95" s="7"/>
      <c r="H95" s="7"/>
      <c r="I95" s="7"/>
      <c r="J95" s="7"/>
      <c r="K95" s="8"/>
    </row>
    <row r="96" spans="3:12" s="31" customFormat="1" x14ac:dyDescent="0.2">
      <c r="C96" s="7" t="s">
        <v>41</v>
      </c>
      <c r="D96" s="7">
        <f>-D94</f>
        <v>-3650</v>
      </c>
      <c r="E96" s="7">
        <f>-E94</f>
        <v>-20110</v>
      </c>
      <c r="F96" s="7">
        <f>-F94</f>
        <v>19560</v>
      </c>
      <c r="G96" s="46">
        <f>G94/SUM($G$94:$J$94)*SUM($D$94:$F$94)</f>
        <v>625.27186399142295</v>
      </c>
      <c r="H96" s="46">
        <f>H94/SUM($G$94:$J$94)*SUM($D$94:$F$94)</f>
        <v>2379.0565170776536</v>
      </c>
      <c r="I96" s="46">
        <f>I94/SUM($G$94:$J$94)*SUM($D$94:$F$94)</f>
        <v>705.45719099402663</v>
      </c>
      <c r="J96" s="46">
        <f>J94/SUM($G$94:$J$94)*SUM($D$94:$F$94)</f>
        <v>490.21442793689693</v>
      </c>
      <c r="K96" s="8">
        <f>SUM(D96:J96)</f>
        <v>0</v>
      </c>
    </row>
    <row r="97" spans="3:11" s="31" customFormat="1" x14ac:dyDescent="0.2">
      <c r="C97" s="7"/>
      <c r="D97" s="7"/>
      <c r="E97" s="7"/>
      <c r="F97" s="7"/>
      <c r="G97" s="7"/>
      <c r="H97" s="7"/>
      <c r="I97" s="7"/>
      <c r="J97" s="7"/>
      <c r="K97" s="8"/>
    </row>
    <row r="98" spans="3:11" x14ac:dyDescent="0.2">
      <c r="C98" s="16" t="s">
        <v>43</v>
      </c>
      <c r="D98" s="15">
        <f t="shared" ref="D98:K98" si="8">D96+D94</f>
        <v>0</v>
      </c>
      <c r="E98" s="15">
        <f t="shared" si="8"/>
        <v>0</v>
      </c>
      <c r="F98" s="15">
        <f t="shared" si="8"/>
        <v>0</v>
      </c>
      <c r="G98" s="15">
        <f t="shared" si="8"/>
        <v>195025.27186399142</v>
      </c>
      <c r="H98" s="15">
        <f t="shared" si="8"/>
        <v>742039.05651707761</v>
      </c>
      <c r="I98" s="15">
        <f t="shared" si="8"/>
        <v>220035.45719099403</v>
      </c>
      <c r="J98" s="15">
        <f t="shared" si="8"/>
        <v>152900.21442793691</v>
      </c>
      <c r="K98" s="15">
        <f t="shared" si="8"/>
        <v>1310000</v>
      </c>
    </row>
    <row r="99" spans="3:11" s="31" customFormat="1" x14ac:dyDescent="0.2"/>
    <row r="100" spans="3:11" s="31" customFormat="1" x14ac:dyDescent="0.2">
      <c r="C100" s="43" t="s">
        <v>47</v>
      </c>
      <c r="D100" s="43"/>
      <c r="E100" s="43"/>
      <c r="F100" s="43"/>
      <c r="G100" s="43"/>
      <c r="H100" s="43"/>
      <c r="I100" s="43"/>
      <c r="J100" s="43"/>
      <c r="K100" s="43"/>
    </row>
    <row r="101" spans="3:11" s="31" customFormat="1" x14ac:dyDescent="0.2"/>
    <row r="102" spans="3:11" x14ac:dyDescent="0.2">
      <c r="C102" s="3" t="s">
        <v>27</v>
      </c>
      <c r="D102" s="4" t="s">
        <v>0</v>
      </c>
      <c r="E102" s="4" t="s">
        <v>1</v>
      </c>
      <c r="F102" s="4" t="s">
        <v>2</v>
      </c>
      <c r="G102" s="4" t="s">
        <v>3</v>
      </c>
      <c r="H102" s="4" t="s">
        <v>4</v>
      </c>
      <c r="I102" s="4" t="s">
        <v>5</v>
      </c>
      <c r="J102" s="4" t="s">
        <v>6</v>
      </c>
      <c r="K102" s="5" t="s">
        <v>7</v>
      </c>
    </row>
    <row r="103" spans="3:11" x14ac:dyDescent="0.2">
      <c r="C103" s="17" t="s">
        <v>23</v>
      </c>
      <c r="D103" s="18">
        <v>10000</v>
      </c>
      <c r="E103" s="18">
        <v>100000</v>
      </c>
      <c r="F103" s="18">
        <v>120000</v>
      </c>
      <c r="G103" s="18">
        <v>140000</v>
      </c>
      <c r="H103" s="18">
        <v>600000</v>
      </c>
      <c r="I103" s="18">
        <v>200000</v>
      </c>
      <c r="J103" s="18">
        <v>140000</v>
      </c>
      <c r="K103" s="18">
        <f>SUM(D103:J103)</f>
        <v>1310000</v>
      </c>
    </row>
    <row r="104" spans="3:11" x14ac:dyDescent="0.2">
      <c r="C104" s="17" t="s">
        <v>8</v>
      </c>
      <c r="D104" s="17"/>
      <c r="E104" s="17"/>
      <c r="F104" s="17"/>
      <c r="G104" s="17"/>
      <c r="H104" s="17"/>
      <c r="I104" s="17"/>
      <c r="J104" s="17"/>
      <c r="K104" s="17"/>
    </row>
    <row r="105" spans="3:11" x14ac:dyDescent="0.2">
      <c r="C105" s="19" t="s">
        <v>0</v>
      </c>
      <c r="D105" s="18">
        <v>0</v>
      </c>
      <c r="E105" s="18">
        <v>3000</v>
      </c>
      <c r="F105" s="18">
        <v>2000</v>
      </c>
      <c r="G105" s="18">
        <v>20000</v>
      </c>
      <c r="H105" s="18">
        <v>88000</v>
      </c>
      <c r="I105" s="18">
        <v>4000</v>
      </c>
      <c r="J105" s="18">
        <v>3000</v>
      </c>
      <c r="K105" s="18">
        <f>SUM(D105:J105)</f>
        <v>120000</v>
      </c>
    </row>
    <row r="106" spans="3:11" x14ac:dyDescent="0.2">
      <c r="C106" s="19" t="s">
        <v>1</v>
      </c>
      <c r="D106" s="18">
        <v>500</v>
      </c>
      <c r="E106" s="18">
        <v>400</v>
      </c>
      <c r="F106" s="18">
        <v>500</v>
      </c>
      <c r="G106" s="18">
        <v>1000</v>
      </c>
      <c r="H106" s="18">
        <v>3000</v>
      </c>
      <c r="I106" s="18">
        <v>600</v>
      </c>
      <c r="J106" s="18">
        <v>400</v>
      </c>
      <c r="K106" s="18">
        <f>SUM(D106:J106)</f>
        <v>6400</v>
      </c>
    </row>
    <row r="107" spans="3:11" x14ac:dyDescent="0.2">
      <c r="C107" s="19" t="s">
        <v>2</v>
      </c>
      <c r="D107" s="18">
        <v>350</v>
      </c>
      <c r="E107" s="18">
        <v>650</v>
      </c>
      <c r="F107" s="18">
        <v>200</v>
      </c>
      <c r="G107" s="18">
        <v>1000</v>
      </c>
      <c r="H107" s="18">
        <v>2100</v>
      </c>
      <c r="I107" s="18">
        <v>250</v>
      </c>
      <c r="J107" s="18">
        <v>150</v>
      </c>
      <c r="K107" s="18">
        <f>SUM(D107:J107)</f>
        <v>4700</v>
      </c>
    </row>
    <row r="108" spans="3:11" x14ac:dyDescent="0.2">
      <c r="C108" s="6" t="s">
        <v>40</v>
      </c>
      <c r="D108" s="9"/>
      <c r="E108" s="9"/>
      <c r="F108" s="9"/>
      <c r="G108" s="9"/>
      <c r="H108" s="9"/>
      <c r="I108" s="9"/>
      <c r="J108" s="9"/>
      <c r="K108" s="10"/>
    </row>
    <row r="109" spans="3:11" x14ac:dyDescent="0.2">
      <c r="C109" s="11" t="s">
        <v>0</v>
      </c>
      <c r="D109" s="7">
        <f>-D116*K105</f>
        <v>-10000</v>
      </c>
      <c r="E109" s="7">
        <f>$D$116*E105</f>
        <v>250</v>
      </c>
      <c r="F109" s="7">
        <f t="shared" ref="F109:J109" si="9">$D$116*F105</f>
        <v>166.66666666666666</v>
      </c>
      <c r="G109" s="7">
        <f t="shared" si="9"/>
        <v>1666.6666666666665</v>
      </c>
      <c r="H109" s="7">
        <f t="shared" si="9"/>
        <v>7333.333333333333</v>
      </c>
      <c r="I109" s="7">
        <f t="shared" si="9"/>
        <v>333.33333333333331</v>
      </c>
      <c r="J109" s="7">
        <f t="shared" si="9"/>
        <v>250</v>
      </c>
      <c r="K109" s="8">
        <f>SUM(D109:J109)</f>
        <v>-1.5347723092418164E-12</v>
      </c>
    </row>
    <row r="110" spans="3:11" x14ac:dyDescent="0.2">
      <c r="C110" s="11" t="s">
        <v>1</v>
      </c>
      <c r="D110" s="7">
        <v>0</v>
      </c>
      <c r="E110" s="7">
        <f>-D117*(K106-E106-D106)</f>
        <v>-100250</v>
      </c>
      <c r="F110" s="7">
        <f>+$D$117*F106</f>
        <v>9113.636363636364</v>
      </c>
      <c r="G110" s="7">
        <f>+$D$117*G106</f>
        <v>18227.272727272728</v>
      </c>
      <c r="H110" s="7">
        <f>+$D$117*H106</f>
        <v>54681.818181818177</v>
      </c>
      <c r="I110" s="7">
        <f>+$D$117*I106</f>
        <v>10936.363636363636</v>
      </c>
      <c r="J110" s="7">
        <f>+$D$117*J106</f>
        <v>7290.909090909091</v>
      </c>
      <c r="K110" s="8">
        <f>SUM(D110:J110)</f>
        <v>-8.1854523159563541E-12</v>
      </c>
    </row>
    <row r="111" spans="3:11" x14ac:dyDescent="0.2">
      <c r="C111" s="12" t="s">
        <v>2</v>
      </c>
      <c r="D111" s="7">
        <v>0</v>
      </c>
      <c r="E111" s="7">
        <v>0</v>
      </c>
      <c r="F111" s="7">
        <f>-D118*(K107-F107-E107-D107)</f>
        <v>-129280.30303030301</v>
      </c>
      <c r="G111" s="7">
        <f>$D$118*G107</f>
        <v>36937.229437229435</v>
      </c>
      <c r="H111" s="7">
        <f>$D$118*H107</f>
        <v>77568.181818181809</v>
      </c>
      <c r="I111" s="7">
        <f>$D$118*I107</f>
        <v>9234.3073593073586</v>
      </c>
      <c r="J111" s="7">
        <f>$D$118*J107</f>
        <v>5540.5844155844152</v>
      </c>
      <c r="K111" s="8">
        <f>SUM(D111:J111)</f>
        <v>0</v>
      </c>
    </row>
    <row r="112" spans="3:11" x14ac:dyDescent="0.2">
      <c r="C112" s="16" t="s">
        <v>42</v>
      </c>
      <c r="D112" s="15">
        <f t="shared" ref="D112:J112" si="10">SUM(D109:D111)+D103</f>
        <v>0</v>
      </c>
      <c r="E112" s="15">
        <f t="shared" si="10"/>
        <v>0</v>
      </c>
      <c r="F112" s="15">
        <f t="shared" si="10"/>
        <v>0</v>
      </c>
      <c r="G112" s="15">
        <f t="shared" si="10"/>
        <v>196831.16883116885</v>
      </c>
      <c r="H112" s="15">
        <f t="shared" si="10"/>
        <v>739583.33333333326</v>
      </c>
      <c r="I112" s="15">
        <f t="shared" si="10"/>
        <v>220504.00432900432</v>
      </c>
      <c r="J112" s="15">
        <f t="shared" si="10"/>
        <v>153081.49350649351</v>
      </c>
      <c r="K112" s="15">
        <f>SUM(D112:J112)</f>
        <v>1310000</v>
      </c>
    </row>
    <row r="113" spans="3:11" s="31" customFormat="1" x14ac:dyDescent="0.2"/>
    <row r="114" spans="3:11" s="31" customFormat="1" x14ac:dyDescent="0.2"/>
    <row r="115" spans="3:11" x14ac:dyDescent="0.2">
      <c r="C115" s="51" t="s">
        <v>35</v>
      </c>
      <c r="D115" s="52"/>
      <c r="E115" s="52"/>
      <c r="F115" s="31"/>
      <c r="G115" s="31"/>
      <c r="H115" s="31"/>
      <c r="I115" s="31"/>
      <c r="J115" s="31"/>
      <c r="K115" s="31"/>
    </row>
    <row r="116" spans="3:11" x14ac:dyDescent="0.2">
      <c r="C116" s="17" t="s">
        <v>16</v>
      </c>
      <c r="D116" s="23">
        <f>D103/K105</f>
        <v>8.3333333333333329E-2</v>
      </c>
      <c r="E116" s="17" t="s">
        <v>24</v>
      </c>
      <c r="F116" s="31"/>
      <c r="G116" s="31"/>
      <c r="H116" s="31"/>
      <c r="I116" s="31"/>
      <c r="J116" s="31"/>
      <c r="K116" s="31"/>
    </row>
    <row r="117" spans="3:11" x14ac:dyDescent="0.2">
      <c r="C117" s="22" t="s">
        <v>17</v>
      </c>
      <c r="D117" s="22">
        <f>(E109+E103)/(K106-E106-D106)</f>
        <v>18.227272727272727</v>
      </c>
      <c r="E117" s="22" t="s">
        <v>45</v>
      </c>
      <c r="F117" s="31"/>
      <c r="G117" s="31"/>
      <c r="H117" s="31"/>
      <c r="I117" s="31"/>
      <c r="J117" s="31"/>
      <c r="K117" s="31"/>
    </row>
    <row r="118" spans="3:11" x14ac:dyDescent="0.2">
      <c r="C118" s="22" t="s">
        <v>18</v>
      </c>
      <c r="D118" s="22">
        <f>(F110+F109+F103)/(K107-F107-E107-D107)</f>
        <v>36.937229437229433</v>
      </c>
      <c r="E118" s="22" t="s">
        <v>25</v>
      </c>
      <c r="F118" s="31"/>
      <c r="G118" s="31"/>
      <c r="H118" s="31"/>
      <c r="I118" s="31"/>
      <c r="J118" s="31"/>
      <c r="K118" s="31"/>
    </row>
    <row r="119" spans="3:11" s="31" customFormat="1" x14ac:dyDescent="0.2"/>
    <row r="120" spans="3:11" s="31" customFormat="1" x14ac:dyDescent="0.2">
      <c r="C120" s="43" t="s">
        <v>46</v>
      </c>
      <c r="D120" s="43"/>
      <c r="E120" s="43"/>
      <c r="F120" s="43"/>
      <c r="G120" s="43"/>
      <c r="H120" s="43"/>
      <c r="I120" s="43"/>
      <c r="J120" s="43"/>
      <c r="K120" s="43"/>
    </row>
    <row r="121" spans="3:11" s="31" customFormat="1" x14ac:dyDescent="0.2"/>
    <row r="122" spans="3:11" x14ac:dyDescent="0.2">
      <c r="C122" s="3" t="s">
        <v>27</v>
      </c>
      <c r="D122" s="4" t="s">
        <v>0</v>
      </c>
      <c r="E122" s="4" t="s">
        <v>1</v>
      </c>
      <c r="F122" s="4" t="s">
        <v>2</v>
      </c>
      <c r="G122" s="4" t="s">
        <v>3</v>
      </c>
      <c r="H122" s="4" t="s">
        <v>4</v>
      </c>
      <c r="I122" s="4" t="s">
        <v>5</v>
      </c>
      <c r="J122" s="4" t="s">
        <v>6</v>
      </c>
      <c r="K122" s="5" t="s">
        <v>7</v>
      </c>
    </row>
    <row r="123" spans="3:11" x14ac:dyDescent="0.2">
      <c r="C123" s="17" t="s">
        <v>23</v>
      </c>
      <c r="D123" s="18">
        <v>10000</v>
      </c>
      <c r="E123" s="18">
        <v>100000</v>
      </c>
      <c r="F123" s="18">
        <v>120000</v>
      </c>
      <c r="G123" s="18">
        <v>140000</v>
      </c>
      <c r="H123" s="18">
        <v>600000</v>
      </c>
      <c r="I123" s="18">
        <v>200000</v>
      </c>
      <c r="J123" s="18">
        <v>140000</v>
      </c>
      <c r="K123" s="18">
        <f>SUM(D123:J123)</f>
        <v>1310000</v>
      </c>
    </row>
    <row r="124" spans="3:11" x14ac:dyDescent="0.2">
      <c r="C124" s="17" t="s">
        <v>8</v>
      </c>
      <c r="D124" s="17"/>
      <c r="E124" s="17"/>
      <c r="F124" s="17"/>
      <c r="G124" s="17"/>
      <c r="H124" s="17"/>
      <c r="I124" s="17"/>
      <c r="J124" s="17"/>
      <c r="K124" s="17"/>
    </row>
    <row r="125" spans="3:11" x14ac:dyDescent="0.2">
      <c r="C125" s="19" t="s">
        <v>0</v>
      </c>
      <c r="D125" s="18">
        <v>0</v>
      </c>
      <c r="E125" s="18">
        <v>3000</v>
      </c>
      <c r="F125" s="18">
        <v>2000</v>
      </c>
      <c r="G125" s="18">
        <v>20000</v>
      </c>
      <c r="H125" s="18">
        <v>88000</v>
      </c>
      <c r="I125" s="18">
        <v>4000</v>
      </c>
      <c r="J125" s="18">
        <v>3000</v>
      </c>
      <c r="K125" s="18">
        <f>SUM(D125:J125)</f>
        <v>120000</v>
      </c>
    </row>
    <row r="126" spans="3:11" x14ac:dyDescent="0.2">
      <c r="C126" s="19" t="s">
        <v>1</v>
      </c>
      <c r="D126" s="18">
        <v>500</v>
      </c>
      <c r="E126" s="18">
        <v>400</v>
      </c>
      <c r="F126" s="18">
        <v>500</v>
      </c>
      <c r="G126" s="18">
        <v>1000</v>
      </c>
      <c r="H126" s="18">
        <v>3000</v>
      </c>
      <c r="I126" s="18">
        <v>600</v>
      </c>
      <c r="J126" s="18">
        <v>400</v>
      </c>
      <c r="K126" s="18">
        <f>SUM(D126:J126)</f>
        <v>6400</v>
      </c>
    </row>
    <row r="127" spans="3:11" x14ac:dyDescent="0.2">
      <c r="C127" s="19" t="s">
        <v>2</v>
      </c>
      <c r="D127" s="18">
        <v>350</v>
      </c>
      <c r="E127" s="18">
        <v>650</v>
      </c>
      <c r="F127" s="18">
        <v>200</v>
      </c>
      <c r="G127" s="18">
        <v>1000</v>
      </c>
      <c r="H127" s="18">
        <v>2100</v>
      </c>
      <c r="I127" s="18">
        <v>250</v>
      </c>
      <c r="J127" s="18">
        <v>150</v>
      </c>
      <c r="K127" s="18">
        <f>SUM(D127:J127)</f>
        <v>4700</v>
      </c>
    </row>
    <row r="128" spans="3:11" x14ac:dyDescent="0.2">
      <c r="C128" s="6" t="s">
        <v>40</v>
      </c>
      <c r="D128" s="9"/>
      <c r="E128" s="9"/>
      <c r="F128" s="9"/>
      <c r="G128" s="9"/>
      <c r="H128" s="9"/>
      <c r="I128" s="9"/>
      <c r="J128" s="9"/>
      <c r="K128" s="10"/>
    </row>
    <row r="129" spans="3:11" x14ac:dyDescent="0.2">
      <c r="C129" s="11" t="s">
        <v>0</v>
      </c>
      <c r="D129" s="7">
        <f>-D136*(K125-F125-E125-D125)</f>
        <v>-10000</v>
      </c>
      <c r="E129" s="7">
        <v>0</v>
      </c>
      <c r="F129" s="7">
        <v>0</v>
      </c>
      <c r="G129" s="7">
        <f t="shared" ref="G129:J131" si="11">$D136*G125</f>
        <v>1739.1304347826087</v>
      </c>
      <c r="H129" s="7">
        <f t="shared" si="11"/>
        <v>7652.173913043478</v>
      </c>
      <c r="I129" s="7">
        <f t="shared" si="11"/>
        <v>347.82608695652175</v>
      </c>
      <c r="J129" s="7">
        <f t="shared" si="11"/>
        <v>260.86956521739131</v>
      </c>
      <c r="K129" s="8">
        <f>SUM(D129:J129)</f>
        <v>-8.5265128291212022E-13</v>
      </c>
    </row>
    <row r="130" spans="3:11" x14ac:dyDescent="0.2">
      <c r="C130" s="11" t="s">
        <v>1</v>
      </c>
      <c r="D130" s="7">
        <v>0</v>
      </c>
      <c r="E130" s="7">
        <f>D137*(K126-F126-E126-D126)*-1</f>
        <v>-100000</v>
      </c>
      <c r="F130" s="7">
        <v>0</v>
      </c>
      <c r="G130" s="7">
        <f t="shared" si="11"/>
        <v>20000</v>
      </c>
      <c r="H130" s="7">
        <f t="shared" si="11"/>
        <v>60000</v>
      </c>
      <c r="I130" s="7">
        <f t="shared" si="11"/>
        <v>12000</v>
      </c>
      <c r="J130" s="7">
        <f t="shared" si="11"/>
        <v>8000</v>
      </c>
      <c r="K130" s="8">
        <f>SUM(D130:J130)</f>
        <v>0</v>
      </c>
    </row>
    <row r="131" spans="3:11" x14ac:dyDescent="0.2">
      <c r="C131" s="12" t="s">
        <v>2</v>
      </c>
      <c r="D131" s="7">
        <v>0</v>
      </c>
      <c r="E131" s="7">
        <v>0</v>
      </c>
      <c r="F131" s="7">
        <f>D138*(K127-F127-E127-D127)*-1</f>
        <v>-120000</v>
      </c>
      <c r="G131" s="7">
        <f t="shared" si="11"/>
        <v>34285.714285714283</v>
      </c>
      <c r="H131" s="7">
        <f t="shared" si="11"/>
        <v>72000</v>
      </c>
      <c r="I131" s="7">
        <f t="shared" si="11"/>
        <v>8571.4285714285706</v>
      </c>
      <c r="J131" s="7">
        <f t="shared" si="11"/>
        <v>5142.8571428571431</v>
      </c>
      <c r="K131" s="8">
        <f>SUM(D131:J131)</f>
        <v>0</v>
      </c>
    </row>
    <row r="132" spans="3:11" x14ac:dyDescent="0.2">
      <c r="C132" s="16" t="s">
        <v>42</v>
      </c>
      <c r="D132" s="15">
        <f t="shared" ref="D132:J132" si="12">SUM(D129:D131)+D123</f>
        <v>0</v>
      </c>
      <c r="E132" s="15">
        <f t="shared" si="12"/>
        <v>0</v>
      </c>
      <c r="F132" s="15">
        <f t="shared" si="12"/>
        <v>0</v>
      </c>
      <c r="G132" s="15">
        <f t="shared" si="12"/>
        <v>196024.84472049688</v>
      </c>
      <c r="H132" s="15">
        <f t="shared" si="12"/>
        <v>739652.17391304346</v>
      </c>
      <c r="I132" s="15">
        <f t="shared" si="12"/>
        <v>220919.25465838509</v>
      </c>
      <c r="J132" s="15">
        <f t="shared" si="12"/>
        <v>153403.72670807454</v>
      </c>
      <c r="K132" s="15">
        <f>SUM(D132:J132)</f>
        <v>1310000</v>
      </c>
    </row>
    <row r="133" spans="3:11" s="31" customFormat="1" x14ac:dyDescent="0.2"/>
    <row r="134" spans="3:11" s="31" customFormat="1" x14ac:dyDescent="0.2"/>
    <row r="135" spans="3:11" x14ac:dyDescent="0.2">
      <c r="C135" s="51" t="s">
        <v>35</v>
      </c>
      <c r="D135" s="52"/>
      <c r="E135" s="52"/>
      <c r="F135" s="31"/>
      <c r="G135" s="31"/>
      <c r="H135" s="31"/>
      <c r="I135" s="31"/>
      <c r="J135" s="31"/>
      <c r="K135" s="31"/>
    </row>
    <row r="136" spans="3:11" x14ac:dyDescent="0.2">
      <c r="C136" s="17" t="s">
        <v>16</v>
      </c>
      <c r="D136" s="23">
        <f>D123/(K125-F125-E125-D125)</f>
        <v>8.6956521739130432E-2</v>
      </c>
      <c r="E136" s="17" t="s">
        <v>24</v>
      </c>
      <c r="F136" s="31"/>
      <c r="G136" s="31"/>
      <c r="H136" s="31"/>
      <c r="I136" s="31"/>
      <c r="J136" s="31"/>
      <c r="K136" s="31"/>
    </row>
    <row r="137" spans="3:11" x14ac:dyDescent="0.2">
      <c r="C137" s="22" t="s">
        <v>17</v>
      </c>
      <c r="D137" s="22">
        <f>E123/(K126-F126-E126-D126)</f>
        <v>20</v>
      </c>
      <c r="E137" s="22" t="s">
        <v>45</v>
      </c>
      <c r="F137" s="31"/>
      <c r="G137" s="31"/>
      <c r="H137" s="31"/>
      <c r="I137" s="31"/>
      <c r="J137" s="31"/>
      <c r="K137" s="31"/>
    </row>
    <row r="138" spans="3:11" x14ac:dyDescent="0.2">
      <c r="C138" s="22" t="s">
        <v>18</v>
      </c>
      <c r="D138" s="22">
        <f>F123/(K127-F127-E127-D127)</f>
        <v>34.285714285714285</v>
      </c>
      <c r="E138" s="22" t="s">
        <v>25</v>
      </c>
      <c r="F138" s="31"/>
      <c r="G138" s="31"/>
      <c r="H138" s="31"/>
      <c r="I138" s="31"/>
      <c r="J138" s="31"/>
      <c r="K138" s="31"/>
    </row>
    <row r="139" spans="3:11" s="31" customFormat="1" x14ac:dyDescent="0.2"/>
    <row r="140" spans="3:11" s="31" customFormat="1" x14ac:dyDescent="0.2">
      <c r="C140" s="43" t="s">
        <v>48</v>
      </c>
      <c r="D140" s="43"/>
      <c r="E140" s="43"/>
      <c r="F140" s="43"/>
      <c r="G140" s="43"/>
      <c r="H140" s="43"/>
      <c r="I140" s="43"/>
      <c r="J140" s="43"/>
      <c r="K140" s="43"/>
    </row>
    <row r="141" spans="3:11" s="31" customFormat="1" x14ac:dyDescent="0.2"/>
    <row r="142" spans="3:11" s="31" customFormat="1" x14ac:dyDescent="0.2">
      <c r="C142" s="32" t="s">
        <v>59</v>
      </c>
    </row>
    <row r="143" spans="3:11" s="31" customFormat="1" x14ac:dyDescent="0.2"/>
    <row r="144" spans="3:11" ht="48" x14ac:dyDescent="0.2">
      <c r="C144" s="3" t="s">
        <v>54</v>
      </c>
      <c r="D144" s="30" t="s">
        <v>52</v>
      </c>
      <c r="E144" s="30" t="s">
        <v>51</v>
      </c>
      <c r="F144" s="30" t="s">
        <v>49</v>
      </c>
      <c r="G144" s="30" t="s">
        <v>53</v>
      </c>
      <c r="H144" s="30" t="s">
        <v>50</v>
      </c>
      <c r="I144" s="31"/>
      <c r="J144" s="31"/>
      <c r="K144" s="31"/>
    </row>
    <row r="145" spans="3:11" x14ac:dyDescent="0.2">
      <c r="C145" s="17" t="s">
        <v>16</v>
      </c>
      <c r="D145" s="23">
        <f>+J26</f>
        <v>0.2509505703422053</v>
      </c>
      <c r="E145" s="23">
        <f>+H77</f>
        <v>0.25094353037537154</v>
      </c>
      <c r="F145" s="23">
        <f>+L87</f>
        <v>0.22</v>
      </c>
      <c r="G145" s="23">
        <f>+D116</f>
        <v>8.3333333333333329E-2</v>
      </c>
      <c r="H145" s="23">
        <f>+D136</f>
        <v>8.6956521739130432E-2</v>
      </c>
      <c r="I145" s="31"/>
      <c r="J145" s="31"/>
      <c r="K145" s="31"/>
    </row>
    <row r="146" spans="3:11" x14ac:dyDescent="0.2">
      <c r="C146" s="17" t="s">
        <v>17</v>
      </c>
      <c r="D146" s="23">
        <f>+J27</f>
        <v>19.933048488887145</v>
      </c>
      <c r="E146" s="23">
        <f>+H78</f>
        <v>19.933014367051019</v>
      </c>
      <c r="F146" s="23">
        <f t="shared" ref="F146:F147" si="13">+L88</f>
        <v>17</v>
      </c>
      <c r="G146" s="23">
        <f>+D117</f>
        <v>18.227272727272727</v>
      </c>
      <c r="H146" s="23">
        <f>+D137</f>
        <v>20</v>
      </c>
      <c r="I146" s="31"/>
      <c r="J146" s="31"/>
      <c r="K146" s="31"/>
    </row>
    <row r="147" spans="3:11" x14ac:dyDescent="0.2">
      <c r="C147" s="17" t="s">
        <v>18</v>
      </c>
      <c r="D147" s="23">
        <f>+J28</f>
        <v>28.99298341891733</v>
      </c>
      <c r="E147" s="23">
        <f>+H79</f>
        <v>28.992976498728055</v>
      </c>
      <c r="F147" s="23">
        <f t="shared" si="13"/>
        <v>33</v>
      </c>
      <c r="G147" s="23">
        <f>+D118</f>
        <v>36.937229437229433</v>
      </c>
      <c r="H147" s="23">
        <f>+D138</f>
        <v>34.285714285714285</v>
      </c>
      <c r="I147" s="31"/>
      <c r="J147" s="31"/>
      <c r="K147" s="31"/>
    </row>
    <row r="148" spans="3:11" s="31" customFormat="1" x14ac:dyDescent="0.2"/>
    <row r="149" spans="3:11" s="31" customFormat="1" x14ac:dyDescent="0.2">
      <c r="C149" s="32" t="s">
        <v>58</v>
      </c>
    </row>
    <row r="150" spans="3:11" s="31" customFormat="1" x14ac:dyDescent="0.2"/>
    <row r="151" spans="3:11" ht="48" x14ac:dyDescent="0.2">
      <c r="C151" s="3" t="s">
        <v>54</v>
      </c>
      <c r="D151" s="30" t="s">
        <v>52</v>
      </c>
      <c r="E151" s="30" t="s">
        <v>51</v>
      </c>
      <c r="F151" s="30" t="s">
        <v>49</v>
      </c>
      <c r="G151" s="30" t="s">
        <v>53</v>
      </c>
      <c r="H151" s="30" t="s">
        <v>50</v>
      </c>
      <c r="I151" s="31"/>
      <c r="J151" s="31"/>
      <c r="K151" s="31"/>
    </row>
    <row r="152" spans="3:11" x14ac:dyDescent="0.2">
      <c r="C152" s="17" t="s">
        <v>55</v>
      </c>
      <c r="D152" s="18">
        <v>193945.04331464859</v>
      </c>
      <c r="E152" s="18">
        <v>193944.86147328652</v>
      </c>
      <c r="F152" s="18">
        <v>195025.27186399142</v>
      </c>
      <c r="G152" s="18">
        <v>196831.16883116885</v>
      </c>
      <c r="H152" s="18">
        <v>196024.84472049688</v>
      </c>
      <c r="I152" s="31"/>
      <c r="J152" s="31"/>
      <c r="K152" s="31"/>
    </row>
    <row r="153" spans="3:11" x14ac:dyDescent="0.2">
      <c r="C153" s="17" t="s">
        <v>56</v>
      </c>
      <c r="D153" s="18">
        <v>742768.06083650189</v>
      </c>
      <c r="E153" s="18">
        <v>742767.32442151464</v>
      </c>
      <c r="F153" s="18">
        <v>742039.05651707761</v>
      </c>
      <c r="G153" s="18">
        <v>739583.33333333326</v>
      </c>
      <c r="H153" s="18">
        <v>739652.17391304346</v>
      </c>
      <c r="I153" s="31"/>
      <c r="J153" s="31"/>
      <c r="K153" s="31"/>
    </row>
    <row r="154" spans="3:11" x14ac:dyDescent="0.2">
      <c r="C154" s="17" t="s">
        <v>6</v>
      </c>
      <c r="D154" s="18">
        <v>220211.87722943042</v>
      </c>
      <c r="E154" s="18">
        <v>220211.82686641411</v>
      </c>
      <c r="F154" s="18">
        <v>220035.45719099403</v>
      </c>
      <c r="G154" s="18">
        <v>220504.00432900432</v>
      </c>
      <c r="H154" s="18">
        <v>220919.25465838509</v>
      </c>
      <c r="I154" s="31"/>
      <c r="J154" s="31"/>
      <c r="K154" s="31"/>
    </row>
    <row r="155" spans="3:11" x14ac:dyDescent="0.2">
      <c r="C155" s="17" t="s">
        <v>57</v>
      </c>
      <c r="D155" s="18">
        <v>153075.01861941908</v>
      </c>
      <c r="E155" s="18">
        <v>153074.98281275574</v>
      </c>
      <c r="F155" s="18">
        <v>152900.21442793691</v>
      </c>
      <c r="G155" s="18">
        <v>153081.49350649351</v>
      </c>
      <c r="H155" s="18">
        <v>153403.72670807454</v>
      </c>
      <c r="I155" s="31"/>
      <c r="J155" s="31"/>
      <c r="K155" s="31"/>
    </row>
    <row r="156" spans="3:11" s="31" customFormat="1" x14ac:dyDescent="0.2"/>
    <row r="157" spans="3:11" s="31" customFormat="1" x14ac:dyDescent="0.2"/>
    <row r="158" spans="3:11" s="31" customFormat="1" x14ac:dyDescent="0.2"/>
    <row r="159" spans="3:11" s="31" customFormat="1" x14ac:dyDescent="0.2"/>
    <row r="160" spans="3:11" s="31" customFormat="1" x14ac:dyDescent="0.2"/>
    <row r="161" s="31" customFormat="1" x14ac:dyDescent="0.2"/>
    <row r="162" s="31" customFormat="1" x14ac:dyDescent="0.2"/>
    <row r="163" s="31" customFormat="1" x14ac:dyDescent="0.2"/>
    <row r="164" s="31" customFormat="1" x14ac:dyDescent="0.2"/>
    <row r="165" s="31" customFormat="1" x14ac:dyDescent="0.2"/>
    <row r="166" s="31" customFormat="1" x14ac:dyDescent="0.2"/>
    <row r="167" s="31" customFormat="1" x14ac:dyDescent="0.2"/>
    <row r="168" s="31" customFormat="1" x14ac:dyDescent="0.2"/>
    <row r="169" s="31" customFormat="1" x14ac:dyDescent="0.2"/>
    <row r="170" s="31" customFormat="1" x14ac:dyDescent="0.2"/>
    <row r="171" s="31" customFormat="1" x14ac:dyDescent="0.2"/>
    <row r="172" s="31" customFormat="1" x14ac:dyDescent="0.2"/>
    <row r="173" s="31" customFormat="1" x14ac:dyDescent="0.2"/>
    <row r="174" s="31" customFormat="1" x14ac:dyDescent="0.2"/>
    <row r="175" s="31" customFormat="1" x14ac:dyDescent="0.2"/>
    <row r="176" s="31" customFormat="1" x14ac:dyDescent="0.2"/>
    <row r="177" s="31" customFormat="1" x14ac:dyDescent="0.2"/>
    <row r="178" s="31" customFormat="1" x14ac:dyDescent="0.2"/>
    <row r="179" s="31" customFormat="1" x14ac:dyDescent="0.2"/>
    <row r="180" s="31" customFormat="1" x14ac:dyDescent="0.2"/>
    <row r="181" s="31" customFormat="1" x14ac:dyDescent="0.2"/>
    <row r="182" s="31" customFormat="1" x14ac:dyDescent="0.2"/>
    <row r="183" s="31" customFormat="1" x14ac:dyDescent="0.2"/>
    <row r="184" s="31" customFormat="1" x14ac:dyDescent="0.2"/>
    <row r="185" s="31" customFormat="1" x14ac:dyDescent="0.2"/>
    <row r="186" s="31" customFormat="1" x14ac:dyDescent="0.2"/>
    <row r="187" s="31" customFormat="1" x14ac:dyDescent="0.2"/>
    <row r="188" s="31" customFormat="1" x14ac:dyDescent="0.2"/>
    <row r="189" s="31" customFormat="1" x14ac:dyDescent="0.2"/>
    <row r="190" s="31" customFormat="1" x14ac:dyDescent="0.2"/>
    <row r="191" s="31" customFormat="1" x14ac:dyDescent="0.2"/>
    <row r="192" s="31" customFormat="1" x14ac:dyDescent="0.2"/>
    <row r="193" s="31" customFormat="1" x14ac:dyDescent="0.2"/>
    <row r="194" s="31" customFormat="1" x14ac:dyDescent="0.2"/>
    <row r="195" s="31" customFormat="1" x14ac:dyDescent="0.2"/>
    <row r="196" s="31" customFormat="1" x14ac:dyDescent="0.2"/>
    <row r="197" s="31" customFormat="1" x14ac:dyDescent="0.2"/>
    <row r="198" s="31" customFormat="1" x14ac:dyDescent="0.2"/>
    <row r="199" s="31" customFormat="1" x14ac:dyDescent="0.2"/>
    <row r="200" s="31" customFormat="1" x14ac:dyDescent="0.2"/>
    <row r="201" s="31" customFormat="1" x14ac:dyDescent="0.2"/>
    <row r="202" s="31" customFormat="1" x14ac:dyDescent="0.2"/>
    <row r="203" s="31" customFormat="1" x14ac:dyDescent="0.2"/>
    <row r="204" s="31" customFormat="1" x14ac:dyDescent="0.2"/>
    <row r="205" s="31" customFormat="1" x14ac:dyDescent="0.2"/>
    <row r="206" s="31" customFormat="1" x14ac:dyDescent="0.2"/>
    <row r="207" s="31" customFormat="1" x14ac:dyDescent="0.2"/>
    <row r="208" s="31" customFormat="1" x14ac:dyDescent="0.2"/>
    <row r="209" s="31" customFormat="1" x14ac:dyDescent="0.2"/>
    <row r="210" s="31" customFormat="1" x14ac:dyDescent="0.2"/>
    <row r="211" s="31" customFormat="1" x14ac:dyDescent="0.2"/>
    <row r="212" s="31" customFormat="1" x14ac:dyDescent="0.2"/>
    <row r="213" s="31" customFormat="1" x14ac:dyDescent="0.2"/>
    <row r="214" s="31" customFormat="1" x14ac:dyDescent="0.2"/>
    <row r="215" s="31" customFormat="1" x14ac:dyDescent="0.2"/>
    <row r="216" s="31" customFormat="1" x14ac:dyDescent="0.2"/>
    <row r="217" s="31" customFormat="1" x14ac:dyDescent="0.2"/>
    <row r="218" s="31" customFormat="1" x14ac:dyDescent="0.2"/>
    <row r="219" s="31" customFormat="1" x14ac:dyDescent="0.2"/>
    <row r="220" s="31" customFormat="1" x14ac:dyDescent="0.2"/>
    <row r="221" s="31" customFormat="1" x14ac:dyDescent="0.2"/>
    <row r="222" s="31" customFormat="1" x14ac:dyDescent="0.2"/>
    <row r="223" s="31" customFormat="1" x14ac:dyDescent="0.2"/>
    <row r="224" s="31" customFormat="1" x14ac:dyDescent="0.2"/>
    <row r="225" s="31" customFormat="1" x14ac:dyDescent="0.2"/>
    <row r="226" s="31" customFormat="1" x14ac:dyDescent="0.2"/>
    <row r="227" s="31" customFormat="1" x14ac:dyDescent="0.2"/>
    <row r="228" s="31" customFormat="1" x14ac:dyDescent="0.2"/>
    <row r="229" s="31" customFormat="1" x14ac:dyDescent="0.2"/>
    <row r="230" s="31" customFormat="1" x14ac:dyDescent="0.2"/>
    <row r="231" s="31" customFormat="1" x14ac:dyDescent="0.2"/>
    <row r="232" s="31" customFormat="1" x14ac:dyDescent="0.2"/>
    <row r="233" s="31" customFormat="1" x14ac:dyDescent="0.2"/>
    <row r="234" s="31" customFormat="1" x14ac:dyDescent="0.2"/>
    <row r="235" s="31" customFormat="1" x14ac:dyDescent="0.2"/>
    <row r="236" s="31" customFormat="1" x14ac:dyDescent="0.2"/>
    <row r="237" s="31" customFormat="1" x14ac:dyDescent="0.2"/>
    <row r="238" s="31" customFormat="1" x14ac:dyDescent="0.2"/>
    <row r="239" s="31" customFormat="1" x14ac:dyDescent="0.2"/>
    <row r="240" s="31" customFormat="1" x14ac:dyDescent="0.2"/>
    <row r="241" s="31" customFormat="1" x14ac:dyDescent="0.2"/>
    <row r="242" s="31" customFormat="1" x14ac:dyDescent="0.2"/>
    <row r="243" s="31" customFormat="1" x14ac:dyDescent="0.2"/>
    <row r="244" s="31" customFormat="1" x14ac:dyDescent="0.2"/>
    <row r="245" s="31" customFormat="1" x14ac:dyDescent="0.2"/>
    <row r="246" s="31" customFormat="1" x14ac:dyDescent="0.2"/>
    <row r="247" s="31" customFormat="1" x14ac:dyDescent="0.2"/>
    <row r="248" s="31" customFormat="1" x14ac:dyDescent="0.2"/>
    <row r="249" s="31" customFormat="1" x14ac:dyDescent="0.2"/>
    <row r="250" s="31" customFormat="1" x14ac:dyDescent="0.2"/>
    <row r="251" s="31" customFormat="1" x14ac:dyDescent="0.2"/>
    <row r="252" s="31" customFormat="1" x14ac:dyDescent="0.2"/>
    <row r="253" s="31" customFormat="1" x14ac:dyDescent="0.2"/>
    <row r="254" s="31" customFormat="1" x14ac:dyDescent="0.2"/>
    <row r="255" s="31" customFormat="1" x14ac:dyDescent="0.2"/>
    <row r="256" s="31" customFormat="1" x14ac:dyDescent="0.2"/>
    <row r="257" s="31" customFormat="1" x14ac:dyDescent="0.2"/>
    <row r="258" s="31" customFormat="1" x14ac:dyDescent="0.2"/>
    <row r="259" s="31" customFormat="1" x14ac:dyDescent="0.2"/>
    <row r="260" s="31" customFormat="1" x14ac:dyDescent="0.2"/>
    <row r="261" s="31" customFormat="1" x14ac:dyDescent="0.2"/>
    <row r="262" s="31" customFormat="1" x14ac:dyDescent="0.2"/>
    <row r="263" s="31" customFormat="1" x14ac:dyDescent="0.2"/>
    <row r="264" s="31" customFormat="1" x14ac:dyDescent="0.2"/>
    <row r="265" s="31" customFormat="1" x14ac:dyDescent="0.2"/>
    <row r="266" s="31" customFormat="1" x14ac:dyDescent="0.2"/>
    <row r="267" s="31" customFormat="1" x14ac:dyDescent="0.2"/>
    <row r="268" s="31" customFormat="1" x14ac:dyDescent="0.2"/>
    <row r="269" s="31" customFormat="1" x14ac:dyDescent="0.2"/>
    <row r="270" s="31" customFormat="1" x14ac:dyDescent="0.2"/>
    <row r="271" s="31" customFormat="1" x14ac:dyDescent="0.2"/>
    <row r="272" s="31" customFormat="1" x14ac:dyDescent="0.2"/>
    <row r="273" s="31" customFormat="1" x14ac:dyDescent="0.2"/>
    <row r="274" s="31" customFormat="1" x14ac:dyDescent="0.2"/>
    <row r="275" s="31" customFormat="1" x14ac:dyDescent="0.2"/>
    <row r="276" s="31" customFormat="1" x14ac:dyDescent="0.2"/>
    <row r="277" s="31" customFormat="1" x14ac:dyDescent="0.2"/>
    <row r="278" s="31" customFormat="1" x14ac:dyDescent="0.2"/>
    <row r="279" s="31" customFormat="1" x14ac:dyDescent="0.2"/>
    <row r="280" s="31" customFormat="1" x14ac:dyDescent="0.2"/>
    <row r="281" s="31" customFormat="1" x14ac:dyDescent="0.2"/>
    <row r="282" s="31" customFormat="1" x14ac:dyDescent="0.2"/>
    <row r="283" s="31" customFormat="1" x14ac:dyDescent="0.2"/>
    <row r="284" s="31" customFormat="1" x14ac:dyDescent="0.2"/>
    <row r="285" s="31" customFormat="1" x14ac:dyDescent="0.2"/>
    <row r="286" s="31" customFormat="1" x14ac:dyDescent="0.2"/>
    <row r="287" s="31" customFormat="1" x14ac:dyDescent="0.2"/>
    <row r="288" s="31" customFormat="1" x14ac:dyDescent="0.2"/>
    <row r="289" s="31" customFormat="1" x14ac:dyDescent="0.2"/>
    <row r="290" s="31" customFormat="1" x14ac:dyDescent="0.2"/>
    <row r="291" s="31" customFormat="1" x14ac:dyDescent="0.2"/>
    <row r="292" s="31" customFormat="1" x14ac:dyDescent="0.2"/>
    <row r="293" s="31" customFormat="1" x14ac:dyDescent="0.2"/>
    <row r="294" s="31" customFormat="1" x14ac:dyDescent="0.2"/>
    <row r="295" s="31" customFormat="1" x14ac:dyDescent="0.2"/>
    <row r="296" s="31" customFormat="1" x14ac:dyDescent="0.2"/>
    <row r="297" s="31" customFormat="1" x14ac:dyDescent="0.2"/>
    <row r="298" s="31" customFormat="1" x14ac:dyDescent="0.2"/>
    <row r="299" s="31" customFormat="1" x14ac:dyDescent="0.2"/>
    <row r="300" s="31" customFormat="1" x14ac:dyDescent="0.2"/>
    <row r="301" s="31" customFormat="1" x14ac:dyDescent="0.2"/>
    <row r="302" s="31" customFormat="1" x14ac:dyDescent="0.2"/>
    <row r="303" s="31" customFormat="1" x14ac:dyDescent="0.2"/>
    <row r="304" s="31" customFormat="1" x14ac:dyDescent="0.2"/>
    <row r="305" s="31" customFormat="1" x14ac:dyDescent="0.2"/>
    <row r="306" s="31" customFormat="1" x14ac:dyDescent="0.2"/>
    <row r="307" s="31" customFormat="1" x14ac:dyDescent="0.2"/>
    <row r="308" s="31" customFormat="1" x14ac:dyDescent="0.2"/>
    <row r="309" s="31" customFormat="1" x14ac:dyDescent="0.2"/>
    <row r="310" s="31" customFormat="1" x14ac:dyDescent="0.2"/>
  </sheetData>
  <mergeCells count="5">
    <mergeCell ref="I24:K24"/>
    <mergeCell ref="C24:E24"/>
    <mergeCell ref="C22:K22"/>
    <mergeCell ref="C135:E135"/>
    <mergeCell ref="C115:E115"/>
  </mergeCells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Thamm</dc:creator>
  <cp:lastModifiedBy>Microsoft Office-Anwender</cp:lastModifiedBy>
  <dcterms:created xsi:type="dcterms:W3CDTF">2015-05-06T16:57:27Z</dcterms:created>
  <dcterms:modified xsi:type="dcterms:W3CDTF">2016-02-23T08:15:11Z</dcterms:modified>
</cp:coreProperties>
</file>