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ans\Google Drive\Starsector\mods\Vayra's Sector DEV\data\weapons\"/>
    </mc:Choice>
  </mc:AlternateContent>
  <xr:revisionPtr revIDLastSave="0" documentId="13_ncr:1_{A66746C3-599F-4D1E-AE8A-758A9385F6D6}" xr6:coauthVersionLast="43" xr6:coauthVersionMax="43" xr10:uidLastSave="{00000000-0000-0000-0000-000000000000}"/>
  <bookViews>
    <workbookView xWindow="-120" yWindow="-120" windowWidth="29040" windowHeight="15840" xr2:uid="{9C2600DF-9FC2-4838-B87C-AEBB4650C60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6" i="1" l="1"/>
  <c r="D6" i="1"/>
  <c r="H2" i="1" l="1"/>
  <c r="H3" i="1"/>
  <c r="H4" i="1"/>
  <c r="H5" i="1"/>
  <c r="H6" i="1"/>
  <c r="G5" i="1" l="1"/>
  <c r="F6" i="1" l="1"/>
  <c r="E6" i="1"/>
  <c r="F5" i="1"/>
  <c r="E5" i="1"/>
  <c r="G4" i="1"/>
  <c r="G3" i="1"/>
  <c r="F3" i="1"/>
  <c r="G2" i="1"/>
  <c r="F2" i="1"/>
  <c r="E2" i="1"/>
  <c r="K6" i="1"/>
  <c r="J6" i="1"/>
  <c r="I6" i="1"/>
  <c r="K5" i="1"/>
  <c r="J5" i="1"/>
  <c r="I5" i="1"/>
  <c r="K4" i="1"/>
  <c r="K3" i="1"/>
  <c r="J3" i="1"/>
  <c r="K2" i="1"/>
  <c r="J2" i="1"/>
  <c r="I2" i="1"/>
  <c r="C6" i="1"/>
  <c r="B6" i="1"/>
  <c r="D5" i="1"/>
  <c r="C5" i="1"/>
  <c r="B5" i="1"/>
  <c r="D4" i="1"/>
  <c r="D3" i="1"/>
  <c r="C3" i="1"/>
  <c r="D2" i="1"/>
  <c r="C2" i="1"/>
  <c r="B2" i="1"/>
  <c r="I4" i="1" l="1"/>
  <c r="I3" i="1"/>
  <c r="F4" i="1"/>
  <c r="E3" i="1"/>
  <c r="B3" i="1"/>
  <c r="B4" i="1"/>
  <c r="J4" i="1" l="1"/>
  <c r="E4" i="1"/>
  <c r="C4" i="1"/>
</calcChain>
</file>

<file path=xl/sharedStrings.xml><?xml version="1.0" encoding="utf-8"?>
<sst xmlns="http://schemas.openxmlformats.org/spreadsheetml/2006/main" count="27" uniqueCount="27">
  <si>
    <t>Burst Beam</t>
  </si>
  <si>
    <t>Beam</t>
  </si>
  <si>
    <t>Weapon Type</t>
  </si>
  <si>
    <t>Reloading Projectile</t>
  </si>
  <si>
    <t>EMP</t>
  </si>
  <si>
    <t>ammo</t>
  </si>
  <si>
    <t>Reloading Burst Beam</t>
  </si>
  <si>
    <t>chargeup</t>
  </si>
  <si>
    <t>chargedown</t>
  </si>
  <si>
    <t>burst size</t>
  </si>
  <si>
    <t>burst delay</t>
  </si>
  <si>
    <t>DPS</t>
  </si>
  <si>
    <t>Projectile</t>
  </si>
  <si>
    <t>rld size</t>
  </si>
  <si>
    <t>rld/sec</t>
  </si>
  <si>
    <t>flux</t>
  </si>
  <si>
    <t>Dmg</t>
  </si>
  <si>
    <t>Burst DPS</t>
  </si>
  <si>
    <t>Burst Dmg</t>
  </si>
  <si>
    <t>Burst Flux</t>
  </si>
  <si>
    <t>FPS</t>
  </si>
  <si>
    <t>Burst EMP</t>
  </si>
  <si>
    <t>EMPPS</t>
  </si>
  <si>
    <t>Burst FPS</t>
  </si>
  <si>
    <t>Burst EMPPS</t>
  </si>
  <si>
    <t>Linked Barrels</t>
  </si>
  <si>
    <t>Flux/Damage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</si>
</sst>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 applyAlignment="1">
      <alignment horizontal="left"/>
    </xf>
    <xf numFmtId="0" fontId="1" fillId="2" borderId="1" xfId="0" applyFont="1" applyFill="1" applyBorder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1" fontId="2" fillId="3" borderId="1" xfId="0" applyNumberFormat="1" applyFont="1" applyFill="1" applyBorder="1" applyAlignment="1">
      <alignment horizontal="center"/>
    </xf>
    <xf numFmtId="1" fontId="2" fillId="3" borderId="0" xfId="0" applyNumberFormat="1" applyFont="1" applyFill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2" fontId="2" fillId="3" borderId="0" xfId="0" applyNumberFormat="1" applyFont="1" applyFill="1" applyAlignment="1">
      <alignment horizontal="center"/>
    </xf>
    <xf numFmtId="2" fontId="1" fillId="2" borderId="0" xfId="0" applyNumberFormat="1" applyFont="1" applyFill="1" applyAlignment="1">
      <alignment horizontal="left"/>
    </xf>
    <xf numFmtId="2" fontId="2" fillId="0" borderId="0" xfId="0" applyNumberFormat="1" applyFont="1" applyAlignment="1">
      <alignment horizontal="center"/>
    </xf>
  </cellXfs>
  <cellStyles count="1">
    <cellStyle name="Normal" xfId="0" builtinId="0"/>
  </cellStyles>
  <dxfs count="25"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5" tint="0.3999755851924192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5" tint="0.3999755851924192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5" tint="0.3999755851924192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5" tint="0.3999755851924192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2" formatCode="0.00"/>
      <fill>
        <patternFill patternType="solid">
          <fgColor indexed="64"/>
          <bgColor theme="5" tint="0.3999755851924192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5" tint="0.3999755851924192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5" tint="0.3999755851924192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5" tint="0.3999755851924192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5" tint="0.3999755851924192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5" tint="0.3999755851924192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5" tint="0.3999755851924192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strike val="0"/>
        <color theme="0" tint="-0.14996795556505021"/>
      </font>
      <fill>
        <patternFill patternType="solid"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D4A91D8-D1A2-4C2E-AFF5-F4D3FB9CF356}" name="Table1" displayName="Table1" ref="A1:V6" totalsRowShown="0" headerRowDxfId="23" dataDxfId="22">
  <autoFilter ref="A1:V6" xr:uid="{1F431BC8-FB35-41DF-8700-5175F1BFDC38}"/>
  <tableColumns count="22">
    <tableColumn id="1" xr3:uid="{1CE0AA12-2546-4B1F-960C-ABDD1CDB091B}" name="Weapon Type" dataDxfId="21"/>
    <tableColumn id="2" xr3:uid="{6979A507-8D64-43B1-9F37-9060746D3E6C}" name="Burst DPS" dataDxfId="20"/>
    <tableColumn id="3" xr3:uid="{4E415CD2-EE97-4F96-A4D6-0875D1126D32}" name="DPS" dataDxfId="19"/>
    <tableColumn id="19" xr3:uid="{1C921862-DAF5-4EE0-94C7-CBFFD0785724}" name="Burst Dmg" dataDxfId="18">
      <calculatedColumnFormula>Table1[[#This Row],[Dmg]]</calculatedColumnFormula>
    </tableColumn>
    <tableColumn id="4" xr3:uid="{0793C44F-3F72-45A1-B05A-C13C6B0FB565}" name="Burst FPS" dataDxfId="17"/>
    <tableColumn id="5" xr3:uid="{23E87B58-16B9-4B36-941C-5BF505A4168B}" name="FPS" dataDxfId="16"/>
    <tableColumn id="20" xr3:uid="{14576726-80BA-4305-B854-B834B074FE07}" name="Burst Flux" dataDxfId="15"/>
    <tableColumn id="22" xr3:uid="{FCF316BC-1704-4325-BC25-5DD97DAF751D}" name="Flux/Damage" dataDxfId="14">
      <calculatedColumnFormula>IFERROR(Table1[[#This Row],[flux]]/Table1[[#This Row],[Dmg]],0)</calculatedColumnFormula>
    </tableColumn>
    <tableColumn id="6" xr3:uid="{51D23520-ECD9-4620-BD8D-F6F0BE8B3AF0}" name="Burst EMPPS" dataDxfId="13"/>
    <tableColumn id="7" xr3:uid="{08CD810C-C4E2-48CD-AE1C-616F52917D36}" name="EMPPS" dataDxfId="12"/>
    <tableColumn id="21" xr3:uid="{45765592-B7B7-40CF-BEF3-6A7470095251}" name="Burst EMP" dataDxfId="11"/>
    <tableColumn id="18" xr3:uid="{7BCAF0A2-3B29-4DF3-AA1F-756800352EB4}" name="Linked Barrels" dataDxfId="10"/>
    <tableColumn id="8" xr3:uid="{74B3F2A5-1E9D-4107-A9C6-6679F2AC588F}" name="Dmg" dataDxfId="9"/>
    <tableColumn id="9" xr3:uid="{553B6D22-D04A-48FA-BED7-987CE3F96585}" name="EMP" dataDxfId="8"/>
    <tableColumn id="10" xr3:uid="{CD96647B-8B2B-494F-93F1-553A08C1CEFA}" name="ammo" dataDxfId="7"/>
    <tableColumn id="11" xr3:uid="{05B5AA93-A533-405D-BC29-CC82F6EF376B}" name="rld/sec" dataDxfId="6"/>
    <tableColumn id="12" xr3:uid="{40D7E410-1C94-463C-9F6C-4738E78112C2}" name="rld size" dataDxfId="5"/>
    <tableColumn id="13" xr3:uid="{8C064339-CE3A-4512-B3A9-9EBA3215D355}" name="flux" dataDxfId="4"/>
    <tableColumn id="14" xr3:uid="{621AEE3C-B3DF-4926-BF34-83C5C785326F}" name="chargeup" dataDxfId="3"/>
    <tableColumn id="15" xr3:uid="{2EC3F88E-C4AA-45B0-8765-9B158238E9CA}" name="chargedown" dataDxfId="2"/>
    <tableColumn id="16" xr3:uid="{F9895480-9920-4D27-94C9-BD9E930C49BC}" name="burst size" dataDxfId="1"/>
    <tableColumn id="17" xr3:uid="{9B85826C-40EF-451B-BE27-B1CA26134677}" name="burst delay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3C2C67-7D0B-48FA-9986-FB75883A5816}">
  <dimension ref="A1:V6"/>
  <sheetViews>
    <sheetView tabSelected="1" workbookViewId="0">
      <selection activeCell="R5" sqref="R5"/>
    </sheetView>
  </sheetViews>
  <sheetFormatPr defaultRowHeight="15" x14ac:dyDescent="0.25"/>
  <cols>
    <col min="1" max="1" width="16.42578125" style="5" customWidth="1"/>
    <col min="2" max="2" width="10.42578125" style="9" bestFit="1" customWidth="1"/>
    <col min="3" max="3" width="6.28515625" style="9" bestFit="1" customWidth="1"/>
    <col min="4" max="4" width="11" style="9" bestFit="1" customWidth="1"/>
    <col min="5" max="5" width="10.140625" style="9" bestFit="1" customWidth="1"/>
    <col min="6" max="6" width="6.85546875" style="9" bestFit="1" customWidth="1"/>
    <col min="7" max="7" width="10.5703125" style="9" bestFit="1" customWidth="1"/>
    <col min="8" max="8" width="10.42578125" style="12" customWidth="1"/>
    <col min="9" max="9" width="12.28515625" style="9" bestFit="1" customWidth="1"/>
    <col min="10" max="10" width="8.140625" style="9" bestFit="1" customWidth="1"/>
    <col min="11" max="11" width="10.5703125" style="9" bestFit="1" customWidth="1"/>
    <col min="12" max="12" width="11" style="9" customWidth="1"/>
    <col min="13" max="13" width="6.7109375" style="9" bestFit="1" customWidth="1"/>
    <col min="14" max="14" width="6.42578125" style="9" bestFit="1" customWidth="1"/>
    <col min="15" max="15" width="7.85546875" style="9" bestFit="1" customWidth="1"/>
    <col min="16" max="16" width="8.140625" style="9" bestFit="1" customWidth="1"/>
    <col min="17" max="17" width="8.28515625" style="9" bestFit="1" customWidth="1"/>
    <col min="18" max="18" width="6" style="9" bestFit="1" customWidth="1"/>
    <col min="19" max="19" width="9.7109375" style="9" bestFit="1" customWidth="1"/>
    <col min="20" max="20" width="11.85546875" style="9" bestFit="1" customWidth="1"/>
    <col min="21" max="21" width="10" style="9" bestFit="1" customWidth="1"/>
    <col min="22" max="22" width="11.140625" style="9" bestFit="1" customWidth="1"/>
  </cols>
  <sheetData>
    <row r="1" spans="1:22" x14ac:dyDescent="0.25">
      <c r="A1" s="1" t="s">
        <v>2</v>
      </c>
      <c r="B1" s="2" t="s">
        <v>17</v>
      </c>
      <c r="C1" s="1" t="s">
        <v>11</v>
      </c>
      <c r="D1" s="1" t="s">
        <v>18</v>
      </c>
      <c r="E1" s="2" t="s">
        <v>23</v>
      </c>
      <c r="F1" s="1" t="s">
        <v>20</v>
      </c>
      <c r="G1" s="1" t="s">
        <v>19</v>
      </c>
      <c r="H1" s="11" t="s">
        <v>26</v>
      </c>
      <c r="I1" s="2" t="s">
        <v>24</v>
      </c>
      <c r="J1" s="1" t="s">
        <v>22</v>
      </c>
      <c r="K1" s="1" t="s">
        <v>21</v>
      </c>
      <c r="L1" s="3" t="s">
        <v>25</v>
      </c>
      <c r="M1" s="3" t="s">
        <v>16</v>
      </c>
      <c r="N1" s="4" t="s">
        <v>4</v>
      </c>
      <c r="O1" s="4" t="s">
        <v>5</v>
      </c>
      <c r="P1" s="4" t="s">
        <v>14</v>
      </c>
      <c r="Q1" s="4" t="s">
        <v>13</v>
      </c>
      <c r="R1" s="4" t="s">
        <v>15</v>
      </c>
      <c r="S1" s="4" t="s">
        <v>7</v>
      </c>
      <c r="T1" s="4" t="s">
        <v>8</v>
      </c>
      <c r="U1" s="4" t="s">
        <v>9</v>
      </c>
      <c r="V1" s="4" t="s">
        <v>10</v>
      </c>
    </row>
    <row r="2" spans="1:22" x14ac:dyDescent="0.25">
      <c r="A2" s="5" t="s">
        <v>1</v>
      </c>
      <c r="B2" s="6">
        <f>(Table1[[#This Row],[Dmg]]*Table1[[#This Row],[Linked Barrels]])</f>
        <v>0</v>
      </c>
      <c r="C2" s="7">
        <f>(Table1[[#This Row],[Dmg]]*Table1[[#This Row],[Linked Barrels]])</f>
        <v>0</v>
      </c>
      <c r="D2" s="7">
        <f>(Table1[[#This Row],[Dmg]]*Table1[[#This Row],[Linked Barrels]])</f>
        <v>0</v>
      </c>
      <c r="E2" s="6">
        <f>(Table1[[#This Row],[flux]]*Table1[[#This Row],[Linked Barrels]])</f>
        <v>0</v>
      </c>
      <c r="F2" s="7">
        <f>(Table1[[#This Row],[flux]]*Table1[[#This Row],[Linked Barrels]])</f>
        <v>0</v>
      </c>
      <c r="G2" s="7">
        <f>(Table1[[#This Row],[flux]]*Table1[[#This Row],[Linked Barrels]])</f>
        <v>0</v>
      </c>
      <c r="H2" s="10">
        <f>IFERROR(Table1[[#This Row],[flux]]/Table1[[#This Row],[Dmg]],0)</f>
        <v>0</v>
      </c>
      <c r="I2" s="6">
        <f>(Table1[[#This Row],[EMP]]*Table1[[#This Row],[Linked Barrels]])</f>
        <v>0</v>
      </c>
      <c r="J2" s="7">
        <f>(Table1[[#This Row],[EMP]]*Table1[[#This Row],[Linked Barrels]])</f>
        <v>0</v>
      </c>
      <c r="K2" s="7">
        <f>(Table1[[#This Row],[EMP]]*Table1[[#This Row],[Linked Barrels]])</f>
        <v>0</v>
      </c>
      <c r="L2" s="8">
        <v>1</v>
      </c>
      <c r="M2" s="8"/>
    </row>
    <row r="3" spans="1:22" x14ac:dyDescent="0.25">
      <c r="A3" s="5" t="s">
        <v>0</v>
      </c>
      <c r="B3" s="6">
        <f>IFERROR(Table1[[#This Row],[Burst Dmg]]/(Table1[[#This Row],[chargeup]]+Table1[[#This Row],[chargedown]]+Table1[[#This Row],[burst size]]+Table1[[#This Row],[burst delay]]),0)</f>
        <v>0</v>
      </c>
      <c r="C3" s="7">
        <f>IFERROR(((Table1[[#This Row],[Dmg]]*Table1[[#This Row],[Linked Barrels]])*(Table1[[#This Row],[chargeup]]+Table1[[#This Row],[burst size]]))/(Table1[[#This Row],[chargeup]]+Table1[[#This Row],[chargedown]]+Table1[[#This Row],[burst size]]+Table1[[#This Row],[burst delay]]),0)</f>
        <v>0</v>
      </c>
      <c r="D3" s="7">
        <f>(Table1[[#This Row],[Dmg]]*Table1[[#This Row],[Linked Barrels]])*(Table1[[#This Row],[burst size]]+((Table1[[#This Row],[chargeup]]+Table1[[#This Row],[chargedown]])/3))</f>
        <v>0</v>
      </c>
      <c r="E3" s="6">
        <f>IFERROR(Table1[[#This Row],[Burst Flux]]/(Table1[[#This Row],[chargeup]]+Table1[[#This Row],[chargedown]]+Table1[[#This Row],[burst size]]+Table1[[#This Row],[burst delay]]),0)</f>
        <v>0</v>
      </c>
      <c r="F3" s="7">
        <f>IFERROR(((Table1[[#This Row],[flux]]*Table1[[#This Row],[Linked Barrels]])*(Table1[[#This Row],[chargeup]]+Table1[[#This Row],[burst size]]))/(Table1[[#This Row],[chargeup]]+Table1[[#This Row],[chargedown]]+Table1[[#This Row],[burst size]]+Table1[[#This Row],[burst delay]]),0)</f>
        <v>0</v>
      </c>
      <c r="G3" s="7">
        <f>(Table1[[#This Row],[flux]]*Table1[[#This Row],[Linked Barrels]])*(Table1[[#This Row],[burst size]]+((Table1[[#This Row],[chargeup]]+Table1[[#This Row],[chargedown]])/3))</f>
        <v>0</v>
      </c>
      <c r="H3" s="10">
        <f>IFERROR(Table1[[#This Row],[flux]]/Table1[[#This Row],[Dmg]],0)</f>
        <v>0</v>
      </c>
      <c r="I3" s="6">
        <f>IFERROR(Table1[[#This Row],[Burst EMP]]/(Table1[[#This Row],[chargeup]]+Table1[[#This Row],[chargedown]]+Table1[[#This Row],[burst size]]+Table1[[#This Row],[burst delay]]),0)</f>
        <v>0</v>
      </c>
      <c r="J3" s="7">
        <f>IFERROR(((Table1[[#This Row],[EMP]]*Table1[[#This Row],[Linked Barrels]])*(Table1[[#This Row],[chargeup]]+Table1[[#This Row],[burst size]]))/(Table1[[#This Row],[chargeup]]+Table1[[#This Row],[chargedown]]+Table1[[#This Row],[burst size]]+Table1[[#This Row],[burst delay]]),0)</f>
        <v>0</v>
      </c>
      <c r="K3" s="7">
        <f>(Table1[[#This Row],[EMP]]*Table1[[#This Row],[Linked Barrels]])*(Table1[[#This Row],[burst size]]+((Table1[[#This Row],[chargeup]]+Table1[[#This Row],[chargedown]])/3))</f>
        <v>0</v>
      </c>
      <c r="L3" s="8">
        <v>1</v>
      </c>
      <c r="M3" s="8"/>
    </row>
    <row r="4" spans="1:22" x14ac:dyDescent="0.25">
      <c r="A4" s="5" t="s">
        <v>6</v>
      </c>
      <c r="B4" s="6">
        <f>IFERROR(Table1[[#This Row],[Burst Dmg]]/(Table1[[#This Row],[chargeup]]+Table1[[#This Row],[chargedown]]+Table1[[#This Row],[burst size]]+Table1[[#This Row],[burst delay]]),0)</f>
        <v>0</v>
      </c>
      <c r="C4" s="7">
        <f>Table1[[#This Row],[Burst Dmg]]*Table1[[#This Row],[rld/sec]]</f>
        <v>0</v>
      </c>
      <c r="D4" s="7">
        <f>(Table1[[#This Row],[Dmg]]*Table1[[#This Row],[Linked Barrels]])*(Table1[[#This Row],[burst size]]+((Table1[[#This Row],[chargeup]]+Table1[[#This Row],[chargedown]])/3))</f>
        <v>0</v>
      </c>
      <c r="E4" s="6">
        <f>IFERROR(Table1[[#This Row],[Burst Flux]]/(Table1[[#This Row],[chargeup]]+Table1[[#This Row],[chargedown]]+Table1[[#This Row],[burst size]]+Table1[[#This Row],[burst delay]]),0)</f>
        <v>0</v>
      </c>
      <c r="F4" s="7">
        <f>Table1[[#This Row],[Burst Flux]]*Table1[[#This Row],[rld/sec]]</f>
        <v>0</v>
      </c>
      <c r="G4" s="7">
        <f>(Table1[[#This Row],[flux]]*Table1[[#This Row],[Linked Barrels]])*(Table1[[#This Row],[burst size]]+((Table1[[#This Row],[chargeup]]+Table1[[#This Row],[chargedown]])/3))</f>
        <v>0</v>
      </c>
      <c r="H4" s="10">
        <f>IFERROR(Table1[[#This Row],[flux]]/Table1[[#This Row],[Dmg]],0)</f>
        <v>0</v>
      </c>
      <c r="I4" s="6">
        <f>IFERROR(Table1[[#This Row],[Burst EMP]]/(Table1[[#This Row],[chargeup]]+Table1[[#This Row],[chargedown]]+Table1[[#This Row],[burst size]]+Table1[[#This Row],[burst delay]]),0)</f>
        <v>0</v>
      </c>
      <c r="J4" s="7">
        <f>Table1[[#This Row],[Burst EMP]]*Table1[[#This Row],[rld/sec]]</f>
        <v>0</v>
      </c>
      <c r="K4" s="7">
        <f>(Table1[[#This Row],[EMP]]*Table1[[#This Row],[Linked Barrels]])*(Table1[[#This Row],[burst size]]+((Table1[[#This Row],[chargeup]]+Table1[[#This Row],[chargedown]])/3))</f>
        <v>0</v>
      </c>
      <c r="L4" s="8">
        <v>1</v>
      </c>
      <c r="M4" s="8"/>
    </row>
    <row r="5" spans="1:22" x14ac:dyDescent="0.25">
      <c r="A5" s="5" t="s">
        <v>12</v>
      </c>
      <c r="B5" s="6">
        <f>IFERROR((Table1[[#This Row],[Dmg]]*Table1[[#This Row],[Linked Barrels]])*MAX(Table1[[#This Row],[burst size]],1)/(Table1[[#This Row],[chargeup]]+Table1[[#This Row],[chargedown]]+(Table1[[#This Row],[burst delay]]*(Table1[[#This Row],[burst size]]-1))),0)</f>
        <v>506.3291139240506</v>
      </c>
      <c r="C5" s="7">
        <f>IFERROR((Table1[[#This Row],[Dmg]]*Table1[[#This Row],[Linked Barrels]])*MAX(Table1[[#This Row],[burst size]],1)/(Table1[[#This Row],[chargeup]]+Table1[[#This Row],[chargedown]]+(Table1[[#This Row],[burst delay]]*(Table1[[#This Row],[burst size]]-1))),0)</f>
        <v>506.3291139240506</v>
      </c>
      <c r="D5" s="7">
        <f>(Table1[[#This Row],[Dmg]]*Table1[[#This Row],[Linked Barrels]])*Table1[[#This Row],[burst size]]</f>
        <v>2000</v>
      </c>
      <c r="E5" s="6">
        <f>IFERROR((Table1[[#This Row],[flux]]*Table1[[#This Row],[Linked Barrels]])*MAX(Table1[[#This Row],[burst size]],1)/(Table1[[#This Row],[chargeup]]+Table1[[#This Row],[chargedown]]+(Table1[[#This Row],[burst delay]]*(Table1[[#This Row],[burst size]]-1))),0)</f>
        <v>151.89873417721518</v>
      </c>
      <c r="F5" s="7">
        <f>IFERROR((Table1[[#This Row],[flux]]*Table1[[#This Row],[Linked Barrels]])*MAX(Table1[[#This Row],[burst size]],1)/(Table1[[#This Row],[chargeup]]+Table1[[#This Row],[chargedown]]+(Table1[[#This Row],[burst delay]]*(Table1[[#This Row],[burst size]]-1))),0)</f>
        <v>151.89873417721518</v>
      </c>
      <c r="G5" s="7">
        <f>(Table1[[#This Row],[flux]]*Table1[[#This Row],[Linked Barrels]])*Table1[[#This Row],[burst size]]</f>
        <v>600</v>
      </c>
      <c r="H5" s="10">
        <f>IFERROR(Table1[[#This Row],[flux]]/Table1[[#This Row],[Dmg]],0)</f>
        <v>0.3</v>
      </c>
      <c r="I5" s="6">
        <f>IFERROR((Table1[[#This Row],[EMP]]*Table1[[#This Row],[Linked Barrels]])*MAX(Table1[[#This Row],[burst size]],1)/(Table1[[#This Row],[chargeup]]+Table1[[#This Row],[chargedown]]+(Table1[[#This Row],[burst delay]]*(Table1[[#This Row],[burst size]]-1))),0)</f>
        <v>0</v>
      </c>
      <c r="J5" s="7">
        <f>IFERROR((Table1[[#This Row],[EMP]]*Table1[[#This Row],[Linked Barrels]])*MAX(Table1[[#This Row],[burst size]],1)/(Table1[[#This Row],[chargeup]]+Table1[[#This Row],[chargedown]]+(Table1[[#This Row],[burst delay]]*(Table1[[#This Row],[burst size]]-1))),0)</f>
        <v>0</v>
      </c>
      <c r="K5" s="7">
        <f>(Table1[[#This Row],[EMP]]*Table1[[#This Row],[Linked Barrels]])*Table1[[#This Row],[burst size]]</f>
        <v>0</v>
      </c>
      <c r="L5" s="8">
        <v>1</v>
      </c>
      <c r="M5" s="8">
        <v>100</v>
      </c>
      <c r="R5" s="9">
        <v>30</v>
      </c>
      <c r="S5" s="9">
        <v>0</v>
      </c>
      <c r="T5" s="9">
        <v>3</v>
      </c>
      <c r="U5" s="9">
        <v>20</v>
      </c>
      <c r="V5" s="9">
        <v>0.05</v>
      </c>
    </row>
    <row r="6" spans="1:22" x14ac:dyDescent="0.25">
      <c r="A6" s="5" t="s">
        <v>3</v>
      </c>
      <c r="B6" s="6">
        <f>IFERROR((Table1[[#This Row],[Dmg]]*Table1[[#This Row],[Linked Barrels]])*MAX(Table1[[#This Row],[burst size]],1)/(Table1[[#This Row],[chargeup]]+Table1[[#This Row],[chargedown]]+(Table1[[#This Row],[burst delay]]*(Table1[[#This Row],[burst size]]-1))),0)</f>
        <v>945.62647754137106</v>
      </c>
      <c r="C6" s="7">
        <f>IFERROR(MIN((Table1[[#This Row],[Dmg]]*Table1[[#This Row],[Linked Barrels]])*Table1[[#This Row],[rld/sec]],(Table1[[#This Row],[Dmg]]*Table1[[#This Row],[Linked Barrels]])*MAX(Table1[[#This Row],[burst size]],1)/(Table1[[#This Row],[chargeup]]+Table1[[#This Row],[chargedown]]+(Table1[[#This Row],[burst delay]]*(Table1[[#This Row],[burst size]]-1)))),0)</f>
        <v>600</v>
      </c>
      <c r="D6" s="7">
        <f>(Table1[[#This Row],[Dmg]]*Table1[[#This Row],[Linked Barrels]])*MIN(Table1[[#This Row],[burst size]],Table1[[#This Row],[ammo]])</f>
        <v>4000</v>
      </c>
      <c r="E6" s="6">
        <f>IFERROR((Table1[[#This Row],[flux]]*Table1[[#This Row],[Linked Barrels]])*MAX(Table1[[#This Row],[burst size]],1)/(Table1[[#This Row],[chargeup]]+Table1[[#This Row],[chargedown]]+(Table1[[#This Row],[burst delay]]*(Table1[[#This Row],[burst size]]-1))),0)</f>
        <v>378.25059101654841</v>
      </c>
      <c r="F6" s="7">
        <f>IFERROR(MIN((Table1[[#This Row],[flux]]*Table1[[#This Row],[Linked Barrels]])*Table1[[#This Row],[rld/sec]],(Table1[[#This Row],[flux]]*Table1[[#This Row],[Linked Barrels]])*MAX(Table1[[#This Row],[burst size]],1)/(Table1[[#This Row],[chargeup]]+Table1[[#This Row],[chargedown]]+(Table1[[#This Row],[burst delay]]*(Table1[[#This Row],[burst size]]-1)))),0)</f>
        <v>240</v>
      </c>
      <c r="G6" s="7">
        <f>(Table1[[#This Row],[flux]]*Table1[[#This Row],[Linked Barrels]])*MIN(Table1[[#This Row],[burst size]],Table1[[#This Row],[ammo]])</f>
        <v>1600</v>
      </c>
      <c r="H6" s="10">
        <f>IFERROR(Table1[[#This Row],[flux]]/Table1[[#This Row],[Dmg]],0)</f>
        <v>0.4</v>
      </c>
      <c r="I6" s="6">
        <f>IFERROR((Table1[[#This Row],[EMP]]*Table1[[#This Row],[Linked Barrels]])*MAX(Table1[[#This Row],[burst size]],1)/(Table1[[#This Row],[chargeup]]+Table1[[#This Row],[chargedown]]+(Table1[[#This Row],[burst delay]]*(Table1[[#This Row],[burst size]]-1))),0)</f>
        <v>0</v>
      </c>
      <c r="J6" s="7">
        <f>IFERROR(MIN((Table1[[#This Row],[EMP]]*Table1[[#This Row],[Linked Barrels]])*Table1[[#This Row],[rld/sec]],(Table1[[#This Row],[EMP]]*Table1[[#This Row],[Linked Barrels]])*MAX(Table1[[#This Row],[burst size]],1)/(Table1[[#This Row],[chargeup]]+Table1[[#This Row],[chargedown]]+(Table1[[#This Row],[burst delay]]*(Table1[[#This Row],[burst size]]-1)))),0)</f>
        <v>0</v>
      </c>
      <c r="K6" s="7">
        <f>(Table1[[#This Row],[EMP]]*Table1[[#This Row],[Linked Barrels]])*Table1[[#This Row],[burst size]]</f>
        <v>0</v>
      </c>
      <c r="L6" s="8">
        <v>1</v>
      </c>
      <c r="M6" s="8">
        <v>200</v>
      </c>
      <c r="O6" s="9">
        <v>40</v>
      </c>
      <c r="P6" s="9">
        <v>3</v>
      </c>
      <c r="Q6" s="9">
        <v>10</v>
      </c>
      <c r="R6" s="9">
        <v>80</v>
      </c>
      <c r="S6" s="9">
        <v>0.33</v>
      </c>
      <c r="T6" s="9">
        <v>2</v>
      </c>
      <c r="U6" s="9">
        <v>20</v>
      </c>
      <c r="V6" s="9">
        <v>0.1</v>
      </c>
    </row>
  </sheetData>
  <protectedRanges>
    <protectedRange sqref="M2:V6" name="Data Input" securityDescriptor="O:WDG:WDD:(A;;CC;;;WD)"/>
  </protectedRanges>
  <conditionalFormatting sqref="B2:K6">
    <cfRule type="cellIs" dxfId="24" priority="1" operator="equal">
      <formula>0</formula>
    </cfRule>
  </conditionalFormatting>
  <pageMargins left="0.7" right="0.7" top="0.75" bottom="0.75" header="0.3" footer="0.3"/>
  <pageSetup orientation="portrait" horizontalDpi="300" verticalDpi="300" r:id="rId1"/>
  <ignoredErrors>
    <ignoredError sqref="D2:D6" calculatedColumn="1"/>
  </ignoredError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Kian Serna</dc:creator>
  <cp:lastModifiedBy>Kian Serna</cp:lastModifiedBy>
  <dcterms:created xsi:type="dcterms:W3CDTF">2018-10-31T19:59:29Z</dcterms:created>
  <dcterms:modified xsi:type="dcterms:W3CDTF">2019-05-22T19:21:31Z</dcterms:modified>
</cp:coreProperties>
</file>