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CER.DESKTOP-AET6VDV\Desktop\sem 5\optics lab\Na_d_line\"/>
    </mc:Choice>
  </mc:AlternateContent>
  <xr:revisionPtr revIDLastSave="0" documentId="13_ncr:1_{DDB49D11-B9FD-4EEB-8A04-13734CEA2C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10" i="2"/>
  <c r="F8" i="2"/>
  <c r="F6" i="2"/>
  <c r="U24" i="1"/>
  <c r="Q9" i="1"/>
  <c r="Q8" i="1"/>
  <c r="Q7" i="1"/>
  <c r="R7" i="1" s="1"/>
  <c r="P7" i="1"/>
  <c r="L7" i="1"/>
  <c r="O6" i="1"/>
  <c r="Q6" i="1" s="1"/>
  <c r="O7" i="1"/>
  <c r="O8" i="1"/>
  <c r="O9" i="1"/>
  <c r="O10" i="1"/>
  <c r="O11" i="1"/>
  <c r="O12" i="1"/>
  <c r="O5" i="1"/>
  <c r="Q5" i="1" s="1"/>
  <c r="L6" i="1"/>
  <c r="P6" i="1" s="1"/>
  <c r="L8" i="1"/>
  <c r="L9" i="1"/>
  <c r="L10" i="1"/>
  <c r="L11" i="1"/>
  <c r="L12" i="1"/>
  <c r="L5" i="1"/>
  <c r="I6" i="1"/>
  <c r="I7" i="1"/>
  <c r="I8" i="1"/>
  <c r="I9" i="1"/>
  <c r="I10" i="1"/>
  <c r="I11" i="1"/>
  <c r="Q11" i="1" s="1"/>
  <c r="I12" i="1"/>
  <c r="I5" i="1"/>
  <c r="F6" i="1"/>
  <c r="F7" i="1"/>
  <c r="F8" i="1"/>
  <c r="F9" i="1"/>
  <c r="F10" i="1"/>
  <c r="F11" i="1"/>
  <c r="F12" i="1"/>
  <c r="F5" i="1"/>
  <c r="P5" i="1" s="1"/>
  <c r="R5" i="1" s="1"/>
  <c r="X5" i="1" l="1"/>
  <c r="W5" i="1"/>
  <c r="X7" i="1"/>
  <c r="W7" i="1"/>
  <c r="R6" i="1"/>
  <c r="Q10" i="1"/>
  <c r="P12" i="1"/>
  <c r="R12" i="1" s="1"/>
  <c r="P11" i="1"/>
  <c r="P10" i="1"/>
  <c r="V7" i="1"/>
  <c r="P9" i="1"/>
  <c r="Q12" i="1"/>
  <c r="P8" i="1"/>
  <c r="R8" i="1" s="1"/>
  <c r="R9" i="1" l="1"/>
  <c r="R10" i="1"/>
  <c r="R11" i="1"/>
  <c r="X12" i="1"/>
  <c r="W12" i="1"/>
  <c r="X6" i="1"/>
  <c r="W6" i="1"/>
  <c r="X8" i="1"/>
  <c r="W8" i="1"/>
  <c r="V8" i="1"/>
  <c r="S8" i="1"/>
  <c r="V9" i="1"/>
  <c r="S7" i="1"/>
  <c r="V10" i="1"/>
  <c r="V11" i="1"/>
  <c r="V6" i="1"/>
  <c r="S6" i="1"/>
  <c r="S12" i="1"/>
  <c r="V12" i="1"/>
  <c r="W11" i="1" l="1"/>
  <c r="X11" i="1"/>
  <c r="Y23" i="1" s="1"/>
  <c r="S11" i="1"/>
  <c r="T11" i="1" s="1"/>
  <c r="X10" i="1"/>
  <c r="W10" i="1"/>
  <c r="Y20" i="1" s="1"/>
  <c r="X9" i="1"/>
  <c r="Y22" i="1" s="1"/>
  <c r="W9" i="1"/>
  <c r="Y19" i="1" s="1"/>
  <c r="R15" i="1"/>
  <c r="S10" i="1"/>
  <c r="T20" i="1" s="1"/>
  <c r="S9" i="1"/>
  <c r="T9" i="1" s="1"/>
  <c r="T18" i="1"/>
  <c r="AB16" i="1"/>
  <c r="V5" i="1"/>
  <c r="AB15" i="1" s="1"/>
  <c r="S5" i="1"/>
  <c r="T7" i="1"/>
  <c r="V16" i="1"/>
  <c r="T16" i="1"/>
  <c r="T5" i="1"/>
  <c r="Y15" i="1" s="1"/>
  <c r="Y16" i="1" l="1"/>
  <c r="V15" i="1"/>
  <c r="R14" i="1"/>
  <c r="T22" i="1"/>
  <c r="V17" i="1" s="1"/>
</calcChain>
</file>

<file path=xl/sharedStrings.xml><?xml version="1.0" encoding="utf-8"?>
<sst xmlns="http://schemas.openxmlformats.org/spreadsheetml/2006/main" count="81" uniqueCount="36">
  <si>
    <t>Data set</t>
  </si>
  <si>
    <t>Sodium doublet</t>
  </si>
  <si>
    <t>Left side</t>
  </si>
  <si>
    <t>Vernier 1(deg)</t>
  </si>
  <si>
    <t>Vernier 2(deg)</t>
  </si>
  <si>
    <t>MSR</t>
  </si>
  <si>
    <t>VSR</t>
  </si>
  <si>
    <t>Total</t>
  </si>
  <si>
    <t>Right side</t>
  </si>
  <si>
    <t>Vernier 1 2theta(deg)</t>
  </si>
  <si>
    <t>Vernier 2 2theta(deg)</t>
  </si>
  <si>
    <t>Avg theta(deg)</t>
  </si>
  <si>
    <t>lambda</t>
  </si>
  <si>
    <t>D1</t>
  </si>
  <si>
    <t>D2</t>
  </si>
  <si>
    <t>Set 1</t>
  </si>
  <si>
    <t>Order of the fringe</t>
  </si>
  <si>
    <t>m=1</t>
  </si>
  <si>
    <t>m=2</t>
  </si>
  <si>
    <t xml:space="preserve">Set 2 </t>
  </si>
  <si>
    <t>Avg delta lambda</t>
  </si>
  <si>
    <t>D(theoretical)(rad/m)</t>
  </si>
  <si>
    <t>D(calculated)(rad/m)</t>
  </si>
  <si>
    <t>D(m=1)</t>
  </si>
  <si>
    <t>D(m=2)</t>
  </si>
  <si>
    <t>Calcu</t>
  </si>
  <si>
    <t>Theory</t>
  </si>
  <si>
    <t>Least count = 1/180 degrees, Grating element = 1/600 mm</t>
  </si>
  <si>
    <t>Error in lambda</t>
  </si>
  <si>
    <t>Error in D</t>
  </si>
  <si>
    <t>delta_lambda_1</t>
  </si>
  <si>
    <t>delta_lambda_2</t>
  </si>
  <si>
    <t>lambda1 std</t>
  </si>
  <si>
    <t>lambda2 std</t>
  </si>
  <si>
    <t>delta_D1</t>
  </si>
  <si>
    <t>dleta_D2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</si>
</sst>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##0.0000E+0"/>
    <numFmt numFmtId="166" formatCode="0.000000E+00"/>
    <numFmt numFmtId="168" formatCode="0.000000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8" fontId="0" fillId="0" borderId="1" xfId="0" applyNumberFormat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4"/>
  <sheetViews>
    <sheetView workbookViewId="0">
      <selection activeCell="T11" sqref="A1:T12"/>
    </sheetView>
  </sheetViews>
  <sheetFormatPr defaultRowHeight="14.4" x14ac:dyDescent="0.3"/>
  <cols>
    <col min="2" max="2" width="7.77734375" bestFit="1" customWidth="1"/>
    <col min="3" max="3" width="14.5546875" bestFit="1" customWidth="1"/>
    <col min="4" max="4" width="4.88671875" bestFit="1" customWidth="1"/>
    <col min="5" max="5" width="4.33203125" bestFit="1" customWidth="1"/>
    <col min="6" max="6" width="5.21875" bestFit="1" customWidth="1"/>
    <col min="7" max="7" width="4.88671875" bestFit="1" customWidth="1"/>
    <col min="8" max="8" width="4.33203125" bestFit="1" customWidth="1"/>
    <col min="9" max="9" width="5.21875" bestFit="1" customWidth="1"/>
    <col min="10" max="10" width="4.88671875" bestFit="1" customWidth="1"/>
    <col min="11" max="11" width="4.33203125" bestFit="1" customWidth="1"/>
    <col min="12" max="12" width="5.21875" bestFit="1" customWidth="1"/>
    <col min="13" max="13" width="4.88671875" bestFit="1" customWidth="1"/>
    <col min="14" max="14" width="4.33203125" bestFit="1" customWidth="1"/>
    <col min="15" max="15" width="8" customWidth="1"/>
    <col min="16" max="17" width="19.109375" bestFit="1" customWidth="1"/>
    <col min="18" max="18" width="13.6640625" bestFit="1" customWidth="1"/>
    <col min="19" max="19" width="12.6640625" customWidth="1"/>
    <col min="20" max="21" width="19.6640625" customWidth="1"/>
    <col min="22" max="22" width="16.109375" customWidth="1"/>
    <col min="24" max="24" width="16.109375" customWidth="1"/>
    <col min="25" max="25" width="12.5546875" bestFit="1" customWidth="1"/>
    <col min="28" max="28" width="12.5546875" bestFit="1" customWidth="1"/>
  </cols>
  <sheetData>
    <row r="1" spans="1:28" x14ac:dyDescent="0.3">
      <c r="A1" s="17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V1" s="3"/>
      <c r="W1" s="2"/>
      <c r="X1" s="2"/>
    </row>
    <row r="2" spans="1:28" x14ac:dyDescent="0.3">
      <c r="A2" s="15" t="s">
        <v>0</v>
      </c>
      <c r="B2" s="18" t="s">
        <v>16</v>
      </c>
      <c r="C2" s="15" t="s">
        <v>1</v>
      </c>
      <c r="D2" s="15" t="s">
        <v>2</v>
      </c>
      <c r="E2" s="15"/>
      <c r="F2" s="15"/>
      <c r="G2" s="15"/>
      <c r="H2" s="15"/>
      <c r="I2" s="15"/>
      <c r="J2" s="15" t="s">
        <v>8</v>
      </c>
      <c r="K2" s="15"/>
      <c r="L2" s="15"/>
      <c r="M2" s="15"/>
      <c r="N2" s="15"/>
      <c r="O2" s="15"/>
      <c r="P2" s="15" t="s">
        <v>9</v>
      </c>
      <c r="Q2" s="15" t="s">
        <v>10</v>
      </c>
      <c r="R2" s="15" t="s">
        <v>11</v>
      </c>
      <c r="S2" s="15" t="s">
        <v>12</v>
      </c>
      <c r="T2" s="15" t="s">
        <v>22</v>
      </c>
      <c r="V2" s="15" t="s">
        <v>21</v>
      </c>
      <c r="W2" s="13" t="s">
        <v>28</v>
      </c>
      <c r="X2" s="13" t="s">
        <v>29</v>
      </c>
    </row>
    <row r="3" spans="1:28" x14ac:dyDescent="0.3">
      <c r="A3" s="15"/>
      <c r="B3" s="18"/>
      <c r="C3" s="15"/>
      <c r="D3" s="15" t="s">
        <v>3</v>
      </c>
      <c r="E3" s="15"/>
      <c r="F3" s="15"/>
      <c r="G3" s="15" t="s">
        <v>4</v>
      </c>
      <c r="H3" s="15"/>
      <c r="I3" s="15"/>
      <c r="J3" s="15" t="s">
        <v>3</v>
      </c>
      <c r="K3" s="15"/>
      <c r="L3" s="15"/>
      <c r="M3" s="15" t="s">
        <v>4</v>
      </c>
      <c r="N3" s="15"/>
      <c r="O3" s="15"/>
      <c r="P3" s="15"/>
      <c r="Q3" s="15"/>
      <c r="R3" s="15"/>
      <c r="S3" s="15"/>
      <c r="T3" s="15"/>
      <c r="V3" s="15"/>
      <c r="W3" s="13"/>
      <c r="X3" s="13"/>
    </row>
    <row r="4" spans="1:28" x14ac:dyDescent="0.3">
      <c r="A4" s="15"/>
      <c r="B4" s="18"/>
      <c r="C4" s="15"/>
      <c r="D4" s="1" t="s">
        <v>5</v>
      </c>
      <c r="E4" s="1" t="s">
        <v>6</v>
      </c>
      <c r="F4" s="1" t="s">
        <v>7</v>
      </c>
      <c r="G4" s="1" t="s">
        <v>5</v>
      </c>
      <c r="H4" s="1" t="s">
        <v>6</v>
      </c>
      <c r="I4" s="1" t="s">
        <v>7</v>
      </c>
      <c r="J4" s="1" t="s">
        <v>5</v>
      </c>
      <c r="K4" s="1" t="s">
        <v>6</v>
      </c>
      <c r="L4" s="1" t="s">
        <v>7</v>
      </c>
      <c r="M4" s="1" t="s">
        <v>5</v>
      </c>
      <c r="N4" s="1" t="s">
        <v>6</v>
      </c>
      <c r="O4" s="1" t="s">
        <v>7</v>
      </c>
      <c r="P4" s="15"/>
      <c r="Q4" s="15"/>
      <c r="R4" s="15"/>
      <c r="S4" s="15"/>
      <c r="T4" s="15"/>
      <c r="V4" s="15"/>
      <c r="W4" s="13"/>
      <c r="X4" s="13"/>
    </row>
    <row r="5" spans="1:28" x14ac:dyDescent="0.3">
      <c r="A5" s="16" t="s">
        <v>15</v>
      </c>
      <c r="B5" s="17" t="s">
        <v>17</v>
      </c>
      <c r="C5" s="3" t="s">
        <v>13</v>
      </c>
      <c r="D5" s="2">
        <v>135.666</v>
      </c>
      <c r="E5" s="2">
        <v>10</v>
      </c>
      <c r="F5" s="2">
        <f>D5+(1/180)*E5</f>
        <v>135.72155555555554</v>
      </c>
      <c r="G5" s="2">
        <v>315.666</v>
      </c>
      <c r="H5" s="2">
        <v>20</v>
      </c>
      <c r="I5" s="2">
        <f>G5+(1/180)*H5</f>
        <v>315.77711111111108</v>
      </c>
      <c r="J5" s="2">
        <v>177.333</v>
      </c>
      <c r="K5" s="2">
        <v>23</v>
      </c>
      <c r="L5" s="2">
        <f>J5+(1/180)*K5</f>
        <v>177.46077777777776</v>
      </c>
      <c r="M5" s="2">
        <v>357.33300000000003</v>
      </c>
      <c r="N5" s="2">
        <v>27</v>
      </c>
      <c r="O5" s="2">
        <f>M5+(1/180)*N5</f>
        <v>357.483</v>
      </c>
      <c r="P5" s="19">
        <f t="shared" ref="P5:P12" si="0">L5-F5</f>
        <v>41.739222222222224</v>
      </c>
      <c r="Q5" s="19">
        <f>O5-I5</f>
        <v>41.705888888888921</v>
      </c>
      <c r="R5" s="19">
        <f t="shared" ref="R5:R12" si="1">(P5+Q5)/4</f>
        <v>20.861277777777786</v>
      </c>
      <c r="S5" s="11">
        <f>0.001*SIN(RADIANS(R5))/600</f>
        <v>5.9351092372463101E-7</v>
      </c>
      <c r="T5" s="14">
        <f>RADIANS(R6-R5)/(S6-S5)</f>
        <v>642183.95527029363</v>
      </c>
      <c r="V5" s="7">
        <f>1000 * 600/(COS(RADIANS(R5)))</f>
        <v>642092.12085071811</v>
      </c>
      <c r="W5" s="2">
        <f>COS(RADIANS(R5))/(1*600*1000*180)</f>
        <v>8.6522718082802691E-9</v>
      </c>
      <c r="X5" s="2">
        <f>(1*600*1000*(TAN(RADIANS(R5))))/(180*COS(RADIANS(R5)))</f>
        <v>1359.4113542088191</v>
      </c>
    </row>
    <row r="6" spans="1:28" x14ac:dyDescent="0.3">
      <c r="A6" s="16"/>
      <c r="B6" s="17"/>
      <c r="C6" s="3" t="s">
        <v>14</v>
      </c>
      <c r="D6" s="2">
        <v>135.333</v>
      </c>
      <c r="E6" s="2">
        <v>58</v>
      </c>
      <c r="F6" s="2">
        <f t="shared" ref="F6:F12" si="2">D6+(1/180)*E6</f>
        <v>135.65522222222222</v>
      </c>
      <c r="G6" s="2">
        <v>315.666</v>
      </c>
      <c r="H6" s="2">
        <v>9</v>
      </c>
      <c r="I6" s="2">
        <f t="shared" ref="I6:I12" si="3">G6+(1/180)*H6</f>
        <v>315.71600000000001</v>
      </c>
      <c r="J6" s="2">
        <v>177.333</v>
      </c>
      <c r="K6" s="2">
        <v>27</v>
      </c>
      <c r="L6" s="2">
        <f t="shared" ref="L6:L12" si="4">J6+(1/180)*K6</f>
        <v>177.483</v>
      </c>
      <c r="M6" s="2">
        <v>357.33300000000003</v>
      </c>
      <c r="N6" s="2">
        <v>31</v>
      </c>
      <c r="O6" s="2">
        <f t="shared" ref="O6:O12" si="5">M6+(1/180)*N6</f>
        <v>357.50522222222224</v>
      </c>
      <c r="P6" s="19">
        <f t="shared" si="0"/>
        <v>41.827777777777783</v>
      </c>
      <c r="Q6" s="19">
        <f>O6-I6</f>
        <v>41.789222222222236</v>
      </c>
      <c r="R6" s="19">
        <f t="shared" si="1"/>
        <v>20.904250000000005</v>
      </c>
      <c r="S6" s="11">
        <f>0.001*SIN(RADIANS(R6))/600</f>
        <v>5.946788239166573E-7</v>
      </c>
      <c r="T6" s="14"/>
      <c r="V6" s="7">
        <f>1000 * 600/(COS(RADIANS(R6)))</f>
        <v>642275.87618572556</v>
      </c>
      <c r="W6" s="2">
        <f>COS(RADIANS(R6))/(1*600*1000*180)</f>
        <v>8.6497963905296482E-9</v>
      </c>
      <c r="X6" s="2">
        <f>(1*600*1000*(TAN(RADIANS(R6))))/(180*COS(RADIANS(R6)))</f>
        <v>1362.8661008898332</v>
      </c>
    </row>
    <row r="7" spans="1:28" x14ac:dyDescent="0.3">
      <c r="A7" s="16"/>
      <c r="B7" s="17" t="s">
        <v>18</v>
      </c>
      <c r="C7" s="3" t="s">
        <v>13</v>
      </c>
      <c r="D7" s="2">
        <v>111</v>
      </c>
      <c r="E7" s="2">
        <v>42</v>
      </c>
      <c r="F7" s="2">
        <f t="shared" si="2"/>
        <v>111.23333333333333</v>
      </c>
      <c r="G7" s="2">
        <v>291</v>
      </c>
      <c r="H7" s="2">
        <v>44</v>
      </c>
      <c r="I7" s="2">
        <f t="shared" si="3"/>
        <v>291.24444444444447</v>
      </c>
      <c r="J7" s="2">
        <v>202</v>
      </c>
      <c r="K7" s="2">
        <v>5</v>
      </c>
      <c r="L7" s="2">
        <f t="shared" si="4"/>
        <v>202.02777777777777</v>
      </c>
      <c r="M7" s="2">
        <v>22</v>
      </c>
      <c r="N7" s="2">
        <v>15</v>
      </c>
      <c r="O7" s="2">
        <f t="shared" si="5"/>
        <v>22.083333333333332</v>
      </c>
      <c r="P7" s="19">
        <f t="shared" si="0"/>
        <v>90.794444444444437</v>
      </c>
      <c r="Q7" s="19">
        <f>360+O7-I7</f>
        <v>90.838888888888846</v>
      </c>
      <c r="R7" s="19">
        <f t="shared" si="1"/>
        <v>45.408333333333317</v>
      </c>
      <c r="S7" s="11">
        <f>0.001*SIN(RADIANS(R7))/1200</f>
        <v>5.9344013540119886E-7</v>
      </c>
      <c r="T7" s="14">
        <f>RADIANS(R8-R7)/(S8-S7)</f>
        <v>1710501.4921058179</v>
      </c>
      <c r="V7" s="7">
        <f>(1000*2*600)/(COS(RADIANS(R7)))</f>
        <v>1709281.2182768811</v>
      </c>
      <c r="W7" s="2">
        <f>COS(RADIANS(R7))/(2*600*1000*180)</f>
        <v>3.2502290998997151E-9</v>
      </c>
      <c r="X7" s="2">
        <f>(2*600*1000*(TAN(RADIANS(R7))))/(180*COS(RADIANS(R7)))</f>
        <v>9632.3321783824249</v>
      </c>
    </row>
    <row r="8" spans="1:28" x14ac:dyDescent="0.3">
      <c r="A8" s="16"/>
      <c r="B8" s="17"/>
      <c r="C8" s="3" t="s">
        <v>14</v>
      </c>
      <c r="D8" s="2">
        <v>111</v>
      </c>
      <c r="E8" s="2">
        <v>27</v>
      </c>
      <c r="F8" s="2">
        <f t="shared" si="2"/>
        <v>111.15</v>
      </c>
      <c r="G8" s="2">
        <v>291</v>
      </c>
      <c r="H8" s="2">
        <v>27</v>
      </c>
      <c r="I8" s="2">
        <f t="shared" si="3"/>
        <v>291.14999999999998</v>
      </c>
      <c r="J8" s="2">
        <v>202</v>
      </c>
      <c r="K8" s="2">
        <v>18</v>
      </c>
      <c r="L8" s="2">
        <f t="shared" si="4"/>
        <v>202.1</v>
      </c>
      <c r="M8" s="2">
        <v>22</v>
      </c>
      <c r="N8" s="2">
        <v>28</v>
      </c>
      <c r="O8" s="2">
        <f t="shared" si="5"/>
        <v>22.155555555555555</v>
      </c>
      <c r="P8" s="19">
        <f t="shared" si="0"/>
        <v>90.949999999999989</v>
      </c>
      <c r="Q8" s="19">
        <f>360+O8-I8</f>
        <v>91.005555555555588</v>
      </c>
      <c r="R8" s="19">
        <f t="shared" si="1"/>
        <v>45.488888888888894</v>
      </c>
      <c r="S8" s="11">
        <f>0.001*SIN(RADIANS(R8))/1200</f>
        <v>5.9426209298598128E-7</v>
      </c>
      <c r="T8" s="14"/>
      <c r="V8" s="7">
        <f>(1000*2*600)/(COS(RADIANS(R8)))</f>
        <v>1711724.0738491751</v>
      </c>
      <c r="W8" s="2">
        <f>COS(RADIANS(R8))/(2*600*1000*180)</f>
        <v>3.2455905951376313E-9</v>
      </c>
      <c r="X8" s="2">
        <f>(2*600*1000*(TAN(RADIANS(R8))))/(180*COS(RADIANS(R8)))</f>
        <v>9673.2639968538351</v>
      </c>
    </row>
    <row r="9" spans="1:28" x14ac:dyDescent="0.3">
      <c r="A9" s="16" t="s">
        <v>19</v>
      </c>
      <c r="B9" s="17" t="s">
        <v>17</v>
      </c>
      <c r="C9" s="3" t="s">
        <v>13</v>
      </c>
      <c r="D9" s="2">
        <v>135.666</v>
      </c>
      <c r="E9" s="2">
        <v>15</v>
      </c>
      <c r="F9" s="2">
        <f t="shared" si="2"/>
        <v>135.74933333333334</v>
      </c>
      <c r="G9" s="2">
        <v>315.666</v>
      </c>
      <c r="H9" s="2">
        <v>28</v>
      </c>
      <c r="I9" s="2">
        <f t="shared" si="3"/>
        <v>315.82155555555556</v>
      </c>
      <c r="J9" s="2">
        <v>177.333</v>
      </c>
      <c r="K9" s="2">
        <v>29</v>
      </c>
      <c r="L9" s="2">
        <f t="shared" si="4"/>
        <v>177.4941111111111</v>
      </c>
      <c r="M9" s="2">
        <v>357.33300000000003</v>
      </c>
      <c r="N9" s="2">
        <v>34</v>
      </c>
      <c r="O9" s="2">
        <f t="shared" si="5"/>
        <v>357.5218888888889</v>
      </c>
      <c r="P9" s="19">
        <f t="shared" si="0"/>
        <v>41.744777777777756</v>
      </c>
      <c r="Q9" s="19">
        <f>O9-I9</f>
        <v>41.700333333333333</v>
      </c>
      <c r="R9" s="19">
        <f t="shared" si="1"/>
        <v>20.861277777777772</v>
      </c>
      <c r="S9" s="11">
        <f>0.001*SIN(RADIANS(R9))/600</f>
        <v>5.9351092372463058E-7</v>
      </c>
      <c r="T9" s="14">
        <f>RADIANS(R10-R9)/(S10-S9)</f>
        <v>642163.34358093084</v>
      </c>
      <c r="V9" s="7">
        <f>1000 * 600/(COS(RADIANS(R9)))</f>
        <v>642092.12085071811</v>
      </c>
      <c r="W9" s="2">
        <f>COS(RADIANS(R9))/(1*600*1000*180)</f>
        <v>8.6522718082802691E-9</v>
      </c>
      <c r="X9" s="2">
        <f>(1*600*1000*(TAN(RADIANS(R9))))/(180*COS(RADIANS(R9)))</f>
        <v>1359.4113542088182</v>
      </c>
    </row>
    <row r="10" spans="1:28" x14ac:dyDescent="0.3">
      <c r="A10" s="16"/>
      <c r="B10" s="17"/>
      <c r="C10" s="3" t="s">
        <v>14</v>
      </c>
      <c r="D10" s="2">
        <v>135.666</v>
      </c>
      <c r="E10" s="2">
        <v>4</v>
      </c>
      <c r="F10" s="2">
        <f t="shared" si="2"/>
        <v>135.68822222222221</v>
      </c>
      <c r="G10" s="2">
        <v>315.666</v>
      </c>
      <c r="H10" s="2">
        <v>15</v>
      </c>
      <c r="I10" s="2">
        <f t="shared" si="3"/>
        <v>315.74933333333331</v>
      </c>
      <c r="J10" s="2">
        <v>177.333</v>
      </c>
      <c r="K10" s="2">
        <v>29</v>
      </c>
      <c r="L10" s="2">
        <f t="shared" si="4"/>
        <v>177.4941111111111</v>
      </c>
      <c r="M10" s="2">
        <v>357.33300000000003</v>
      </c>
      <c r="N10" s="2">
        <v>34</v>
      </c>
      <c r="O10" s="2">
        <f t="shared" si="5"/>
        <v>357.5218888888889</v>
      </c>
      <c r="P10" s="19">
        <f t="shared" si="0"/>
        <v>41.805888888888887</v>
      </c>
      <c r="Q10" s="19">
        <f>O10-I10</f>
        <v>41.772555555555584</v>
      </c>
      <c r="R10" s="19">
        <f t="shared" si="1"/>
        <v>20.894611111111118</v>
      </c>
      <c r="S10" s="11">
        <f>0.001*SIN(RADIANS(R10))/600</f>
        <v>5.9441688701753277E-7</v>
      </c>
      <c r="T10" s="14"/>
      <c r="V10" s="7">
        <f>1000 * 600/(COS(RADIANS(R10)))</f>
        <v>642234.61834628042</v>
      </c>
      <c r="W10" s="2">
        <f>COS(RADIANS(R10))/(1*600*1000*180)</f>
        <v>8.6503520627100605E-9</v>
      </c>
      <c r="X10" s="2">
        <f>(1*600*1000*(TAN(RADIANS(R10))))/(180*COS(RADIANS(R10)))</f>
        <v>1362.090792234774</v>
      </c>
    </row>
    <row r="11" spans="1:28" x14ac:dyDescent="0.3">
      <c r="A11" s="16"/>
      <c r="B11" s="17" t="s">
        <v>18</v>
      </c>
      <c r="C11" s="3" t="s">
        <v>13</v>
      </c>
      <c r="D11" s="2">
        <v>111</v>
      </c>
      <c r="E11" s="2">
        <v>41</v>
      </c>
      <c r="F11" s="2">
        <f t="shared" si="2"/>
        <v>111.22777777777777</v>
      </c>
      <c r="G11" s="2">
        <v>291</v>
      </c>
      <c r="H11" s="2">
        <v>41</v>
      </c>
      <c r="I11" s="2">
        <f t="shared" si="3"/>
        <v>291.22777777777776</v>
      </c>
      <c r="J11" s="2">
        <v>202</v>
      </c>
      <c r="K11" s="2">
        <v>6</v>
      </c>
      <c r="L11" s="2">
        <f t="shared" si="4"/>
        <v>202.03333333333333</v>
      </c>
      <c r="M11" s="2">
        <v>22</v>
      </c>
      <c r="N11" s="2">
        <v>15</v>
      </c>
      <c r="O11" s="2">
        <f t="shared" si="5"/>
        <v>22.083333333333332</v>
      </c>
      <c r="P11" s="19">
        <f t="shared" si="0"/>
        <v>90.805555555555557</v>
      </c>
      <c r="Q11" s="19">
        <f>360+O11-I11</f>
        <v>90.855555555555554</v>
      </c>
      <c r="R11" s="19">
        <f t="shared" si="1"/>
        <v>45.415277777777774</v>
      </c>
      <c r="S11" s="11">
        <f>0.001*SIN(RADIANS(R11))/1200</f>
        <v>5.9351104004117442E-7</v>
      </c>
      <c r="T11" s="14">
        <f>RADIANS(R12-R11)/(S12-S11)</f>
        <v>1710691.0502097309</v>
      </c>
      <c r="V11" s="7">
        <f>(1000*2*600)/(COS(RADIANS(R11)))</f>
        <v>1709491.4015624125</v>
      </c>
      <c r="W11" s="2">
        <f>COS(RADIANS(R11))/(2*600*1000*180)</f>
        <v>3.2498294817265421E-9</v>
      </c>
      <c r="X11" s="2">
        <f>(2*600*1000*(TAN(RADIANS(R11))))/(180*COS(RADIANS(R11)))</f>
        <v>9635.8523814195742</v>
      </c>
    </row>
    <row r="12" spans="1:28" x14ac:dyDescent="0.3">
      <c r="A12" s="16"/>
      <c r="B12" s="17"/>
      <c r="C12" s="3" t="s">
        <v>14</v>
      </c>
      <c r="D12" s="2">
        <v>111</v>
      </c>
      <c r="E12" s="2">
        <v>26</v>
      </c>
      <c r="F12" s="2">
        <f t="shared" si="2"/>
        <v>111.14444444444445</v>
      </c>
      <c r="G12" s="2">
        <v>291</v>
      </c>
      <c r="H12" s="2">
        <v>25</v>
      </c>
      <c r="I12" s="2">
        <f t="shared" si="3"/>
        <v>291.13888888888891</v>
      </c>
      <c r="J12" s="2">
        <v>202</v>
      </c>
      <c r="K12" s="2">
        <v>20</v>
      </c>
      <c r="L12" s="2">
        <f t="shared" si="4"/>
        <v>202.11111111111111</v>
      </c>
      <c r="M12" s="2">
        <v>22</v>
      </c>
      <c r="N12" s="2">
        <v>27</v>
      </c>
      <c r="O12" s="2">
        <f t="shared" si="5"/>
        <v>22.15</v>
      </c>
      <c r="P12" s="19">
        <f t="shared" si="0"/>
        <v>90.966666666666669</v>
      </c>
      <c r="Q12" s="19">
        <f>360+O12-I12</f>
        <v>91.011111111111063</v>
      </c>
      <c r="R12" s="19">
        <f t="shared" si="1"/>
        <v>45.494444444444433</v>
      </c>
      <c r="S12" s="11">
        <f>0.001*SIN(RADIANS(R12))/1200</f>
        <v>5.9431873643439085E-7</v>
      </c>
      <c r="T12" s="14"/>
      <c r="V12" s="7">
        <f>(1000*2*600)/(COS(RADIANS(R12)))</f>
        <v>1711892.9288569451</v>
      </c>
      <c r="W12" s="2">
        <f>COS(RADIANS(R12))/(2*600*1000*180)</f>
        <v>3.2452704616667109E-9</v>
      </c>
      <c r="X12" s="2">
        <f>(2*600*1000*(TAN(RADIANS(R12))))/(180*COS(RADIANS(R12)))</f>
        <v>9676.0947628564682</v>
      </c>
    </row>
    <row r="13" spans="1:28" x14ac:dyDescent="0.3">
      <c r="A13" s="5"/>
      <c r="B13" s="6"/>
      <c r="C13" s="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8" x14ac:dyDescent="0.3">
      <c r="A14" s="5"/>
      <c r="B14" s="6"/>
      <c r="C14" s="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 t="s">
        <v>32</v>
      </c>
      <c r="R14" s="12">
        <f>_xlfn.STDEV.S(S5,S7,S9,S11)</f>
        <v>3.5413590255893565E-11</v>
      </c>
      <c r="S14" s="4"/>
      <c r="X14" t="s">
        <v>25</v>
      </c>
      <c r="AA14" t="s">
        <v>26</v>
      </c>
    </row>
    <row r="15" spans="1:28" x14ac:dyDescent="0.3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 t="s">
        <v>33</v>
      </c>
      <c r="R15" s="4">
        <f>_xlfn.STDEV.S(S6,S8,S10,S12)</f>
        <v>1.8455843970877585E-10</v>
      </c>
      <c r="S15" s="4"/>
      <c r="U15" t="s">
        <v>13</v>
      </c>
      <c r="V15" s="9">
        <f>AVERAGE(S7,S5,S9,S11)</f>
        <v>5.9349325572290874E-7</v>
      </c>
      <c r="X15" t="s">
        <v>23</v>
      </c>
      <c r="Y15" s="10">
        <f>AVERAGE(T9,T5)</f>
        <v>642173.6494256123</v>
      </c>
      <c r="AA15" t="s">
        <v>23</v>
      </c>
      <c r="AB15" s="10">
        <f>AVERAGE(V5:V6,V9:V10)</f>
        <v>642173.68405836052</v>
      </c>
    </row>
    <row r="16" spans="1:28" x14ac:dyDescent="0.3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8">
        <f>S6-S5</f>
        <v>1.1679001920262954E-9</v>
      </c>
      <c r="U16" t="s">
        <v>14</v>
      </c>
      <c r="V16" s="9">
        <f>AVERAGE(S6,S8,S10,S12)</f>
        <v>5.9441913508864055E-7</v>
      </c>
      <c r="X16" t="s">
        <v>24</v>
      </c>
      <c r="Y16" s="10">
        <f>AVERAGE(T7,T11)</f>
        <v>1710596.2711577744</v>
      </c>
      <c r="AA16" t="s">
        <v>24</v>
      </c>
      <c r="AB16" s="10">
        <f>AVERAGE(V7:V8,V11:V12)</f>
        <v>1710597.4056363534</v>
      </c>
    </row>
    <row r="17" spans="4:25" x14ac:dyDescent="0.3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U17" t="s">
        <v>20</v>
      </c>
      <c r="V17" s="8">
        <f>AVERAGE(T16,T18,T20,T22)</f>
        <v>9.258793657318353E-10</v>
      </c>
    </row>
    <row r="18" spans="4:25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8">
        <f>S8-S7</f>
        <v>8.2195758478242319E-10</v>
      </c>
    </row>
    <row r="19" spans="4:25" x14ac:dyDescent="0.3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8"/>
      <c r="X19" t="s">
        <v>30</v>
      </c>
      <c r="Y19">
        <f>MAX(W5,W7,W9,W11)</f>
        <v>8.6522718082802691E-9</v>
      </c>
    </row>
    <row r="20" spans="4:25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8">
        <f>S10-S9</f>
        <v>9.0596329290218636E-10</v>
      </c>
      <c r="X20" t="s">
        <v>31</v>
      </c>
      <c r="Y20">
        <f>MAX(W6,W8,W10,W12)</f>
        <v>8.6503520627100605E-9</v>
      </c>
    </row>
    <row r="21" spans="4:25" x14ac:dyDescent="0.3">
      <c r="T21" s="8"/>
    </row>
    <row r="22" spans="4:25" x14ac:dyDescent="0.3">
      <c r="T22" s="8">
        <f>S12-S11</f>
        <v>8.0769639321643625E-10</v>
      </c>
      <c r="X22" t="s">
        <v>34</v>
      </c>
      <c r="Y22">
        <f>AVERAGE(X5:X6,X9:X10)</f>
        <v>1360.9449003855611</v>
      </c>
    </row>
    <row r="23" spans="4:25" x14ac:dyDescent="0.3">
      <c r="X23" t="s">
        <v>35</v>
      </c>
      <c r="Y23">
        <f>AVERAGE(X7:X8,X11:X12)</f>
        <v>9654.385829878076</v>
      </c>
    </row>
    <row r="24" spans="4:25" x14ac:dyDescent="0.3">
      <c r="U24" s="9">
        <f>V16-V15</f>
        <v>9.2587936573180883E-10</v>
      </c>
    </row>
  </sheetData>
  <mergeCells count="26">
    <mergeCell ref="A1:T1"/>
    <mergeCell ref="V2:V4"/>
    <mergeCell ref="T5:T6"/>
    <mergeCell ref="D3:F3"/>
    <mergeCell ref="G3:I3"/>
    <mergeCell ref="D2:I2"/>
    <mergeCell ref="J2:O2"/>
    <mergeCell ref="J3:L3"/>
    <mergeCell ref="M3:O3"/>
    <mergeCell ref="P2:P4"/>
    <mergeCell ref="T7:T8"/>
    <mergeCell ref="T9:T10"/>
    <mergeCell ref="T11:T12"/>
    <mergeCell ref="T2:T4"/>
    <mergeCell ref="A5:A8"/>
    <mergeCell ref="A9:A12"/>
    <mergeCell ref="B5:B6"/>
    <mergeCell ref="B7:B8"/>
    <mergeCell ref="B9:B10"/>
    <mergeCell ref="B11:B12"/>
    <mergeCell ref="A2:A4"/>
    <mergeCell ref="B2:B4"/>
    <mergeCell ref="Q2:Q4"/>
    <mergeCell ref="R2:R4"/>
    <mergeCell ref="S2:S4"/>
    <mergeCell ref="C2:C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2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84A8-7245-4635-AB72-CD52325E2EEA}">
  <sheetPr>
    <pageSetUpPr fitToPage="1"/>
  </sheetPr>
  <dimension ref="A1:H11"/>
  <sheetViews>
    <sheetView tabSelected="1" workbookViewId="0">
      <selection activeCell="K21" sqref="K21"/>
    </sheetView>
  </sheetViews>
  <sheetFormatPr defaultRowHeight="14.4" x14ac:dyDescent="0.3"/>
  <cols>
    <col min="1" max="1" width="7.77734375" bestFit="1" customWidth="1"/>
    <col min="2" max="2" width="16.6640625" bestFit="1" customWidth="1"/>
    <col min="3" max="3" width="14.5546875" bestFit="1" customWidth="1"/>
    <col min="4" max="4" width="13.6640625" bestFit="1" customWidth="1"/>
    <col min="5" max="5" width="12" bestFit="1" customWidth="1"/>
    <col min="6" max="6" width="19" bestFit="1" customWidth="1"/>
    <col min="7" max="7" width="14" bestFit="1" customWidth="1"/>
    <col min="8" max="8" width="12" bestFit="1" customWidth="1"/>
  </cols>
  <sheetData>
    <row r="1" spans="1:8" x14ac:dyDescent="0.3">
      <c r="A1" s="15" t="s">
        <v>0</v>
      </c>
      <c r="B1" s="18" t="s">
        <v>16</v>
      </c>
      <c r="C1" s="15" t="s">
        <v>1</v>
      </c>
      <c r="D1" s="15" t="s">
        <v>11</v>
      </c>
      <c r="E1" s="15" t="s">
        <v>12</v>
      </c>
      <c r="F1" s="15" t="s">
        <v>22</v>
      </c>
      <c r="G1" s="15" t="s">
        <v>28</v>
      </c>
      <c r="H1" s="15" t="s">
        <v>29</v>
      </c>
    </row>
    <row r="2" spans="1:8" x14ac:dyDescent="0.3">
      <c r="A2" s="15"/>
      <c r="B2" s="18"/>
      <c r="C2" s="15"/>
      <c r="D2" s="15"/>
      <c r="E2" s="15"/>
      <c r="F2" s="15"/>
      <c r="G2" s="15"/>
      <c r="H2" s="15"/>
    </row>
    <row r="3" spans="1:8" x14ac:dyDescent="0.3">
      <c r="A3" s="15"/>
      <c r="B3" s="18"/>
      <c r="C3" s="15"/>
      <c r="D3" s="15"/>
      <c r="E3" s="15"/>
      <c r="F3" s="15"/>
      <c r="G3" s="15"/>
      <c r="H3" s="15"/>
    </row>
    <row r="4" spans="1:8" ht="14.4" customHeight="1" x14ac:dyDescent="0.3">
      <c r="A4" s="16" t="s">
        <v>15</v>
      </c>
      <c r="B4" s="17" t="s">
        <v>17</v>
      </c>
      <c r="C4" s="3" t="s">
        <v>13</v>
      </c>
      <c r="D4" s="20">
        <v>20.861277777777786</v>
      </c>
      <c r="E4" s="2">
        <v>5.9351092372463101E-7</v>
      </c>
      <c r="F4" s="14">
        <f>RADIANS(D5-D4)/(E5-E4)</f>
        <v>642183.95527029363</v>
      </c>
      <c r="G4" s="2">
        <v>8.6522718082802691E-9</v>
      </c>
      <c r="H4" s="2">
        <v>1359.4113542088191</v>
      </c>
    </row>
    <row r="5" spans="1:8" x14ac:dyDescent="0.3">
      <c r="A5" s="16"/>
      <c r="B5" s="17"/>
      <c r="C5" s="3" t="s">
        <v>14</v>
      </c>
      <c r="D5" s="20">
        <v>20.904250000000005</v>
      </c>
      <c r="E5" s="2">
        <v>5.946788239166573E-7</v>
      </c>
      <c r="F5" s="14"/>
      <c r="G5" s="2">
        <v>8.6497963905296482E-9</v>
      </c>
      <c r="H5" s="2">
        <v>1362.8661008898332</v>
      </c>
    </row>
    <row r="6" spans="1:8" x14ac:dyDescent="0.3">
      <c r="A6" s="16"/>
      <c r="B6" s="17" t="s">
        <v>18</v>
      </c>
      <c r="C6" s="3" t="s">
        <v>13</v>
      </c>
      <c r="D6" s="20">
        <v>45.408333333333317</v>
      </c>
      <c r="E6" s="2">
        <v>5.9344013540119886E-7</v>
      </c>
      <c r="F6" s="14">
        <f>RADIANS(D7-D6)/(E7-E6)</f>
        <v>1710501.4921058179</v>
      </c>
      <c r="G6" s="2">
        <v>3.2502290998997151E-9</v>
      </c>
      <c r="H6" s="2">
        <v>9632.3321783824249</v>
      </c>
    </row>
    <row r="7" spans="1:8" x14ac:dyDescent="0.3">
      <c r="A7" s="16"/>
      <c r="B7" s="17"/>
      <c r="C7" s="3" t="s">
        <v>14</v>
      </c>
      <c r="D7" s="20">
        <v>45.488888888888894</v>
      </c>
      <c r="E7" s="2">
        <v>5.9426209298598128E-7</v>
      </c>
      <c r="F7" s="14"/>
      <c r="G7" s="2">
        <v>3.2455905951376313E-9</v>
      </c>
      <c r="H7" s="2">
        <v>9673.2639968538351</v>
      </c>
    </row>
    <row r="8" spans="1:8" x14ac:dyDescent="0.3">
      <c r="A8" s="16" t="s">
        <v>19</v>
      </c>
      <c r="B8" s="17" t="s">
        <v>17</v>
      </c>
      <c r="C8" s="3" t="s">
        <v>13</v>
      </c>
      <c r="D8" s="20">
        <v>20.861277777777772</v>
      </c>
      <c r="E8" s="2">
        <v>5.9351092372463058E-7</v>
      </c>
      <c r="F8" s="14">
        <f>RADIANS(D9-D8)/(E9-E8)</f>
        <v>642163.34358093084</v>
      </c>
      <c r="G8" s="2">
        <v>8.6522718082802691E-9</v>
      </c>
      <c r="H8" s="2">
        <v>1359.4113542088182</v>
      </c>
    </row>
    <row r="9" spans="1:8" x14ac:dyDescent="0.3">
      <c r="A9" s="16"/>
      <c r="B9" s="17"/>
      <c r="C9" s="3" t="s">
        <v>14</v>
      </c>
      <c r="D9" s="20">
        <v>20.894611111111118</v>
      </c>
      <c r="E9" s="2">
        <v>5.9441688701753277E-7</v>
      </c>
      <c r="F9" s="14"/>
      <c r="G9" s="2">
        <v>8.6503520627100605E-9</v>
      </c>
      <c r="H9" s="2">
        <v>1362.090792234774</v>
      </c>
    </row>
    <row r="10" spans="1:8" x14ac:dyDescent="0.3">
      <c r="A10" s="16"/>
      <c r="B10" s="17" t="s">
        <v>18</v>
      </c>
      <c r="C10" s="3" t="s">
        <v>13</v>
      </c>
      <c r="D10" s="20">
        <v>45.415277777777774</v>
      </c>
      <c r="E10" s="2">
        <v>5.9351104004117442E-7</v>
      </c>
      <c r="F10" s="14">
        <f>RADIANS(D11-D10)/(E11-E10)</f>
        <v>1710691.0502097309</v>
      </c>
      <c r="G10" s="2">
        <v>3.2498294817265421E-9</v>
      </c>
      <c r="H10" s="2">
        <v>9635.8523814195742</v>
      </c>
    </row>
    <row r="11" spans="1:8" x14ac:dyDescent="0.3">
      <c r="A11" s="16"/>
      <c r="B11" s="17"/>
      <c r="C11" s="3" t="s">
        <v>14</v>
      </c>
      <c r="D11" s="20">
        <v>45.494444444444433</v>
      </c>
      <c r="E11" s="2">
        <v>5.9431873643439085E-7</v>
      </c>
      <c r="F11" s="14"/>
      <c r="G11" s="2">
        <v>3.2452704616667109E-9</v>
      </c>
      <c r="H11" s="2">
        <v>9676.0947628564682</v>
      </c>
    </row>
  </sheetData>
  <mergeCells count="18">
    <mergeCell ref="F4:F5"/>
    <mergeCell ref="F6:F7"/>
    <mergeCell ref="F8:F9"/>
    <mergeCell ref="F10:F11"/>
    <mergeCell ref="A1:A3"/>
    <mergeCell ref="B1:B3"/>
    <mergeCell ref="C1:C3"/>
    <mergeCell ref="D1:D3"/>
    <mergeCell ref="E1:E3"/>
    <mergeCell ref="G1:G3"/>
    <mergeCell ref="F1:F3"/>
    <mergeCell ref="H1:H3"/>
    <mergeCell ref="A4:A7"/>
    <mergeCell ref="B4:B5"/>
    <mergeCell ref="B6:B7"/>
    <mergeCell ref="A8:A11"/>
    <mergeCell ref="B8:B9"/>
    <mergeCell ref="B10:B11"/>
  </mergeCell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2025-09-08T05:47:35Z</cp:lastPrinted>
  <dcterms:created xsi:type="dcterms:W3CDTF">2015-06-05T18:17:20Z</dcterms:created>
  <dcterms:modified xsi:type="dcterms:W3CDTF">2025-09-08T05:48:11Z</dcterms:modified>
</cp:coreProperties>
</file>