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 - Количество персонала в" sheetId="1" r:id="rId4"/>
  </sheets>
</workbook>
</file>

<file path=xl/sharedStrings.xml><?xml version="1.0" encoding="utf-8"?>
<sst xmlns="http://schemas.openxmlformats.org/spreadsheetml/2006/main" uniqueCount="114">
  <si>
    <t>Количество персонала в различных компаниях РФ на 2018 год.</t>
  </si>
  <si>
    <t xml:space="preserve">Название компании </t>
  </si>
  <si>
    <t>Персонал (ранжированные)</t>
  </si>
  <si>
    <t>Персонал(не ранжированные)</t>
  </si>
  <si>
    <t>Сургутнефтегаз</t>
  </si>
  <si>
    <t>MIN</t>
  </si>
  <si>
    <t>MAX</t>
  </si>
  <si>
    <t>R</t>
  </si>
  <si>
    <t xml:space="preserve">Количество интервалов, два варианта </t>
  </si>
  <si>
    <t>Ширина</t>
  </si>
  <si>
    <t>Лукойл</t>
  </si>
  <si>
    <t>Норильский никель</t>
  </si>
  <si>
    <t>Группа УГМК</t>
  </si>
  <si>
    <t>Нижняя граница интервального ряда</t>
  </si>
  <si>
    <t>Верхняя граница интервального ряда</t>
  </si>
  <si>
    <t>Середина интервала</t>
  </si>
  <si>
    <t>Взвешенная сумма</t>
  </si>
  <si>
    <t>Накопленная частота</t>
  </si>
  <si>
    <t>Частота</t>
  </si>
  <si>
    <t>Evraz</t>
  </si>
  <si>
    <t>Децильный интервал, содержащий первый дециль</t>
  </si>
  <si>
    <t>UC Rusal</t>
  </si>
  <si>
    <t>Мединный интервал/Модальный интервал/интервал, содержащий нижний квартиль</t>
  </si>
  <si>
    <t>Локомотивные технологии</t>
  </si>
  <si>
    <t>Интервал, содержащий верхний квартиль</t>
  </si>
  <si>
    <t>Мечел</t>
  </si>
  <si>
    <t>Децильный интервал, содержащий девятый дециль</t>
  </si>
  <si>
    <t>Татнефть</t>
  </si>
  <si>
    <t>НЛМК</t>
  </si>
  <si>
    <t>Северсталь</t>
  </si>
  <si>
    <t>Металлоинвест</t>
  </si>
  <si>
    <t>Т Плюс</t>
  </si>
  <si>
    <t>Ташир</t>
  </si>
  <si>
    <t>Медиана по дискретному ряду</t>
  </si>
  <si>
    <t>Медиана по интервальному ряду</t>
  </si>
  <si>
    <t>Мода на дискретном ряду</t>
  </si>
  <si>
    <t>Мода на интервальном ряду</t>
  </si>
  <si>
    <t>По исходным данным</t>
  </si>
  <si>
    <t>По интервальным данным</t>
  </si>
  <si>
    <t>Лента</t>
  </si>
  <si>
    <t xml:space="preserve">Отсутствует </t>
  </si>
  <si>
    <t>Среднее значение</t>
  </si>
  <si>
    <t>Дисперсия</t>
  </si>
  <si>
    <t>Дисперсия функция</t>
  </si>
  <si>
    <t>Общая дисперсия</t>
  </si>
  <si>
    <t>Группа Альфа-банк</t>
  </si>
  <si>
    <t>Человек</t>
  </si>
  <si>
    <t>Группа ГАЗ</t>
  </si>
  <si>
    <t>Среднее квадратичное отклонение</t>
  </si>
  <si>
    <t>Межгрупповая дисперсия</t>
  </si>
  <si>
    <t>VEON (Vimpelcom)</t>
  </si>
  <si>
    <t>Q1 - первый квартиль дискретного ряда</t>
  </si>
  <si>
    <t>Q3 - третий квартиль дискретного ряда</t>
  </si>
  <si>
    <t>Q2 - второй квартиль дискретного ряда</t>
  </si>
  <si>
    <t>Q1 - первый квартиль интервального ряда</t>
  </si>
  <si>
    <t>Q3 - третий квартиль интервального ряда</t>
  </si>
  <si>
    <t>Трансмашхолдинг</t>
  </si>
  <si>
    <t>Среднее линейное отклонение</t>
  </si>
  <si>
    <t>Внутригурпповая дисперсия</t>
  </si>
  <si>
    <t>Внутригрупповая дисперсия</t>
  </si>
  <si>
    <t>Мегафон</t>
  </si>
  <si>
    <t>ТМК</t>
  </si>
  <si>
    <t>Дециль для дискретного ряда</t>
  </si>
  <si>
    <t>D1 для интервального ряда</t>
  </si>
  <si>
    <t>D3 для интервального ряда</t>
  </si>
  <si>
    <t>Среднее квартильное отклонение</t>
  </si>
  <si>
    <t>СУЭК</t>
  </si>
  <si>
    <t>Евросибэнерго</t>
  </si>
  <si>
    <t>Коэффициент осцилляции</t>
  </si>
  <si>
    <t>Мостотрест</t>
  </si>
  <si>
    <t xml:space="preserve">X average </t>
  </si>
  <si>
    <t>Сигма</t>
  </si>
  <si>
    <t>Коэффициент асимметрии</t>
  </si>
  <si>
    <t>Коэффициент эксцесс</t>
  </si>
  <si>
    <t>Связной</t>
  </si>
  <si>
    <t>Коэффициент линейной вариации</t>
  </si>
  <si>
    <t>Синара</t>
  </si>
  <si>
    <t>МТС</t>
  </si>
  <si>
    <t>СРГЕОМ</t>
  </si>
  <si>
    <t>СРЗНАЧ</t>
  </si>
  <si>
    <t>СРГАРМ</t>
  </si>
  <si>
    <t>Коэффициент вариации</t>
  </si>
  <si>
    <t>Сибур</t>
  </si>
  <si>
    <t>Для дискретного ряда</t>
  </si>
  <si>
    <t>Мираторг</t>
  </si>
  <si>
    <t>Относительный показатель квартальной вариации</t>
  </si>
  <si>
    <t>Еврохим</t>
  </si>
  <si>
    <t>ЧТПЗ</t>
  </si>
  <si>
    <t>Эмпирические соотношетния</t>
  </si>
  <si>
    <t>Эмпирические соотношения</t>
  </si>
  <si>
    <t>Киевская площадь</t>
  </si>
  <si>
    <t>-3*S ≤ Xср ≤ +3*S</t>
  </si>
  <si>
    <t>-67503 &lt;= 39458 &lt;= 67503</t>
  </si>
  <si>
    <t>-66109 &lt;= 39965 &lt;= 66109</t>
  </si>
  <si>
    <t>ОМК</t>
  </si>
  <si>
    <t>S ~1,25*d</t>
  </si>
  <si>
    <t>22501 ~ 65597</t>
  </si>
  <si>
    <t>22036 ~ 20623</t>
  </si>
  <si>
    <t>О'Кей</t>
  </si>
  <si>
    <t>S ~R/6</t>
  </si>
  <si>
    <t>22501 ~ 16430</t>
  </si>
  <si>
    <t>22036 ~ 16430</t>
  </si>
  <si>
    <t>Группа Черкизово</t>
  </si>
  <si>
    <t>Q ~ (2/3)* S</t>
  </si>
  <si>
    <t>13231 ~ 15001</t>
  </si>
  <si>
    <t>-</t>
  </si>
  <si>
    <t>Спортмастер</t>
  </si>
  <si>
    <t>Полюс</t>
  </si>
  <si>
    <t>ММК</t>
  </si>
  <si>
    <t>Илим</t>
  </si>
  <si>
    <t>Фосагро</t>
  </si>
  <si>
    <t>Стройгазмонтаж</t>
  </si>
  <si>
    <t>КДВ Групп</t>
  </si>
  <si>
    <t>Протек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</si>
</sst>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sz val="13"/>
      <color indexed="15"/>
      <name val="Helvetica"/>
    </font>
    <font>
      <sz val="10"/>
      <color indexed="23"/>
      <name val="Helvetica Neue"/>
    </font>
    <font>
      <sz val="18"/>
      <color indexed="8"/>
      <name val="Helvetica Neue"/>
    </font>
  </fonts>
  <fills count="1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5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3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2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21"/>
      </right>
      <top style="thin">
        <color indexed="8"/>
      </top>
      <bottom style="medium">
        <color indexed="8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21"/>
      </right>
      <top style="medium">
        <color indexed="8"/>
      </top>
      <bottom style="medium">
        <color indexed="8"/>
      </bottom>
      <diagonal/>
    </border>
    <border>
      <left style="thin">
        <color indexed="21"/>
      </left>
      <right style="medium">
        <color indexed="8"/>
      </right>
      <top style="thin">
        <color indexed="21"/>
      </top>
      <bottom style="thin">
        <color indexed="2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21"/>
      </right>
      <top style="medium">
        <color indexed="8"/>
      </top>
      <bottom style="medium">
        <color indexed="8"/>
      </bottom>
      <diagonal/>
    </border>
    <border>
      <left style="thin">
        <color indexed="21"/>
      </left>
      <right style="thin">
        <color indexed="2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21"/>
      </left>
      <right style="thin">
        <color indexed="21"/>
      </right>
      <top style="medium">
        <color indexed="8"/>
      </top>
      <bottom style="thin">
        <color indexed="2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2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21"/>
      </bottom>
      <diagonal/>
    </border>
    <border>
      <left style="thin">
        <color indexed="8"/>
      </left>
      <right style="thin">
        <color indexed="11"/>
      </right>
      <top style="medium">
        <color indexed="8"/>
      </top>
      <bottom style="thin">
        <color indexed="21"/>
      </bottom>
      <diagonal/>
    </border>
    <border>
      <left style="thin">
        <color indexed="11"/>
      </left>
      <right style="thin">
        <color indexed="21"/>
      </right>
      <top style="thin">
        <color indexed="11"/>
      </top>
      <bottom style="thin">
        <color indexed="1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medium">
        <color indexed="8"/>
      </bottom>
      <diagonal/>
    </border>
    <border>
      <left style="thin">
        <color indexed="2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8"/>
      </left>
      <right style="thin">
        <color indexed="21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21"/>
      </right>
      <top style="thin">
        <color indexed="8"/>
      </top>
      <bottom style="thin">
        <color indexed="8"/>
      </bottom>
      <diagonal/>
    </border>
    <border>
      <left style="thin">
        <color indexed="21"/>
      </left>
      <right style="thin">
        <color indexed="11"/>
      </right>
      <top style="thin">
        <color indexed="11"/>
      </top>
      <bottom style="thin">
        <color indexed="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1"/>
      </bottom>
      <diagonal/>
    </border>
    <border>
      <left style="thin">
        <color indexed="8"/>
      </left>
      <right style="thin">
        <color indexed="21"/>
      </right>
      <top style="thin">
        <color indexed="8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11"/>
      </bottom>
      <diagonal/>
    </border>
    <border>
      <left style="thin">
        <color indexed="21"/>
      </left>
      <right style="thin">
        <color indexed="21"/>
      </right>
      <top style="thin">
        <color indexed="11"/>
      </top>
      <bottom style="thin">
        <color indexed="11"/>
      </bottom>
      <diagonal/>
    </border>
    <border>
      <left style="thin">
        <color indexed="21"/>
      </left>
      <right style="thin">
        <color indexed="11"/>
      </right>
      <top style="thin">
        <color indexed="2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21"/>
      </top>
      <bottom style="thin">
        <color indexed="11"/>
      </bottom>
      <diagonal/>
    </border>
    <border>
      <left style="thin">
        <color indexed="11"/>
      </left>
      <right style="thin">
        <color indexed="21"/>
      </right>
      <top style="thin">
        <color indexed="11"/>
      </top>
      <bottom style="thin">
        <color indexed="2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horizontal="center" vertical="top" wrapText="1"/>
    </xf>
    <xf numFmtId="49" fontId="3" fillId="3" borderId="5" applyNumberFormat="1" applyFont="1" applyFill="1" applyBorder="1" applyAlignment="1" applyProtection="0">
      <alignment horizontal="center" vertical="top" wrapText="1"/>
    </xf>
    <xf numFmtId="0" fontId="4" fillId="4" borderId="5" applyNumberFormat="0" applyFont="1" applyFill="1" applyBorder="1" applyAlignment="1" applyProtection="0">
      <alignment vertical="top" wrapText="1"/>
    </xf>
    <xf numFmtId="0" fontId="4" fillId="4" borderId="6" applyNumberFormat="0" applyFont="1" applyFill="1" applyBorder="1" applyAlignment="1" applyProtection="0">
      <alignment vertical="top" wrapText="1"/>
    </xf>
    <xf numFmtId="49" fontId="5" fillId="5" borderId="5" applyNumberFormat="1" applyFont="1" applyFill="1" applyBorder="1" applyAlignment="1" applyProtection="0">
      <alignment horizontal="left" vertical="top" wrapText="1" readingOrder="1"/>
    </xf>
    <xf numFmtId="3" fontId="5" fillId="5" borderId="4" applyNumberFormat="1" applyFont="1" applyFill="1" applyBorder="1" applyAlignment="1" applyProtection="0">
      <alignment horizontal="center" vertical="top" wrapText="1" readingOrder="1"/>
    </xf>
    <xf numFmtId="3" fontId="5" fillId="5" borderId="7" applyNumberFormat="1" applyFont="1" applyFill="1" applyBorder="1" applyAlignment="1" applyProtection="0">
      <alignment horizontal="center" vertical="top" wrapText="1" readingOrder="1"/>
    </xf>
    <xf numFmtId="0" fontId="0" fillId="2" borderId="8" applyNumberFormat="0" applyFont="1" applyFill="1" applyBorder="1" applyAlignment="1" applyProtection="0">
      <alignment vertical="top" wrapText="1"/>
    </xf>
    <xf numFmtId="49" fontId="4" fillId="3" borderId="9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49" fontId="5" fillId="5" borderId="7" applyNumberFormat="1" applyFont="1" applyFill="1" applyBorder="1" applyAlignment="1" applyProtection="0">
      <alignment horizontal="left" vertical="top" wrapText="1" readingOrder="1"/>
    </xf>
    <xf numFmtId="0" fontId="0" fillId="2" borderId="11" applyNumberFormat="0" applyFont="1" applyFill="1" applyBorder="1" applyAlignment="1" applyProtection="0">
      <alignment vertical="top" wrapText="1"/>
    </xf>
    <xf numFmtId="3" fontId="0" fillId="2" borderId="12" applyNumberFormat="1" applyFont="1" applyFill="1" applyBorder="1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49" fontId="5" fillId="5" borderId="4" applyNumberFormat="1" applyFont="1" applyFill="1" applyBorder="1" applyAlignment="1" applyProtection="0">
      <alignment horizontal="left" vertical="top" wrapText="1" readingOrder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4" applyNumberFormat="1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3" fontId="0" fillId="6" borderId="12" applyNumberFormat="1" applyFont="1" applyFill="1" applyBorder="1" applyAlignment="1" applyProtection="0">
      <alignment vertical="top" wrapText="1"/>
    </xf>
    <xf numFmtId="49" fontId="0" fillId="6" borderId="13" applyNumberFormat="1" applyFont="1" applyFill="1" applyBorder="1" applyAlignment="1" applyProtection="0">
      <alignment vertical="top" wrapText="1"/>
    </xf>
    <xf numFmtId="3" fontId="0" fillId="7" borderId="17" applyNumberFormat="1" applyFont="1" applyFill="1" applyBorder="1" applyAlignment="1" applyProtection="0">
      <alignment vertical="top" wrapText="1"/>
    </xf>
    <xf numFmtId="3" fontId="0" fillId="2" borderId="17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  <xf numFmtId="49" fontId="0" fillId="7" borderId="13" applyNumberFormat="1" applyFont="1" applyFill="1" applyBorder="1" applyAlignment="1" applyProtection="0">
      <alignment vertical="top" wrapText="1"/>
    </xf>
    <xf numFmtId="3" fontId="0" fillId="8" borderId="17" applyNumberFormat="1" applyFont="1" applyFill="1" applyBorder="1" applyAlignment="1" applyProtection="0">
      <alignment vertical="top" wrapText="1"/>
    </xf>
    <xf numFmtId="49" fontId="0" fillId="8" borderId="13" applyNumberFormat="1" applyFont="1" applyFill="1" applyBorder="1" applyAlignment="1" applyProtection="0">
      <alignment vertical="top" wrapText="1"/>
    </xf>
    <xf numFmtId="3" fontId="0" fillId="9" borderId="17" applyNumberFormat="1" applyFont="1" applyFill="1" applyBorder="1" applyAlignment="1" applyProtection="0">
      <alignment vertical="top" wrapText="1"/>
    </xf>
    <xf numFmtId="49" fontId="0" fillId="9" borderId="13" applyNumberFormat="1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0" fillId="2" borderId="20" applyNumberFormat="0" applyFont="1" applyFill="1" applyBorder="1" applyAlignment="1" applyProtection="0">
      <alignment vertical="top" wrapText="1"/>
    </xf>
    <xf numFmtId="0" fontId="0" fillId="2" borderId="21" applyNumberFormat="0" applyFont="1" applyFill="1" applyBorder="1" applyAlignment="1" applyProtection="0">
      <alignment vertical="top" wrapText="1"/>
    </xf>
    <xf numFmtId="49" fontId="4" fillId="10" borderId="22" applyNumberFormat="1" applyFont="1" applyFill="1" applyBorder="1" applyAlignment="1" applyProtection="0">
      <alignment vertical="top" wrapText="1"/>
    </xf>
    <xf numFmtId="49" fontId="4" fillId="10" borderId="23" applyNumberFormat="1" applyFont="1" applyFill="1" applyBorder="1" applyAlignment="1" applyProtection="0">
      <alignment vertical="top" wrapText="1"/>
    </xf>
    <xf numFmtId="0" fontId="0" fillId="2" borderId="24" applyNumberFormat="0" applyFont="1" applyFill="1" applyBorder="1" applyAlignment="1" applyProtection="0">
      <alignment vertical="top" wrapText="1"/>
    </xf>
    <xf numFmtId="49" fontId="4" fillId="10" borderId="25" applyNumberFormat="1" applyFont="1" applyFill="1" applyBorder="1" applyAlignment="1" applyProtection="0">
      <alignment vertical="top" wrapText="1"/>
    </xf>
    <xf numFmtId="49" fontId="4" fillId="10" borderId="26" applyNumberFormat="1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horizontal="right" vertical="top" wrapText="1"/>
    </xf>
    <xf numFmtId="3" fontId="0" fillId="2" borderId="27" applyNumberFormat="1" applyFont="1" applyFill="1" applyBorder="1" applyAlignment="1" applyProtection="0">
      <alignment vertical="top" wrapText="1"/>
    </xf>
    <xf numFmtId="49" fontId="4" fillId="11" borderId="9" applyNumberFormat="1" applyFont="1" applyFill="1" applyBorder="1" applyAlignment="1" applyProtection="0">
      <alignment vertical="top" wrapText="1"/>
    </xf>
    <xf numFmtId="49" fontId="4" fillId="11" borderId="28" applyNumberFormat="1" applyFont="1" applyFill="1" applyBorder="1" applyAlignment="1" applyProtection="0">
      <alignment vertical="top" wrapText="1"/>
    </xf>
    <xf numFmtId="49" fontId="0" fillId="2" borderId="29" applyNumberFormat="1" applyFont="1" applyFill="1" applyBorder="1" applyAlignment="1" applyProtection="0">
      <alignment vertical="top" wrapText="1"/>
    </xf>
    <xf numFmtId="49" fontId="0" fillId="2" borderId="19" applyNumberFormat="1" applyFont="1" applyFill="1" applyBorder="1" applyAlignment="1" applyProtection="0">
      <alignment horizontal="right" vertical="top" wrapText="1"/>
    </xf>
    <xf numFmtId="3" fontId="0" fillId="2" borderId="30" applyNumberFormat="1" applyFont="1" applyFill="1" applyBorder="1" applyAlignment="1" applyProtection="0">
      <alignment vertical="top" wrapText="1"/>
    </xf>
    <xf numFmtId="3" fontId="0" fillId="2" borderId="31" applyNumberFormat="1" applyFont="1" applyFill="1" applyBorder="1" applyAlignment="1" applyProtection="0">
      <alignment vertical="top" wrapText="1"/>
    </xf>
    <xf numFmtId="3" fontId="0" fillId="2" borderId="24" applyNumberFormat="1" applyFont="1" applyFill="1" applyBorder="1" applyAlignment="1" applyProtection="0">
      <alignment vertical="top" wrapText="1"/>
    </xf>
    <xf numFmtId="3" fontId="0" fillId="2" borderId="32" applyNumberFormat="1" applyFont="1" applyFill="1" applyBorder="1" applyAlignment="1" applyProtection="0">
      <alignment vertical="top" wrapText="1"/>
    </xf>
    <xf numFmtId="0" fontId="0" fillId="2" borderId="33" applyNumberFormat="0" applyFont="1" applyFill="1" applyBorder="1" applyAlignment="1" applyProtection="0">
      <alignment vertical="top" wrapText="1"/>
    </xf>
    <xf numFmtId="0" fontId="0" fillId="2" borderId="29" applyNumberFormat="0" applyFont="1" applyFill="1" applyBorder="1" applyAlignment="1" applyProtection="0">
      <alignment vertical="top" wrapText="1"/>
    </xf>
    <xf numFmtId="3" fontId="0" fillId="2" borderId="34" applyNumberFormat="1" applyFont="1" applyFill="1" applyBorder="1" applyAlignment="1" applyProtection="0">
      <alignment vertical="top" wrapText="1"/>
    </xf>
    <xf numFmtId="0" fontId="0" fillId="2" borderId="30" applyNumberFormat="1" applyFont="1" applyFill="1" applyBorder="1" applyAlignment="1" applyProtection="0">
      <alignment vertical="top" wrapText="1"/>
    </xf>
    <xf numFmtId="0" fontId="0" fillId="2" borderId="31" applyNumberFormat="1" applyFont="1" applyFill="1" applyBorder="1" applyAlignment="1" applyProtection="0">
      <alignment vertical="top" wrapText="1"/>
    </xf>
    <xf numFmtId="0" fontId="0" fillId="2" borderId="35" applyNumberFormat="1" applyFont="1" applyFill="1" applyBorder="1" applyAlignment="1" applyProtection="0">
      <alignment vertical="top" wrapText="1"/>
    </xf>
    <xf numFmtId="3" fontId="0" fillId="2" borderId="11" applyNumberFormat="1" applyFont="1" applyFill="1" applyBorder="1" applyAlignment="1" applyProtection="0">
      <alignment vertical="top" wrapText="1"/>
    </xf>
    <xf numFmtId="0" fontId="0" fillId="2" borderId="32" applyNumberFormat="0" applyFont="1" applyFill="1" applyBorder="1" applyAlignment="1" applyProtection="0">
      <alignment vertical="top" wrapText="1"/>
    </xf>
    <xf numFmtId="0" fontId="0" fillId="2" borderId="36" applyNumberFormat="1" applyFont="1" applyFill="1" applyBorder="1" applyAlignment="1" applyProtection="0">
      <alignment vertical="top" wrapText="1"/>
    </xf>
    <xf numFmtId="0" fontId="0" fillId="2" borderId="31" applyNumberFormat="1" applyFont="1" applyFill="1" applyBorder="1" applyAlignment="1" applyProtection="0">
      <alignment horizontal="center" vertical="top" wrapText="1"/>
    </xf>
    <xf numFmtId="0" fontId="0" fillId="2" borderId="37" applyNumberFormat="0" applyFont="1" applyFill="1" applyBorder="1" applyAlignment="1" applyProtection="0">
      <alignment vertical="top" wrapText="1"/>
    </xf>
    <xf numFmtId="0" fontId="0" fillId="2" borderId="24" applyNumberFormat="1" applyFont="1" applyFill="1" applyBorder="1" applyAlignment="1" applyProtection="0">
      <alignment vertical="top" wrapText="1"/>
    </xf>
    <xf numFmtId="49" fontId="4" fillId="3" borderId="38" applyNumberFormat="1" applyFont="1" applyFill="1" applyBorder="1" applyAlignment="1" applyProtection="0">
      <alignment vertical="top" wrapText="1"/>
    </xf>
    <xf numFmtId="0" fontId="0" fillId="2" borderId="30" applyNumberFormat="1" applyFont="1" applyFill="1" applyBorder="1" applyAlignment="1" applyProtection="0">
      <alignment horizontal="center" vertical="top" wrapText="1"/>
    </xf>
    <xf numFmtId="0" fontId="0" fillId="2" borderId="39" applyNumberFormat="0" applyFont="1" applyFill="1" applyBorder="1" applyAlignment="1" applyProtection="0">
      <alignment vertical="top" wrapText="1"/>
    </xf>
    <xf numFmtId="3" fontId="0" fillId="2" borderId="40" applyNumberFormat="1" applyFont="1" applyFill="1" applyBorder="1" applyAlignment="1" applyProtection="0">
      <alignment vertical="top" wrapText="1"/>
    </xf>
    <xf numFmtId="0" fontId="0" fillId="2" borderId="40" applyNumberFormat="1" applyFont="1" applyFill="1" applyBorder="1" applyAlignment="1" applyProtection="0">
      <alignment vertical="top" wrapText="1"/>
    </xf>
    <xf numFmtId="0" fontId="0" fillId="2" borderId="41" applyNumberFormat="1" applyFont="1" applyFill="1" applyBorder="1" applyAlignment="1" applyProtection="0">
      <alignment vertical="top" wrapText="1"/>
    </xf>
    <xf numFmtId="3" fontId="5" fillId="5" borderId="42" applyNumberFormat="1" applyFont="1" applyFill="1" applyBorder="1" applyAlignment="1" applyProtection="0">
      <alignment horizontal="center" vertical="top" wrapText="1" readingOrder="1"/>
    </xf>
    <xf numFmtId="0" fontId="0" fillId="2" borderId="43" applyNumberFormat="0" applyFont="1" applyFill="1" applyBorder="1" applyAlignment="1" applyProtection="0">
      <alignment vertical="top" wrapText="1"/>
    </xf>
    <xf numFmtId="0" fontId="0" fillId="2" borderId="44" applyNumberFormat="0" applyFont="1" applyFill="1" applyBorder="1" applyAlignment="1" applyProtection="0">
      <alignment vertical="top" wrapText="1"/>
    </xf>
    <xf numFmtId="0" fontId="0" fillId="2" borderId="45" applyNumberFormat="0" applyFont="1" applyFill="1" applyBorder="1" applyAlignment="1" applyProtection="0">
      <alignment vertical="top" wrapText="1"/>
    </xf>
    <xf numFmtId="3" fontId="0" fillId="2" borderId="37" applyNumberFormat="1" applyFont="1" applyFill="1" applyBorder="1" applyAlignment="1" applyProtection="0">
      <alignment vertical="top" wrapText="1"/>
    </xf>
    <xf numFmtId="49" fontId="4" fillId="11" borderId="24" applyNumberFormat="1" applyFont="1" applyFill="1" applyBorder="1" applyAlignment="1" applyProtection="0">
      <alignment vertical="top" wrapText="1"/>
    </xf>
    <xf numFmtId="0" fontId="0" fillId="11" borderId="24" applyNumberFormat="0" applyFont="1" applyFill="1" applyBorder="1" applyAlignment="1" applyProtection="0">
      <alignment vertical="top" wrapText="1"/>
    </xf>
    <xf numFmtId="49" fontId="6" fillId="2" borderId="11" applyNumberFormat="1" applyFont="1" applyFill="1" applyBorder="1" applyAlignment="1" applyProtection="0">
      <alignment horizontal="right" vertical="top" wrapText="1"/>
    </xf>
    <xf numFmtId="49" fontId="0" fillId="12" borderId="12" applyNumberFormat="1" applyFont="1" applyFill="1" applyBorder="1" applyAlignment="1" applyProtection="0">
      <alignment vertical="top" wrapText="1"/>
    </xf>
    <xf numFmtId="49" fontId="0" fillId="12" borderId="46" applyNumberFormat="1" applyFont="1" applyFill="1" applyBorder="1" applyAlignment="1" applyProtection="0">
      <alignment vertical="top" wrapText="1"/>
    </xf>
    <xf numFmtId="49" fontId="0" fillId="13" borderId="17" applyNumberFormat="1" applyFont="1" applyFill="1" applyBorder="1" applyAlignment="1" applyProtection="0">
      <alignment vertical="top" wrapText="1"/>
    </xf>
    <xf numFmtId="49" fontId="0" fillId="12" borderId="47" applyNumberFormat="1" applyFont="1" applyFill="1" applyBorder="1" applyAlignment="1" applyProtection="0">
      <alignment vertical="top" wrapText="1"/>
    </xf>
    <xf numFmtId="49" fontId="0" fillId="14" borderId="17" applyNumberFormat="1" applyFont="1" applyFill="1" applyBorder="1" applyAlignment="1" applyProtection="0">
      <alignment vertical="top" wrapText="1"/>
    </xf>
    <xf numFmtId="49" fontId="0" fillId="14" borderId="47" applyNumberFormat="1" applyFont="1" applyFill="1" applyBorder="1" applyAlignment="1" applyProtection="0">
      <alignment vertical="top" wrapText="1"/>
    </xf>
    <xf numFmtId="0" fontId="0" fillId="2" borderId="48" applyNumberFormat="0" applyFont="1" applyFill="1" applyBorder="1" applyAlignment="1" applyProtection="0">
      <alignment vertical="top" wrapText="1"/>
    </xf>
    <xf numFmtId="49" fontId="6" fillId="2" borderId="39" applyNumberFormat="1" applyFont="1" applyFill="1" applyBorder="1" applyAlignment="1" applyProtection="0">
      <alignment horizontal="right" vertical="top" wrapText="1"/>
    </xf>
    <xf numFmtId="49" fontId="0" fillId="14" borderId="49" applyNumberFormat="1" applyFont="1" applyFill="1" applyBorder="1" applyAlignment="1" applyProtection="0">
      <alignment vertical="top" wrapText="1"/>
    </xf>
    <xf numFmtId="49" fontId="0" fillId="2" borderId="50" applyNumberFormat="1" applyFont="1" applyFill="1" applyBorder="1" applyAlignment="1" applyProtection="0">
      <alignment horizontal="center" vertical="top" wrapText="1"/>
    </xf>
    <xf numFmtId="0" fontId="0" fillId="2" borderId="51" applyNumberFormat="0" applyFont="1" applyFill="1" applyBorder="1" applyAlignment="1" applyProtection="0">
      <alignment vertical="top" wrapText="1"/>
    </xf>
    <xf numFmtId="0" fontId="0" fillId="2" borderId="52" applyNumberFormat="0" applyFont="1" applyFill="1" applyBorder="1" applyAlignment="1" applyProtection="0">
      <alignment vertical="top" wrapText="1"/>
    </xf>
    <xf numFmtId="0" fontId="0" fillId="2" borderId="53" applyNumberFormat="0" applyFont="1" applyFill="1" applyBorder="1" applyAlignment="1" applyProtection="0">
      <alignment vertical="top" wrapText="1"/>
    </xf>
    <xf numFmtId="0" fontId="0" fillId="2" borderId="54" applyNumberFormat="0" applyFont="1" applyFill="1" applyBorder="1" applyAlignment="1" applyProtection="0">
      <alignment vertical="top" wrapText="1"/>
    </xf>
    <xf numFmtId="0" fontId="0" fillId="2" borderId="42" applyNumberFormat="0" applyFont="1" applyFill="1" applyBorder="1" applyAlignment="1" applyProtection="0">
      <alignment vertical="top" wrapText="1"/>
    </xf>
    <xf numFmtId="0" fontId="0" fillId="2" borderId="55" applyNumberFormat="0" applyFont="1" applyFill="1" applyBorder="1" applyAlignment="1" applyProtection="0">
      <alignment vertical="top" wrapText="1"/>
    </xf>
    <xf numFmtId="3" fontId="5" fillId="5" borderId="5" applyNumberFormat="1" applyFont="1" applyFill="1" applyBorder="1" applyAlignment="1" applyProtection="0">
      <alignment horizontal="center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borderId="5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56c1fe"/>
      <rgbColor rgb="ff3f3f3f"/>
      <rgbColor rgb="ffbdc0bf"/>
      <rgbColor rgb="ff393939"/>
      <rgbColor rgb="fffefffe"/>
      <rgbColor rgb="ffff968c"/>
      <rgbColor rgb="ff88f94e"/>
      <rgbColor rgb="fffff056"/>
      <rgbColor rgb="ff8af3e7"/>
      <rgbColor rgb="ffbfbfbf"/>
      <rgbColor rgb="ffff42a1"/>
      <rgbColor rgb="ff7fd0ff"/>
      <rgbColor rgb="ff61d836"/>
      <rgbColor rgb="ffcc503e"/>
      <rgbColor rgb="ff4dac2b"/>
      <rgbColor rgb="ff878787"/>
      <rgbColor rgb="fff9f9f9"/>
      <rgbColor rgb="ff009ef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444"/>
          <c:y val="0.0902673"/>
          <c:w val="0.937556"/>
          <c:h val="0.7677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'Лист 1 - Количество персонала в'!$J$6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6785-23214</c:v>
              </c:pt>
              <c:pt idx="1">
                <c:v>23215-39645</c:v>
              </c:pt>
              <c:pt idx="2">
                <c:v>39636-56075</c:v>
              </c:pt>
              <c:pt idx="3">
                <c:v>56076-72505</c:v>
              </c:pt>
              <c:pt idx="4">
                <c:v>72506-88935</c:v>
              </c:pt>
              <c:pt idx="5">
                <c:v>88936-105366</c:v>
              </c:pt>
              <c:pt idx="6">
                <c:v>105367-121797</c:v>
              </c:pt>
            </c:strLit>
          </c:cat>
          <c:val>
            <c:numRef>
              <c:f>'Лист 1 - Количество персонала в'!$J$7:$J$13</c:f>
              <c:numCache>
                <c:ptCount val="7"/>
                <c:pt idx="0">
                  <c:v>12.000000</c:v>
                </c:pt>
                <c:pt idx="1">
                  <c:v>14.000000</c:v>
                </c:pt>
                <c:pt idx="2">
                  <c:v>10.000000</c:v>
                </c:pt>
                <c:pt idx="3">
                  <c:v>4.000000</c:v>
                </c:pt>
                <c:pt idx="4">
                  <c:v>2.000000</c:v>
                </c:pt>
                <c:pt idx="5">
                  <c:v>1.000000</c:v>
                </c:pt>
                <c:pt idx="6">
                  <c:v>1.000000</c:v>
                </c:pt>
              </c:numCache>
            </c:numRef>
          </c:val>
        </c:ser>
        <c:gapWidth val="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.5"/>
        <c:minorUnit val="1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4523"/>
          <c:y val="0.112901"/>
          <c:w val="0.875045"/>
          <c:h val="0.748358"/>
        </c:manualLayout>
      </c:layout>
      <c:lineChart>
        <c:grouping val="standard"/>
        <c:varyColors val="0"/>
        <c:ser>
          <c:idx val="0"/>
          <c:order val="0"/>
          <c:tx>
            <c:strRef>
              <c:f>'Лист 1 - Количество персонала в'!$J$6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009EF9"/>
              </a:solidFill>
              <a:prstDash val="solid"/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9525" cap="flat">
                <a:solidFill>
                  <a:srgbClr val="009EF9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6785-23214</c:v>
              </c:pt>
              <c:pt idx="1">
                <c:v>23215-39645</c:v>
              </c:pt>
              <c:pt idx="2">
                <c:v>39636-56075</c:v>
              </c:pt>
              <c:pt idx="3">
                <c:v>56076-72505</c:v>
              </c:pt>
              <c:pt idx="4">
                <c:v>72506-88935</c:v>
              </c:pt>
              <c:pt idx="5">
                <c:v>88936-105366</c:v>
              </c:pt>
              <c:pt idx="6">
                <c:v>105367-121797</c:v>
              </c:pt>
            </c:strLit>
          </c:cat>
          <c:val>
            <c:numRef>
              <c:f>'Лист 1 - Количество персонала в'!$J$7:$J$13</c:f>
              <c:numCache>
                <c:ptCount val="7"/>
                <c:pt idx="0">
                  <c:v>12.000000</c:v>
                </c:pt>
                <c:pt idx="1">
                  <c:v>14.000000</c:v>
                </c:pt>
                <c:pt idx="2">
                  <c:v>10.000000</c:v>
                </c:pt>
                <c:pt idx="3">
                  <c:v>4.000000</c:v>
                </c:pt>
                <c:pt idx="4">
                  <c:v>2.000000</c:v>
                </c:pt>
                <c:pt idx="5">
                  <c:v>1.000000</c:v>
                </c:pt>
                <c:pt idx="6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.5"/>
        <c:minorUnit val="1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888888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4248"/>
          <c:y val="0.0773391"/>
          <c:w val="0.937575"/>
          <c:h val="0.791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'Лист 1 - Количество персонала в'!$I$6</c:f>
              <c:strCache>
                <c:ptCount val="1"/>
                <c:pt idx="0">
                  <c:v>Накопленная частота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6785-23214</c:v>
              </c:pt>
              <c:pt idx="1">
                <c:v>23215-39645</c:v>
              </c:pt>
              <c:pt idx="2">
                <c:v>39636-56075</c:v>
              </c:pt>
              <c:pt idx="3">
                <c:v>56076-72505</c:v>
              </c:pt>
              <c:pt idx="4">
                <c:v>72506-88935</c:v>
              </c:pt>
              <c:pt idx="5">
                <c:v>88936-105366</c:v>
              </c:pt>
              <c:pt idx="6">
                <c:v>105367-121797</c:v>
              </c:pt>
            </c:strLit>
          </c:cat>
          <c:val>
            <c:numRef>
              <c:f>'Лист 1 - Количество персонала в'!$I$7:$I$13</c:f>
              <c:numCache>
                <c:ptCount val="7"/>
                <c:pt idx="0">
                  <c:v>12.000000</c:v>
                </c:pt>
                <c:pt idx="1">
                  <c:v>26.000000</c:v>
                </c:pt>
                <c:pt idx="2">
                  <c:v>36.000000</c:v>
                </c:pt>
                <c:pt idx="3">
                  <c:v>40.000000</c:v>
                </c:pt>
                <c:pt idx="4">
                  <c:v>42.000000</c:v>
                </c:pt>
                <c:pt idx="5">
                  <c:v>43.000000</c:v>
                </c:pt>
                <c:pt idx="6">
                  <c:v>44.000000</c:v>
                </c:pt>
              </c:numCache>
            </c:numRef>
          </c:val>
        </c:ser>
        <c:gapWidth val="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.5"/>
        <c:minorUnit val="6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05198"/>
          <c:y val="0.0471885"/>
          <c:w val="0.93448"/>
          <c:h val="0.867911"/>
        </c:manualLayout>
      </c:layout>
      <c:lineChart>
        <c:grouping val="standard"/>
        <c:varyColors val="0"/>
        <c:ser>
          <c:idx val="0"/>
          <c:order val="0"/>
          <c:tx>
            <c:v>Новая 1</c:v>
          </c:tx>
          <c:spPr>
            <a:solidFill>
              <a:schemeClr val="accent1"/>
            </a:solidFill>
            <a:ln w="47625" cap="flat">
              <a:solidFill>
                <a:srgbClr val="009EF9"/>
              </a:solidFill>
              <a:prstDash val="solid"/>
              <a:round/>
            </a:ln>
            <a:effectLst/>
          </c:spPr>
          <c:marker>
            <c:symbol val="none"/>
            <c:size val="9"/>
            <c:spPr>
              <a:solidFill>
                <a:schemeClr val="accent1"/>
              </a:solidFill>
              <a:ln w="9525" cap="flat">
                <a:solidFill>
                  <a:srgbClr val="009EF9"/>
                </a:solidFill>
                <a:prstDash val="solid"/>
                <a:round/>
              </a:ln>
              <a:effectLst/>
            </c:spPr>
          </c:marker>
          <c:dLbls>
            <c:numFmt formatCode="#,##0.00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2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  <c:pt idx="7">
                <c:v/>
              </c:pt>
              <c:pt idx="8">
                <c:v/>
              </c:pt>
              <c:pt idx="9">
                <c:v/>
              </c:pt>
              <c:pt idx="10">
                <c:v/>
              </c:pt>
              <c:pt idx="11">
                <c:v/>
              </c:pt>
              <c:pt idx="12">
                <c:v/>
              </c:pt>
              <c:pt idx="13">
                <c:v/>
              </c:pt>
              <c:pt idx="14">
                <c:v/>
              </c:pt>
              <c:pt idx="15">
                <c:v/>
              </c:pt>
              <c:pt idx="16">
                <c:v/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</c:strLit>
          </c:cat>
          <c:val>
            <c:numRef>
              <c:f>'Лист 1 - Количество персонала в'!$O$25:$O$46</c:f>
              <c:numCache>
                <c:ptCount val="22"/>
                <c:pt idx="0">
                  <c:v>5000.000000</c:v>
                </c:pt>
                <c:pt idx="1">
                  <c:v>10000.000000</c:v>
                </c:pt>
                <c:pt idx="2">
                  <c:v>15000.000000</c:v>
                </c:pt>
                <c:pt idx="3">
                  <c:v>20000.000000</c:v>
                </c:pt>
                <c:pt idx="4">
                  <c:v>25000.000000</c:v>
                </c:pt>
                <c:pt idx="5">
                  <c:v>30000.000000</c:v>
                </c:pt>
                <c:pt idx="6">
                  <c:v>35000.000000</c:v>
                </c:pt>
                <c:pt idx="7">
                  <c:v>40000.000000</c:v>
                </c:pt>
                <c:pt idx="8">
                  <c:v>45000.000000</c:v>
                </c:pt>
                <c:pt idx="9">
                  <c:v>50000.000000</c:v>
                </c:pt>
                <c:pt idx="10">
                  <c:v>55000.000000</c:v>
                </c:pt>
                <c:pt idx="11">
                  <c:v>60000.000000</c:v>
                </c:pt>
                <c:pt idx="12">
                  <c:v>65000.000000</c:v>
                </c:pt>
                <c:pt idx="13">
                  <c:v>70000.000000</c:v>
                </c:pt>
                <c:pt idx="14">
                  <c:v>75000.000000</c:v>
                </c:pt>
                <c:pt idx="15">
                  <c:v>80000.000000</c:v>
                </c:pt>
                <c:pt idx="16">
                  <c:v>85000.000000</c:v>
                </c:pt>
                <c:pt idx="17">
                  <c:v>90000.000000</c:v>
                </c:pt>
                <c:pt idx="18">
                  <c:v>95000.000000</c:v>
                </c:pt>
                <c:pt idx="19">
                  <c:v>100000.000000</c:v>
                </c:pt>
                <c:pt idx="20">
                  <c:v>105000.000000</c:v>
                </c:pt>
                <c:pt idx="21">
                  <c:v>110000.000000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#,##0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00"/>
        <c:minorUnit val="75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5371"/>
          <c:y val="0.054927"/>
          <c:w val="0.769247"/>
          <c:h val="0.903226"/>
        </c:manualLayout>
      </c:layout>
      <c:lineChart>
        <c:grouping val="standard"/>
        <c:varyColors val="0"/>
        <c:ser>
          <c:idx val="0"/>
          <c:order val="0"/>
          <c:tx>
            <c:strRef>
              <c:f>'Лист 1 - Количество персонала в'!$B$2</c:f>
              <c:strCache>
                <c:ptCount val="1"/>
                <c:pt idx="0">
                  <c:v>Персонал (ранжированные)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009EF9"/>
              </a:solidFill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 cap="flat">
                <a:solidFill>
                  <a:srgbClr val="009EF9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1 - Количество персонала в'!$A$3:$A$46</c:f>
              <c:strCache>
                <c:ptCount val="44"/>
                <c:pt idx="0">
                  <c:v>Сургутнефтегаз</c:v>
                </c:pt>
                <c:pt idx="1">
                  <c:v>Лукойл</c:v>
                </c:pt>
                <c:pt idx="2">
                  <c:v>Норильский никель</c:v>
                </c:pt>
                <c:pt idx="3">
                  <c:v>Группа УГМК</c:v>
                </c:pt>
                <c:pt idx="4">
                  <c:v>Evraz</c:v>
                </c:pt>
                <c:pt idx="5">
                  <c:v>UC Rusal</c:v>
                </c:pt>
                <c:pt idx="6">
                  <c:v>Локомотивные технологии</c:v>
                </c:pt>
                <c:pt idx="7">
                  <c:v>Мечел</c:v>
                </c:pt>
                <c:pt idx="8">
                  <c:v>Татнефть</c:v>
                </c:pt>
                <c:pt idx="9">
                  <c:v>НЛМК</c:v>
                </c:pt>
                <c:pt idx="10">
                  <c:v>Северсталь</c:v>
                </c:pt>
                <c:pt idx="11">
                  <c:v>Металлоинвест</c:v>
                </c:pt>
                <c:pt idx="12">
                  <c:v>Т Плюс</c:v>
                </c:pt>
                <c:pt idx="13">
                  <c:v>Ташир</c:v>
                </c:pt>
                <c:pt idx="14">
                  <c:v>Лента</c:v>
                </c:pt>
                <c:pt idx="15">
                  <c:v>Группа Альфа-банк</c:v>
                </c:pt>
                <c:pt idx="16">
                  <c:v>Группа ГАЗ</c:v>
                </c:pt>
                <c:pt idx="17">
                  <c:v>VEON (Vimpelcom)</c:v>
                </c:pt>
                <c:pt idx="18">
                  <c:v>Трансмашхолдинг</c:v>
                </c:pt>
                <c:pt idx="19">
                  <c:v>Мегафон</c:v>
                </c:pt>
                <c:pt idx="20">
                  <c:v>ТМК</c:v>
                </c:pt>
                <c:pt idx="21">
                  <c:v>СУЭК</c:v>
                </c:pt>
                <c:pt idx="22">
                  <c:v>Евросибэнерго</c:v>
                </c:pt>
                <c:pt idx="23">
                  <c:v>Мостотрест</c:v>
                </c:pt>
                <c:pt idx="24">
                  <c:v>Связной</c:v>
                </c:pt>
                <c:pt idx="25">
                  <c:v>Синара</c:v>
                </c:pt>
                <c:pt idx="26">
                  <c:v>МТС</c:v>
                </c:pt>
                <c:pt idx="27">
                  <c:v>Сибур</c:v>
                </c:pt>
                <c:pt idx="28">
                  <c:v>Мираторг</c:v>
                </c:pt>
                <c:pt idx="29">
                  <c:v>Еврохим</c:v>
                </c:pt>
                <c:pt idx="30">
                  <c:v>ЧТПЗ</c:v>
                </c:pt>
                <c:pt idx="31">
                  <c:v>Киевская площадь</c:v>
                </c:pt>
                <c:pt idx="32">
                  <c:v>ОМК</c:v>
                </c:pt>
                <c:pt idx="33">
                  <c:v>О'Кей</c:v>
                </c:pt>
                <c:pt idx="34">
                  <c:v>Группа Черкизово</c:v>
                </c:pt>
                <c:pt idx="35">
                  <c:v>Спортмастер</c:v>
                </c:pt>
                <c:pt idx="36">
                  <c:v>Полюс</c:v>
                </c:pt>
                <c:pt idx="37">
                  <c:v>ММК</c:v>
                </c:pt>
                <c:pt idx="38">
                  <c:v>Илим</c:v>
                </c:pt>
                <c:pt idx="39">
                  <c:v>Фосагро</c:v>
                </c:pt>
                <c:pt idx="40">
                  <c:v>Стройгазмонтаж</c:v>
                </c:pt>
                <c:pt idx="41">
                  <c:v>КДВ Групп</c:v>
                </c:pt>
                <c:pt idx="42">
                  <c:v>Стройгазмонтаж</c:v>
                </c:pt>
                <c:pt idx="43">
                  <c:v>Протек</c:v>
                </c:pt>
              </c:strCache>
            </c:strRef>
          </c:cat>
          <c:val>
            <c:numRef>
              <c:f>'Лист 1 - Количество персонала в'!$B$3:$B$46</c:f>
              <c:numCache>
                <c:ptCount val="44"/>
                <c:pt idx="0">
                  <c:v>15000.000000</c:v>
                </c:pt>
                <c:pt idx="1">
                  <c:v>16001.000000</c:v>
                </c:pt>
                <c:pt idx="2">
                  <c:v>16000.000000</c:v>
                </c:pt>
                <c:pt idx="3">
                  <c:v>16002.000000</c:v>
                </c:pt>
                <c:pt idx="4">
                  <c:v>17220.000000</c:v>
                </c:pt>
                <c:pt idx="5">
                  <c:v>17232.000000</c:v>
                </c:pt>
                <c:pt idx="6">
                  <c:v>17955.000000</c:v>
                </c:pt>
                <c:pt idx="7">
                  <c:v>18943.000000</c:v>
                </c:pt>
                <c:pt idx="8">
                  <c:v>20000.000000</c:v>
                </c:pt>
                <c:pt idx="9">
                  <c:v>23001.000000</c:v>
                </c:pt>
                <c:pt idx="10">
                  <c:v>23000.000000</c:v>
                </c:pt>
                <c:pt idx="11">
                  <c:v>23035.000000</c:v>
                </c:pt>
                <c:pt idx="12">
                  <c:v>25020.000000</c:v>
                </c:pt>
                <c:pt idx="13">
                  <c:v>25000.000000</c:v>
                </c:pt>
                <c:pt idx="14">
                  <c:v>25700.000000</c:v>
                </c:pt>
                <c:pt idx="15">
                  <c:v>26000.000000</c:v>
                </c:pt>
                <c:pt idx="16">
                  <c:v>27344.000000</c:v>
                </c:pt>
                <c:pt idx="17">
                  <c:v>27886.000000</c:v>
                </c:pt>
                <c:pt idx="18">
                  <c:v>28448.000000</c:v>
                </c:pt>
                <c:pt idx="19">
                  <c:v>30005.000000</c:v>
                </c:pt>
                <c:pt idx="20">
                  <c:v>30000.000000</c:v>
                </c:pt>
                <c:pt idx="21">
                  <c:v>30095.000000</c:v>
                </c:pt>
                <c:pt idx="22">
                  <c:v>33583.000000</c:v>
                </c:pt>
                <c:pt idx="23">
                  <c:v>38934.000000</c:v>
                </c:pt>
                <c:pt idx="24">
                  <c:v>39126.000000</c:v>
                </c:pt>
                <c:pt idx="25">
                  <c:v>39200.000000</c:v>
                </c:pt>
                <c:pt idx="26">
                  <c:v>40000.000000</c:v>
                </c:pt>
                <c:pt idx="27">
                  <c:v>41000.000000</c:v>
                </c:pt>
                <c:pt idx="28">
                  <c:v>41510.000000</c:v>
                </c:pt>
                <c:pt idx="29">
                  <c:v>42366.000000</c:v>
                </c:pt>
                <c:pt idx="30">
                  <c:v>45000.000000</c:v>
                </c:pt>
                <c:pt idx="31">
                  <c:v>47000.000000</c:v>
                </c:pt>
                <c:pt idx="32">
                  <c:v>48527.000000</c:v>
                </c:pt>
                <c:pt idx="33">
                  <c:v>49462.000000</c:v>
                </c:pt>
                <c:pt idx="34">
                  <c:v>53200.000000</c:v>
                </c:pt>
                <c:pt idx="35">
                  <c:v>54000.000000</c:v>
                </c:pt>
                <c:pt idx="36">
                  <c:v>60000.000000</c:v>
                </c:pt>
                <c:pt idx="37">
                  <c:v>60587.000000</c:v>
                </c:pt>
                <c:pt idx="38">
                  <c:v>61976.000000</c:v>
                </c:pt>
                <c:pt idx="39">
                  <c:v>70200.000000</c:v>
                </c:pt>
                <c:pt idx="40">
                  <c:v>75452.000000</c:v>
                </c:pt>
                <c:pt idx="41">
                  <c:v>79000.000000</c:v>
                </c:pt>
                <c:pt idx="42">
                  <c:v>103600.000000</c:v>
                </c:pt>
                <c:pt idx="43">
                  <c:v>113582.000000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49</xdr:row>
      <xdr:rowOff>146021</xdr:rowOff>
    </xdr:from>
    <xdr:to>
      <xdr:col>9</xdr:col>
      <xdr:colOff>583890</xdr:colOff>
      <xdr:row>62</xdr:row>
      <xdr:rowOff>95913</xdr:rowOff>
    </xdr:to>
    <xdr:graphicFrame>
      <xdr:nvGraphicFramePr>
        <xdr:cNvPr id="2" name="Двухмерная столбчатая диаграмма"/>
        <xdr:cNvGraphicFramePr/>
      </xdr:nvGraphicFramePr>
      <xdr:xfrm>
        <a:off x="-394037" y="20836861"/>
        <a:ext cx="12051991" cy="323538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65</xdr:row>
      <xdr:rowOff>79223</xdr:rowOff>
    </xdr:from>
    <xdr:to>
      <xdr:col>9</xdr:col>
      <xdr:colOff>582142</xdr:colOff>
      <xdr:row>78</xdr:row>
      <xdr:rowOff>111665</xdr:rowOff>
    </xdr:to>
    <xdr:graphicFrame>
      <xdr:nvGraphicFramePr>
        <xdr:cNvPr id="3" name="Двухмерная линейная диаграмма"/>
        <xdr:cNvGraphicFramePr/>
      </xdr:nvGraphicFramePr>
      <xdr:xfrm>
        <a:off x="-394037" y="24813743"/>
        <a:ext cx="12050244" cy="331793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83</xdr:row>
      <xdr:rowOff>29013</xdr:rowOff>
    </xdr:from>
    <xdr:to>
      <xdr:col>9</xdr:col>
      <xdr:colOff>587924</xdr:colOff>
      <xdr:row>97</xdr:row>
      <xdr:rowOff>20690</xdr:rowOff>
    </xdr:to>
    <xdr:graphicFrame>
      <xdr:nvGraphicFramePr>
        <xdr:cNvPr id="4" name="Двухмерная столбчатая диаграмма"/>
        <xdr:cNvGraphicFramePr/>
      </xdr:nvGraphicFramePr>
      <xdr:xfrm>
        <a:off x="-396209" y="29312673"/>
        <a:ext cx="12056025" cy="352989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0</xdr:col>
      <xdr:colOff>0</xdr:colOff>
      <xdr:row>100</xdr:row>
      <xdr:rowOff>103079</xdr:rowOff>
    </xdr:from>
    <xdr:to>
      <xdr:col>13</xdr:col>
      <xdr:colOff>243394</xdr:colOff>
      <xdr:row>123</xdr:row>
      <xdr:rowOff>75578</xdr:rowOff>
    </xdr:to>
    <xdr:graphicFrame>
      <xdr:nvGraphicFramePr>
        <xdr:cNvPr id="5" name="Двухмерная линейная диаграмма"/>
        <xdr:cNvGraphicFramePr/>
      </xdr:nvGraphicFramePr>
      <xdr:xfrm>
        <a:off x="-369443" y="33683149"/>
        <a:ext cx="16689895" cy="57852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</xdr:col>
      <xdr:colOff>788444</xdr:colOff>
      <xdr:row>121</xdr:row>
      <xdr:rowOff>134085</xdr:rowOff>
    </xdr:from>
    <xdr:to>
      <xdr:col>1</xdr:col>
      <xdr:colOff>1193797</xdr:colOff>
      <xdr:row>123</xdr:row>
      <xdr:rowOff>59414</xdr:rowOff>
    </xdr:to>
    <xdr:sp>
      <xdr:nvSpPr>
        <xdr:cNvPr id="6" name="12"/>
        <xdr:cNvSpPr txBox="1"/>
      </xdr:nvSpPr>
      <xdr:spPr>
        <a:xfrm>
          <a:off x="2033044" y="39021485"/>
          <a:ext cx="405354" cy="43079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12</a:t>
          </a:r>
        </a:p>
      </xdr:txBody>
    </xdr:sp>
    <xdr:clientData/>
  </xdr:twoCellAnchor>
  <xdr:twoCellAnchor>
    <xdr:from>
      <xdr:col>3</xdr:col>
      <xdr:colOff>336749</xdr:colOff>
      <xdr:row>121</xdr:row>
      <xdr:rowOff>134085</xdr:rowOff>
    </xdr:from>
    <xdr:to>
      <xdr:col>3</xdr:col>
      <xdr:colOff>742103</xdr:colOff>
      <xdr:row>123</xdr:row>
      <xdr:rowOff>59414</xdr:rowOff>
    </xdr:to>
    <xdr:sp>
      <xdr:nvSpPr>
        <xdr:cNvPr id="7" name="26"/>
        <xdr:cNvSpPr txBox="1"/>
      </xdr:nvSpPr>
      <xdr:spPr>
        <a:xfrm>
          <a:off x="4337249" y="39021485"/>
          <a:ext cx="405355" cy="43079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26</a:t>
          </a:r>
        </a:p>
      </xdr:txBody>
    </xdr:sp>
    <xdr:clientData/>
  </xdr:twoCellAnchor>
  <xdr:twoCellAnchor>
    <xdr:from>
      <xdr:col>5</xdr:col>
      <xdr:colOff>151755</xdr:colOff>
      <xdr:row>121</xdr:row>
      <xdr:rowOff>134085</xdr:rowOff>
    </xdr:from>
    <xdr:to>
      <xdr:col>5</xdr:col>
      <xdr:colOff>557108</xdr:colOff>
      <xdr:row>123</xdr:row>
      <xdr:rowOff>59414</xdr:rowOff>
    </xdr:to>
    <xdr:sp>
      <xdr:nvSpPr>
        <xdr:cNvPr id="8" name="36"/>
        <xdr:cNvSpPr txBox="1"/>
      </xdr:nvSpPr>
      <xdr:spPr>
        <a:xfrm>
          <a:off x="6641455" y="39021485"/>
          <a:ext cx="405354" cy="43079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36</a:t>
          </a:r>
        </a:p>
      </xdr:txBody>
    </xdr:sp>
    <xdr:clientData/>
  </xdr:twoCellAnchor>
  <xdr:twoCellAnchor>
    <xdr:from>
      <xdr:col>6</xdr:col>
      <xdr:colOff>1211360</xdr:colOff>
      <xdr:row>121</xdr:row>
      <xdr:rowOff>134085</xdr:rowOff>
    </xdr:from>
    <xdr:to>
      <xdr:col>7</xdr:col>
      <xdr:colOff>372114</xdr:colOff>
      <xdr:row>123</xdr:row>
      <xdr:rowOff>59414</xdr:rowOff>
    </xdr:to>
    <xdr:sp>
      <xdr:nvSpPr>
        <xdr:cNvPr id="9" name="40"/>
        <xdr:cNvSpPr txBox="1"/>
      </xdr:nvSpPr>
      <xdr:spPr>
        <a:xfrm>
          <a:off x="8945660" y="39021485"/>
          <a:ext cx="405355" cy="43079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40</a:t>
          </a:r>
        </a:p>
      </xdr:txBody>
    </xdr:sp>
    <xdr:clientData/>
  </xdr:twoCellAnchor>
  <xdr:twoCellAnchor>
    <xdr:from>
      <xdr:col>8</xdr:col>
      <xdr:colOff>1041923</xdr:colOff>
      <xdr:row>121</xdr:row>
      <xdr:rowOff>134085</xdr:rowOff>
    </xdr:from>
    <xdr:to>
      <xdr:col>9</xdr:col>
      <xdr:colOff>202676</xdr:colOff>
      <xdr:row>123</xdr:row>
      <xdr:rowOff>59414</xdr:rowOff>
    </xdr:to>
    <xdr:sp>
      <xdr:nvSpPr>
        <xdr:cNvPr id="10" name="42"/>
        <xdr:cNvSpPr txBox="1"/>
      </xdr:nvSpPr>
      <xdr:spPr>
        <a:xfrm>
          <a:off x="11265423" y="39021485"/>
          <a:ext cx="405354" cy="43079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42</a:t>
          </a:r>
        </a:p>
      </xdr:txBody>
    </xdr:sp>
    <xdr:clientData/>
  </xdr:twoCellAnchor>
  <xdr:twoCellAnchor>
    <xdr:from>
      <xdr:col>10</xdr:col>
      <xdr:colOff>872485</xdr:colOff>
      <xdr:row>121</xdr:row>
      <xdr:rowOff>89826</xdr:rowOff>
    </xdr:from>
    <xdr:to>
      <xdr:col>11</xdr:col>
      <xdr:colOff>33239</xdr:colOff>
      <xdr:row>123</xdr:row>
      <xdr:rowOff>15156</xdr:rowOff>
    </xdr:to>
    <xdr:sp>
      <xdr:nvSpPr>
        <xdr:cNvPr id="11" name="43"/>
        <xdr:cNvSpPr txBox="1"/>
      </xdr:nvSpPr>
      <xdr:spPr>
        <a:xfrm>
          <a:off x="13585185" y="38977226"/>
          <a:ext cx="405355" cy="43079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43</a:t>
          </a:r>
        </a:p>
      </xdr:txBody>
    </xdr:sp>
    <xdr:clientData/>
  </xdr:twoCellAnchor>
  <xdr:twoCellAnchor>
    <xdr:from>
      <xdr:col>12</xdr:col>
      <xdr:colOff>703048</xdr:colOff>
      <xdr:row>121</xdr:row>
      <xdr:rowOff>134085</xdr:rowOff>
    </xdr:from>
    <xdr:to>
      <xdr:col>12</xdr:col>
      <xdr:colOff>1108401</xdr:colOff>
      <xdr:row>123</xdr:row>
      <xdr:rowOff>59414</xdr:rowOff>
    </xdr:to>
    <xdr:sp>
      <xdr:nvSpPr>
        <xdr:cNvPr id="12" name="44"/>
        <xdr:cNvSpPr txBox="1"/>
      </xdr:nvSpPr>
      <xdr:spPr>
        <a:xfrm>
          <a:off x="15904948" y="39021485"/>
          <a:ext cx="405354" cy="43079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44</a:t>
          </a:r>
        </a:p>
      </xdr:txBody>
    </xdr:sp>
    <xdr:clientData/>
  </xdr:twoCellAnchor>
  <xdr:twoCellAnchor>
    <xdr:from>
      <xdr:col>11</xdr:col>
      <xdr:colOff>483470</xdr:colOff>
      <xdr:row>49</xdr:row>
      <xdr:rowOff>146021</xdr:rowOff>
    </xdr:from>
    <xdr:to>
      <xdr:col>18</xdr:col>
      <xdr:colOff>1051707</xdr:colOff>
      <xdr:row>69</xdr:row>
      <xdr:rowOff>61639</xdr:rowOff>
    </xdr:to>
    <xdr:graphicFrame>
      <xdr:nvGraphicFramePr>
        <xdr:cNvPr id="13" name="Двухмерная линейная диаграмма"/>
        <xdr:cNvGraphicFramePr/>
      </xdr:nvGraphicFramePr>
      <xdr:xfrm>
        <a:off x="14440770" y="20836861"/>
        <a:ext cx="9305838" cy="49702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P48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8.3516" style="1" customWidth="1"/>
    <col min="3" max="3" width="17.8516" style="1" customWidth="1"/>
    <col min="4" max="14" width="16.3516" style="1" customWidth="1"/>
    <col min="15" max="15" width="16.6719" style="1" customWidth="1"/>
    <col min="16" max="16" width="16.3516" style="101" customWidth="1"/>
    <col min="17" max="16384" width="16.3516" style="101" customWidth="1"/>
  </cols>
  <sheetData>
    <row r="1" ht="28.6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ht="33.15" customHeight="1">
      <c r="A2" t="s" s="5">
        <v>1</v>
      </c>
      <c r="B2" t="s" s="5">
        <v>2</v>
      </c>
      <c r="C2" t="s" s="6">
        <v>3</v>
      </c>
      <c r="D2" s="7"/>
      <c r="E2" s="8"/>
      <c r="F2" s="8"/>
      <c r="G2" s="8"/>
      <c r="H2" s="8"/>
      <c r="I2" s="8"/>
      <c r="J2" s="7"/>
      <c r="K2" s="7"/>
      <c r="L2" s="7"/>
      <c r="M2" s="7"/>
      <c r="N2" s="7"/>
      <c r="O2" s="7"/>
    </row>
    <row r="3" ht="42" customHeight="1">
      <c r="A3" t="s" s="9">
        <v>4</v>
      </c>
      <c r="B3" s="10">
        <v>15000</v>
      </c>
      <c r="C3" s="11">
        <v>103600</v>
      </c>
      <c r="D3" s="12"/>
      <c r="E3" t="s" s="13">
        <v>5</v>
      </c>
      <c r="F3" t="s" s="13">
        <v>6</v>
      </c>
      <c r="G3" t="s" s="13">
        <v>7</v>
      </c>
      <c r="H3" t="s" s="13">
        <v>8</v>
      </c>
      <c r="I3" t="s" s="13">
        <v>9</v>
      </c>
      <c r="J3" s="14"/>
      <c r="K3" s="15"/>
      <c r="L3" s="15"/>
      <c r="M3" s="15"/>
      <c r="N3" s="15"/>
      <c r="O3" s="15"/>
    </row>
    <row r="4" ht="25.5" customHeight="1">
      <c r="A4" t="s" s="16">
        <v>10</v>
      </c>
      <c r="B4" s="10">
        <v>16001</v>
      </c>
      <c r="C4" s="10">
        <v>113582</v>
      </c>
      <c r="D4" s="17"/>
      <c r="E4" s="18">
        <f>MIN(B3:B46)</f>
        <v>15000</v>
      </c>
      <c r="F4" s="18">
        <f>MAX(B3:B46)</f>
        <v>113582</v>
      </c>
      <c r="G4" s="18">
        <f>F4-E4</f>
        <v>98582</v>
      </c>
      <c r="H4" s="19">
        <f>ROUND(1+3.222*LOG(44,10),0)</f>
        <v>6</v>
      </c>
      <c r="I4" s="18">
        <f>(F4-E4)/H4</f>
        <v>16430.3333333333</v>
      </c>
      <c r="J4" s="20"/>
      <c r="K4" s="21"/>
      <c r="L4" s="21"/>
      <c r="M4" s="21"/>
      <c r="N4" s="21"/>
      <c r="O4" s="21"/>
    </row>
    <row r="5" ht="35.5" customHeight="1">
      <c r="A5" t="s" s="22">
        <v>11</v>
      </c>
      <c r="B5" s="10">
        <v>16000</v>
      </c>
      <c r="C5" s="10">
        <v>54000</v>
      </c>
      <c r="D5" s="21"/>
      <c r="E5" s="23"/>
      <c r="F5" s="23"/>
      <c r="G5" s="23"/>
      <c r="H5" s="24">
        <f>ROUND(5*LOG(44,10),0)</f>
        <v>8</v>
      </c>
      <c r="I5" s="23"/>
      <c r="J5" s="25"/>
      <c r="K5" s="21"/>
      <c r="L5" s="21"/>
      <c r="M5" s="21"/>
      <c r="N5" s="21"/>
      <c r="O5" s="21"/>
    </row>
    <row r="6" ht="45.7" customHeight="1">
      <c r="A6" t="s" s="22">
        <v>12</v>
      </c>
      <c r="B6" s="10">
        <v>16002</v>
      </c>
      <c r="C6" s="10">
        <v>70200</v>
      </c>
      <c r="D6" s="26"/>
      <c r="E6" t="s" s="13">
        <v>13</v>
      </c>
      <c r="F6" t="s" s="13">
        <v>14</v>
      </c>
      <c r="G6" t="s" s="13">
        <v>15</v>
      </c>
      <c r="H6" t="s" s="13">
        <v>16</v>
      </c>
      <c r="I6" t="s" s="13">
        <v>17</v>
      </c>
      <c r="J6" t="s" s="13">
        <v>18</v>
      </c>
      <c r="K6" s="27"/>
      <c r="L6" s="21"/>
      <c r="M6" s="21"/>
      <c r="N6" s="21"/>
      <c r="O6" s="21"/>
    </row>
    <row r="7" ht="51.2" customHeight="1">
      <c r="A7" t="s" s="22">
        <v>19</v>
      </c>
      <c r="B7" s="10">
        <v>17220</v>
      </c>
      <c r="C7" s="10">
        <v>53200</v>
      </c>
      <c r="D7" s="17"/>
      <c r="E7" s="28">
        <f>E4-I4/2</f>
        <v>6784.833333333350</v>
      </c>
      <c r="F7" s="28">
        <f>E8-1</f>
        <v>23214.1666666667</v>
      </c>
      <c r="G7" s="18">
        <f>(E7+F7)/2</f>
        <v>14999.5</v>
      </c>
      <c r="H7" s="18">
        <f>G7*J7</f>
        <v>179994</v>
      </c>
      <c r="I7" s="19">
        <f>FREQUENCY(B3:B46,F7:F14)</f>
        <v>12</v>
      </c>
      <c r="J7" s="19">
        <f>I7</f>
        <v>12</v>
      </c>
      <c r="K7" t="s" s="29">
        <v>20</v>
      </c>
      <c r="L7" s="21"/>
      <c r="M7" s="21"/>
      <c r="N7" s="21"/>
      <c r="O7" s="21"/>
    </row>
    <row r="8" ht="92.7" customHeight="1">
      <c r="A8" t="s" s="22">
        <v>21</v>
      </c>
      <c r="B8" s="10">
        <v>17232</v>
      </c>
      <c r="C8" s="10">
        <v>61976</v>
      </c>
      <c r="D8" s="17"/>
      <c r="E8" s="30">
        <f>E7+I4</f>
        <v>23215.1666666667</v>
      </c>
      <c r="F8" s="30">
        <f>E9-1</f>
        <v>39644.5</v>
      </c>
      <c r="G8" s="31">
        <f>(E8+F8)/2</f>
        <v>31429.8333333334</v>
      </c>
      <c r="H8" s="31">
        <f>G8*J8</f>
        <v>440017.666666668</v>
      </c>
      <c r="I8" s="32">
        <f>FREQUENCY(B3:B46,F8:F14)</f>
        <v>26</v>
      </c>
      <c r="J8" s="32">
        <f>I8-I7</f>
        <v>14</v>
      </c>
      <c r="K8" t="s" s="33">
        <v>22</v>
      </c>
      <c r="L8" s="21"/>
      <c r="M8" s="21"/>
      <c r="N8" s="21"/>
      <c r="O8" s="21"/>
    </row>
    <row r="9" ht="44.7" customHeight="1">
      <c r="A9" t="s" s="22">
        <v>23</v>
      </c>
      <c r="B9" s="10">
        <v>17955</v>
      </c>
      <c r="C9" s="10">
        <v>40000</v>
      </c>
      <c r="D9" s="17"/>
      <c r="E9" s="34">
        <f>E8+I4</f>
        <v>39645.5</v>
      </c>
      <c r="F9" s="34">
        <f>E10-1</f>
        <v>56074.8333333333</v>
      </c>
      <c r="G9" s="31">
        <f>(E9+F9)/2</f>
        <v>47860.1666666667</v>
      </c>
      <c r="H9" s="31">
        <f>G9*J9</f>
        <v>478601.666666667</v>
      </c>
      <c r="I9" s="32">
        <f>FREQUENCY(B3:B46,F9:F14)</f>
        <v>36</v>
      </c>
      <c r="J9" s="32">
        <f>I9-I8</f>
        <v>10</v>
      </c>
      <c r="K9" t="s" s="35">
        <v>24</v>
      </c>
      <c r="L9" s="21"/>
      <c r="M9" s="21"/>
      <c r="N9" s="21"/>
      <c r="O9" s="21"/>
    </row>
    <row r="10" ht="50.7" customHeight="1">
      <c r="A10" t="s" s="22">
        <v>25</v>
      </c>
      <c r="B10" s="10">
        <v>18943</v>
      </c>
      <c r="C10" s="10">
        <v>79000</v>
      </c>
      <c r="D10" s="17"/>
      <c r="E10" s="36">
        <f>E9+I4</f>
        <v>56075.8333333333</v>
      </c>
      <c r="F10" s="36">
        <f>E11-1</f>
        <v>72505.1666666666</v>
      </c>
      <c r="G10" s="31">
        <f>(E10+F10)/2</f>
        <v>64290.5</v>
      </c>
      <c r="H10" s="31">
        <f>G10*J10</f>
        <v>257162</v>
      </c>
      <c r="I10" s="32">
        <f>FREQUENCY(B3:B46,F10:F14)</f>
        <v>40</v>
      </c>
      <c r="J10" s="32">
        <f>I10-I9</f>
        <v>4</v>
      </c>
      <c r="K10" t="s" s="37">
        <v>26</v>
      </c>
      <c r="L10" s="21"/>
      <c r="M10" s="21"/>
      <c r="N10" s="21"/>
      <c r="O10" s="21"/>
    </row>
    <row r="11" ht="25" customHeight="1">
      <c r="A11" t="s" s="22">
        <v>27</v>
      </c>
      <c r="B11" s="10">
        <v>20000</v>
      </c>
      <c r="C11" s="10">
        <v>27344</v>
      </c>
      <c r="D11" s="17"/>
      <c r="E11" s="31">
        <f>E10+I4</f>
        <v>72506.1666666666</v>
      </c>
      <c r="F11" s="31">
        <f>E12-1</f>
        <v>88935.4999999999</v>
      </c>
      <c r="G11" s="31">
        <f>(E11+F11)/2</f>
        <v>80720.8333333333</v>
      </c>
      <c r="H11" s="31">
        <f>G11*J11</f>
        <v>161441.666666667</v>
      </c>
      <c r="I11" s="32">
        <f>FREQUENCY(B3:B46,F11:F14)</f>
        <v>42</v>
      </c>
      <c r="J11" s="32">
        <f>I11-I10</f>
        <v>2</v>
      </c>
      <c r="K11" s="20"/>
      <c r="L11" s="21"/>
      <c r="M11" s="21"/>
      <c r="N11" s="21"/>
      <c r="O11" s="21"/>
    </row>
    <row r="12" ht="20.7" customHeight="1">
      <c r="A12" t="s" s="22">
        <v>28</v>
      </c>
      <c r="B12" s="10">
        <v>23001</v>
      </c>
      <c r="C12" s="10">
        <v>49462</v>
      </c>
      <c r="D12" s="17"/>
      <c r="E12" s="31">
        <f>E11+I4</f>
        <v>88936.4999999999</v>
      </c>
      <c r="F12" s="31">
        <f>E13-1</f>
        <v>105365.833333333</v>
      </c>
      <c r="G12" s="31">
        <f>(E12+F12)/2</f>
        <v>97151.1666666665</v>
      </c>
      <c r="H12" s="31">
        <f>G12*J12</f>
        <v>97151.1666666665</v>
      </c>
      <c r="I12" s="32">
        <f>FREQUENCY(C3:C46,F12:F14)</f>
        <v>43</v>
      </c>
      <c r="J12" s="32">
        <f>I12-I11</f>
        <v>1</v>
      </c>
      <c r="K12" s="20"/>
      <c r="L12" s="21"/>
      <c r="M12" s="21"/>
      <c r="N12" s="21"/>
      <c r="O12" s="21"/>
    </row>
    <row r="13" ht="25" customHeight="1">
      <c r="A13" t="s" s="22">
        <v>29</v>
      </c>
      <c r="B13" s="10">
        <v>23000</v>
      </c>
      <c r="C13" s="10">
        <v>27886</v>
      </c>
      <c r="D13" s="17"/>
      <c r="E13" s="31">
        <f>E12+I4</f>
        <v>105366.833333333</v>
      </c>
      <c r="F13" s="31">
        <f>E13+I4</f>
        <v>121797.166666666</v>
      </c>
      <c r="G13" s="31">
        <f>(E13+F13)/2</f>
        <v>113582</v>
      </c>
      <c r="H13" s="31">
        <f>G13*J13</f>
        <v>113582</v>
      </c>
      <c r="I13" s="32">
        <f>FREQUENCY(B3:B46,F13:F14)</f>
        <v>44</v>
      </c>
      <c r="J13" s="32">
        <f>I13-I12</f>
        <v>1</v>
      </c>
      <c r="K13" s="20"/>
      <c r="L13" s="21"/>
      <c r="M13" s="21"/>
      <c r="N13" s="21"/>
      <c r="O13" s="21"/>
    </row>
    <row r="14" ht="35" customHeight="1">
      <c r="A14" t="s" s="22">
        <v>30</v>
      </c>
      <c r="B14" s="10">
        <v>23035</v>
      </c>
      <c r="C14" s="10">
        <v>17955</v>
      </c>
      <c r="D14" s="17"/>
      <c r="E14" s="31"/>
      <c r="F14" s="31"/>
      <c r="G14" s="31"/>
      <c r="H14" s="31"/>
      <c r="I14" s="38"/>
      <c r="J14" s="39"/>
      <c r="K14" s="20"/>
      <c r="L14" s="21"/>
      <c r="M14" s="21"/>
      <c r="N14" s="21"/>
      <c r="O14" s="21"/>
    </row>
    <row r="15" ht="25.5" customHeight="1">
      <c r="A15" t="s" s="22">
        <v>31</v>
      </c>
      <c r="B15" s="10">
        <v>25020</v>
      </c>
      <c r="C15" s="10">
        <v>75452</v>
      </c>
      <c r="D15" s="21"/>
      <c r="E15" s="23"/>
      <c r="F15" s="23"/>
      <c r="G15" s="23"/>
      <c r="H15" s="23"/>
      <c r="I15" s="40"/>
      <c r="J15" s="41"/>
      <c r="K15" s="41"/>
      <c r="L15" s="41"/>
      <c r="M15" s="42"/>
      <c r="N15" s="41"/>
      <c r="O15" s="41"/>
    </row>
    <row r="16" ht="45.2" customHeight="1">
      <c r="A16" t="s" s="22">
        <v>32</v>
      </c>
      <c r="B16" s="10">
        <v>25000</v>
      </c>
      <c r="C16" s="10">
        <v>39126</v>
      </c>
      <c r="D16" s="26"/>
      <c r="E16" t="s" s="13">
        <v>33</v>
      </c>
      <c r="F16" t="s" s="13">
        <v>34</v>
      </c>
      <c r="G16" t="s" s="13">
        <v>35</v>
      </c>
      <c r="H16" t="s" s="13">
        <v>36</v>
      </c>
      <c r="I16" s="27"/>
      <c r="J16" s="23"/>
      <c r="K16" t="s" s="43">
        <v>37</v>
      </c>
      <c r="L16" t="s" s="44">
        <v>38</v>
      </c>
      <c r="M16" s="45"/>
      <c r="N16" t="s" s="46">
        <v>37</v>
      </c>
      <c r="O16" t="s" s="47">
        <v>38</v>
      </c>
    </row>
    <row r="17" ht="25" customHeight="1">
      <c r="A17" t="s" s="22">
        <v>39</v>
      </c>
      <c r="B17" s="10">
        <v>25700</v>
      </c>
      <c r="C17" s="10">
        <v>42366</v>
      </c>
      <c r="D17" s="17"/>
      <c r="E17" s="18">
        <f>(B24+B25)/2</f>
        <v>31839</v>
      </c>
      <c r="F17" s="18">
        <f>E8+(F8-E8)*(22-I7)/J8</f>
        <v>34950.4047619048</v>
      </c>
      <c r="G17" t="s" s="48">
        <v>40</v>
      </c>
      <c r="H17" s="49">
        <f>E8+((F8-E8)*(J8-J7))/((J8-J7)+(J8-J9))</f>
        <v>28691.6111111111</v>
      </c>
      <c r="I17" s="26"/>
      <c r="J17" t="s" s="50">
        <v>41</v>
      </c>
      <c r="K17" t="s" s="50">
        <v>42</v>
      </c>
      <c r="L17" t="s" s="51">
        <v>42</v>
      </c>
      <c r="M17" t="s" s="52">
        <v>43</v>
      </c>
      <c r="N17" t="s" s="50">
        <v>44</v>
      </c>
      <c r="O17" t="s" s="50">
        <v>44</v>
      </c>
    </row>
    <row r="18" ht="41" customHeight="1">
      <c r="A18" t="s" s="22">
        <v>45</v>
      </c>
      <c r="B18" s="10">
        <v>26000</v>
      </c>
      <c r="C18" s="10">
        <v>48527</v>
      </c>
      <c r="D18" s="21"/>
      <c r="E18" t="s" s="53">
        <v>46</v>
      </c>
      <c r="F18" t="s" s="53">
        <v>46</v>
      </c>
      <c r="G18" s="40"/>
      <c r="H18" t="s" s="53">
        <v>46</v>
      </c>
      <c r="I18" s="17"/>
      <c r="J18" s="18">
        <f>AVERAGE(B3:B46)</f>
        <v>39458.9090909091</v>
      </c>
      <c r="K18" s="54">
        <f>(1/44)*(POWER(B3-J18,2)+POWER(B4-J18,2)+POWER(B5-J18,2)+POWER(B6-J18,2)+POWER(B7-J18,2)+POWER(B8-J18,2)+POWER(B9-J18,2)+POWER(B10-J18,2)+POWER(B11-J18,2)+POWER(B12-J18,2)+POWER(B13-J18,2)+POWER(B14-J18,2)+POWER(B15-J18,2)+POWER(B16-J18,2)+POWER(B17-J18,2)+POWER(B18-J18,2)+POWER(B19-J18,2)+POWER(B20-J18,2)+POWER(B21-J18,2)+POWER(B22-J18,2)+POWER(B23-J18,2)+POWER(B24-J18,2)+POWER(B25-J18,2)+POWER(B26-J18,2)+POWER(B27-J18,2)+POWER(B28-J18,2)+POWER(B29-J18,2)+POWER(B30-J18,2)+POWER(B31-J18,2)+POWER(B32-J18,2)+POWER(B33-J18,2)+POWER(B34-J18,2)+POWER(B35-J18,2)+POWER(B36-J18,2)+POWER(B37-J18,2)+POWER(B38-J18,2)+POWER(B39-J18,2)+POWER(B40-J18,2)+POWER(B41-J18,2)+POWER(B42-J18,2)+POWER(B43-J18,2)+POWER(B44-J18,2)+POWER(B45-J18,2)+POWER(B46-J18,2))</f>
        <v>506266169.219008</v>
      </c>
      <c r="L18" s="55">
        <f>(1/44)*(POWER(G7-E27,2)*J7+POWER(G8-E27,2)*J8+POWER(G9-E27,2)*J9+POWER(G10-E27,2)*J10+POWER(G11-E27,2)*J11+POWER(G12-E27,2)*J12+POWER(G13-E27,2)*J13+POWER(G14-E27,2)*J14)</f>
        <v>533638595.443683</v>
      </c>
      <c r="M18" s="56">
        <f>VARP(B3:B46)</f>
        <v>506266169.219008</v>
      </c>
      <c r="N18" s="57">
        <f>(POWER(B3-J18,2)+POWER(B4-J18,2)+POWER(B5-J18,2)+POWER(B6-J18,2)+POWER(B7-J18,2)+POWER(B8-J18,2)+POWER(B9-J18,2)+POWER(B10-J18,2)+POWER(B11-J18,2)+POWER(B12-J18,2)+POWER(B13-J18,2)+POWER(B14-J18,2)+POWER(B15-J18,2)+POWER(B16-J18,2)+POWER(B17-J18,2)+POWER(B18-J18,2)+POWER(B19-J18,2)+POWER(B20-J18,2)+POWER(B21-J18,2)+POWER(B22-J18,2)+POWER(B23-J18,2)+POWER(B24-J18,2)+POWER(B25-J18,2)+POWER(B26-J18,2)+POWER(B27-J18,2)+POWER(B28-J18,2)+POWER(B29-J18,2)+POWER(B30-J18,2)+POWER(B31-J18,2)+POWER(B32-J18,2)+POWER(B33-J18,2)+POWER(B34-J18,2)+POWER(B35-J18,2)+POWER(B36-J18,2)+POWER(B37-J18,2)+POWER(B38-J18,2)+POWER(B39-J18,2)+POWER(B40-J18,2)+POWER(B41-J18,2)+POWER(B42-J18,2)+POWER(B43-J18,2)+POWER(B44-J18,2)+POWER(B45-J18,2)+POWER(B46-J18,2))/44</f>
        <v>506266169.219008</v>
      </c>
      <c r="O18" s="57">
        <f>(1/44)*(POWER(G7-E27,2)*J7+POWER(G8-E27,2)*J8+POWER(G9-E27,2)*J9+POWER(G10-E27,2)*J10+POWER(G11-E27,2)*J11+POWER(G12-E27,2)*J12+POWER(G13-E27,2)*J13+POWER(G14-E27,2)*J14)</f>
        <v>533638595.443683</v>
      </c>
    </row>
    <row r="19" ht="25.5" customHeight="1">
      <c r="A19" t="s" s="22">
        <v>47</v>
      </c>
      <c r="B19" s="10">
        <v>27344</v>
      </c>
      <c r="C19" s="10">
        <v>16000</v>
      </c>
      <c r="D19" s="21"/>
      <c r="E19" s="25"/>
      <c r="F19" s="25"/>
      <c r="G19" s="25"/>
      <c r="H19" s="25"/>
      <c r="I19" s="25"/>
      <c r="J19" s="58"/>
      <c r="K19" t="s" s="50">
        <v>48</v>
      </c>
      <c r="L19" t="s" s="51">
        <v>48</v>
      </c>
      <c r="M19" s="59"/>
      <c r="N19" t="s" s="50">
        <v>49</v>
      </c>
      <c r="O19" t="s" s="50">
        <v>49</v>
      </c>
    </row>
    <row r="20" ht="57.7" customHeight="1">
      <c r="A20" t="s" s="22">
        <v>50</v>
      </c>
      <c r="B20" s="10">
        <v>27886</v>
      </c>
      <c r="C20" s="10">
        <v>47000</v>
      </c>
      <c r="D20" s="26"/>
      <c r="E20" t="s" s="13">
        <v>51</v>
      </c>
      <c r="F20" t="s" s="13">
        <v>52</v>
      </c>
      <c r="G20" t="s" s="13">
        <v>53</v>
      </c>
      <c r="H20" t="s" s="13">
        <v>54</v>
      </c>
      <c r="I20" t="s" s="13">
        <v>55</v>
      </c>
      <c r="J20" s="60">
        <f>STDEV(B3:B46)</f>
        <v>22760.487715805</v>
      </c>
      <c r="K20" s="61">
        <f>SQRT(K18)</f>
        <v>22500.3593131089</v>
      </c>
      <c r="L20" s="62">
        <f>SQRT(L18)</f>
        <v>23100.6189407055</v>
      </c>
      <c r="M20" s="45"/>
      <c r="N20" s="57">
        <f>(POWER(B3-J18,2)*1+POWER(B4-J18,2)*2+POWER(B5-J18,2)*3+POWER(B6-J18,2)*4+POWER(B7-J18,2)*5+POWER(B8-J18,2)*6+POWER(B9-J18,2)*7+POWER(B10-J18,2)*8+POWER(B11-J18,2)*9+POWER(B12-J18,2)*10+POWER(B13-J18,2)*11+POWER(B14-J18,2)*12+POWER(B15-J18,2)*13+POWER(B16-J18,2)*14+POWER(B17-J18,2)*15+POWER(B18-J18,2)*16+POWER(B19-J18,2)*17+POWER(B20-J18,2)*18+POWER(B21-J18,2)*19+POWER(B22-J18,2)*20+POWER(B23-J18,2)*21+POWER(B24-J18,2)*22+POWER(B25-J18,2)*23+POWER(B26-J18,2)*24+POWER(B27-J18,2)*25+POWER(B28-J18,2)*26+POWER(B29-J18,2)*27+POWER(B30-J18,2)*28+POWER(B31-J18,2)*29+POWER(B32-J18,2)*30+POWER(B33-J18,2)*31+POWER(B34-J18,2)*32+POWER(B35-J18,2)*33+POWER(B36-J18,2)*34+POWER(B37-J18,2)*35+POWER(B38-J18,2)*36+POWER(B39-J18,2)*37+POWER(B40-J18,2)*38+POWER(B41-J18,2)*39+POWER(B42-J18,2)*40+POWER(B43-J18,2)*41+POWER(B44-J18,2)*42+POWER(B45-J18,2)*43+POWER(B46-J18,2)*44)/44</f>
        <v>16046619645.9442</v>
      </c>
      <c r="O20" s="57">
        <f>(1/44)*(POWER(G7-E27,2)*1+POWER(G8-E27,2)*2+POWER(G9-E27,2)*3+POWER(G10-E27,2)*4+POWER(G11-E27,2)*5+POWER(G12-E27,2)*6+POWER(G13-E27,2)*7+POWER(G14-E27,2)*8)</f>
        <v>1889090449.9937</v>
      </c>
    </row>
    <row r="21" ht="41.5" customHeight="1">
      <c r="A21" t="s" s="22">
        <v>56</v>
      </c>
      <c r="B21" s="10">
        <v>28448</v>
      </c>
      <c r="C21" s="10">
        <v>33583</v>
      </c>
      <c r="D21" s="17"/>
      <c r="E21" s="18">
        <f>B11</f>
        <v>20000</v>
      </c>
      <c r="F21" s="18">
        <f>B33</f>
        <v>45000</v>
      </c>
      <c r="G21" s="18">
        <f>E17</f>
        <v>31839</v>
      </c>
      <c r="H21" s="49">
        <f>E8+((F8-E8)*0.25*((J7-I7)+(J8-I7)+(J9-I7)+(J10-I7)+(J11-I7)+(J12-I7)+(J13-I7)+(J14-I7)))/J8</f>
        <v>7959.357142857210</v>
      </c>
      <c r="I21" s="63">
        <f>E9+((F9-E9)*0.75*((J7-I9)+(J8-I9)+(J9-I9)+(J10-I9)+(J11-I9)+(J12-I9)+(J13-I9))/J9)</f>
        <v>-216652.099999999</v>
      </c>
      <c r="J21" s="26"/>
      <c r="K21" t="s" s="50">
        <v>57</v>
      </c>
      <c r="L21" t="s" s="51">
        <v>57</v>
      </c>
      <c r="M21" s="59"/>
      <c r="N21" t="s" s="50">
        <v>58</v>
      </c>
      <c r="O21" t="s" s="50">
        <v>59</v>
      </c>
    </row>
    <row r="22" ht="21.2" customHeight="1">
      <c r="A22" t="s" s="22">
        <v>60</v>
      </c>
      <c r="B22" s="10">
        <v>30005</v>
      </c>
      <c r="C22" s="10">
        <v>60000</v>
      </c>
      <c r="D22" s="21"/>
      <c r="E22" s="23"/>
      <c r="F22" s="23"/>
      <c r="G22" s="23"/>
      <c r="H22" s="40"/>
      <c r="I22" s="21"/>
      <c r="J22" s="64">
        <f>AVEDEV(B3:B46)</f>
        <v>17100.0743801653</v>
      </c>
      <c r="K22" s="54">
        <f>(ABS(B3-J18)+ABS(B4-J18)+ABS(B5-J18)+ABS(B6-J18)+ABS(B7-J18)+ABS(B8-J18)+ABS(B9-J18)+ABS(B10-J18)+ABS(B11-J18)+ABS(B12-J18)+ABS(B13-J18)+ABS(B14-J18)+ABS(B15-J18)+ABS(B16-J18)+ABS(B17-J18)+ABS(B18-J18)+ABS(B19-J18)+ABS(B20-J18)+ABS(B21-J18)+ABS(B22-J18)+ABS(B23-J18)+ABS(B24-J18)+ABS(B25-J18)+ABS(B26-J18)+ABS(B27-J18)+ABS(B28-J18)+ABS(B29-J18)+ABS(B30-J18)+ABS(B31-J18)+ABS(B32-J18)+ABS(B33-J18)+ABS(B34-J18)+ABS(B35-J18)+ABS(B36-J18)+ABS(B37-J18)+ABS(B38-J18)+ABS(B39-J18)+ABS(B40-J18)+ABS(B41-J18)+ABS(B42-J18)+ABS(B43-J18)+ABS(B44-J18)+ABS(B45-J18)+ABS(B46-J18))/44</f>
        <v>17100.0743801653</v>
      </c>
      <c r="L22" s="55">
        <f>(ABS(G7-E27)*J7+ABS(G8-E27)*J8+ABS(G9-E27)*J9+ABS(G10-E27)*J10+ABS(G11-E27)*J11+ABS(G12-E27)*J12+ABS(G13-E27)*J13+ABS(G14-E27)*J14)/(J7+J8+J9+J10+J11+J12+J13+J14)</f>
        <v>18229.5361570248</v>
      </c>
      <c r="M22" s="45"/>
      <c r="N22" s="65"/>
      <c r="O22" s="65"/>
    </row>
    <row r="23" ht="45.7" customHeight="1">
      <c r="A23" t="s" s="22">
        <v>61</v>
      </c>
      <c r="B23" s="10">
        <v>30000</v>
      </c>
      <c r="C23" s="10">
        <v>25700</v>
      </c>
      <c r="D23" s="26"/>
      <c r="E23" t="s" s="13">
        <v>62</v>
      </c>
      <c r="F23" t="s" s="13">
        <v>63</v>
      </c>
      <c r="G23" t="s" s="13">
        <v>64</v>
      </c>
      <c r="H23" s="27"/>
      <c r="I23" s="21"/>
      <c r="J23" s="26"/>
      <c r="K23" t="s" s="50">
        <v>65</v>
      </c>
      <c r="L23" t="s" s="51">
        <v>65</v>
      </c>
      <c r="M23" s="59"/>
      <c r="N23" t="s" s="50">
        <v>41</v>
      </c>
      <c r="O23" t="s" s="50">
        <v>41</v>
      </c>
    </row>
    <row r="24" ht="25.5" customHeight="1">
      <c r="A24" t="s" s="22">
        <v>66</v>
      </c>
      <c r="B24" s="10">
        <v>30095</v>
      </c>
      <c r="C24" s="10">
        <v>41510</v>
      </c>
      <c r="D24" s="17"/>
      <c r="E24" s="18">
        <f>B6</f>
        <v>16002</v>
      </c>
      <c r="F24" s="18">
        <f>E7+((F7-E7)*0.1*((J7-0)+(J8-0)+(J9-0)+(J10-0)+(J11-0)+(J12-0)+(J13-0)+(J14-0)))/J7</f>
        <v>12808.9222222222</v>
      </c>
      <c r="G24" s="66">
        <f>E10+((F10-E10)*0.9*((J7-I9)+(J8-I9)+(J9-I9)+(J10-I9)+(J11-I9)+(J12-I9)+(J13-I9)+(J14-I9)))/I9</f>
        <v>-44143.0999999998</v>
      </c>
      <c r="H24" s="21"/>
      <c r="I24" s="21"/>
      <c r="J24" s="17"/>
      <c r="K24" s="54">
        <f>(F21-E21)/2</f>
        <v>12500</v>
      </c>
      <c r="L24" s="67">
        <f>(I21-H21)/2</f>
        <v>-112305.728571428</v>
      </c>
      <c r="M24" s="45"/>
      <c r="N24" s="68"/>
      <c r="O24" s="68"/>
    </row>
    <row r="25" ht="41.5" customHeight="1">
      <c r="A25" t="s" s="22">
        <v>67</v>
      </c>
      <c r="B25" s="10">
        <v>33583</v>
      </c>
      <c r="C25" s="10">
        <v>15000</v>
      </c>
      <c r="D25" s="21"/>
      <c r="E25" s="23"/>
      <c r="F25" s="23"/>
      <c r="G25" s="25"/>
      <c r="H25" s="25"/>
      <c r="I25" s="21"/>
      <c r="J25" s="26"/>
      <c r="K25" t="s" s="50">
        <v>68</v>
      </c>
      <c r="L25" t="s" s="51">
        <v>68</v>
      </c>
      <c r="M25" s="45"/>
      <c r="N25" s="45"/>
      <c r="O25" s="69">
        <v>5000</v>
      </c>
    </row>
    <row r="26" ht="33.7" customHeight="1">
      <c r="A26" t="s" s="22">
        <v>69</v>
      </c>
      <c r="B26" s="10">
        <v>38934</v>
      </c>
      <c r="C26" s="10">
        <v>38934</v>
      </c>
      <c r="D26" s="26"/>
      <c r="E26" t="s" s="13">
        <v>70</v>
      </c>
      <c r="F26" t="s" s="13">
        <v>71</v>
      </c>
      <c r="G26" t="s" s="13">
        <v>72</v>
      </c>
      <c r="H26" t="s" s="70">
        <v>73</v>
      </c>
      <c r="I26" s="21"/>
      <c r="J26" s="17"/>
      <c r="K26" s="71">
        <f>(G4/J18)*100</f>
        <v>249.834580507225</v>
      </c>
      <c r="L26" s="67">
        <f>(G4/E27)*100</f>
        <v>251.026220760032</v>
      </c>
      <c r="M26" s="45"/>
      <c r="N26" s="45"/>
      <c r="O26" s="69">
        <v>10000</v>
      </c>
    </row>
    <row r="27" ht="39.7" customHeight="1">
      <c r="A27" t="s" s="22">
        <v>74</v>
      </c>
      <c r="B27" s="10">
        <v>39126</v>
      </c>
      <c r="C27" s="10">
        <v>30000</v>
      </c>
      <c r="D27" s="72"/>
      <c r="E27" s="73">
        <f>SUM(H7:H14)/44</f>
        <v>39271.5946969697</v>
      </c>
      <c r="F27" s="74">
        <f>SQRT(((POWER(G7-E27,2)*J7+POWER(G8-E27,2)*J8+POWER(G9-E27,2)*J9+POWER(G10-E27,2)*J10+POWER(G11-E27,2)*J11+POWER(G12-E27,2)*J12+POWER(G13-E27,2)*J13+POWER(G14-E27,2)*J14)/(J7+J8+J9+J10+J11+J12+J13+J14)))</f>
        <v>23100.6189407055</v>
      </c>
      <c r="G27" s="74">
        <f>((POWER(G7-E27,3)*J7+POWER(G8-E27,3)*J8+POWER(G9-E27,3)*J9+POWER(G10-E27,3)*J10+POWER(G11-E27,3)*J11+POWER(G12-E27,3)*J12+POWER(G13-E27,3)*J13+POWER(G14-E27,3)*J14)/(J7+J8+J9+J10+J11+J12+J13+J14))/POWER(F27,3)</f>
        <v>1.17495001057862</v>
      </c>
      <c r="H27" s="75">
        <f>(((POWER(G7-E27,4)*J7+POWER(G8-E27,4)*J8+POWER(G9-E27,4)*J9+POWER(G10-E27,4)*J10+POWER(G11-E27,4)*J11+POWER(G12-E27,4)*J12+POWER(G13-E27,4)*J13+POWER(G14-E27,4)*J14)/(J7+J8+J9+J10+J11+J12+J13+J14))/POWER(F27,4))-3</f>
        <v>1.26648244059506</v>
      </c>
      <c r="I27" s="21"/>
      <c r="J27" s="26"/>
      <c r="K27" t="s" s="50">
        <v>75</v>
      </c>
      <c r="L27" t="s" s="51">
        <v>75</v>
      </c>
      <c r="M27" s="45"/>
      <c r="N27" s="45"/>
      <c r="O27" s="69">
        <v>15000</v>
      </c>
    </row>
    <row r="28" ht="25" customHeight="1">
      <c r="A28" t="s" s="22">
        <v>76</v>
      </c>
      <c r="B28" s="10">
        <v>39200</v>
      </c>
      <c r="C28" s="76">
        <v>17220</v>
      </c>
      <c r="D28" s="45"/>
      <c r="E28" s="77"/>
      <c r="F28" s="77"/>
      <c r="G28" s="77"/>
      <c r="H28" s="45"/>
      <c r="I28" s="78"/>
      <c r="J28" s="17"/>
      <c r="K28" s="71">
        <f>(K22/J18)*100</f>
        <v>43.3364093791051</v>
      </c>
      <c r="L28" s="67">
        <f>(L22/E27)*100</f>
        <v>46.4191390690621</v>
      </c>
      <c r="M28" s="45"/>
      <c r="N28" s="45"/>
      <c r="O28" s="69">
        <v>20000</v>
      </c>
    </row>
    <row r="29" ht="27.7" customHeight="1">
      <c r="A29" t="s" s="22">
        <v>77</v>
      </c>
      <c r="B29" s="10">
        <v>40000</v>
      </c>
      <c r="C29" s="76">
        <v>30095</v>
      </c>
      <c r="D29" s="59"/>
      <c r="E29" t="s" s="13">
        <v>78</v>
      </c>
      <c r="F29" t="s" s="13">
        <v>79</v>
      </c>
      <c r="G29" t="s" s="13">
        <v>80</v>
      </c>
      <c r="H29" s="79"/>
      <c r="I29" s="78"/>
      <c r="J29" s="26"/>
      <c r="K29" t="s" s="50">
        <v>81</v>
      </c>
      <c r="L29" t="s" s="51">
        <v>81</v>
      </c>
      <c r="M29" s="45"/>
      <c r="N29" s="45"/>
      <c r="O29" s="69">
        <v>25000</v>
      </c>
    </row>
    <row r="30" ht="25" customHeight="1">
      <c r="A30" t="s" s="22">
        <v>82</v>
      </c>
      <c r="B30" s="10">
        <v>41000</v>
      </c>
      <c r="C30" s="76">
        <v>23000</v>
      </c>
      <c r="D30" s="45"/>
      <c r="E30" s="80">
        <f>POWER(B3*B4*B5*B6*B7*B8*B9*B10*B11*B12*B13*B14*B15*B16*B17*B18*B19*B20*B21*B22*B23*B24*B25*B26*B27*B28*B29*B30*B31*B32*B33*B34*B35*B36*B37*B38*B39*B40*B41*B42*B43*B44*B45*B46,1/44)</f>
        <v>34278.2403294156</v>
      </c>
      <c r="F30" s="80">
        <f>AVERAGE(B3:B46)</f>
        <v>39458.9090909091</v>
      </c>
      <c r="G30" s="80">
        <f>HARMEAN(B3:B46)</f>
        <v>30197.0304108429</v>
      </c>
      <c r="H30" t="s" s="81">
        <v>83</v>
      </c>
      <c r="I30" s="78"/>
      <c r="J30" s="17"/>
      <c r="K30" s="71">
        <f>(K20/J18)*100</f>
        <v>57.0222538622912</v>
      </c>
      <c r="L30" s="67">
        <f>(L20/E27)*100</f>
        <v>58.8227168235875</v>
      </c>
      <c r="M30" s="45"/>
      <c r="N30" s="45"/>
      <c r="O30" s="69">
        <v>30000</v>
      </c>
    </row>
    <row r="31" ht="51.7" customHeight="1">
      <c r="A31" t="s" s="22">
        <v>84</v>
      </c>
      <c r="B31" s="10">
        <v>41510</v>
      </c>
      <c r="C31" s="76">
        <v>23035</v>
      </c>
      <c r="D31" s="45"/>
      <c r="E31" s="56">
        <f>GEOMEAN(B3:B46)</f>
        <v>34278.2403294156</v>
      </c>
      <c r="F31" s="56">
        <f>SUM(B3:B46)/44</f>
        <v>39458.9090909091</v>
      </c>
      <c r="G31" s="56">
        <f>44/((1/B3)+(1/B4)+(1/B5)+(1/B6)+(1/B7)+(1/B8)+(1/B9)+(1/B10)+(1/B11)+(1/B12)+(1/B13)+(1/B14)+(1/B15)+(1/B16)+(1/B17)+(1/B18)+(1/B19)+(1/B20)+(1/B21)+(1/B22)+(1/B23)+(1/B24)+(1/B25)+(1/B26)+(1/B27)+(1/B28)+(1/B29)+(1/B30)+(1/B31)+(1/B32)+(1/B33)+(1/B34)+(1/B35)+(1/B36)+(1/B37)+(1/B38)+(1/B39)+(1/B40)+(1/B41)+(1/B42)+(1/B43)+(1/B44)+(1/B45)+(1/B46))</f>
        <v>30197.0304108429</v>
      </c>
      <c r="H31" s="82"/>
      <c r="I31" s="78"/>
      <c r="J31" s="26"/>
      <c r="K31" t="s" s="50">
        <v>85</v>
      </c>
      <c r="L31" t="s" s="51">
        <v>85</v>
      </c>
      <c r="M31" s="45"/>
      <c r="N31" s="45"/>
      <c r="O31" s="69">
        <v>35000</v>
      </c>
    </row>
    <row r="32" ht="25" customHeight="1">
      <c r="A32" t="s" s="22">
        <v>86</v>
      </c>
      <c r="B32" s="10">
        <v>42366</v>
      </c>
      <c r="C32" s="76">
        <v>41000</v>
      </c>
      <c r="D32" s="45"/>
      <c r="E32" s="45"/>
      <c r="F32" s="45"/>
      <c r="G32" s="45"/>
      <c r="H32" s="45"/>
      <c r="I32" s="78"/>
      <c r="J32" s="17"/>
      <c r="K32" s="71">
        <f>(K24/E17)*100</f>
        <v>39.2600270108986</v>
      </c>
      <c r="L32" s="67">
        <f>(L24/F17)*100</f>
        <v>-321.328835349681</v>
      </c>
      <c r="M32" s="45"/>
      <c r="N32" s="45"/>
      <c r="O32" s="69">
        <v>40000</v>
      </c>
    </row>
    <row r="33" ht="25" customHeight="1">
      <c r="A33" t="s" s="22">
        <v>87</v>
      </c>
      <c r="B33" s="10">
        <v>45000</v>
      </c>
      <c r="C33" s="76">
        <v>45000</v>
      </c>
      <c r="D33" s="45"/>
      <c r="E33" s="45"/>
      <c r="F33" s="45"/>
      <c r="G33" s="45"/>
      <c r="H33" s="45"/>
      <c r="I33" s="78"/>
      <c r="J33" s="26"/>
      <c r="K33" t="s" s="50">
        <v>88</v>
      </c>
      <c r="L33" t="s" s="51">
        <v>89</v>
      </c>
      <c r="M33" s="45"/>
      <c r="N33" s="45"/>
      <c r="O33" s="69">
        <v>45000</v>
      </c>
    </row>
    <row r="34" ht="35.5" customHeight="1">
      <c r="A34" t="s" s="22">
        <v>90</v>
      </c>
      <c r="B34" s="10">
        <v>47000</v>
      </c>
      <c r="C34" s="76">
        <v>18943</v>
      </c>
      <c r="D34" s="45"/>
      <c r="E34" s="45"/>
      <c r="F34" s="45"/>
      <c r="G34" s="45"/>
      <c r="H34" s="45"/>
      <c r="I34" s="78"/>
      <c r="J34" t="s" s="83">
        <v>91</v>
      </c>
      <c r="K34" t="s" s="84">
        <v>92</v>
      </c>
      <c r="L34" t="s" s="85">
        <v>93</v>
      </c>
      <c r="M34" s="45"/>
      <c r="N34" s="45"/>
      <c r="O34" s="69">
        <v>50000</v>
      </c>
    </row>
    <row r="35" ht="25" customHeight="1">
      <c r="A35" t="s" s="22">
        <v>94</v>
      </c>
      <c r="B35" s="10">
        <v>48527</v>
      </c>
      <c r="C35" s="76">
        <v>30000</v>
      </c>
      <c r="D35" s="45"/>
      <c r="E35" s="45"/>
      <c r="F35" s="45"/>
      <c r="G35" s="45"/>
      <c r="H35" s="45"/>
      <c r="I35" s="78"/>
      <c r="J35" t="s" s="83">
        <v>95</v>
      </c>
      <c r="K35" t="s" s="86">
        <v>96</v>
      </c>
      <c r="L35" t="s" s="87">
        <v>97</v>
      </c>
      <c r="M35" s="45"/>
      <c r="N35" s="45"/>
      <c r="O35" s="69">
        <v>55000</v>
      </c>
    </row>
    <row r="36" ht="25" customHeight="1">
      <c r="A36" t="s" s="22">
        <v>98</v>
      </c>
      <c r="B36" s="10">
        <v>49462</v>
      </c>
      <c r="C36" s="76">
        <v>25000</v>
      </c>
      <c r="D36" s="45"/>
      <c r="E36" s="45"/>
      <c r="F36" s="45"/>
      <c r="G36" s="45"/>
      <c r="H36" s="45"/>
      <c r="I36" s="78"/>
      <c r="J36" t="s" s="83">
        <v>99</v>
      </c>
      <c r="K36" t="s" s="88">
        <v>100</v>
      </c>
      <c r="L36" t="s" s="89">
        <v>101</v>
      </c>
      <c r="M36" s="45"/>
      <c r="N36" s="45"/>
      <c r="O36" s="69">
        <v>60000</v>
      </c>
    </row>
    <row r="37" ht="35" customHeight="1">
      <c r="A37" t="s" s="22">
        <v>102</v>
      </c>
      <c r="B37" s="10">
        <v>53200</v>
      </c>
      <c r="C37" s="76">
        <v>39200</v>
      </c>
      <c r="D37" s="45"/>
      <c r="E37" s="45"/>
      <c r="F37" s="45"/>
      <c r="G37" s="45"/>
      <c r="H37" s="45"/>
      <c r="I37" s="90"/>
      <c r="J37" t="s" s="91">
        <v>103</v>
      </c>
      <c r="K37" t="s" s="92">
        <v>104</v>
      </c>
      <c r="L37" t="s" s="93">
        <v>105</v>
      </c>
      <c r="M37" s="45"/>
      <c r="N37" s="45"/>
      <c r="O37" s="69">
        <v>65000</v>
      </c>
    </row>
    <row r="38" ht="19" customHeight="1">
      <c r="A38" t="s" s="22">
        <v>106</v>
      </c>
      <c r="B38" s="10">
        <v>54000</v>
      </c>
      <c r="C38" s="76">
        <v>26000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69">
        <v>70000</v>
      </c>
    </row>
    <row r="39" ht="25.65" customHeight="1">
      <c r="A39" t="s" s="22">
        <v>107</v>
      </c>
      <c r="B39" s="10">
        <v>60000</v>
      </c>
      <c r="C39" s="76">
        <v>28448</v>
      </c>
      <c r="D39" s="45"/>
      <c r="E39" s="45"/>
      <c r="F39" s="45"/>
      <c r="G39" s="45"/>
      <c r="H39" s="45"/>
      <c r="I39" s="45"/>
      <c r="J39" s="45"/>
      <c r="K39" s="45"/>
      <c r="L39" s="94"/>
      <c r="M39" s="45"/>
      <c r="N39" s="45"/>
      <c r="O39" s="69">
        <v>75000</v>
      </c>
    </row>
    <row r="40" ht="19" customHeight="1">
      <c r="A40" t="s" s="22">
        <v>108</v>
      </c>
      <c r="B40" s="10">
        <v>60587</v>
      </c>
      <c r="C40" s="76">
        <v>17232</v>
      </c>
      <c r="D40" s="45"/>
      <c r="E40" s="45"/>
      <c r="F40" s="45"/>
      <c r="G40" s="45"/>
      <c r="H40" s="45"/>
      <c r="I40" s="45"/>
      <c r="J40" s="45"/>
      <c r="K40" s="45"/>
      <c r="L40" s="95"/>
      <c r="M40" s="45"/>
      <c r="N40" s="45"/>
      <c r="O40" s="69">
        <v>80000</v>
      </c>
    </row>
    <row r="41" ht="25" customHeight="1">
      <c r="A41" t="s" s="22">
        <v>109</v>
      </c>
      <c r="B41" s="10">
        <v>61976</v>
      </c>
      <c r="C41" s="76">
        <v>16000</v>
      </c>
      <c r="D41" s="45"/>
      <c r="E41" s="45"/>
      <c r="F41" s="45"/>
      <c r="G41" s="45"/>
      <c r="H41" s="45"/>
      <c r="I41" s="45"/>
      <c r="J41" s="96"/>
      <c r="K41" s="97"/>
      <c r="L41" s="98"/>
      <c r="M41" s="45"/>
      <c r="N41" s="45"/>
      <c r="O41" s="69">
        <v>85000</v>
      </c>
    </row>
    <row r="42" ht="25" customHeight="1">
      <c r="A42" t="s" s="22">
        <v>110</v>
      </c>
      <c r="B42" s="10">
        <v>70200</v>
      </c>
      <c r="C42" s="76">
        <v>60587</v>
      </c>
      <c r="D42" s="45"/>
      <c r="E42" s="45"/>
      <c r="F42" s="45"/>
      <c r="G42" s="45"/>
      <c r="H42" s="45"/>
      <c r="I42" s="45"/>
      <c r="J42" s="90"/>
      <c r="K42" s="42"/>
      <c r="L42" s="99"/>
      <c r="M42" s="45"/>
      <c r="N42" s="45"/>
      <c r="O42" s="69">
        <v>90000</v>
      </c>
    </row>
    <row r="43" ht="41" customHeight="1">
      <c r="A43" t="s" s="22">
        <v>111</v>
      </c>
      <c r="B43" s="10">
        <v>75452</v>
      </c>
      <c r="C43" s="76">
        <v>20000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69">
        <v>95000</v>
      </c>
    </row>
    <row r="44" ht="19" customHeight="1">
      <c r="A44" t="s" s="22">
        <v>112</v>
      </c>
      <c r="B44" s="100">
        <v>79000</v>
      </c>
      <c r="C44" s="76">
        <v>25000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69">
        <v>100000</v>
      </c>
    </row>
    <row r="45" ht="41" customHeight="1">
      <c r="A45" t="s" s="22">
        <v>111</v>
      </c>
      <c r="B45" s="11">
        <v>103600</v>
      </c>
      <c r="C45" s="76">
        <v>23000</v>
      </c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69">
        <v>105000</v>
      </c>
    </row>
    <row r="46" ht="25" customHeight="1">
      <c r="A46" t="s" s="22">
        <v>113</v>
      </c>
      <c r="B46" s="100">
        <v>113582</v>
      </c>
      <c r="C46" s="76">
        <v>33853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69">
        <v>110000</v>
      </c>
    </row>
    <row r="48" ht="25.65" customHeight="1">
      <c r="P48" s="102"/>
    </row>
  </sheetData>
  <mergeCells count="1">
    <mergeCell ref="A1:O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