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FF4A2995-116D-4A69-9D02-349CFA681BE1}" xr6:coauthVersionLast="47" xr6:coauthVersionMax="47" xr10:uidLastSave="{00000000-0000-0000-0000-000000000000}"/>
  <bookViews>
    <workbookView xWindow="-120" yWindow="-120" windowWidth="51840" windowHeight="21120" xr2:uid="{00000000-000D-0000-FFFF-FFFF00000000}"/>
  </bookViews>
  <sheets>
    <sheet name="Contents" sheetId="1" r:id="rId1"/>
    <sheet name="FSM Apple 2018" sheetId="2" r:id="rId2"/>
    <sheet name="FSM Apple 2019" sheetId="3" r:id="rId3"/>
    <sheet name="DCF 1-Pager" sheetId="6" r:id="rId4"/>
    <sheet name="Options&amp;Convertibl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O128" i="5"/>
  <c r="E128" i="5"/>
  <c r="C128" i="5"/>
  <c r="C62" i="5"/>
  <c r="C59" i="5"/>
  <c r="C58"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101" i="5" s="1"/>
  <c r="L100" i="5" s="1"/>
  <c r="L93" i="5"/>
  <c r="P129" i="5"/>
  <c r="P90" i="5"/>
  <c r="Q90" i="5" s="1"/>
  <c r="D103" i="5"/>
  <c r="D104" i="5" s="1"/>
  <c r="D101" i="5"/>
  <c r="D100" i="5" s="1"/>
  <c r="D93" i="5"/>
  <c r="G129"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D123" i="6"/>
  <c r="I60" i="6"/>
  <c r="E31" i="7"/>
  <c r="C58" i="6" s="1"/>
  <c r="I59" i="6"/>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F27" i="6" l="1"/>
  <c r="F18" i="6"/>
  <c r="F25" i="6" s="1"/>
  <c r="E25" i="6"/>
  <c r="C70" i="6"/>
  <c r="D70" i="6" s="1"/>
  <c r="C19" i="4"/>
  <c r="G56" i="2"/>
  <c r="H56" i="2" s="1"/>
  <c r="I56" i="2" s="1"/>
  <c r="J56" i="2" s="1"/>
  <c r="K56" i="2" s="1"/>
  <c r="G128" i="5"/>
  <c r="L103" i="5"/>
  <c r="L104" i="5" s="1"/>
  <c r="G130"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E14" i="5" l="1"/>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I46" i="6"/>
  <c r="I47" i="6" s="1"/>
  <c r="D69" i="6" s="1"/>
  <c r="D77" i="6" s="1"/>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J75" i="3" l="1"/>
  <c r="G32" i="5"/>
  <c r="L99" i="3"/>
  <c r="L49" i="3" s="1"/>
  <c r="K73" i="3"/>
  <c r="C47" i="6"/>
  <c r="D76" i="6"/>
  <c r="D78" i="6"/>
  <c r="D71" i="6"/>
  <c r="D73" i="6" s="1"/>
  <c r="D93" i="6" s="1"/>
  <c r="L93" i="6"/>
  <c r="I49" i="6"/>
  <c r="I50"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K75" i="3" l="1"/>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<sst xmlns="http://schemas.openxmlformats.org/spreadsheetml/2006/main" count="677" uniqueCount="317">
  <si>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</si>
  <si>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</si>
  <si>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</si>
  <si>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</si>
  <si>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</si>
  <si>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</si>
  <si>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</si>
  <si>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</si>
  <si>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</si>
  <si>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</si>
  <si>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</si>
  <si>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</si>
  <si>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</si>
  <si>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</si>
  <si>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</si>
  <si>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</si>
  <si>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</si>
  <si>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</si>
  <si>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</si>
  <si>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</si>
  <si>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Taxes (enter expense as -)</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</si>
  <si>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</si>
  <si>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</si>
  <si>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</si>
  <si>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</si>
  <si>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</si>
  <si>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</si>
  <si>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</si>
  <si>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</si>
  <si>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</si>
  <si>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</si>
  <si>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</si>
  <si>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</si>
  <si>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</si>
  <si>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</si>
  <si>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</si>
  <si>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</si>
  <si>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</si>
  <si>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</si>
  <si>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</si>
  <si>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</si>
  <si>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</si>
  <si>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</si>
  <si>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</si>
  <si>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</si>
  <si>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</si>
  <si>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</si>
  <si>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</si>
  <si>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</si>
  <si>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</si>
  <si>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</si>
  <si>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</si>
  <si>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</si>
  <si>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</si>
  <si>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</si>
  <si>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</si>
  <si>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</si>
  <si>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</si>
  <si>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</si>
  <si>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</si>
  <si>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</si>
  <si>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</si>
  <si>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</si>
  <si>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</si>
  <si>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</si>
  <si>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</si>
  <si>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</si>
  <si>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</si>
  <si>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</si>
  <si>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</si>
  <si>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</si>
  <si>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</si>
  <si>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</si>
  <si>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</si>
  <si>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</si>
  <si>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</si>
  <si>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</si>
  <si>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</si>
  <si>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</si>
  <si>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</si>
  <si>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</si>
  <si>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</si>
  <si>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</si>
  <si>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</si>
  <si>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</si>
  <si>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</si>
  <si>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</si>
  <si>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</si>
  <si>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</si>
  <si>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</si>
  <si>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</si>
  <si>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</si>
  <si>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</si>
  <si>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</si>
  <si>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</si>
  <si>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</si>
  <si>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</si>
  <si>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</si>
  <si>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</si>
  <si>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</si>
  <si>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</si>
  <si>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</si>
  <si>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</si>
  <si>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</si>
  <si>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</si>
  <si>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</si>
  <si>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</si>
  <si>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</si>
  <si>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</si>
  <si>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</si>
  <si>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</si>
  <si>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</si>
  <si>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</si>
  <si>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</si>
  <si>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</si>
  <si>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</si>
  <si>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</si>
  <si>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</si>
  <si>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</si>
  <si>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</si>
  <si>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</si>
  <si>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</si>
  <si>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</si>
  <si>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</si>
  <si>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</si>
  <si>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</si>
  <si>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</si>
  <si>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</si>
  <si>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</si>
  <si>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</si>
  <si>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</si>
  <si>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</si>
  <si>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</si>
  <si>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</si>
  <si>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</si>
  <si>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</si>
  <si>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</si>
  <si>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</si>
  <si>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</si>
  <si>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</si>
  <si>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</si>
  <si>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</si>
  <si>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</si>
  <si>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</si>
  <si>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</si>
  <si>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</si>
  <si>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</si>
  <si>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</si>
  <si>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</si>
  <si>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</si>
  <si>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</si>
  <si>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</si>
  <si>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</si>
  <si>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</si>
  <si>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</si>
  <si>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</si>
  <si>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</si>
  <si>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</si>
  <si>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</si>
  <si>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</si>
  <si>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</si>
  <si>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</si>
  <si>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</si>
  <si>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</si>
  <si>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</si>
  <si>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</si>
  <si>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</si>
  <si>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</si>
  <si>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</si>
  <si>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</si>
  <si>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</si>
  <si>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</si>
  <si>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</si>
  <si>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</si>
  <si>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</si>
  <si>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</si>
  <si>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</si>
  <si>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</si>
  <si>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</si>
  <si>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</si>
  <si>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</si>
  <si>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</si>
  <si>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</si>
  <si>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</si>
  <si>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</si>
  <si>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</si>
  <si>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</si>
  <si>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</si>
  <si>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</si>
  <si>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</si>
  <si>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</si>
  <si>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</si>
  <si>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</si>
  <si>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</si>
  <si>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</si>
  <si>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</si>
  <si>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</si>
  <si>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</si>
  <si>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</si>
  <si>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</si>
  <si>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</si>
  <si>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</si>
  <si>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</si>
  <si>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</si>
  <si>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</si>
  <si>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</si>
  <si>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</si>
  <si>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</si>
  <si>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</si>
  <si>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</si>
  <si>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</si>
  <si>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</si>
  <si>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</si>
  <si>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</si>
  <si>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</si>
  <si>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</si>
  <si>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</si>
  <si>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</si>
  <si>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</si>
  <si>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</si>
  <si>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</si>
  <si>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</si>
  <si>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</si>
  <si>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</si>
  <si>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</si>
  <si>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</si>
  <si>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</si>
  <si>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</si>
  <si>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</si>
  <si>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</si>
  <si>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</si>
  <si>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</si>
  <si>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</si>
  <si>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</si>
  <si>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</si>
  <si>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</si>
  <si>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</si>
  <si>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</si>
  <si>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</si>
  <si>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</si>
  <si>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</si>
  <si>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</si>
  <si>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</si>
  <si>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</si>
  <si>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</si>
  <si>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</si>
  <si>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</si>
  <si>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</si>
  <si>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</si>
  <si>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</si>
  <si>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</si>
  <si>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</si>
  <si>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</si>
  <si>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</si>
  <si>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</si>
  <si>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</si>
  <si>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</si>
  <si>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</si>
  <si>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</si>
  <si>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</si>
  <si>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</si>
  <si>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</si>
  <si>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</si>
  <si>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</si>
  <si>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</si>
  <si>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</si>
  <si>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</si>
  <si>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</si>
  <si>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</si>
  <si>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</si>
  <si>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</si>
  <si>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</si>
  <si>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</si>
  <si>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</si>
  <si>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</si>
  <si>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</si>
  <si>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</si>
  <si>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</si>
  <si>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</si>
  <si>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</si>
  <si>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</si>
  <si>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</si>
  <si>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</si>
  <si>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</si>
  <si>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</si>
  <si>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</si>
  <si>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</si>
  <si>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</si>
  <si>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</si>
  <si>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</si>
  <si>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</si>
  <si>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</si>
  <si>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</si>
  <si>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</si>
  <si>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</si>
  <si>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</si>
  <si>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</si>
  <si>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</si>
  <si>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</si>
  <si>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</si>
  <si>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</si>
  <si>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</si>
  <si>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</si>
  <si>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</si>
  <si>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</si>
  <si>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</si>
  <si>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</si>
  <si>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</si>
  <si>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Options&amp;Convertibles - This sheet highlights the process of handling options, convertible debt and convertible preferred stock</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</si>
  <si>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</si>
  <si>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</si>
  <si>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</si>
  <si>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</si>
  <si>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</si>
  <si>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The layouts of the sheets were provided by WSP, however, all of the contents were generated by me.</t>
  </si>
  <si>
    <t>Stub year counts first year cash flows starting at the valuation date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</si>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</sst>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32">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172" fontId="5" fillId="0" borderId="0" xfId="0" applyNumberFormat="1" applyFont="1" applyFill="1"/>
    <xf numFmtId="0" fontId="32" fillId="0" borderId="0" xfId="0" applyFont="1" applyAlignment="1">
      <alignment horizontal="left"/>
    </xf>
    <xf numFmtId="167" fontId="4" fillId="0" borderId="0" xfId="0" applyNumberFormat="1" applyFont="1" applyFill="1"/>
    <xf numFmtId="167" fontId="0" fillId="0" borderId="0" xfId="0" applyNumberFormat="1" applyFill="1"/>
    <xf numFmtId="39" fontId="4" fillId="0" borderId="0" xfId="0" applyNumberFormat="1" applyFont="1" applyFill="1"/>
    <xf numFmtId="39" fontId="8" fillId="0" borderId="0" xfId="0" applyNumberFormat="1" applyFont="1" applyFill="1"/>
    <xf numFmtId="167" fontId="2" fillId="0" borderId="0" xfId="0" applyNumberFormat="1" applyFont="1" applyFill="1"/>
    <xf numFmtId="167" fontId="2" fillId="0" borderId="7" xfId="0" applyNumberFormat="1" applyFont="1" applyFill="1" applyBorder="1"/>
    <xf numFmtId="0" fontId="2" fillId="0" borderId="0" xfId="0" applyFont="1" applyFill="1"/>
    <xf numFmtId="0" fontId="0" fillId="0" borderId="0" xfId="0" applyFill="1"/>
    <xf numFmtId="37" fontId="5" fillId="0" borderId="0" xfId="0" applyNumberFormat="1" applyFont="1" applyFill="1"/>
    <xf numFmtId="39" fontId="5" fillId="0" borderId="0" xfId="0" applyNumberFormat="1" applyFont="1" applyFill="1"/>
    <xf numFmtId="195" fontId="0" fillId="0" borderId="0" xfId="0" applyNumberFormat="1" applyFill="1"/>
    <xf numFmtId="37" fontId="3" fillId="0" borderId="0" xfId="0" applyNumberFormat="1" applyFont="1" applyFill="1"/>
    <xf numFmtId="167" fontId="5" fillId="0" borderId="0" xfId="0" applyNumberFormat="1" applyFont="1" applyFill="1"/>
    <xf numFmtId="179" fontId="4" fillId="0" borderId="0" xfId="0" applyNumberFormat="1" applyFont="1" applyFill="1"/>
    <xf numFmtId="37" fontId="4" fillId="0" borderId="0" xfId="0" applyNumberFormat="1" applyFont="1" applyFill="1"/>
    <xf numFmtId="10" fontId="5" fillId="0" borderId="0" xfId="0" applyNumberFormat="1" applyFont="1" applyFill="1"/>
    <xf numFmtId="174" fontId="19" fillId="0" borderId="7" xfId="0" applyNumberFormat="1" applyFont="1" applyFill="1" applyBorder="1"/>
    <xf numFmtId="174" fontId="4" fillId="0" borderId="0" xfId="0" applyNumberFormat="1" applyFont="1" applyFill="1"/>
    <xf numFmtId="10" fontId="5" fillId="0" borderId="7" xfId="0" applyNumberFormat="1" applyFont="1" applyFill="1" applyBorder="1"/>
    <xf numFmtId="10" fontId="4" fillId="0" borderId="0" xfId="0" applyNumberFormat="1" applyFont="1" applyFill="1"/>
    <xf numFmtId="170" fontId="4" fillId="0" borderId="0" xfId="0" applyNumberFormat="1" applyFont="1" applyFill="1"/>
    <xf numFmtId="0" fontId="0" fillId="0" borderId="4" xfId="0" applyFill="1" applyBorder="1"/>
    <xf numFmtId="0" fontId="0" fillId="0" borderId="0" xfId="0" applyFill="1" applyAlignment="1">
      <alignment horizontal="right"/>
    </xf>
    <xf numFmtId="170" fontId="20" fillId="0" borderId="0" xfId="0" applyNumberFormat="1" applyFont="1" applyFill="1" applyAlignment="1">
      <alignment horizontal="right"/>
    </xf>
    <xf numFmtId="181" fontId="19" fillId="0" borderId="0" xfId="0" applyNumberFormat="1" applyFont="1" applyFill="1"/>
    <xf numFmtId="9" fontId="5" fillId="0" borderId="0" xfId="0" applyNumberFormat="1" applyFont="1" applyFill="1"/>
    <xf numFmtId="171" fontId="0" fillId="0" borderId="0" xfId="0" applyNumberFormat="1" applyFill="1"/>
    <xf numFmtId="0" fontId="2" fillId="0" borderId="26" xfId="0" applyFont="1" applyFill="1" applyBorder="1"/>
    <xf numFmtId="0" fontId="0" fillId="0" borderId="26" xfId="0" applyFill="1" applyBorder="1"/>
    <xf numFmtId="171" fontId="2" fillId="0" borderId="27" xfId="0" applyNumberFormat="1" applyFont="1" applyFill="1" applyBorder="1"/>
    <xf numFmtId="182" fontId="2" fillId="0" borderId="28" xfId="0" applyNumberFormat="1" applyFont="1" applyFill="1" applyBorder="1"/>
    <xf numFmtId="183" fontId="2" fillId="0" borderId="0" xfId="0" applyNumberFormat="1" applyFont="1" applyFill="1"/>
    <xf numFmtId="177" fontId="4" fillId="0" borderId="0" xfId="0" applyNumberFormat="1" applyFont="1" applyFill="1"/>
    <xf numFmtId="177" fontId="19" fillId="0" borderId="28" xfId="0" applyNumberFormat="1" applyFont="1" applyFill="1" applyBorder="1"/>
    <xf numFmtId="0" fontId="0" fillId="0" borderId="28" xfId="0" applyFill="1" applyBorder="1"/>
    <xf numFmtId="172" fontId="4" fillId="0" borderId="0" xfId="0" applyNumberFormat="1" applyFont="1" applyFill="1"/>
    <xf numFmtId="177" fontId="4" fillId="0" borderId="28" xfId="0" applyNumberFormat="1" applyFont="1" applyFill="1" applyBorder="1"/>
    <xf numFmtId="172" fontId="4" fillId="0" borderId="28" xfId="0" applyNumberFormat="1" applyFont="1" applyFill="1" applyBorder="1"/>
    <xf numFmtId="177" fontId="19" fillId="0" borderId="0" xfId="0" applyNumberFormat="1" applyFont="1" applyFill="1"/>
    <xf numFmtId="171" fontId="19" fillId="0" borderId="29" xfId="0" applyNumberFormat="1" applyFont="1" applyFill="1" applyBorder="1"/>
    <xf numFmtId="177" fontId="8" fillId="0" borderId="30" xfId="0" applyNumberFormat="1" applyFont="1" applyFill="1" applyBorder="1"/>
    <xf numFmtId="177" fontId="8" fillId="0" borderId="0" xfId="0" applyNumberFormat="1" applyFont="1" applyFill="1"/>
    <xf numFmtId="0" fontId="0" fillId="0" borderId="7" xfId="0" applyFill="1" applyBorder="1"/>
    <xf numFmtId="177" fontId="19" fillId="0" borderId="7" xfId="0" applyNumberFormat="1" applyFont="1" applyFill="1" applyBorder="1"/>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'[1]Simple DCF Empty'!$B$122:$B$124</c:f>
              <c:strCache>
                <c:ptCount val="3"/>
                <c:pt idx="0">
                  <c:v>DCF Value at 11.5x-13.5x Exit EBITDA Range at 7.8% WACC</c:v>
                </c:pt>
                <c:pt idx="1">
                  <c:v>DCF Value at 2.0%-4.0% Perpetuity Range at 7.8% WACC</c:v>
                </c:pt>
                <c:pt idx="2">
                  <c:v>52 Week Market High/Low</c:v>
                </c:pt>
              </c:strCache>
            </c:strRef>
          </c:cat>
          <c:val>
            <c:numRef>
              <c:f>'[1]Simple DCF Empty'!$C$122:$C$124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'[1]Simple DCF Empty'!$B$122:$B$124</c:f>
              <c:strCache>
                <c:ptCount val="3"/>
                <c:pt idx="0">
                  <c:v>DCF Value at 11.5x-13.5x Exit EBITDA Range at 7.8% WACC</c:v>
                </c:pt>
                <c:pt idx="1">
                  <c:v>DCF Value at 2.0%-4.0% Perpetuity Range at 7.8% WACC</c:v>
                </c:pt>
                <c:pt idx="2">
                  <c:v>52 Week Market High/Low</c:v>
                </c:pt>
              </c:strCache>
            </c:strRef>
          </c:cat>
          <c:val>
            <c:numRef>
              <c:f>'[1]Simple DCF Empty'!$D$122:$D$124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'[1]Simple DCF Empty'!$B$122:$B$124</c:f>
              <c:strCache>
                <c:ptCount val="3"/>
                <c:pt idx="0">
                  <c:v>DCF Value at 11.5x-13.5x Exit EBITDA Range at 7.8% WACC</c:v>
                </c:pt>
                <c:pt idx="1">
                  <c:v>DCF Value at 2.0%-4.0% Perpetuity Range at 7.8% WACC</c:v>
                </c:pt>
                <c:pt idx="2">
                  <c:v>52 Week Market High/Low</c:v>
                </c:pt>
              </c:strCache>
            </c:strRef>
          </c:cat>
          <c:val>
            <c:numRef>
              <c:f>'[1]Simple DCF Empty'!$E$122:$E$124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'[1]Simple DCF Empty'!$G$122:$G$124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'[1]Simple DCF Empty'!$O$122:$O$124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'[1]Simple DCF Empty'!$G$122:$G$124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'[1]Simple DCF Empty'!$P$122:$P$124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'[1]Simple DCF Empty'!$G$122:$G$124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'[1]Simple DCF Empty'!$Q$122:$Q$124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Empty'!$D$128:$D$130</c:f>
              <c:numCache>
                <c:formatCode>#,##0.00_);\(#,##0.00\)</c:formatCode>
                <c:ptCount val="3"/>
                <c:pt idx="0">
                  <c:v>59.053939159871163</c:v>
                </c:pt>
                <c:pt idx="1">
                  <c:v>67.490404797844263</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Empty'!$E$128:$E$130</c:f>
              <c:numCache>
                <c:formatCode>#,##0.00_);\(#,##0.00\)</c:formatCode>
                <c:ptCount val="3"/>
                <c:pt idx="0">
                  <c:v>293.23638533011263</c:v>
                </c:pt>
                <c:pt idx="1">
                  <c:v>297.16491482385555</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Empty'!$O$128:$O$130</c:f>
              <c:numCache>
                <c:formatCode>#,##0.00_);\(#,##0.00\)</c:formatCode>
                <c:ptCount val="3"/>
                <c:pt idx="0">
                  <c:v>12.832501802687379</c:v>
                </c:pt>
                <c:pt idx="1">
                  <c:v>13.109295073001569</c:v>
                </c:pt>
                <c:pt idx="2">
                  <c:v>13.826590996388775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Empty'!$P$128:$P$130</c:f>
              <c:numCache>
                <c:formatCode>#,##0.00_);\(#,##0.00\)</c:formatCode>
                <c:ptCount val="3"/>
                <c:pt idx="0">
                  <c:v>4.144000549505126</c:v>
                </c:pt>
                <c:pt idx="1">
                  <c:v>3.6259903472495552</c:v>
                </c:pt>
                <c:pt idx="2">
                  <c:v>2.3061658520416284</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Empty'!$Q$128:$Q$130</c:f>
              <c:numCache>
                <c:formatCode>#,##0.00_);\(#,##0.00\)</c:formatCode>
                <c:ptCount val="3"/>
                <c:pt idx="0">
                  <c:v>16.976502352192504</c:v>
                </c:pt>
                <c:pt idx="1">
                  <c:v>16.735285420251124</c:v>
                </c:pt>
                <c:pt idx="2">
                  <c:v>16.132756848430404</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row r="122">
          <cell r="B122" t="str">
            <v>DCF Value at 11.5x-13.5x Exit EBITDA Range at 7.8% WACC</v>
          </cell>
          <cell r="C122">
            <v>249.08634127580683</v>
          </cell>
          <cell r="D122">
            <v>30.29596153302225</v>
          </cell>
          <cell r="E122">
            <v>279.38230280882908</v>
          </cell>
          <cell r="G122" t="str">
            <v>LTM EBITDA Purchase Multiple at 2.5%-3.5% Perpetuity Growth at 7.8% WACC</v>
          </cell>
          <cell r="O122">
            <v>15.850364139878245</v>
          </cell>
          <cell r="P122">
            <v>3.0997179565497177</v>
          </cell>
          <cell r="Q122">
            <v>18.950082096427963</v>
          </cell>
        </row>
        <row r="123">
          <cell r="B123" t="str">
            <v>DCF Value at 2.0%-4.0% Perpetuity Range at 7.8% WACC</v>
          </cell>
          <cell r="C123">
            <v>271.51409196853308</v>
          </cell>
          <cell r="D123">
            <v>109.37390753828566</v>
          </cell>
          <cell r="E123">
            <v>380.88799950681874</v>
          </cell>
          <cell r="G123" t="str">
            <v>LTM EBITDA Purchase Multiple at 13.4x-15.2x Exit EBITDA Multiple at 7.8% WACC</v>
          </cell>
          <cell r="O123">
            <v>13.386841924961782</v>
          </cell>
          <cell r="P123">
            <v>1.775644098703383</v>
          </cell>
          <cell r="Q123">
            <v>15.162486023665165</v>
          </cell>
        </row>
        <row r="124">
          <cell r="B124" t="str">
            <v>52 Week Market High/Low</v>
          </cell>
          <cell r="C124">
            <v>169.5</v>
          </cell>
          <cell r="D124">
            <v>158.35000000000002</v>
          </cell>
          <cell r="E124">
            <v>327.85</v>
          </cell>
          <cell r="G124" t="str">
            <v>LTM EBITDA Purchase Multiple at 6.8%-8.8% WACC at 12.5x Exit EBITDA</v>
          </cell>
          <cell r="O124">
            <v>13.735438835521636</v>
          </cell>
          <cell r="P124">
            <v>1.1062331549815383</v>
          </cell>
          <cell r="Q124">
            <v>14.841671990503174</v>
          </cell>
        </row>
      </sheetData>
      <sheetData sheetId="2"/>
      <sheetData sheetId="3"/>
      <sheetData sheetId="4">
        <row r="21">
          <cell r="E21">
            <v>7.7864310730353978E-2</v>
          </cell>
        </row>
      </sheetData>
      <sheetData sheetId="5"/>
      <sheetData sheetId="6">
        <row r="25">
          <cell r="E25">
            <v>14543</v>
          </cell>
        </row>
        <row r="31">
          <cell r="E31">
            <v>-14543</v>
          </cell>
        </row>
        <row r="34">
          <cell r="E34">
            <v>34654</v>
          </cell>
        </row>
        <row r="41">
          <cell r="E41">
            <v>-34654</v>
          </cell>
        </row>
      </sheetData>
      <sheetData sheetId="7"/>
      <sheetData sheetId="8"/>
      <sheetData sheetId="9">
        <row r="128">
          <cell r="B128" t="str">
            <v>DCF Value at 11.0x-15.0x Exit EBITDA Range at 9.0% WACC</v>
          </cell>
          <cell r="C128">
            <v>234.18244617024146</v>
          </cell>
          <cell r="D128">
            <v>59.053939159871163</v>
          </cell>
          <cell r="E128">
            <v>293.23638533011263</v>
          </cell>
          <cell r="G128" t="str">
            <v>LTM EBITDA Purchase Multiple at 2.0%-4.0% Perpetuity Growth at 9.0% WACC</v>
          </cell>
          <cell r="O128">
            <v>12.832501802687379</v>
          </cell>
          <cell r="P128">
            <v>4.144000549505126</v>
          </cell>
          <cell r="Q128">
            <v>16.976502352192504</v>
          </cell>
        </row>
        <row r="129">
          <cell r="B129" t="str">
            <v>DCF Value at 2.0%-4.0% Perpetuity Range at 9.0% WACC</v>
          </cell>
          <cell r="C129">
            <v>229.67451002601129</v>
          </cell>
          <cell r="D129">
            <v>67.490404797844263</v>
          </cell>
          <cell r="E129">
            <v>297.16491482385555</v>
          </cell>
          <cell r="G129" t="str">
            <v>LTM EBITDA Purchase Multiple at 13.1x-16.7x Exit EBITDA Multiple at 9.0% WACC</v>
          </cell>
          <cell r="O129">
            <v>13.109295073001569</v>
          </cell>
          <cell r="P129">
            <v>3.6259903472495552</v>
          </cell>
          <cell r="Q129">
            <v>16.735285420251124</v>
          </cell>
        </row>
        <row r="130">
          <cell r="B130" t="str">
            <v>52 Week Market High/Low</v>
          </cell>
          <cell r="C130">
            <v>169.5</v>
          </cell>
          <cell r="D130">
            <v>158.35000000000002</v>
          </cell>
          <cell r="E130">
            <v>327.85</v>
          </cell>
          <cell r="G130" t="str">
            <v>LTM EBITDA Purchase Multiple at 7.0%-11.0% WACC at 13.0x Exit EBITDA</v>
          </cell>
          <cell r="O130">
            <v>13.826590996388775</v>
          </cell>
          <cell r="P130">
            <v>2.3061658520416284</v>
          </cell>
          <cell r="Q130">
            <v>16.132756848430404</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election activeCell="C21" sqref="C21"/>
    </sheetView>
  </sheetViews>
  <sheetFormatPr defaultRowHeight="14.4" x14ac:dyDescent="0.3"/>
  <sheetData>
    <row r="2" spans="1:2" ht="91.8" x14ac:dyDescent="1.65">
      <c r="A2" s="285" t="s">
        <v>297</v>
      </c>
    </row>
    <row r="5" spans="1:2" ht="18" x14ac:dyDescent="0.35">
      <c r="A5" s="283" t="s">
        <v>298</v>
      </c>
      <c r="B5" s="284" t="s">
        <v>299</v>
      </c>
    </row>
    <row r="6" spans="1:2" ht="18" x14ac:dyDescent="0.35">
      <c r="A6" s="283" t="s">
        <v>300</v>
      </c>
      <c r="B6" s="284" t="s">
        <v>307</v>
      </c>
    </row>
    <row r="7" spans="1:2" ht="18" x14ac:dyDescent="0.35">
      <c r="A7" s="283" t="s">
        <v>301</v>
      </c>
      <c r="B7" s="284" t="s">
        <v>305</v>
      </c>
    </row>
    <row r="8" spans="1:2" ht="18" x14ac:dyDescent="0.35">
      <c r="A8" s="283" t="s">
        <v>302</v>
      </c>
      <c r="B8" s="284" t="s">
        <v>308</v>
      </c>
    </row>
    <row r="9" spans="1:2" ht="18" x14ac:dyDescent="0.35">
      <c r="A9" s="283" t="s">
        <v>303</v>
      </c>
      <c r="B9" s="284" t="s">
        <v>306</v>
      </c>
    </row>
    <row r="10" spans="1:2" ht="18" x14ac:dyDescent="0.35">
      <c r="A10" s="283" t="s">
        <v>304</v>
      </c>
      <c r="B10" s="284" t="s">
        <v>309</v>
      </c>
    </row>
    <row r="13" spans="1:2" ht="18" x14ac:dyDescent="0.35">
      <c r="A13" s="287" t="s">
        <v>316</v>
      </c>
    </row>
    <row r="14" spans="1:2" ht="18" x14ac:dyDescent="0.35">
      <c r="A14" s="283"/>
      <c r="B14" s="284"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election activeCell="O28" sqref="O28"/>
    </sheetView>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130</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310</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311</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312</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99</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313</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20</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21</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22</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23</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24</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25</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26</v>
      </c>
    </row>
    <row r="37" spans="3:13" x14ac:dyDescent="0.3">
      <c r="C37" s="28" t="s">
        <v>27</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28</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29</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30</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31</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129</v>
      </c>
    </row>
    <row r="42" spans="3:13" x14ac:dyDescent="0.3">
      <c r="C42" s="28"/>
      <c r="G42" s="31"/>
    </row>
    <row r="43" spans="3:13" x14ac:dyDescent="0.3">
      <c r="C43" s="13" t="s">
        <v>32</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33</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34</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35</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36</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37</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38</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39</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40</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41</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42</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43</v>
      </c>
      <c r="D57" s="24"/>
      <c r="E57" s="24">
        <v>11977</v>
      </c>
      <c r="F57" s="24">
        <v>11964</v>
      </c>
      <c r="G57" s="27">
        <f ca="1">G136</f>
        <v>12000</v>
      </c>
      <c r="H57" s="27">
        <f ca="1">H136</f>
        <v>12000</v>
      </c>
      <c r="I57" s="27">
        <f ca="1">I136</f>
        <v>12000</v>
      </c>
      <c r="J57" s="27">
        <f ca="1">J136</f>
        <v>12000</v>
      </c>
      <c r="K57" s="27">
        <f ca="1">K136</f>
        <v>12000</v>
      </c>
    </row>
    <row r="58" spans="3:13" x14ac:dyDescent="0.3">
      <c r="C58" s="29" t="s">
        <v>44</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45</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46</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47</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48</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49</v>
      </c>
      <c r="D64" s="24"/>
      <c r="E64" s="24">
        <v>-150</v>
      </c>
      <c r="F64" s="24">
        <v>-3454</v>
      </c>
      <c r="G64" s="27">
        <f>F64</f>
        <v>-3454</v>
      </c>
      <c r="H64" s="27">
        <f>G64</f>
        <v>-3454</v>
      </c>
      <c r="I64" s="27">
        <f>H64</f>
        <v>-3454</v>
      </c>
      <c r="J64" s="27">
        <f>I64</f>
        <v>-3454</v>
      </c>
      <c r="K64" s="27">
        <f>J64</f>
        <v>-3454</v>
      </c>
    </row>
    <row r="65" spans="3:11" x14ac:dyDescent="0.3">
      <c r="C65" s="30" t="s">
        <v>50</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51</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52</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21</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53</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24</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54</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55</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38</v>
      </c>
      <c r="G78" s="27">
        <f ca="1">-(G112)</f>
        <v>-647.56000000000131</v>
      </c>
      <c r="H78" s="27">
        <f ca="1">-(H112)</f>
        <v>-2914.7136000000028</v>
      </c>
      <c r="I78" s="27">
        <f ca="1">-(I112)</f>
        <v>-3308.3539583999991</v>
      </c>
      <c r="J78" s="27">
        <f ca="1">-(J112)</f>
        <v>-3536.6303815296014</v>
      </c>
      <c r="K78" s="27">
        <f ca="1">-(K112)</f>
        <v>-3780.6578778551411</v>
      </c>
    </row>
    <row r="79" spans="3:11" x14ac:dyDescent="0.3">
      <c r="C79" t="s">
        <v>45</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56</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57</v>
      </c>
      <c r="G82" s="27">
        <f>-(G98)</f>
        <v>-13285</v>
      </c>
      <c r="H82" s="27">
        <f>-(H98)</f>
        <v>-13649</v>
      </c>
      <c r="I82" s="27">
        <f>-(I98)</f>
        <v>-13819</v>
      </c>
      <c r="J82" s="27">
        <f ca="1">-(J98)</f>
        <v>-14772.510999999999</v>
      </c>
      <c r="K82" s="27">
        <f ca="1">-(K98)</f>
        <v>-15791.814258999997</v>
      </c>
    </row>
    <row r="83" spans="3:11" x14ac:dyDescent="0.3">
      <c r="C83" s="12" t="s">
        <v>58</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59</v>
      </c>
      <c r="G85" s="27">
        <f>G58-F58</f>
        <v>0</v>
      </c>
      <c r="H85" s="27">
        <f>H58-G58</f>
        <v>0</v>
      </c>
      <c r="I85" s="27">
        <f>I58-H58</f>
        <v>0</v>
      </c>
      <c r="J85" s="27">
        <f>J58-I58</f>
        <v>0</v>
      </c>
      <c r="K85" s="27">
        <f>K58-J58</f>
        <v>0</v>
      </c>
    </row>
    <row r="86" spans="3:11" x14ac:dyDescent="0.3">
      <c r="C86" t="s">
        <v>60</v>
      </c>
      <c r="G86" s="27">
        <f ca="1">G57-F57</f>
        <v>36</v>
      </c>
      <c r="H86" s="27">
        <f ca="1">H57-G57</f>
        <v>0</v>
      </c>
      <c r="I86" s="27">
        <f ca="1">I57-H57</f>
        <v>0</v>
      </c>
      <c r="J86" s="27">
        <f ca="1">J57-I57</f>
        <v>0</v>
      </c>
      <c r="K86" s="27">
        <f ca="1">K57-J57</f>
        <v>0</v>
      </c>
    </row>
    <row r="87" spans="3:11" x14ac:dyDescent="0.3">
      <c r="C87" t="s">
        <v>61</v>
      </c>
      <c r="G87" s="27">
        <f>G119</f>
        <v>-73056</v>
      </c>
      <c r="H87" s="27">
        <f>H119</f>
        <v>-73056</v>
      </c>
      <c r="I87" s="27">
        <f>I119</f>
        <v>-73056</v>
      </c>
      <c r="J87" s="27">
        <f>J119</f>
        <v>-73056</v>
      </c>
      <c r="K87" s="27">
        <f>K119</f>
        <v>-73056</v>
      </c>
    </row>
    <row r="88" spans="3:11" x14ac:dyDescent="0.3">
      <c r="C88" t="s">
        <v>62</v>
      </c>
      <c r="G88" s="27">
        <f>G118</f>
        <v>-13735</v>
      </c>
      <c r="H88" s="27">
        <f>H118</f>
        <v>-13735</v>
      </c>
      <c r="I88" s="27">
        <f>I118</f>
        <v>-13735</v>
      </c>
      <c r="J88" s="27">
        <f>J118</f>
        <v>-13735</v>
      </c>
      <c r="K88" s="27">
        <f>K118</f>
        <v>-13735</v>
      </c>
    </row>
    <row r="89" spans="3:11" x14ac:dyDescent="0.3">
      <c r="C89" s="12" t="s">
        <v>63</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64</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65</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66</v>
      </c>
      <c r="H96" s="42"/>
      <c r="I96" s="42"/>
      <c r="J96" s="42"/>
      <c r="K96" s="42"/>
    </row>
    <row r="97" spans="3:13" x14ac:dyDescent="0.3">
      <c r="C97" s="29" t="s">
        <v>67</v>
      </c>
      <c r="G97" s="27">
        <f>F100</f>
        <v>41304</v>
      </c>
      <c r="H97" s="27">
        <f>G100</f>
        <v>45042.85982873883</v>
      </c>
      <c r="I97" s="27">
        <f>H100</f>
        <v>48611.181883872909</v>
      </c>
      <c r="J97" s="27">
        <f>I100</f>
        <v>51947.567835949827</v>
      </c>
      <c r="K97" s="27">
        <f ca="1">J100</f>
        <v>55218.714198720052</v>
      </c>
    </row>
    <row r="98" spans="3:13" x14ac:dyDescent="0.3">
      <c r="C98" s="43" t="s">
        <v>68</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69</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70</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140</v>
      </c>
    </row>
    <row r="102" spans="3:13" x14ac:dyDescent="0.3">
      <c r="C102" s="29" t="s">
        <v>71</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286">
        <v>0.02</v>
      </c>
    </row>
    <row r="103" spans="3:13" x14ac:dyDescent="0.3">
      <c r="C103" s="29"/>
      <c r="D103" s="48"/>
      <c r="E103" s="48"/>
      <c r="F103" s="48"/>
      <c r="G103" s="33"/>
      <c r="H103" s="33"/>
      <c r="I103" s="33"/>
      <c r="J103" s="33"/>
      <c r="K103" s="33"/>
    </row>
    <row r="104" spans="3:13" x14ac:dyDescent="0.3">
      <c r="C104" s="49" t="s">
        <v>72</v>
      </c>
      <c r="D104" s="50"/>
      <c r="E104" s="50"/>
      <c r="F104" s="50"/>
      <c r="G104" s="51"/>
      <c r="H104" s="51"/>
      <c r="I104" s="51"/>
      <c r="J104" s="51"/>
      <c r="K104" s="51"/>
    </row>
    <row r="105" spans="3:13" x14ac:dyDescent="0.3">
      <c r="C105" s="29" t="s">
        <v>73</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74</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75</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76</v>
      </c>
      <c r="D109" s="14"/>
      <c r="E109" s="14"/>
      <c r="F109" s="14"/>
      <c r="H109" s="27"/>
      <c r="I109" s="27"/>
      <c r="J109" s="27"/>
      <c r="K109" s="27"/>
    </row>
    <row r="110" spans="3:13" x14ac:dyDescent="0.3">
      <c r="C110" s="29" t="s">
        <v>67</v>
      </c>
      <c r="D110" s="27"/>
      <c r="G110" s="54">
        <f>F113</f>
        <v>22283</v>
      </c>
      <c r="H110" s="54">
        <f ca="1">G113</f>
        <v>21391.68</v>
      </c>
      <c r="I110" s="54">
        <f ca="1">H113</f>
        <v>22675.180800000002</v>
      </c>
      <c r="J110" s="54">
        <f ca="1">I113</f>
        <v>24239.7682752</v>
      </c>
      <c r="K110" s="54">
        <f ca="1">J113</f>
        <v>25912.3122861888</v>
      </c>
    </row>
    <row r="111" spans="3:13" x14ac:dyDescent="0.3">
      <c r="C111" s="28" t="s">
        <v>77</v>
      </c>
      <c r="G111" s="27">
        <f ca="1">-(G105)</f>
        <v>-1538.8799999999999</v>
      </c>
      <c r="H111" s="27">
        <f ca="1">-(H105)</f>
        <v>-1631.2128</v>
      </c>
      <c r="I111" s="27">
        <f ca="1">-(I105)</f>
        <v>-1743.7664832</v>
      </c>
      <c r="J111" s="27">
        <f ca="1">-(J105)</f>
        <v>-1864.0863705407999</v>
      </c>
      <c r="K111" s="27">
        <f ca="1">-(K105)</f>
        <v>-1992.708330108115</v>
      </c>
    </row>
    <row r="112" spans="3:13" x14ac:dyDescent="0.3">
      <c r="C112" s="55" t="s">
        <v>78</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70</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79</v>
      </c>
      <c r="D115" s="53"/>
      <c r="E115" s="53"/>
      <c r="F115" s="53"/>
      <c r="G115" s="14"/>
      <c r="H115" s="14"/>
      <c r="I115" s="14"/>
      <c r="J115" s="14"/>
      <c r="K115" s="14"/>
    </row>
    <row r="116" spans="3:11" x14ac:dyDescent="0.3">
      <c r="C116" s="29" t="s">
        <v>67</v>
      </c>
      <c r="G116" s="27">
        <f>F120</f>
        <v>70400</v>
      </c>
      <c r="H116" s="27">
        <f ca="1">G120</f>
        <v>35907.506097684833</v>
      </c>
      <c r="I116" s="27">
        <f ca="1">H120</f>
        <v>5100.8299299417849</v>
      </c>
      <c r="J116" s="27">
        <f ca="1">I120</f>
        <v>-21730.959215985225</v>
      </c>
      <c r="K116" s="27">
        <f ca="1">J120</f>
        <v>-44747.352295014651</v>
      </c>
    </row>
    <row r="117" spans="3:11" x14ac:dyDescent="0.3">
      <c r="C117" s="28" t="s">
        <v>80</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81</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82</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70</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83</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84</v>
      </c>
    </row>
    <row r="127" spans="3:11" x14ac:dyDescent="0.3">
      <c r="C127" s="28" t="s">
        <v>85</v>
      </c>
      <c r="G127" s="27">
        <f>F46</f>
        <v>237100</v>
      </c>
      <c r="H127" s="27">
        <f ca="1">G46</f>
        <v>202199.73246575586</v>
      </c>
      <c r="I127" s="27">
        <f ca="1">H46</f>
        <v>176383.85810224805</v>
      </c>
      <c r="J127" s="27">
        <f ca="1">I46</f>
        <v>155848.04251512291</v>
      </c>
      <c r="K127" s="27">
        <f ca="1">J46</f>
        <v>140040.74477345025</v>
      </c>
    </row>
    <row r="128" spans="3:11" x14ac:dyDescent="0.3">
      <c r="C128" s="28" t="s">
        <v>86</v>
      </c>
      <c r="G128" s="24">
        <v>-50000</v>
      </c>
      <c r="H128" s="24">
        <v>-50000</v>
      </c>
      <c r="I128" s="24">
        <v>-50000</v>
      </c>
      <c r="J128" s="24">
        <v>-50000</v>
      </c>
      <c r="K128" s="24">
        <v>-50000</v>
      </c>
    </row>
    <row r="129" spans="3:11" x14ac:dyDescent="0.3">
      <c r="C129" s="55" t="s">
        <v>87</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88</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89</v>
      </c>
    </row>
    <row r="133" spans="3:11" x14ac:dyDescent="0.3">
      <c r="C133" s="28" t="s">
        <v>67</v>
      </c>
      <c r="G133" s="27">
        <f>F136</f>
        <v>11964</v>
      </c>
      <c r="H133" s="27">
        <f ca="1">G136</f>
        <v>12000</v>
      </c>
      <c r="I133" s="27">
        <f ca="1">H136</f>
        <v>12000</v>
      </c>
      <c r="J133" s="27">
        <f ca="1">I136</f>
        <v>12000</v>
      </c>
      <c r="K133" s="27">
        <f ca="1">J136</f>
        <v>12000</v>
      </c>
    </row>
    <row r="134" spans="3:11" x14ac:dyDescent="0.3">
      <c r="C134" s="43" t="s">
        <v>90</v>
      </c>
      <c r="G134" s="27">
        <f ca="1">-MIN(G130,G133)</f>
        <v>-11964</v>
      </c>
      <c r="H134" s="27">
        <f ca="1">-MIN(H130,H133)</f>
        <v>-12000</v>
      </c>
      <c r="I134" s="27">
        <f ca="1">-MIN(I130,I133)</f>
        <v>-12000</v>
      </c>
      <c r="J134" s="27">
        <f ca="1">-MIN(J130,J133)</f>
        <v>-12000</v>
      </c>
      <c r="K134" s="27">
        <f ca="1">-MIN(K130,K133)</f>
        <v>-12000</v>
      </c>
    </row>
    <row r="135" spans="3:11" x14ac:dyDescent="0.3">
      <c r="C135" s="44" t="s">
        <v>91</v>
      </c>
      <c r="D135" s="56"/>
      <c r="E135" s="56"/>
      <c r="F135" s="56"/>
      <c r="G135" s="45">
        <v>12000</v>
      </c>
      <c r="H135" s="45">
        <v>12000</v>
      </c>
      <c r="I135" s="45">
        <v>12000</v>
      </c>
      <c r="J135" s="45">
        <v>12000</v>
      </c>
      <c r="K135" s="45">
        <v>12000</v>
      </c>
    </row>
    <row r="136" spans="3:11" x14ac:dyDescent="0.3">
      <c r="C136" s="28" t="s">
        <v>70</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92</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93</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94</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95</v>
      </c>
    </row>
    <row r="146" spans="3:11" x14ac:dyDescent="0.3">
      <c r="C146" s="28" t="s">
        <v>96</v>
      </c>
      <c r="E146" s="71">
        <v>1.2E-2</v>
      </c>
      <c r="F146" s="71">
        <v>2.18E-2</v>
      </c>
      <c r="G146" s="72">
        <f>F146</f>
        <v>2.18E-2</v>
      </c>
      <c r="H146" s="72">
        <f>G146</f>
        <v>2.18E-2</v>
      </c>
      <c r="I146" s="72">
        <f>H146</f>
        <v>2.18E-2</v>
      </c>
      <c r="J146" s="72">
        <f>I146</f>
        <v>2.18E-2</v>
      </c>
      <c r="K146" s="72">
        <f>J146</f>
        <v>2.18E-2</v>
      </c>
    </row>
    <row r="147" spans="3:11" x14ac:dyDescent="0.3">
      <c r="C147" s="28" t="s">
        <v>97</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98</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59</v>
      </c>
      <c r="D150" s="27"/>
      <c r="E150" s="27"/>
      <c r="F150" s="27"/>
    </row>
    <row r="151" spans="3:11" x14ac:dyDescent="0.3">
      <c r="C151" s="28" t="s">
        <v>97</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96</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99</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100</v>
      </c>
      <c r="E155" s="27"/>
      <c r="F155" s="27"/>
    </row>
    <row r="156" spans="3:11" x14ac:dyDescent="0.3">
      <c r="C156" s="28" t="s">
        <v>101</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115</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21</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116</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117</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118</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119</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120</v>
      </c>
      <c r="D170" s="27"/>
      <c r="G170" s="100">
        <f>-(G119)</f>
        <v>73056</v>
      </c>
      <c r="H170" s="100">
        <f>-(H119)</f>
        <v>73056</v>
      </c>
      <c r="I170" s="100">
        <f>-(I119)</f>
        <v>73056</v>
      </c>
      <c r="J170" s="100">
        <f>-(J119)</f>
        <v>73056</v>
      </c>
      <c r="K170" s="100">
        <f>-(K119)</f>
        <v>73056</v>
      </c>
    </row>
    <row r="171" spans="3:11" x14ac:dyDescent="0.3">
      <c r="C171" t="s">
        <v>121</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122</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123</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124</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125</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126</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127</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21</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128</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102</v>
      </c>
      <c r="D184" s="13"/>
      <c r="E184" s="13"/>
      <c r="F184" s="13"/>
      <c r="G184" s="13"/>
      <c r="H184" s="13"/>
      <c r="I184" s="13"/>
      <c r="J184" s="13"/>
      <c r="K184" s="13"/>
    </row>
    <row r="185" spans="3:11" x14ac:dyDescent="0.3">
      <c r="C185" s="12"/>
    </row>
    <row r="186" spans="3:11" ht="15" thickBot="1" x14ac:dyDescent="0.35">
      <c r="C186" s="79" t="s">
        <v>103</v>
      </c>
      <c r="D186" s="80"/>
      <c r="E186" s="80"/>
      <c r="F186" s="80"/>
      <c r="G186" s="80"/>
      <c r="H186" s="80"/>
      <c r="I186" s="80"/>
    </row>
    <row r="187" spans="3:11" x14ac:dyDescent="0.3">
      <c r="E187" s="81" t="s">
        <v>104</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105</v>
      </c>
      <c r="D190" s="95">
        <f>D189-0.005</f>
        <v>0.38500000000000001</v>
      </c>
      <c r="E190" s="96">
        <v>53232.084561090189</v>
      </c>
      <c r="F190" s="96">
        <v>54635.877046871799</v>
      </c>
      <c r="G190" s="96">
        <v>56039.669532653461</v>
      </c>
      <c r="H190" s="96">
        <v>57443.462018435137</v>
      </c>
      <c r="I190" s="96">
        <v>58847.254504216806</v>
      </c>
    </row>
    <row r="191" spans="3:11" x14ac:dyDescent="0.3">
      <c r="C191" s="83" t="s">
        <v>106</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107</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108</v>
      </c>
      <c r="D196" s="13"/>
      <c r="E196" s="13"/>
      <c r="F196" s="13"/>
      <c r="G196" s="13"/>
      <c r="H196" s="13"/>
      <c r="I196" s="13"/>
      <c r="J196" s="13"/>
      <c r="K196" s="13"/>
    </row>
    <row r="197" spans="3:13" ht="15" thickBot="1" x14ac:dyDescent="0.35"/>
    <row r="198" spans="3:13" x14ac:dyDescent="0.3">
      <c r="C198" s="92" t="s">
        <v>109</v>
      </c>
      <c r="D198" s="7" t="str">
        <f>D12</f>
        <v>Base case</v>
      </c>
      <c r="F198" s="97" t="s">
        <v>110</v>
      </c>
      <c r="G198" s="37">
        <f t="shared" ref="G198:K199" si="42">G15</f>
        <v>2019</v>
      </c>
      <c r="H198" s="37">
        <f t="shared" si="42"/>
        <v>2020</v>
      </c>
      <c r="I198" s="37">
        <f t="shared" si="42"/>
        <v>2021</v>
      </c>
      <c r="J198" s="37">
        <f t="shared" si="42"/>
        <v>2022</v>
      </c>
      <c r="K198" s="37">
        <f t="shared" si="42"/>
        <v>2023</v>
      </c>
    </row>
    <row r="199" spans="3:13" x14ac:dyDescent="0.3">
      <c r="E199" s="84"/>
      <c r="F199" s="98" t="s">
        <v>111</v>
      </c>
      <c r="G199" s="38">
        <f t="shared" si="42"/>
        <v>43738</v>
      </c>
      <c r="H199" s="38">
        <f t="shared" si="42"/>
        <v>44104</v>
      </c>
      <c r="I199" s="38">
        <f t="shared" si="42"/>
        <v>44469</v>
      </c>
      <c r="J199" s="38">
        <f t="shared" si="42"/>
        <v>44834</v>
      </c>
      <c r="K199" s="38">
        <f t="shared" si="42"/>
        <v>45199</v>
      </c>
    </row>
    <row r="200" spans="3:13" x14ac:dyDescent="0.3">
      <c r="C200" s="28" t="s">
        <v>27</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28</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29</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30</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27</v>
      </c>
      <c r="F205" s="85"/>
    </row>
    <row r="206" spans="3:13" x14ac:dyDescent="0.3">
      <c r="C206" s="75" t="s">
        <v>112</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113</v>
      </c>
      <c r="G207" s="88">
        <v>-0.04</v>
      </c>
      <c r="H207" s="88">
        <v>0.06</v>
      </c>
      <c r="I207" s="88">
        <v>6.9000000000000006E-2</v>
      </c>
      <c r="J207" s="33">
        <f>I207</f>
        <v>6.9000000000000006E-2</v>
      </c>
      <c r="K207" s="33">
        <f>J207</f>
        <v>6.9000000000000006E-2</v>
      </c>
      <c r="M207" t="s">
        <v>131</v>
      </c>
    </row>
    <row r="208" spans="3:13" x14ac:dyDescent="0.3">
      <c r="C208" s="75" t="s">
        <v>114</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28</v>
      </c>
      <c r="F209" s="87"/>
      <c r="G209" s="88"/>
      <c r="H209" s="88"/>
      <c r="I209" s="88"/>
      <c r="J209" s="88"/>
      <c r="K209" s="88"/>
    </row>
    <row r="210" spans="3:13" x14ac:dyDescent="0.3">
      <c r="C210" s="75" t="s">
        <v>112</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113</v>
      </c>
      <c r="G211" s="88">
        <v>0.378</v>
      </c>
      <c r="H211" s="88">
        <v>0.38</v>
      </c>
      <c r="I211" s="88">
        <v>0.38200000000000001</v>
      </c>
      <c r="J211" s="33">
        <f>I211</f>
        <v>0.38200000000000001</v>
      </c>
      <c r="K211" s="33">
        <f>J211</f>
        <v>0.38200000000000001</v>
      </c>
      <c r="M211" t="s">
        <v>132</v>
      </c>
    </row>
    <row r="212" spans="3:13" x14ac:dyDescent="0.3">
      <c r="C212" s="75" t="s">
        <v>114</v>
      </c>
      <c r="F212" s="86">
        <v>-0.01</v>
      </c>
      <c r="G212" s="33">
        <f>G211+$F$212</f>
        <v>0.36799999999999999</v>
      </c>
      <c r="H212" s="33">
        <f>H211+$F$212</f>
        <v>0.37</v>
      </c>
      <c r="I212" s="33">
        <f>I211+$F$212</f>
        <v>0.372</v>
      </c>
      <c r="J212" s="33">
        <f>J211+$F$212</f>
        <v>0.372</v>
      </c>
      <c r="K212" s="33">
        <f>K211+$F$212</f>
        <v>0.372</v>
      </c>
    </row>
    <row r="213" spans="3:13" x14ac:dyDescent="0.3">
      <c r="C213" s="47" t="s">
        <v>29</v>
      </c>
      <c r="F213" s="87"/>
      <c r="G213" s="89"/>
      <c r="H213" s="89"/>
      <c r="I213" s="89"/>
      <c r="J213" s="89"/>
      <c r="K213" s="89"/>
    </row>
    <row r="214" spans="3:13" x14ac:dyDescent="0.3">
      <c r="C214" s="75" t="s">
        <v>112</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113</v>
      </c>
      <c r="G215" s="88">
        <v>6.2E-2</v>
      </c>
      <c r="H215" s="88">
        <v>6.3E-2</v>
      </c>
      <c r="I215" s="88">
        <v>6.3E-2</v>
      </c>
      <c r="J215" s="33">
        <f>I215</f>
        <v>6.3E-2</v>
      </c>
      <c r="K215" s="33">
        <f>J215</f>
        <v>6.3E-2</v>
      </c>
      <c r="M215" t="s">
        <v>129</v>
      </c>
    </row>
    <row r="216" spans="3:13" x14ac:dyDescent="0.3">
      <c r="C216" s="75" t="s">
        <v>114</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30</v>
      </c>
      <c r="F217" s="87"/>
      <c r="G217" s="89"/>
      <c r="H217" s="89"/>
      <c r="I217" s="89"/>
      <c r="J217" s="89"/>
      <c r="K217" s="89"/>
    </row>
    <row r="218" spans="3:13" x14ac:dyDescent="0.3">
      <c r="C218" s="75" t="s">
        <v>112</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113</v>
      </c>
      <c r="G219" s="88">
        <v>7.3999999999999996E-2</v>
      </c>
      <c r="H219" s="88">
        <v>6.9000000000000006E-2</v>
      </c>
      <c r="I219" s="88">
        <v>6.9000000000000006E-2</v>
      </c>
      <c r="J219" s="33">
        <f>I219</f>
        <v>6.9000000000000006E-2</v>
      </c>
      <c r="K219" s="33">
        <f>J219</f>
        <v>6.9000000000000006E-2</v>
      </c>
      <c r="M219" t="s">
        <v>129</v>
      </c>
    </row>
    <row r="220" spans="3:13" ht="15" thickBot="1" x14ac:dyDescent="0.35">
      <c r="C220" s="75" t="s">
        <v>114</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election activeCell="P8" sqref="P8"/>
    </sheetView>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133</v>
      </c>
      <c r="I5" s="82"/>
      <c r="J5" s="131" t="s">
        <v>111</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310</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311</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312</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99</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313</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20</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21</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22</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23</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24</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25</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26</v>
      </c>
      <c r="D35" s="32"/>
    </row>
    <row r="36" spans="3:15" x14ac:dyDescent="0.3">
      <c r="C36" s="28" t="s">
        <v>27</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28</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29</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30</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31</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32</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33</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34</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35</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36</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37</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38</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39</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40</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41</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42</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43</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44</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45</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46</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47</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48</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49</v>
      </c>
      <c r="D63" s="29"/>
      <c r="E63" s="24">
        <v>-150</v>
      </c>
      <c r="F63" s="24">
        <v>-3454</v>
      </c>
      <c r="G63" s="24">
        <v>-584</v>
      </c>
      <c r="H63" s="27">
        <f>G63</f>
        <v>-584</v>
      </c>
      <c r="I63" s="27">
        <f>H63</f>
        <v>-584</v>
      </c>
      <c r="J63" s="27">
        <f>I63</f>
        <v>-584</v>
      </c>
      <c r="K63" s="27">
        <f>J63</f>
        <v>-584</v>
      </c>
      <c r="L63" s="27">
        <f>K63</f>
        <v>-584</v>
      </c>
      <c r="O63" s="27">
        <v>-3454</v>
      </c>
    </row>
    <row r="64" spans="3:15" x14ac:dyDescent="0.3">
      <c r="C64" s="30" t="s">
        <v>50</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51</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52</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21</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53</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24</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54</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55</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38</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45</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56</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57</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58</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59</v>
      </c>
      <c r="H84" s="27">
        <f>H57-G57</f>
        <v>0</v>
      </c>
      <c r="I84" s="27">
        <f t="shared" ref="I84:L84" si="40">I57-H57</f>
        <v>0</v>
      </c>
      <c r="J84" s="27">
        <f t="shared" si="40"/>
        <v>0</v>
      </c>
      <c r="K84" s="27">
        <f t="shared" si="40"/>
        <v>0</v>
      </c>
      <c r="L84" s="27">
        <f t="shared" si="40"/>
        <v>0</v>
      </c>
    </row>
    <row r="85" spans="3:15" x14ac:dyDescent="0.3">
      <c r="C85" t="s">
        <v>135</v>
      </c>
      <c r="H85" s="27">
        <f ca="1">H56-G56</f>
        <v>6020</v>
      </c>
      <c r="I85" s="27">
        <f t="shared" ref="I85:L85" ca="1" si="41">I56-H56</f>
        <v>0</v>
      </c>
      <c r="J85" s="27">
        <f t="shared" ca="1" si="41"/>
        <v>0</v>
      </c>
      <c r="K85" s="27">
        <f t="shared" ca="1" si="41"/>
        <v>0</v>
      </c>
      <c r="L85" s="27">
        <f t="shared" ca="1" si="41"/>
        <v>0</v>
      </c>
    </row>
    <row r="86" spans="3:15" x14ac:dyDescent="0.3">
      <c r="C86" t="s">
        <v>61</v>
      </c>
      <c r="H86" s="27">
        <f>H118</f>
        <v>-67101</v>
      </c>
      <c r="I86" s="27">
        <f t="shared" ref="I86:L86" si="42">I118</f>
        <v>-67101</v>
      </c>
      <c r="J86" s="27">
        <f t="shared" si="42"/>
        <v>-67101</v>
      </c>
      <c r="K86" s="27">
        <f t="shared" si="42"/>
        <v>-67101</v>
      </c>
      <c r="L86" s="27">
        <f t="shared" si="42"/>
        <v>-67101</v>
      </c>
    </row>
    <row r="87" spans="3:15" x14ac:dyDescent="0.3">
      <c r="C87" t="s">
        <v>62</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63</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64</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65</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66</v>
      </c>
      <c r="I95" s="42"/>
      <c r="J95" s="42"/>
      <c r="K95" s="42"/>
      <c r="L95" s="42"/>
      <c r="O95" s="42"/>
    </row>
    <row r="96" spans="3:15" x14ac:dyDescent="0.3">
      <c r="C96" s="29" t="s">
        <v>67</v>
      </c>
      <c r="D96" s="29"/>
      <c r="H96" s="27">
        <f>G99</f>
        <v>37378</v>
      </c>
      <c r="I96" s="27">
        <f>H99</f>
        <v>39667.69873377285</v>
      </c>
      <c r="J96" s="27">
        <f>I99</f>
        <v>41825.415569363468</v>
      </c>
      <c r="K96" s="27">
        <f ca="1">J99</f>
        <v>43858.586046609838</v>
      </c>
      <c r="L96" s="27">
        <f ca="1">K99</f>
        <v>45739.74987820621</v>
      </c>
      <c r="O96" s="27">
        <v>41304</v>
      </c>
    </row>
    <row r="97" spans="3:15" x14ac:dyDescent="0.3">
      <c r="C97" s="43" t="s">
        <v>68</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69</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70</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295</v>
      </c>
      <c r="N100" s="281"/>
    </row>
    <row r="101" spans="3:15" x14ac:dyDescent="0.3">
      <c r="C101" s="29" t="s">
        <v>71</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72</v>
      </c>
      <c r="D103" s="49"/>
      <c r="E103" s="50"/>
      <c r="F103" s="50"/>
      <c r="G103" s="50"/>
      <c r="H103" s="51"/>
      <c r="I103" s="51"/>
      <c r="J103" s="51"/>
      <c r="K103" s="51"/>
      <c r="L103" s="51"/>
    </row>
    <row r="104" spans="3:15" x14ac:dyDescent="0.3">
      <c r="C104" s="29" t="s">
        <v>73</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74</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75</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76</v>
      </c>
      <c r="D108" s="53"/>
      <c r="E108" s="14"/>
      <c r="F108" s="14"/>
      <c r="G108" s="14"/>
      <c r="I108" s="27"/>
      <c r="J108" s="27"/>
      <c r="K108" s="27"/>
      <c r="L108" s="27"/>
    </row>
    <row r="109" spans="3:15" x14ac:dyDescent="0.3">
      <c r="C109" s="29" t="s">
        <v>67</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77</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78</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70</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79</v>
      </c>
      <c r="D114" s="58"/>
      <c r="E114" s="53"/>
      <c r="F114" s="53"/>
      <c r="G114" s="53"/>
      <c r="H114" s="14"/>
      <c r="I114" s="14"/>
      <c r="J114" s="14"/>
      <c r="K114" s="14"/>
      <c r="L114" s="14"/>
      <c r="O114" s="14"/>
    </row>
    <row r="115" spans="3:15" x14ac:dyDescent="0.3">
      <c r="C115" s="29" t="s">
        <v>67</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80</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81</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82</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70</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83</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84</v>
      </c>
      <c r="D125" s="32"/>
    </row>
    <row r="126" spans="3:15" x14ac:dyDescent="0.3">
      <c r="C126" s="28" t="s">
        <v>85</v>
      </c>
      <c r="D126" s="28"/>
      <c r="H126" s="27">
        <f>G45</f>
        <v>205898</v>
      </c>
      <c r="I126" s="27">
        <f ca="1">H45</f>
        <v>194816.4470681416</v>
      </c>
      <c r="J126" s="27">
        <f ca="1">I45</f>
        <v>181595.25757911173</v>
      </c>
      <c r="K126" s="27">
        <f ca="1">J45</f>
        <v>172170.89895714316</v>
      </c>
      <c r="L126" s="27">
        <f ca="1">K45</f>
        <v>166889.31493633837</v>
      </c>
    </row>
    <row r="127" spans="3:15" x14ac:dyDescent="0.3">
      <c r="C127" s="28" t="s">
        <v>86</v>
      </c>
      <c r="D127" s="28"/>
      <c r="H127" s="24">
        <v>-50000</v>
      </c>
      <c r="I127" s="24">
        <v>-50000</v>
      </c>
      <c r="J127" s="24">
        <v>-50000</v>
      </c>
      <c r="K127" s="24">
        <v>-50000</v>
      </c>
      <c r="L127" s="24">
        <v>-50000</v>
      </c>
    </row>
    <row r="128" spans="3:15" x14ac:dyDescent="0.3">
      <c r="C128" s="55" t="s">
        <v>87</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88</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89</v>
      </c>
      <c r="D131" s="12"/>
    </row>
    <row r="132" spans="3:12" x14ac:dyDescent="0.3">
      <c r="C132" s="28" t="s">
        <v>67</v>
      </c>
      <c r="D132" s="28"/>
      <c r="H132" s="27">
        <f>G135</f>
        <v>5980</v>
      </c>
      <c r="I132" s="27">
        <f ca="1">H135</f>
        <v>12000</v>
      </c>
      <c r="J132" s="27">
        <f ca="1">I135</f>
        <v>12000</v>
      </c>
      <c r="K132" s="27">
        <f ca="1">J135</f>
        <v>12000</v>
      </c>
      <c r="L132" s="27">
        <f ca="1">K135</f>
        <v>12000</v>
      </c>
    </row>
    <row r="133" spans="3:12" x14ac:dyDescent="0.3">
      <c r="C133" s="43" t="s">
        <v>90</v>
      </c>
      <c r="D133" s="43"/>
      <c r="H133" s="27">
        <f ca="1">-MIN(H129,H132)</f>
        <v>-5980</v>
      </c>
      <c r="I133" s="27">
        <f ca="1">-MIN(I129,I132)</f>
        <v>-12000</v>
      </c>
      <c r="J133" s="27">
        <f ca="1">-MIN(J129,J132)</f>
        <v>-12000</v>
      </c>
      <c r="K133" s="27">
        <f ca="1">-MIN(K129,K132)</f>
        <v>-12000</v>
      </c>
      <c r="L133" s="27">
        <f ca="1">-MIN(L129,L132)</f>
        <v>-12000</v>
      </c>
    </row>
    <row r="134" spans="3:12" x14ac:dyDescent="0.3">
      <c r="C134" s="44" t="s">
        <v>91</v>
      </c>
      <c r="D134" s="44"/>
      <c r="E134" s="56"/>
      <c r="F134" s="56"/>
      <c r="G134" s="56"/>
      <c r="H134" s="45">
        <v>12000</v>
      </c>
      <c r="I134" s="45">
        <v>12000</v>
      </c>
      <c r="J134" s="45">
        <v>12000</v>
      </c>
      <c r="K134" s="45">
        <v>12000</v>
      </c>
      <c r="L134" s="45">
        <v>12000</v>
      </c>
    </row>
    <row r="135" spans="3:12" x14ac:dyDescent="0.3">
      <c r="C135" s="28" t="s">
        <v>70</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92</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93</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94</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95</v>
      </c>
      <c r="D144" s="70"/>
    </row>
    <row r="145" spans="3:14" x14ac:dyDescent="0.3">
      <c r="C145" s="28" t="s">
        <v>96</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97</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98</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59</v>
      </c>
      <c r="D149" s="70"/>
      <c r="E149" s="27"/>
      <c r="F149" s="27"/>
      <c r="G149" s="27"/>
    </row>
    <row r="150" spans="3:14" x14ac:dyDescent="0.3">
      <c r="C150" s="28" t="s">
        <v>97</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96</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99</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100</v>
      </c>
      <c r="D154" s="69"/>
      <c r="F154" s="27"/>
      <c r="G154" s="27"/>
    </row>
    <row r="155" spans="3:14" x14ac:dyDescent="0.3">
      <c r="C155" s="28" t="s">
        <v>101</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115</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21</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116</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117</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118</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119</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120</v>
      </c>
      <c r="H169" s="27">
        <f>-(H86)</f>
        <v>67101</v>
      </c>
      <c r="I169" s="27">
        <f t="shared" ref="I169:L169" si="65">-(I86)</f>
        <v>67101</v>
      </c>
      <c r="J169" s="27">
        <f t="shared" si="65"/>
        <v>67101</v>
      </c>
      <c r="K169" s="27">
        <f t="shared" si="65"/>
        <v>67101</v>
      </c>
      <c r="L169" s="27">
        <f t="shared" si="65"/>
        <v>67101</v>
      </c>
    </row>
    <row r="170" spans="3:12" x14ac:dyDescent="0.3">
      <c r="C170" t="s">
        <v>121</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122</v>
      </c>
      <c r="H171" s="104">
        <v>300</v>
      </c>
      <c r="I171" s="91">
        <f ca="1">H171*(1+I172)</f>
        <v>318.8777436584046</v>
      </c>
      <c r="J171" s="91">
        <f ca="1">I171*(1+J172)</f>
        <v>339.53011234617952</v>
      </c>
      <c r="K171" s="91">
        <f ca="1">J171*(1+K172)</f>
        <v>362.05983558986304</v>
      </c>
      <c r="L171" s="91">
        <f ca="1">K171*(1+L172)</f>
        <v>386.60456230077534</v>
      </c>
    </row>
    <row r="172" spans="3:12" x14ac:dyDescent="0.3">
      <c r="C172" t="s">
        <v>123</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124</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125</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126</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127</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21</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128</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136</v>
      </c>
      <c r="D182" s="112"/>
      <c r="E182" s="112"/>
      <c r="F182" s="112"/>
      <c r="G182" s="112"/>
      <c r="H182" s="112"/>
      <c r="I182" s="112"/>
      <c r="J182" s="112"/>
      <c r="K182" s="112"/>
      <c r="L182" s="112"/>
    </row>
    <row r="183" spans="3:12" ht="15" thickBot="1" x14ac:dyDescent="0.35"/>
    <row r="184" spans="3:12" ht="15" thickBot="1" x14ac:dyDescent="0.35">
      <c r="C184" s="92" t="s">
        <v>109</v>
      </c>
      <c r="E184" s="131" t="str">
        <f>J5</f>
        <v>base case</v>
      </c>
      <c r="F184" s="84"/>
      <c r="G184" s="113" t="s">
        <v>137</v>
      </c>
      <c r="H184" s="114">
        <v>2020</v>
      </c>
      <c r="I184" s="115">
        <f>H184+1</f>
        <v>2021</v>
      </c>
      <c r="J184" s="115">
        <f t="shared" ref="J184:L184" si="74">I184+1</f>
        <v>2022</v>
      </c>
      <c r="K184" s="115">
        <f t="shared" si="74"/>
        <v>2023</v>
      </c>
      <c r="L184" s="116">
        <f t="shared" si="74"/>
        <v>2024</v>
      </c>
    </row>
    <row r="185" spans="3:12" ht="15" thickBot="1" x14ac:dyDescent="0.35">
      <c r="G185" s="117" t="s">
        <v>138</v>
      </c>
      <c r="H185" s="118">
        <f>H15</f>
        <v>44104</v>
      </c>
      <c r="I185" s="118">
        <f>I15</f>
        <v>44469</v>
      </c>
      <c r="J185" s="118">
        <f>J15</f>
        <v>44834</v>
      </c>
      <c r="K185" s="118">
        <f>K15</f>
        <v>45199</v>
      </c>
      <c r="L185" s="119">
        <f>L15</f>
        <v>45565</v>
      </c>
    </row>
    <row r="186" spans="3:12" x14ac:dyDescent="0.3">
      <c r="C186" s="28" t="s">
        <v>27</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28</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29</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30</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27</v>
      </c>
      <c r="G193" s="87"/>
    </row>
    <row r="194" spans="3:12" ht="14.4" customHeight="1" x14ac:dyDescent="0.3">
      <c r="C194" t="s">
        <v>134</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111</v>
      </c>
      <c r="G195" s="124" t="s">
        <v>113</v>
      </c>
      <c r="H195" s="33">
        <v>0.06</v>
      </c>
      <c r="I195" s="33">
        <v>6.9000000000000006E-2</v>
      </c>
      <c r="J195" s="33">
        <v>6.9000000000000006E-2</v>
      </c>
      <c r="K195" s="33">
        <v>6.9000000000000006E-2</v>
      </c>
      <c r="L195" s="33">
        <v>6.9000000000000006E-2</v>
      </c>
    </row>
    <row r="196" spans="3:12" ht="14.4" customHeight="1" x14ac:dyDescent="0.3">
      <c r="C196" t="s">
        <v>139</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28</v>
      </c>
      <c r="G197" s="125"/>
    </row>
    <row r="198" spans="3:12" ht="14.4" customHeight="1" x14ac:dyDescent="0.3">
      <c r="C198" t="s">
        <v>134</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111</v>
      </c>
      <c r="G199" s="125" t="s">
        <v>113</v>
      </c>
      <c r="H199" s="48">
        <v>0.37817768109034722</v>
      </c>
      <c r="I199" s="48">
        <v>0.37817768109034722</v>
      </c>
      <c r="J199" s="48">
        <v>0.37817768109034722</v>
      </c>
      <c r="K199" s="48">
        <v>0.37817768109034722</v>
      </c>
      <c r="L199" s="48">
        <v>0.37817768109034722</v>
      </c>
    </row>
    <row r="200" spans="3:12" ht="14.4" customHeight="1" x14ac:dyDescent="0.3">
      <c r="C200" t="s">
        <v>139</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29</v>
      </c>
      <c r="G201" s="125"/>
    </row>
    <row r="202" spans="3:12" ht="14.4" customHeight="1" x14ac:dyDescent="0.3">
      <c r="C202" t="s">
        <v>134</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111</v>
      </c>
      <c r="G203" s="126" t="s">
        <v>113</v>
      </c>
      <c r="H203" s="48">
        <v>6.233136285716482E-2</v>
      </c>
      <c r="I203" s="48">
        <v>6.233136285716482E-2</v>
      </c>
      <c r="J203" s="48">
        <v>6.233136285716482E-2</v>
      </c>
      <c r="K203" s="48">
        <v>6.233136285716482E-2</v>
      </c>
      <c r="L203" s="48">
        <v>6.233136285716482E-2</v>
      </c>
    </row>
    <row r="204" spans="3:12" ht="14.4" customHeight="1" x14ac:dyDescent="0.3">
      <c r="C204" t="s">
        <v>139</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30</v>
      </c>
      <c r="G205" s="125"/>
    </row>
    <row r="206" spans="3:12" ht="14.4" customHeight="1" x14ac:dyDescent="0.3">
      <c r="C206" t="s">
        <v>134</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111</v>
      </c>
      <c r="G207" s="126" t="s">
        <v>113</v>
      </c>
      <c r="H207" s="48">
        <v>7.0126146348213125E-2</v>
      </c>
      <c r="I207" s="48">
        <v>7.0126146348213125E-2</v>
      </c>
      <c r="J207" s="48">
        <v>7.0126146348213125E-2</v>
      </c>
      <c r="K207" s="48">
        <v>7.0126146348213125E-2</v>
      </c>
      <c r="L207" s="48">
        <v>7.0126146348213125E-2</v>
      </c>
    </row>
    <row r="208" spans="3:12" ht="15" customHeight="1" thickBot="1" x14ac:dyDescent="0.35">
      <c r="C208" t="s">
        <v>139</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election activeCell="K27" sqref="K27"/>
    </sheetView>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160</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161</v>
      </c>
      <c r="D4" s="230">
        <v>43736</v>
      </c>
      <c r="F4" t="s">
        <v>162</v>
      </c>
      <c r="H4" s="231">
        <f>WACC!E21</f>
        <v>7.7511315470930195E-2</v>
      </c>
    </row>
    <row r="5" spans="2:11" x14ac:dyDescent="0.3">
      <c r="B5" t="s">
        <v>163</v>
      </c>
      <c r="D5" s="169">
        <v>44104</v>
      </c>
      <c r="F5" t="s">
        <v>164</v>
      </c>
      <c r="H5" s="232">
        <v>273.52</v>
      </c>
    </row>
    <row r="6" spans="2:11" x14ac:dyDescent="0.3">
      <c r="B6" t="s">
        <v>165</v>
      </c>
      <c r="D6" s="230">
        <v>43827</v>
      </c>
      <c r="F6" t="s">
        <v>166</v>
      </c>
      <c r="H6" s="233">
        <v>43888</v>
      </c>
      <c r="J6" s="234"/>
    </row>
    <row r="7" spans="2:11" x14ac:dyDescent="0.3">
      <c r="B7" t="s">
        <v>167</v>
      </c>
      <c r="D7" s="230">
        <v>43889</v>
      </c>
      <c r="F7" t="s">
        <v>168</v>
      </c>
      <c r="H7" s="235">
        <v>0</v>
      </c>
      <c r="I7" s="234"/>
      <c r="J7" s="234"/>
    </row>
    <row r="8" spans="2:11" x14ac:dyDescent="0.3">
      <c r="B8" t="s">
        <v>169</v>
      </c>
      <c r="D8" s="106">
        <f>YEARFRAC(D7,D5)</f>
        <v>0.58888888888888891</v>
      </c>
    </row>
    <row r="9" spans="2:11" x14ac:dyDescent="0.3">
      <c r="D9" s="141"/>
    </row>
    <row r="10" spans="2:11" x14ac:dyDescent="0.3">
      <c r="B10" s="142" t="s">
        <v>170</v>
      </c>
      <c r="C10" s="56"/>
      <c r="D10" s="143"/>
      <c r="F10" s="56"/>
      <c r="G10" s="56"/>
      <c r="H10" s="56"/>
      <c r="I10" s="56"/>
    </row>
    <row r="11" spans="2:11" ht="17.25" customHeight="1" x14ac:dyDescent="0.45">
      <c r="C11" s="144"/>
      <c r="D11" s="144" t="s">
        <v>171</v>
      </c>
      <c r="E11" s="145" t="s">
        <v>172</v>
      </c>
      <c r="F11" s="144"/>
      <c r="G11" s="144"/>
      <c r="H11" s="144"/>
      <c r="I11" s="144"/>
      <c r="K11" s="12" t="s">
        <v>130</v>
      </c>
    </row>
    <row r="12" spans="2:11" x14ac:dyDescent="0.3">
      <c r="B12" s="19" t="s">
        <v>173</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174</v>
      </c>
      <c r="D15" s="238"/>
      <c r="E15" s="150">
        <v>0.08</v>
      </c>
      <c r="F15" s="150">
        <v>0.09</v>
      </c>
      <c r="G15" s="150">
        <v>0.06</v>
      </c>
      <c r="H15" s="150">
        <v>0.06</v>
      </c>
      <c r="I15" s="150">
        <v>0.06</v>
      </c>
      <c r="K15" s="111" t="s">
        <v>296</v>
      </c>
    </row>
    <row r="16" spans="2:11" x14ac:dyDescent="0.3">
      <c r="B16" t="s">
        <v>23</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175</v>
      </c>
      <c r="D17" s="240">
        <f>D16/D14</f>
        <v>0.29394559025882677</v>
      </c>
      <c r="E17" s="150">
        <v>0.28999999999999998</v>
      </c>
      <c r="F17" s="150">
        <v>0.28999999999999998</v>
      </c>
      <c r="G17" s="150">
        <v>0.28499999999999998</v>
      </c>
      <c r="H17" s="150">
        <v>0.28499999999999998</v>
      </c>
      <c r="I17" s="150">
        <v>0.28000000000000003</v>
      </c>
    </row>
    <row r="18" spans="2:13" x14ac:dyDescent="0.3">
      <c r="B18" t="s">
        <v>176</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175</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177</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31</v>
      </c>
      <c r="D22" s="241">
        <f>'FSM Apple 2019'!G40</f>
        <v>0.15943836804235059</v>
      </c>
      <c r="E22" s="88">
        <v>0.158</v>
      </c>
      <c r="F22" s="88">
        <v>0.16600000000000001</v>
      </c>
      <c r="G22" s="88">
        <v>0.16700000000000001</v>
      </c>
      <c r="H22" s="88">
        <v>0.17299999999999999</v>
      </c>
      <c r="I22" s="88">
        <v>0.17299999999999999</v>
      </c>
      <c r="K22" t="s">
        <v>279</v>
      </c>
    </row>
    <row r="23" spans="2:13" ht="15" customHeight="1" x14ac:dyDescent="0.3">
      <c r="B23" s="12" t="s">
        <v>178</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22</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179</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57</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74</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180</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181</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74</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182</v>
      </c>
      <c r="E36" s="156" t="s">
        <v>183</v>
      </c>
      <c r="F36" s="157" t="s">
        <v>184</v>
      </c>
      <c r="G36" s="157" t="s">
        <v>185</v>
      </c>
      <c r="H36" s="157" t="s">
        <v>186</v>
      </c>
      <c r="I36" s="157" t="s">
        <v>187</v>
      </c>
      <c r="J36" s="152"/>
    </row>
    <row r="37" spans="2:15" x14ac:dyDescent="0.3">
      <c r="B37" t="s">
        <v>188</v>
      </c>
      <c r="C37" s="247" t="s">
        <v>189</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190</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191</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192</v>
      </c>
      <c r="C41" s="142"/>
      <c r="E41" s="142" t="s">
        <v>245</v>
      </c>
      <c r="F41" s="56"/>
      <c r="G41" s="56"/>
      <c r="H41" s="56"/>
      <c r="I41" s="56"/>
    </row>
    <row r="42" spans="2:15" x14ac:dyDescent="0.3">
      <c r="B42" t="s">
        <v>193</v>
      </c>
      <c r="C42" s="150">
        <v>0.03</v>
      </c>
      <c r="E42" t="s">
        <v>194</v>
      </c>
      <c r="I42" s="96">
        <f>I16</f>
        <v>102138.57032235501</v>
      </c>
      <c r="J42" s="96"/>
    </row>
    <row r="43" spans="2:15" x14ac:dyDescent="0.3">
      <c r="B43" s="160" t="str">
        <f>YEAR(I12)&amp;" FCF x (1+g)"</f>
        <v>2024 FCF x (1+g)</v>
      </c>
      <c r="C43" s="96">
        <f>I38*(1+C42)</f>
        <v>77651.315235598668</v>
      </c>
      <c r="E43" t="s">
        <v>195</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196</v>
      </c>
      <c r="C45" s="96">
        <f>C44/(1+H4)^((I37-D37)/365)</f>
        <v>1160052.8615150123</v>
      </c>
      <c r="E45" t="s">
        <v>196</v>
      </c>
      <c r="I45" s="96">
        <f>I44/(1+H4)^((I37-D37)/365)</f>
        <v>906203.64834497427</v>
      </c>
      <c r="J45" s="96"/>
    </row>
    <row r="46" spans="2:15" x14ac:dyDescent="0.3">
      <c r="B46" t="s">
        <v>197</v>
      </c>
      <c r="C46" s="149">
        <f>SUM(E39:I39)</f>
        <v>259192.88387137611</v>
      </c>
      <c r="E46" t="s">
        <v>197</v>
      </c>
      <c r="I46" s="96">
        <f>SUM(E39:I39)</f>
        <v>259192.88387137611</v>
      </c>
      <c r="J46" s="96"/>
    </row>
    <row r="47" spans="2:15" x14ac:dyDescent="0.3">
      <c r="B47" s="12" t="s">
        <v>198</v>
      </c>
      <c r="C47" s="153">
        <f>SUM(C45:C46)</f>
        <v>1419245.7453863884</v>
      </c>
      <c r="D47" s="249"/>
      <c r="E47" s="12" t="s">
        <v>199</v>
      </c>
      <c r="I47" s="153">
        <f>I45+I46</f>
        <v>1165396.5322163503</v>
      </c>
      <c r="J47" s="153"/>
      <c r="L47" s="82"/>
      <c r="M47" s="82"/>
      <c r="N47" s="82"/>
      <c r="O47" s="82"/>
    </row>
    <row r="48" spans="2:15" x14ac:dyDescent="0.3">
      <c r="D48" s="52"/>
    </row>
    <row r="49" spans="2:12" x14ac:dyDescent="0.3">
      <c r="B49" s="162" t="s">
        <v>200</v>
      </c>
      <c r="C49" s="163">
        <f>C45/$C$47</f>
        <v>0.81737279487083403</v>
      </c>
      <c r="E49" s="162" t="s">
        <v>200</v>
      </c>
      <c r="I49" s="163">
        <f>I45/I47</f>
        <v>0.77759253892883717</v>
      </c>
      <c r="J49" s="163"/>
    </row>
    <row r="50" spans="2:12" x14ac:dyDescent="0.3">
      <c r="B50" s="162" t="s">
        <v>201</v>
      </c>
      <c r="C50" s="163">
        <f>C46/$C$47</f>
        <v>0.18262720512916603</v>
      </c>
      <c r="E50" s="162" t="s">
        <v>201</v>
      </c>
      <c r="G50" s="164"/>
      <c r="I50" s="163">
        <f>I46/I47</f>
        <v>0.22240746107116285</v>
      </c>
      <c r="J50" s="52"/>
    </row>
    <row r="51" spans="2:12" x14ac:dyDescent="0.3">
      <c r="B51" s="162" t="s">
        <v>202</v>
      </c>
      <c r="C51" s="166">
        <f>C44/I16</f>
        <v>16.001547549958147</v>
      </c>
      <c r="E51" t="s">
        <v>203</v>
      </c>
      <c r="I51" s="165">
        <f>(H4-I38/I44)/(1+I38/I44)</f>
        <v>1.7433016137307827E-2</v>
      </c>
      <c r="J51" s="165"/>
    </row>
    <row r="52" spans="2:12" x14ac:dyDescent="0.3">
      <c r="B52" s="162"/>
      <c r="C52" s="19"/>
      <c r="D52" s="166"/>
      <c r="I52" s="165"/>
      <c r="J52" s="165"/>
    </row>
    <row r="53" spans="2:12" x14ac:dyDescent="0.3">
      <c r="B53" s="142" t="s">
        <v>204</v>
      </c>
      <c r="C53" s="56"/>
      <c r="E53" s="142" t="s">
        <v>205</v>
      </c>
      <c r="F53" s="56"/>
      <c r="G53" s="142"/>
      <c r="H53" s="56"/>
      <c r="I53" s="56"/>
    </row>
    <row r="54" spans="2:12" x14ac:dyDescent="0.3">
      <c r="B54" t="s">
        <v>206</v>
      </c>
      <c r="C54" s="233" t="s">
        <v>207</v>
      </c>
      <c r="L54" s="27"/>
    </row>
    <row r="55" spans="2:12" x14ac:dyDescent="0.3">
      <c r="B55" s="29" t="s">
        <v>208</v>
      </c>
      <c r="C55" s="230">
        <v>43827</v>
      </c>
      <c r="G55" s="32" t="s">
        <v>206</v>
      </c>
      <c r="H55" s="167" t="s">
        <v>209</v>
      </c>
      <c r="I55" s="167" t="s">
        <v>210</v>
      </c>
    </row>
    <row r="56" spans="2:12" x14ac:dyDescent="0.3">
      <c r="B56" s="168" t="s">
        <v>211</v>
      </c>
      <c r="C56" s="169"/>
      <c r="E56" t="s">
        <v>212</v>
      </c>
      <c r="G56" s="233" t="s">
        <v>207</v>
      </c>
      <c r="H56" s="233">
        <v>43847</v>
      </c>
      <c r="I56" s="250">
        <f>4375480000/1000000</f>
        <v>4375.4799999999996</v>
      </c>
      <c r="J56" s="170"/>
    </row>
    <row r="57" spans="2:12" x14ac:dyDescent="0.3">
      <c r="B57" s="28" t="s">
        <v>158</v>
      </c>
      <c r="C57" s="25">
        <f>4990+10224+93078</f>
        <v>108292</v>
      </c>
      <c r="E57" s="29" t="s">
        <v>213</v>
      </c>
      <c r="G57" s="233" t="s">
        <v>207</v>
      </c>
      <c r="H57" s="233">
        <v>43827</v>
      </c>
      <c r="I57" s="250">
        <f>96020/1000</f>
        <v>96.02</v>
      </c>
      <c r="J57" s="171"/>
    </row>
    <row r="58" spans="2:12" ht="15" customHeight="1" x14ac:dyDescent="0.3">
      <c r="B58" s="28" t="s">
        <v>214</v>
      </c>
      <c r="C58" s="251">
        <f>'Options&amp;Convertibles'!E25+'Options&amp;Convertibles'!E31</f>
        <v>0</v>
      </c>
      <c r="E58" s="29" t="s">
        <v>215</v>
      </c>
      <c r="G58" s="233"/>
      <c r="H58" s="233"/>
      <c r="I58" s="262">
        <f>'Options&amp;Convertibles'!E20</f>
        <v>50.595642000584959</v>
      </c>
    </row>
    <row r="59" spans="2:12" ht="15" customHeight="1" x14ac:dyDescent="0.3">
      <c r="B59" s="28" t="s">
        <v>216</v>
      </c>
      <c r="C59" s="251">
        <f>'Options&amp;Convertibles'!E34+'Options&amp;Convertibles'!E41</f>
        <v>0</v>
      </c>
      <c r="E59" t="s">
        <v>214</v>
      </c>
      <c r="G59" s="233"/>
      <c r="H59" s="233"/>
      <c r="I59" s="262">
        <f>'Options&amp;Convertibles'!E30</f>
        <v>58.171999999999997</v>
      </c>
    </row>
    <row r="60" spans="2:12" x14ac:dyDescent="0.3">
      <c r="B60" s="172" t="s">
        <v>217</v>
      </c>
      <c r="C60" s="24">
        <v>0</v>
      </c>
      <c r="E60" t="s">
        <v>218</v>
      </c>
      <c r="G60" s="233"/>
      <c r="H60" s="233"/>
      <c r="I60" s="262">
        <f>'Options&amp;Convertibles'!E40</f>
        <v>195.65</v>
      </c>
    </row>
    <row r="61" spans="2:12" ht="15" customHeight="1" x14ac:dyDescent="0.3">
      <c r="B61" s="168" t="s">
        <v>219</v>
      </c>
      <c r="E61" s="30" t="s">
        <v>220</v>
      </c>
      <c r="I61" s="252">
        <f>SUM(I56:I60)</f>
        <v>4775.9176420005842</v>
      </c>
      <c r="J61" s="173"/>
    </row>
    <row r="62" spans="2:12" x14ac:dyDescent="0.3">
      <c r="B62" s="174" t="s">
        <v>221</v>
      </c>
      <c r="C62" s="24">
        <f>39771+67391+99899</f>
        <v>207061</v>
      </c>
      <c r="J62" s="175"/>
    </row>
    <row r="63" spans="2:12" x14ac:dyDescent="0.3">
      <c r="B63" s="174" t="s">
        <v>222</v>
      </c>
      <c r="C63" s="24">
        <v>0</v>
      </c>
      <c r="J63" s="175"/>
    </row>
    <row r="64" spans="2:12" x14ac:dyDescent="0.3">
      <c r="J64" s="176"/>
    </row>
    <row r="65" spans="2:17" x14ac:dyDescent="0.3">
      <c r="B65" s="177" t="s">
        <v>204</v>
      </c>
      <c r="C65" s="39">
        <f>C57-C62</f>
        <v>-98769</v>
      </c>
    </row>
    <row r="67" spans="2:17" x14ac:dyDescent="0.3">
      <c r="B67" s="142" t="s">
        <v>223</v>
      </c>
      <c r="C67" s="56"/>
      <c r="D67" s="56"/>
    </row>
    <row r="68" spans="2:17" ht="16.2" x14ac:dyDescent="0.45">
      <c r="C68" s="178" t="s">
        <v>224</v>
      </c>
      <c r="D68" s="178" t="s">
        <v>23</v>
      </c>
    </row>
    <row r="69" spans="2:17" x14ac:dyDescent="0.3">
      <c r="B69" t="s">
        <v>225</v>
      </c>
      <c r="C69" s="255">
        <f>C47</f>
        <v>1419245.7453863884</v>
      </c>
      <c r="D69" s="255">
        <f>I47</f>
        <v>1165396.5322163503</v>
      </c>
    </row>
    <row r="70" spans="2:17" x14ac:dyDescent="0.3">
      <c r="B70" t="s">
        <v>204</v>
      </c>
      <c r="C70" s="256">
        <f>C65</f>
        <v>-98769</v>
      </c>
      <c r="D70" s="256">
        <f>C70</f>
        <v>-98769</v>
      </c>
    </row>
    <row r="71" spans="2:17" x14ac:dyDescent="0.3">
      <c r="B71" t="s">
        <v>226</v>
      </c>
      <c r="C71" s="257">
        <f>C69-C70</f>
        <v>1518014.7453863884</v>
      </c>
      <c r="D71" s="257">
        <f>D69-D70</f>
        <v>1264165.5322163503</v>
      </c>
    </row>
    <row r="72" spans="2:17" x14ac:dyDescent="0.3">
      <c r="B72" t="s">
        <v>205</v>
      </c>
      <c r="C72" s="257">
        <f>I61</f>
        <v>4775.9176420005842</v>
      </c>
      <c r="D72" s="257">
        <f>C72</f>
        <v>4775.9176420005842</v>
      </c>
    </row>
    <row r="73" spans="2:17" x14ac:dyDescent="0.3">
      <c r="B73" s="12" t="s">
        <v>227</v>
      </c>
      <c r="C73" s="258">
        <f>C71/C72</f>
        <v>317.84776438282699</v>
      </c>
      <c r="D73" s="258">
        <f>D71/D72</f>
        <v>264.69584004107827</v>
      </c>
    </row>
    <row r="74" spans="2:17" x14ac:dyDescent="0.3">
      <c r="B74" s="12"/>
      <c r="C74" s="179"/>
      <c r="D74" s="179"/>
    </row>
    <row r="75" spans="2:17" x14ac:dyDescent="0.3">
      <c r="B75" s="32" t="s">
        <v>228</v>
      </c>
      <c r="C75" s="167" t="s">
        <v>224</v>
      </c>
      <c r="D75" s="167" t="s">
        <v>23</v>
      </c>
      <c r="E75" s="180"/>
      <c r="F75" s="180"/>
    </row>
    <row r="76" spans="2:17" x14ac:dyDescent="0.3">
      <c r="B76" t="s">
        <v>229</v>
      </c>
      <c r="C76" s="259">
        <f>C69/$E$14</f>
        <v>5.0509137381649296</v>
      </c>
      <c r="D76" s="259">
        <f>D69/$E$14</f>
        <v>4.147496918075162</v>
      </c>
      <c r="E76" s="180"/>
      <c r="F76" s="180"/>
    </row>
    <row r="77" spans="2:17" x14ac:dyDescent="0.3">
      <c r="B77" t="s">
        <v>230</v>
      </c>
      <c r="C77" s="260">
        <f>C69/$E$16</f>
        <v>17.416943924706654</v>
      </c>
      <c r="D77" s="260">
        <f>D69/$E$16</f>
        <v>14.301713510604007</v>
      </c>
      <c r="E77" s="180"/>
      <c r="F77" s="180"/>
      <c r="G77" s="181"/>
      <c r="H77" s="181"/>
    </row>
    <row r="78" spans="2:17" x14ac:dyDescent="0.3">
      <c r="B78" s="149" t="s">
        <v>231</v>
      </c>
      <c r="C78" s="260">
        <f>C69/$E$18</f>
        <v>20.532169667337111</v>
      </c>
      <c r="D78" s="260">
        <f>D69/$E$18</f>
        <v>16.859743569411226</v>
      </c>
      <c r="E78" s="180"/>
      <c r="F78" s="254"/>
    </row>
    <row r="79" spans="2:17" x14ac:dyDescent="0.3">
      <c r="F79" s="181"/>
    </row>
    <row r="80" spans="2:17" x14ac:dyDescent="0.3">
      <c r="B80" s="142" t="s">
        <v>232</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227</v>
      </c>
      <c r="E82" s="144"/>
      <c r="F82" s="144"/>
      <c r="G82" s="144"/>
      <c r="H82" s="144"/>
      <c r="I82" s="144"/>
      <c r="J82" s="184"/>
      <c r="L82" s="183" t="s">
        <v>233</v>
      </c>
      <c r="M82" s="144"/>
      <c r="N82" s="144"/>
      <c r="O82" s="144"/>
      <c r="P82" s="144"/>
      <c r="Q82" s="144"/>
    </row>
    <row r="83" spans="2:17" ht="15" customHeight="1" x14ac:dyDescent="0.3">
      <c r="B83" s="182"/>
      <c r="D83" s="29"/>
      <c r="E83" s="82" t="s">
        <v>234</v>
      </c>
      <c r="F83" s="82"/>
      <c r="G83" s="82"/>
      <c r="H83" s="82"/>
      <c r="I83" s="82"/>
      <c r="J83" s="185"/>
      <c r="L83" s="29"/>
      <c r="M83" s="82" t="s">
        <v>234</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ca="1"/>
        <v>234.29593289273589</v>
      </c>
      <c r="F85" s="192">
        <v>247.90449816332583</v>
      </c>
      <c r="G85" s="192">
        <v>263.85936779091412</v>
      </c>
      <c r="H85" s="192">
        <v>282.82459017842473</v>
      </c>
      <c r="I85" s="192">
        <v>305.74090056333335</v>
      </c>
      <c r="J85" s="193"/>
      <c r="L85" s="191">
        <f>L86+0.005</f>
        <v>8.8000000000000009E-2</v>
      </c>
      <c r="M85" s="194">
        <f t="dataTable" ref="M85:Q89" dt2D="1" dtr="1" r1="C42" r2="H4" ca="1"/>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235</v>
      </c>
      <c r="D87" s="195">
        <v>7.8E-2</v>
      </c>
      <c r="E87" s="192">
        <v>271.51409196853308</v>
      </c>
      <c r="F87" s="192">
        <v>291.11884898011249</v>
      </c>
      <c r="G87" s="192">
        <v>314.80793036910438</v>
      </c>
      <c r="H87" s="192">
        <v>344.00610045321082</v>
      </c>
      <c r="I87" s="192">
        <v>380.88799950681874</v>
      </c>
      <c r="J87" s="193"/>
      <c r="K87" s="92" t="s">
        <v>235</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236</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237</v>
      </c>
      <c r="E90" s="197"/>
      <c r="F90" s="197"/>
      <c r="G90" s="197"/>
      <c r="H90" s="197"/>
      <c r="I90" s="197"/>
      <c r="J90" s="198"/>
    </row>
    <row r="91" spans="2:17" ht="17.25" customHeight="1" x14ac:dyDescent="0.45">
      <c r="B91" s="182"/>
      <c r="D91" s="183" t="s">
        <v>227</v>
      </c>
      <c r="E91" s="144"/>
      <c r="F91" s="144"/>
      <c r="G91" s="144"/>
      <c r="H91" s="144"/>
      <c r="I91" s="144"/>
      <c r="J91" s="184"/>
      <c r="L91" s="183" t="s">
        <v>233</v>
      </c>
      <c r="M91" s="144"/>
      <c r="N91" s="144"/>
      <c r="O91" s="144"/>
      <c r="P91" s="144"/>
      <c r="Q91" s="144"/>
    </row>
    <row r="92" spans="2:17" ht="15" customHeight="1" x14ac:dyDescent="0.3">
      <c r="B92" s="182"/>
      <c r="E92" s="82" t="s">
        <v>238</v>
      </c>
      <c r="F92" s="82"/>
      <c r="G92" s="82"/>
      <c r="H92" s="82"/>
      <c r="I92" s="82"/>
      <c r="J92" s="185"/>
      <c r="M92" s="82" t="s">
        <v>238</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235</v>
      </c>
      <c r="D96" s="195">
        <v>7.8E-2</v>
      </c>
      <c r="E96" s="192">
        <v>249.08634127580683</v>
      </c>
      <c r="F96" s="192">
        <v>256.66033165906236</v>
      </c>
      <c r="G96" s="192">
        <v>264.23432204231796</v>
      </c>
      <c r="H96" s="192">
        <v>271.80831242557349</v>
      </c>
      <c r="I96" s="192">
        <v>279.38230280882908</v>
      </c>
      <c r="J96" s="193"/>
      <c r="K96" s="92" t="s">
        <v>235</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239</v>
      </c>
      <c r="C100" s="204"/>
      <c r="D100" s="204"/>
      <c r="E100" s="204"/>
      <c r="G100" s="204" t="s">
        <v>240</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241</v>
      </c>
      <c r="D121" s="208" t="s">
        <v>242</v>
      </c>
      <c r="E121" s="209" t="s">
        <v>243</v>
      </c>
      <c r="G121" s="207"/>
      <c r="H121" s="138"/>
      <c r="I121" s="138"/>
      <c r="J121" s="210"/>
      <c r="K121" s="138"/>
      <c r="L121" s="138"/>
      <c r="M121" s="138"/>
      <c r="N121" s="138"/>
      <c r="O121" s="208" t="s">
        <v>241</v>
      </c>
      <c r="P121" s="208" t="s">
        <v>242</v>
      </c>
      <c r="Q121" s="209" t="s">
        <v>243</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244</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election activeCell="C26" sqref="C26"/>
    </sheetView>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246</v>
      </c>
      <c r="C2" s="2"/>
      <c r="D2" s="2"/>
      <c r="E2" s="2"/>
    </row>
    <row r="3" spans="2:10" x14ac:dyDescent="0.3">
      <c r="B3" s="132" t="str">
        <f>'[1]Financials '!$B$3</f>
        <v xml:space="preserve">$ and shares in millions, except per share data </v>
      </c>
    </row>
    <row r="4" spans="2:10" x14ac:dyDescent="0.3">
      <c r="B4" t="s">
        <v>247</v>
      </c>
      <c r="E4" s="223">
        <f>'DCF 1-Pager'!H5</f>
        <v>273.52</v>
      </c>
    </row>
    <row r="6" spans="2:10" x14ac:dyDescent="0.3">
      <c r="B6" s="12" t="s">
        <v>248</v>
      </c>
    </row>
    <row r="7" spans="2:10" ht="14.4" customHeight="1" x14ac:dyDescent="0.3">
      <c r="B7" s="56"/>
      <c r="C7" s="224" t="s">
        <v>249</v>
      </c>
      <c r="D7" s="224" t="s">
        <v>250</v>
      </c>
      <c r="E7" s="224" t="s">
        <v>251</v>
      </c>
      <c r="G7" s="261" t="s">
        <v>130</v>
      </c>
      <c r="J7" s="5"/>
    </row>
    <row r="8" spans="2:10" ht="16.2" x14ac:dyDescent="0.45">
      <c r="C8" s="225" t="s">
        <v>252</v>
      </c>
      <c r="D8" s="225" t="s">
        <v>253</v>
      </c>
      <c r="E8" s="225" t="s">
        <v>252</v>
      </c>
    </row>
    <row r="9" spans="2:10" x14ac:dyDescent="0.3">
      <c r="B9" t="s">
        <v>254</v>
      </c>
      <c r="C9" s="171">
        <v>10</v>
      </c>
      <c r="D9" s="226">
        <v>67.45</v>
      </c>
      <c r="E9" s="288">
        <f>IF(D9&lt;$E$4,C9,0)</f>
        <v>10</v>
      </c>
      <c r="G9" t="s">
        <v>278</v>
      </c>
    </row>
    <row r="10" spans="2:10" x14ac:dyDescent="0.3">
      <c r="B10" t="s">
        <v>255</v>
      </c>
      <c r="C10" s="171">
        <v>50</v>
      </c>
      <c r="D10" s="226">
        <v>112.63</v>
      </c>
      <c r="E10" s="288">
        <f t="shared" ref="E10:E15" si="0">IF(D10&lt;$E$4,C10,0)</f>
        <v>50</v>
      </c>
    </row>
    <row r="11" spans="2:10" x14ac:dyDescent="0.3">
      <c r="B11" t="s">
        <v>256</v>
      </c>
      <c r="C11" s="171">
        <v>10</v>
      </c>
      <c r="D11" s="226">
        <v>146.29</v>
      </c>
      <c r="E11" s="288">
        <f t="shared" si="0"/>
        <v>10</v>
      </c>
    </row>
    <row r="12" spans="2:10" x14ac:dyDescent="0.3">
      <c r="B12" t="s">
        <v>257</v>
      </c>
      <c r="C12" s="171">
        <v>42</v>
      </c>
      <c r="D12" s="226">
        <v>218.91</v>
      </c>
      <c r="E12" s="288">
        <f>IF(D12&lt;$E$4,C12,0)</f>
        <v>42</v>
      </c>
    </row>
    <row r="13" spans="2:10" x14ac:dyDescent="0.3">
      <c r="B13" t="s">
        <v>258</v>
      </c>
      <c r="C13" s="171">
        <v>20</v>
      </c>
      <c r="D13" s="226">
        <v>265.13</v>
      </c>
      <c r="E13" s="288">
        <f t="shared" si="0"/>
        <v>20</v>
      </c>
    </row>
    <row r="14" spans="2:10" x14ac:dyDescent="0.3">
      <c r="B14" t="s">
        <v>259</v>
      </c>
      <c r="C14" s="171">
        <v>28</v>
      </c>
      <c r="D14" s="226">
        <v>302.61</v>
      </c>
      <c r="E14" s="288">
        <f t="shared" si="0"/>
        <v>0</v>
      </c>
    </row>
    <row r="15" spans="2:10" ht="16.2" x14ac:dyDescent="0.45">
      <c r="B15" t="s">
        <v>260</v>
      </c>
      <c r="C15" s="227">
        <v>45</v>
      </c>
      <c r="D15" s="226">
        <v>309.74</v>
      </c>
      <c r="E15" s="288">
        <f t="shared" si="0"/>
        <v>0</v>
      </c>
    </row>
    <row r="16" spans="2:10" x14ac:dyDescent="0.3">
      <c r="B16" t="s">
        <v>261</v>
      </c>
      <c r="C16" s="228">
        <f>SUM(C9:C15)</f>
        <v>205</v>
      </c>
      <c r="D16" s="228"/>
      <c r="E16" s="288">
        <f>SUM(E9:E15)</f>
        <v>132</v>
      </c>
    </row>
    <row r="17" spans="2:7" x14ac:dyDescent="0.3">
      <c r="C17" s="171"/>
      <c r="D17" s="173"/>
      <c r="E17" s="289"/>
    </row>
    <row r="18" spans="2:7" x14ac:dyDescent="0.3">
      <c r="B18" s="29" t="s">
        <v>262</v>
      </c>
      <c r="C18" s="27"/>
      <c r="E18" s="290">
        <f>SUMPRODUCT(D9:D15,E9:E15)</f>
        <v>22265.72</v>
      </c>
    </row>
    <row r="19" spans="2:7" x14ac:dyDescent="0.3">
      <c r="B19" s="29" t="s">
        <v>263</v>
      </c>
      <c r="E19" s="290">
        <f>-(E18/E4)</f>
        <v>-81.404357999415041</v>
      </c>
    </row>
    <row r="20" spans="2:7" x14ac:dyDescent="0.3">
      <c r="B20" s="12" t="s">
        <v>264</v>
      </c>
      <c r="C20" s="12"/>
      <c r="D20" s="12"/>
      <c r="E20" s="291">
        <f>E16+E19</f>
        <v>50.595642000584959</v>
      </c>
    </row>
    <row r="21" spans="2:7" x14ac:dyDescent="0.3">
      <c r="B21" s="12"/>
      <c r="C21" s="12"/>
      <c r="D21" s="12"/>
      <c r="E21" s="292"/>
    </row>
    <row r="22" spans="2:7" x14ac:dyDescent="0.3">
      <c r="B22" s="142" t="s">
        <v>265</v>
      </c>
      <c r="C22" s="142"/>
      <c r="D22" s="56"/>
      <c r="E22" s="293"/>
    </row>
    <row r="23" spans="2:7" x14ac:dyDescent="0.3">
      <c r="E23" s="294"/>
    </row>
    <row r="24" spans="2:7" x14ac:dyDescent="0.3">
      <c r="B24" s="30" t="s">
        <v>266</v>
      </c>
      <c r="E24" s="295"/>
      <c r="G24" t="s">
        <v>277</v>
      </c>
    </row>
    <row r="25" spans="2:7" x14ac:dyDescent="0.3">
      <c r="B25" t="s">
        <v>267</v>
      </c>
      <c r="E25" s="296">
        <v>14543</v>
      </c>
    </row>
    <row r="26" spans="2:7" x14ac:dyDescent="0.3">
      <c r="B26" t="s">
        <v>268</v>
      </c>
      <c r="E26" s="297">
        <v>4</v>
      </c>
    </row>
    <row r="27" spans="2:7" ht="15" customHeight="1" x14ac:dyDescent="0.3">
      <c r="B27" t="s">
        <v>269</v>
      </c>
      <c r="E27" s="298">
        <f>E25/E28</f>
        <v>250</v>
      </c>
    </row>
    <row r="28" spans="2:7" ht="15" customHeight="1" x14ac:dyDescent="0.3">
      <c r="B28" t="s">
        <v>270</v>
      </c>
      <c r="E28" s="290">
        <f>E26*E25/1000</f>
        <v>58.171999999999997</v>
      </c>
      <c r="G28" s="229"/>
    </row>
    <row r="29" spans="2:7" x14ac:dyDescent="0.3">
      <c r="E29" s="295"/>
    </row>
    <row r="30" spans="2:7" x14ac:dyDescent="0.3">
      <c r="B30" s="12" t="s">
        <v>271</v>
      </c>
      <c r="C30" s="12"/>
      <c r="E30" s="291">
        <f>IF(E27&lt;$E$4,E28,0)</f>
        <v>58.171999999999997</v>
      </c>
    </row>
    <row r="31" spans="2:7" x14ac:dyDescent="0.3">
      <c r="B31" s="19" t="s">
        <v>272</v>
      </c>
      <c r="C31" s="19"/>
      <c r="E31" s="299">
        <f>IF(E30&gt;0,-E25,0)</f>
        <v>-14543</v>
      </c>
    </row>
    <row r="32" spans="2:7" x14ac:dyDescent="0.3">
      <c r="E32" s="295"/>
    </row>
    <row r="33" spans="2:7" x14ac:dyDescent="0.3">
      <c r="B33" s="30" t="s">
        <v>273</v>
      </c>
      <c r="E33" s="295"/>
      <c r="G33" t="s">
        <v>280</v>
      </c>
    </row>
    <row r="34" spans="2:7" x14ac:dyDescent="0.3">
      <c r="B34" t="s">
        <v>274</v>
      </c>
      <c r="E34" s="296">
        <v>34654</v>
      </c>
    </row>
    <row r="35" spans="2:7" x14ac:dyDescent="0.3">
      <c r="B35" t="s">
        <v>275</v>
      </c>
      <c r="E35" s="300">
        <v>45.5</v>
      </c>
    </row>
    <row r="36" spans="2:7" x14ac:dyDescent="0.3">
      <c r="B36" t="s">
        <v>276</v>
      </c>
      <c r="E36" s="297">
        <v>4.3</v>
      </c>
    </row>
    <row r="37" spans="2:7" x14ac:dyDescent="0.3">
      <c r="B37" t="s">
        <v>270</v>
      </c>
      <c r="E37" s="290">
        <f>E35*E36</f>
        <v>195.65</v>
      </c>
      <c r="G37" s="229"/>
    </row>
    <row r="38" spans="2:7" x14ac:dyDescent="0.3">
      <c r="B38" t="s">
        <v>269</v>
      </c>
      <c r="E38" s="301">
        <f>E34/E37</f>
        <v>177.12241247124967</v>
      </c>
    </row>
    <row r="39" spans="2:7" x14ac:dyDescent="0.3">
      <c r="E39" s="301"/>
    </row>
    <row r="40" spans="2:7" x14ac:dyDescent="0.3">
      <c r="B40" s="12" t="s">
        <v>271</v>
      </c>
      <c r="C40" s="12"/>
      <c r="E40" s="291">
        <f>IF(E38&lt;E4,E37,0)</f>
        <v>195.65</v>
      </c>
    </row>
    <row r="41" spans="2:7" x14ac:dyDescent="0.3">
      <c r="B41" s="19" t="s">
        <v>272</v>
      </c>
      <c r="E41" s="302">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election activeCell="G18" sqref="G18"/>
    </sheetView>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141</v>
      </c>
      <c r="C2" s="2"/>
      <c r="D2" s="2"/>
      <c r="E2" s="2"/>
      <c r="F2" s="2"/>
      <c r="G2" s="2"/>
      <c r="H2" s="2"/>
      <c r="I2" s="2"/>
    </row>
    <row r="3" spans="2:9" x14ac:dyDescent="0.3">
      <c r="B3" s="132" t="str">
        <f>'[1]Financials '!$B$3</f>
        <v xml:space="preserve">$ and shares in millions, except per share data </v>
      </c>
    </row>
    <row r="4" spans="2:9" x14ac:dyDescent="0.3">
      <c r="B4" s="133" t="s">
        <v>142</v>
      </c>
      <c r="C4" s="134"/>
      <c r="D4" s="134"/>
      <c r="E4" s="135"/>
      <c r="F4" s="136"/>
    </row>
    <row r="5" spans="2:9" x14ac:dyDescent="0.3">
      <c r="E5" s="32" t="s">
        <v>143</v>
      </c>
    </row>
    <row r="6" spans="2:9" x14ac:dyDescent="0.3">
      <c r="B6" t="s">
        <v>144</v>
      </c>
      <c r="C6" s="303">
        <v>1.7500000000000002E-2</v>
      </c>
      <c r="D6" s="295"/>
      <c r="E6" s="295" t="s">
        <v>281</v>
      </c>
    </row>
    <row r="7" spans="2:9" x14ac:dyDescent="0.3">
      <c r="B7" t="s">
        <v>31</v>
      </c>
      <c r="C7" s="304">
        <f>'DCF 1-Pager'!I22</f>
        <v>0.17299999999999999</v>
      </c>
      <c r="D7" s="295"/>
      <c r="E7" s="295"/>
    </row>
    <row r="8" spans="2:9" x14ac:dyDescent="0.3">
      <c r="B8" t="s">
        <v>145</v>
      </c>
      <c r="C8" s="305">
        <f>C6*(1-C7)</f>
        <v>1.4472500000000001E-2</v>
      </c>
      <c r="D8" s="295"/>
      <c r="E8" s="295"/>
    </row>
    <row r="9" spans="2:9" x14ac:dyDescent="0.3">
      <c r="C9" s="295"/>
      <c r="D9" s="295"/>
      <c r="E9" s="295"/>
    </row>
    <row r="10" spans="2:9" x14ac:dyDescent="0.3">
      <c r="B10" t="s">
        <v>146</v>
      </c>
      <c r="C10" s="303">
        <v>1.23E-2</v>
      </c>
      <c r="D10" s="295"/>
      <c r="E10" s="295" t="s">
        <v>147</v>
      </c>
    </row>
    <row r="11" spans="2:9" x14ac:dyDescent="0.3">
      <c r="B11" t="s">
        <v>148</v>
      </c>
      <c r="C11" s="300">
        <v>1.099</v>
      </c>
      <c r="D11" s="295"/>
      <c r="E11" s="295" t="s">
        <v>282</v>
      </c>
    </row>
    <row r="12" spans="2:9" x14ac:dyDescent="0.3">
      <c r="B12" t="s">
        <v>149</v>
      </c>
      <c r="C12" s="306">
        <v>5.5E-2</v>
      </c>
      <c r="D12" s="295"/>
      <c r="E12" s="295" t="s">
        <v>283</v>
      </c>
    </row>
    <row r="13" spans="2:9" x14ac:dyDescent="0.3">
      <c r="B13" t="s">
        <v>150</v>
      </c>
      <c r="C13" s="307">
        <f>C10+C11*C12</f>
        <v>7.2745000000000004E-2</v>
      </c>
      <c r="D13" s="295"/>
      <c r="E13" s="295" t="s">
        <v>151</v>
      </c>
    </row>
    <row r="14" spans="2:9" x14ac:dyDescent="0.3">
      <c r="C14" s="308"/>
      <c r="D14" s="295"/>
      <c r="E14" s="295"/>
    </row>
    <row r="15" spans="2:9" x14ac:dyDescent="0.3">
      <c r="B15" s="13" t="s">
        <v>152</v>
      </c>
      <c r="C15" s="309"/>
      <c r="D15" s="309"/>
      <c r="E15" s="309"/>
    </row>
    <row r="16" spans="2:9" x14ac:dyDescent="0.3">
      <c r="B16" s="12"/>
      <c r="C16" s="310"/>
      <c r="D16" s="310" t="s">
        <v>153</v>
      </c>
      <c r="E16" s="295"/>
    </row>
    <row r="17" spans="2:5" ht="16.2" x14ac:dyDescent="0.45">
      <c r="C17" s="311" t="s">
        <v>154</v>
      </c>
      <c r="D17" s="311" t="s">
        <v>155</v>
      </c>
      <c r="E17" s="311" t="s">
        <v>156</v>
      </c>
    </row>
    <row r="18" spans="2:5" x14ac:dyDescent="0.3">
      <c r="B18" t="s">
        <v>157</v>
      </c>
      <c r="C18" s="312">
        <f>'DCF 1-Pager'!H5*'DCF 1-Pager'!I61</f>
        <v>1306308.9934399996</v>
      </c>
      <c r="D18" s="313"/>
      <c r="E18" s="314">
        <f>IF(D18,D18,C18/($C$18+$C$19))</f>
        <v>1.0817935642186312</v>
      </c>
    </row>
    <row r="19" spans="2:5" x14ac:dyDescent="0.3">
      <c r="B19" t="s">
        <v>158</v>
      </c>
      <c r="C19" s="312">
        <f>'DCF 1-Pager'!C65</f>
        <v>-98769</v>
      </c>
      <c r="D19" s="313"/>
      <c r="E19" s="314">
        <f>IF(D19,D19,C19/($C$18+$C$19))</f>
        <v>-8.1793564218631112E-2</v>
      </c>
    </row>
    <row r="20" spans="2:5" x14ac:dyDescent="0.3">
      <c r="C20" s="295"/>
      <c r="D20" s="295"/>
      <c r="E20" s="295"/>
    </row>
    <row r="21" spans="2:5" x14ac:dyDescent="0.3">
      <c r="B21" s="137" t="s">
        <v>159</v>
      </c>
      <c r="C21" s="315"/>
      <c r="D21" s="316"/>
      <c r="E21" s="317">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election activeCell="E14" sqref="E14"/>
    </sheetView>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160</v>
      </c>
      <c r="C2" s="2"/>
      <c r="D2" s="2"/>
      <c r="E2" s="2"/>
      <c r="F2" s="2"/>
      <c r="G2" s="2"/>
      <c r="H2" s="2"/>
      <c r="I2" s="2"/>
    </row>
    <row r="3" spans="2:16" x14ac:dyDescent="0.3">
      <c r="B3" s="132" t="str">
        <f>'[1]Financials '!$B$3</f>
        <v xml:space="preserve">$ and shares in millions, except per share data </v>
      </c>
    </row>
    <row r="4" spans="2:16" x14ac:dyDescent="0.3">
      <c r="B4" t="s">
        <v>161</v>
      </c>
      <c r="D4" s="263">
        <v>43736</v>
      </c>
      <c r="F4" t="s">
        <v>162</v>
      </c>
      <c r="H4" s="231">
        <f>'[1]WACC Done'!E21</f>
        <v>7.7864310730353978E-2</v>
      </c>
    </row>
    <row r="5" spans="2:16" x14ac:dyDescent="0.3">
      <c r="B5" t="s">
        <v>163</v>
      </c>
      <c r="D5" s="264">
        <f>EOMONTH(D4,12)</f>
        <v>44104</v>
      </c>
      <c r="F5" t="s">
        <v>164</v>
      </c>
      <c r="H5" s="232">
        <v>273.52</v>
      </c>
      <c r="I5" t="s">
        <v>284</v>
      </c>
    </row>
    <row r="6" spans="2:16" x14ac:dyDescent="0.3">
      <c r="B6" t="s">
        <v>165</v>
      </c>
      <c r="D6" s="263">
        <v>43827</v>
      </c>
      <c r="F6" t="s">
        <v>166</v>
      </c>
      <c r="H6" s="233">
        <v>43888</v>
      </c>
      <c r="J6" s="140"/>
    </row>
    <row r="7" spans="2:16" x14ac:dyDescent="0.3">
      <c r="B7" t="s">
        <v>167</v>
      </c>
      <c r="D7" s="263">
        <v>43889</v>
      </c>
      <c r="F7" t="s">
        <v>168</v>
      </c>
      <c r="H7" s="265">
        <v>0</v>
      </c>
      <c r="I7" s="140"/>
      <c r="J7" s="140"/>
    </row>
    <row r="8" spans="2:16" x14ac:dyDescent="0.3">
      <c r="B8" t="s">
        <v>285</v>
      </c>
      <c r="D8" s="106">
        <f>YEARFRAC(D7,D5)</f>
        <v>0.58888888888888891</v>
      </c>
    </row>
    <row r="9" spans="2:16" x14ac:dyDescent="0.3">
      <c r="D9" s="141"/>
      <c r="F9" t="s">
        <v>286</v>
      </c>
      <c r="H9" s="141" t="str">
        <f>'FSM Apple 2019'!J5</f>
        <v>base case</v>
      </c>
    </row>
    <row r="10" spans="2:16" x14ac:dyDescent="0.3">
      <c r="B10" s="142" t="s">
        <v>170</v>
      </c>
      <c r="C10" s="56"/>
      <c r="D10" s="143"/>
      <c r="F10" s="56"/>
      <c r="G10" s="56"/>
      <c r="H10" s="56"/>
      <c r="I10" s="56"/>
    </row>
    <row r="11" spans="2:16" ht="17.25" customHeight="1" x14ac:dyDescent="0.45">
      <c r="C11" s="144" t="s">
        <v>287</v>
      </c>
      <c r="D11" s="144" t="s">
        <v>171</v>
      </c>
      <c r="E11" s="145" t="s">
        <v>172</v>
      </c>
      <c r="F11" s="144"/>
      <c r="G11" s="144"/>
      <c r="H11" s="144"/>
      <c r="I11" s="144"/>
      <c r="K11" s="12" t="s">
        <v>130</v>
      </c>
    </row>
    <row r="12" spans="2:16" x14ac:dyDescent="0.3">
      <c r="B12" s="19" t="s">
        <v>173</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C13" s="295"/>
      <c r="D13" s="318"/>
      <c r="E13" s="319"/>
      <c r="F13" s="319"/>
      <c r="G13" s="319"/>
      <c r="H13" s="319"/>
      <c r="I13" s="319"/>
      <c r="N13" s="268"/>
      <c r="P13" s="269"/>
    </row>
    <row r="14" spans="2:16" x14ac:dyDescent="0.3">
      <c r="B14" t="s">
        <v>15</v>
      </c>
      <c r="C14" s="320">
        <f ca="1">(1-$D$8)*E14+$D$8*D14</f>
        <v>266591.62533333333</v>
      </c>
      <c r="D14" s="321">
        <f>'FSM Apple 2019'!G17</f>
        <v>260174</v>
      </c>
      <c r="E14" s="321">
        <f ca="1">'FSM Apple 2019'!H17</f>
        <v>275784.44</v>
      </c>
      <c r="F14" s="321">
        <f ca="1">'FSM Apple 2019'!I17</f>
        <v>294813.56636</v>
      </c>
      <c r="G14" s="321">
        <f ca="1">'FSM Apple 2019'!J17</f>
        <v>315155.70243884</v>
      </c>
      <c r="H14" s="321">
        <f ca="1">'FSM Apple 2019'!K17</f>
        <v>336901.44590711995</v>
      </c>
      <c r="I14" s="321">
        <f ca="1">'FSM Apple 2019'!L17</f>
        <v>360147.64567471121</v>
      </c>
    </row>
    <row r="15" spans="2:16" x14ac:dyDescent="0.3">
      <c r="B15" s="28" t="s">
        <v>174</v>
      </c>
      <c r="C15" s="295"/>
      <c r="D15" s="322"/>
      <c r="E15" s="323">
        <f ca="1">E14/D14-1</f>
        <v>6.0000000000000053E-2</v>
      </c>
      <c r="F15" s="323">
        <f t="shared" ref="F15:I15" ca="1" si="1">F14/E14-1</f>
        <v>6.899999999999995E-2</v>
      </c>
      <c r="G15" s="323">
        <f t="shared" ca="1" si="1"/>
        <v>6.899999999999995E-2</v>
      </c>
      <c r="H15" s="323">
        <f t="shared" ca="1" si="1"/>
        <v>6.899999999999995E-2</v>
      </c>
      <c r="I15" s="323">
        <f t="shared" ca="1" si="1"/>
        <v>6.899999999999995E-2</v>
      </c>
    </row>
    <row r="16" spans="2:16" x14ac:dyDescent="0.3">
      <c r="B16" t="s">
        <v>23</v>
      </c>
      <c r="C16" s="320">
        <f ca="1">(1-$D$8)*E16+$D$8*D16</f>
        <v>77485.834298337824</v>
      </c>
      <c r="D16" s="324">
        <f>D18+D25</f>
        <v>76477</v>
      </c>
      <c r="E16" s="324">
        <f t="shared" ref="E16:I16" ca="1" si="2">E18+E25</f>
        <v>78930.921266227146</v>
      </c>
      <c r="F16" s="324">
        <f t="shared" ca="1" si="2"/>
        <v>84485.948944409378</v>
      </c>
      <c r="G16" s="324">
        <f t="shared" ca="1" si="2"/>
        <v>90588.908241573634</v>
      </c>
      <c r="H16" s="324">
        <f t="shared" ca="1" si="2"/>
        <v>97131.838318822192</v>
      </c>
      <c r="I16" s="324">
        <f t="shared" ca="1" si="2"/>
        <v>104146.39895459295</v>
      </c>
    </row>
    <row r="17" spans="2:13" x14ac:dyDescent="0.3">
      <c r="B17" s="28" t="s">
        <v>175</v>
      </c>
      <c r="C17" s="295"/>
      <c r="D17" s="325">
        <f>D16/D14</f>
        <v>0.29394559025882677</v>
      </c>
      <c r="E17" s="325">
        <f t="shared" ref="E17:I17" ca="1" si="3">E16/E14</f>
        <v>0.2862051291444403</v>
      </c>
      <c r="F17" s="325">
        <f t="shared" ca="1" si="3"/>
        <v>0.28657415595740487</v>
      </c>
      <c r="G17" s="325">
        <f t="shared" ca="1" si="3"/>
        <v>0.28744175510882142</v>
      </c>
      <c r="H17" s="325">
        <f t="shared" ca="1" si="3"/>
        <v>0.28830935426023779</v>
      </c>
      <c r="I17" s="325">
        <f t="shared" ca="1" si="3"/>
        <v>0.28917695341165434</v>
      </c>
    </row>
    <row r="18" spans="2:13" x14ac:dyDescent="0.3">
      <c r="B18" t="s">
        <v>176</v>
      </c>
      <c r="C18" s="320">
        <f ca="1">(1-$D$8)*E18+$D$8*D18</f>
        <v>65506.94</v>
      </c>
      <c r="D18" s="321">
        <f>'FSM Apple 2019'!G22</f>
        <v>63930</v>
      </c>
      <c r="E18" s="321">
        <f ca="1">'FSM Apple 2019'!H22</f>
        <v>67765.8</v>
      </c>
      <c r="F18" s="321">
        <f ca="1">'FSM Apple 2019'!I22</f>
        <v>72441.640199999994</v>
      </c>
      <c r="G18" s="321">
        <f ca="1">'FSM Apple 2019'!J22</f>
        <v>77440.113373800006</v>
      </c>
      <c r="H18" s="321">
        <f ca="1">'FSM Apple 2019'!K22</f>
        <v>82783.481196592184</v>
      </c>
      <c r="I18" s="321">
        <f ca="1">'FSM Apple 2019'!L22</f>
        <v>88495.541399157053</v>
      </c>
    </row>
    <row r="19" spans="2:13" x14ac:dyDescent="0.3">
      <c r="B19" s="28" t="s">
        <v>175</v>
      </c>
      <c r="C19" s="295"/>
      <c r="D19" s="325">
        <f>D18/D14</f>
        <v>0.24572017188496928</v>
      </c>
      <c r="E19" s="325">
        <f t="shared" ref="E19:I19" ca="1" si="4">E18/E14</f>
        <v>0.24572017188496931</v>
      </c>
      <c r="F19" s="325">
        <f t="shared" ca="1" si="4"/>
        <v>0.24572017188496928</v>
      </c>
      <c r="G19" s="325">
        <f t="shared" ca="1" si="4"/>
        <v>0.24572017188496931</v>
      </c>
      <c r="H19" s="325">
        <f t="shared" ca="1" si="4"/>
        <v>0.24572017188496925</v>
      </c>
      <c r="I19" s="325">
        <f t="shared" ca="1" si="4"/>
        <v>0.24572017188496928</v>
      </c>
    </row>
    <row r="20" spans="2:13" x14ac:dyDescent="0.3">
      <c r="B20" s="28"/>
      <c r="C20" s="295"/>
      <c r="D20" s="321"/>
      <c r="E20" s="326"/>
      <c r="F20" s="326"/>
      <c r="G20" s="326"/>
      <c r="H20" s="326"/>
      <c r="I20" s="326"/>
    </row>
    <row r="21" spans="2:13" x14ac:dyDescent="0.3">
      <c r="B21" t="s">
        <v>177</v>
      </c>
      <c r="C21" s="295"/>
      <c r="D21" s="324">
        <f>D18*D22</f>
        <v>10192.894868947473</v>
      </c>
      <c r="E21" s="324">
        <f t="shared" ref="E21:I21" ca="1" si="5">E18*E22</f>
        <v>10804.468561084323</v>
      </c>
      <c r="F21" s="324">
        <f t="shared" ca="1" si="5"/>
        <v>11549.976891799139</v>
      </c>
      <c r="G21" s="324">
        <f t="shared" ca="1" si="5"/>
        <v>12346.925297333282</v>
      </c>
      <c r="H21" s="324">
        <f t="shared" ca="1" si="5"/>
        <v>13198.863142849274</v>
      </c>
      <c r="I21" s="324">
        <f t="shared" ca="1" si="5"/>
        <v>14109.584699705876</v>
      </c>
    </row>
    <row r="22" spans="2:13" ht="15" customHeight="1" x14ac:dyDescent="0.3">
      <c r="B22" s="28" t="s">
        <v>31</v>
      </c>
      <c r="C22" s="295"/>
      <c r="D22" s="327">
        <f>'FSM Apple 2019'!G40</f>
        <v>0.15943836804235059</v>
      </c>
      <c r="E22" s="327">
        <f>'FSM Apple 2019'!H40</f>
        <v>0.15943836804235059</v>
      </c>
      <c r="F22" s="327">
        <f>'FSM Apple 2019'!I40</f>
        <v>0.15943836804235059</v>
      </c>
      <c r="G22" s="327">
        <f>'FSM Apple 2019'!J40</f>
        <v>0.15943836804235059</v>
      </c>
      <c r="H22" s="327">
        <f>'FSM Apple 2019'!K40</f>
        <v>0.15943836804235059</v>
      </c>
      <c r="I22" s="327">
        <f>'FSM Apple 2019'!L40</f>
        <v>0.15943836804235059</v>
      </c>
    </row>
    <row r="23" spans="2:13" x14ac:dyDescent="0.3">
      <c r="B23" s="12" t="s">
        <v>178</v>
      </c>
      <c r="C23" s="294"/>
      <c r="D23" s="328">
        <f>D18-D21</f>
        <v>53737.105131052529</v>
      </c>
      <c r="E23" s="328">
        <f t="shared" ref="E23:I23" ca="1" si="6">E18-E21</f>
        <v>56961.33143891568</v>
      </c>
      <c r="F23" s="328">
        <f t="shared" ca="1" si="6"/>
        <v>60891.663308200856</v>
      </c>
      <c r="G23" s="328">
        <f t="shared" ca="1" si="6"/>
        <v>65093.188076466722</v>
      </c>
      <c r="H23" s="328">
        <f t="shared" ca="1" si="6"/>
        <v>69584.618053742917</v>
      </c>
      <c r="I23" s="328">
        <f t="shared" ca="1" si="6"/>
        <v>74385.95669945117</v>
      </c>
    </row>
    <row r="24" spans="2:13" x14ac:dyDescent="0.3">
      <c r="C24" s="295"/>
      <c r="D24" s="320"/>
      <c r="E24" s="320"/>
      <c r="F24" s="320"/>
      <c r="G24" s="320"/>
      <c r="H24" s="320"/>
      <c r="I24" s="320"/>
    </row>
    <row r="25" spans="2:13" x14ac:dyDescent="0.3">
      <c r="B25" t="s">
        <v>22</v>
      </c>
      <c r="C25" s="295"/>
      <c r="D25" s="326">
        <f>'FSM Apple 2019'!G30</f>
        <v>12547</v>
      </c>
      <c r="E25" s="326">
        <f ca="1">'FSM Apple 2019'!H30</f>
        <v>11165.121266227146</v>
      </c>
      <c r="F25" s="326">
        <f ca="1">'FSM Apple 2019'!I30</f>
        <v>12044.308744409378</v>
      </c>
      <c r="G25" s="326">
        <f ca="1">'FSM Apple 2019'!J30</f>
        <v>13148.794867773624</v>
      </c>
      <c r="H25" s="326">
        <f ca="1">'FSM Apple 2019'!K30</f>
        <v>14348.357122230005</v>
      </c>
      <c r="I25" s="326">
        <f ca="1">'FSM Apple 2019'!L30</f>
        <v>15650.857555435894</v>
      </c>
      <c r="M25" s="96"/>
    </row>
    <row r="26" spans="2:13" x14ac:dyDescent="0.3">
      <c r="B26" t="s">
        <v>179</v>
      </c>
      <c r="C26" s="295"/>
      <c r="D26" s="320"/>
      <c r="E26" s="320">
        <f ca="1">D32-E32</f>
        <v>1632.9600000000064</v>
      </c>
      <c r="F26" s="320">
        <f t="shared" ref="F26:I26" ca="1" si="7">E32-F32</f>
        <v>1990.5782400000026</v>
      </c>
      <c r="G26" s="320">
        <f t="shared" ca="1" si="7"/>
        <v>2127.9281385600043</v>
      </c>
      <c r="H26" s="320">
        <f t="shared" ca="1" si="7"/>
        <v>2274.7551801206282</v>
      </c>
      <c r="I26" s="320">
        <f t="shared" ca="1" si="7"/>
        <v>2431.7132875489478</v>
      </c>
      <c r="M26" s="96"/>
    </row>
    <row r="27" spans="2:13" x14ac:dyDescent="0.3">
      <c r="B27" t="s">
        <v>57</v>
      </c>
      <c r="C27" s="295"/>
      <c r="D27" s="326"/>
      <c r="E27" s="326">
        <f>-('FSM Apple 2019'!H97)</f>
        <v>-12133</v>
      </c>
      <c r="F27" s="326">
        <f>-('FSM Apple 2019'!I97)</f>
        <v>-12789</v>
      </c>
      <c r="G27" s="326">
        <f ca="1">-('FSM Apple 2019'!J97)</f>
        <v>-13671.440999999999</v>
      </c>
      <c r="H27" s="326">
        <f ca="1">-('FSM Apple 2019'!K97)</f>
        <v>-14614.770428999998</v>
      </c>
      <c r="I27" s="326">
        <f ca="1">-('FSM Apple 2019'!L97)</f>
        <v>-15623.189588600997</v>
      </c>
      <c r="M27" s="96"/>
    </row>
    <row r="28" spans="2:13" x14ac:dyDescent="0.3">
      <c r="B28" s="28" t="s">
        <v>74</v>
      </c>
      <c r="C28" s="295"/>
      <c r="D28" s="326"/>
      <c r="E28" s="323">
        <f ca="1">E27/E14</f>
        <v>-4.3994505273756562E-2</v>
      </c>
      <c r="F28" s="323">
        <f t="shared" ref="F28:I28" ca="1" si="8">F27/F14</f>
        <v>-4.3379957570823642E-2</v>
      </c>
      <c r="G28" s="323">
        <f t="shared" ca="1" si="8"/>
        <v>-4.3379957570823635E-2</v>
      </c>
      <c r="H28" s="323">
        <f t="shared" ca="1" si="8"/>
        <v>-4.3379957570823635E-2</v>
      </c>
      <c r="I28" s="323">
        <f t="shared" ca="1" si="8"/>
        <v>-4.3379957570823635E-2</v>
      </c>
      <c r="M28" s="96"/>
    </row>
    <row r="29" spans="2:13" x14ac:dyDescent="0.3">
      <c r="C29" s="295"/>
      <c r="D29" s="326"/>
      <c r="E29" s="326"/>
      <c r="F29" s="326"/>
      <c r="G29" s="326"/>
      <c r="H29" s="326"/>
      <c r="I29" s="326"/>
      <c r="M29" s="96"/>
    </row>
    <row r="30" spans="2:13" x14ac:dyDescent="0.3">
      <c r="B30" s="12" t="s">
        <v>180</v>
      </c>
      <c r="C30" s="294"/>
      <c r="D30" s="329"/>
      <c r="E30" s="329">
        <f ca="1">E23+E25+E26+E27</f>
        <v>57626.412705142837</v>
      </c>
      <c r="F30" s="329">
        <f t="shared" ref="F30:I30" ca="1" si="9">F23+F25+F26+F27</f>
        <v>62137.550292610234</v>
      </c>
      <c r="G30" s="329">
        <f t="shared" ca="1" si="9"/>
        <v>66698.470082800341</v>
      </c>
      <c r="H30" s="329">
        <f t="shared" ca="1" si="9"/>
        <v>71592.959927093558</v>
      </c>
      <c r="I30" s="329">
        <f t="shared" ca="1" si="9"/>
        <v>76845.337953835013</v>
      </c>
      <c r="M30" s="154"/>
    </row>
    <row r="31" spans="2:13" x14ac:dyDescent="0.3">
      <c r="C31" s="295"/>
      <c r="D31" s="326"/>
      <c r="E31" s="295"/>
      <c r="F31" s="295"/>
      <c r="G31" s="295"/>
      <c r="H31" s="295"/>
      <c r="I31" s="295"/>
      <c r="M31" s="96"/>
    </row>
    <row r="32" spans="2:13" x14ac:dyDescent="0.3">
      <c r="B32" t="s">
        <v>181</v>
      </c>
      <c r="C32" s="295"/>
      <c r="D32" s="326">
        <f>SUM('FSM Apple 2019'!G46:G48)-SUM('FSM Apple 2019'!G53:G55)</f>
        <v>-27216</v>
      </c>
      <c r="E32" s="326">
        <f ca="1">SUM('FSM Apple 2019'!H46:H48)-SUM('FSM Apple 2019'!H53:H55)</f>
        <v>-28848.960000000006</v>
      </c>
      <c r="F32" s="326">
        <f ca="1">SUM('FSM Apple 2019'!I46:I48)-SUM('FSM Apple 2019'!I53:I55)</f>
        <v>-30839.538240000009</v>
      </c>
      <c r="G32" s="326">
        <f ca="1">SUM('FSM Apple 2019'!J46:J48)-SUM('FSM Apple 2019'!J53:J55)</f>
        <v>-32967.466378560013</v>
      </c>
      <c r="H32" s="326">
        <f ca="1">SUM('FSM Apple 2019'!K46:K48)-SUM('FSM Apple 2019'!K53:K55)</f>
        <v>-35242.221558680641</v>
      </c>
      <c r="I32" s="326">
        <f ca="1">SUM('FSM Apple 2019'!L46:L48)-SUM('FSM Apple 2019'!L53:L55)</f>
        <v>-37673.934846229589</v>
      </c>
    </row>
    <row r="33" spans="2:13" ht="15" customHeight="1" x14ac:dyDescent="0.3">
      <c r="B33" s="28" t="s">
        <v>74</v>
      </c>
      <c r="C33" s="295"/>
      <c r="D33" s="323"/>
      <c r="E33" s="323">
        <f ca="1">E32/E14</f>
        <v>-0.10460691690945292</v>
      </c>
      <c r="F33" s="323">
        <f t="shared" ref="F33:I33" ca="1" si="10">F32/F14</f>
        <v>-0.10460691690945294</v>
      </c>
      <c r="G33" s="323">
        <f t="shared" ca="1" si="10"/>
        <v>-0.10460691690945295</v>
      </c>
      <c r="H33" s="323">
        <f t="shared" ca="1" si="10"/>
        <v>-0.10460691690945291</v>
      </c>
      <c r="I33" s="323">
        <f t="shared" ca="1" si="10"/>
        <v>-0.10460691690945287</v>
      </c>
      <c r="J33" s="152"/>
    </row>
    <row r="34" spans="2:13" x14ac:dyDescent="0.3">
      <c r="C34" s="295"/>
      <c r="D34" s="326"/>
      <c r="E34" s="323"/>
      <c r="F34" s="323"/>
      <c r="G34" s="323"/>
      <c r="H34" s="323"/>
      <c r="I34" s="323"/>
      <c r="J34" s="152"/>
      <c r="K34" s="25"/>
      <c r="M34" s="106"/>
    </row>
    <row r="35" spans="2:13" x14ac:dyDescent="0.3">
      <c r="B35" s="142" t="str">
        <f>"Present value of UFCF on "&amp;TEXT(D7,"mmm dd, yyyy")&amp;" valuation date"</f>
        <v>Present value of UFCF on Feb 28, 2020 valuation date</v>
      </c>
      <c r="C35" s="330"/>
      <c r="D35" s="331"/>
      <c r="E35" s="330"/>
      <c r="F35" s="331"/>
      <c r="G35" s="331"/>
      <c r="H35" s="331"/>
      <c r="I35" s="331"/>
      <c r="J35" s="152"/>
    </row>
    <row r="36" spans="2:13" ht="16.2" x14ac:dyDescent="0.45">
      <c r="B36" s="12"/>
      <c r="D36" s="156" t="s">
        <v>182</v>
      </c>
      <c r="E36" s="156" t="s">
        <v>183</v>
      </c>
      <c r="F36" s="157" t="s">
        <v>184</v>
      </c>
      <c r="G36" s="157" t="s">
        <v>185</v>
      </c>
      <c r="H36" s="157" t="s">
        <v>186</v>
      </c>
      <c r="I36" s="157" t="s">
        <v>187</v>
      </c>
      <c r="J36" s="152"/>
    </row>
    <row r="37" spans="2:13" x14ac:dyDescent="0.3">
      <c r="B37" t="s">
        <v>188</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190</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315</v>
      </c>
    </row>
    <row r="39" spans="2:13" ht="15" customHeight="1" x14ac:dyDescent="0.3">
      <c r="B39" s="12" t="s">
        <v>191</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192</v>
      </c>
      <c r="C41" s="142"/>
      <c r="E41" s="142" t="s">
        <v>245</v>
      </c>
      <c r="F41" s="56"/>
      <c r="G41" s="56"/>
      <c r="H41" s="56"/>
      <c r="I41" s="56"/>
    </row>
    <row r="42" spans="2:13" x14ac:dyDescent="0.3">
      <c r="B42" t="s">
        <v>193</v>
      </c>
      <c r="C42" s="150">
        <v>0.03</v>
      </c>
      <c r="E42" t="s">
        <v>194</v>
      </c>
      <c r="I42" s="96">
        <f ca="1">I16</f>
        <v>104146.39895459295</v>
      </c>
      <c r="J42" s="96"/>
    </row>
    <row r="43" spans="2:13" x14ac:dyDescent="0.3">
      <c r="B43" s="160" t="str">
        <f>YEAR(I12)&amp;" FCF x (1+g)"</f>
        <v>2024 FCF x (1+g)</v>
      </c>
      <c r="C43" s="96">
        <f ca="1">I38*(1+C42)</f>
        <v>79150.698092450068</v>
      </c>
      <c r="E43" t="s">
        <v>195</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196</v>
      </c>
      <c r="C45" s="96">
        <f ca="1">C44/(1+H4)^((I37-$D$37)/365)</f>
        <v>1171968.034226798</v>
      </c>
      <c r="E45" t="s">
        <v>196</v>
      </c>
      <c r="I45" s="96">
        <f ca="1">I44/(1+H4)^((I37-D37)/365)</f>
        <v>923768.52867254626</v>
      </c>
      <c r="J45" s="96"/>
    </row>
    <row r="46" spans="2:13" x14ac:dyDescent="0.3">
      <c r="B46" t="s">
        <v>197</v>
      </c>
      <c r="C46" s="149">
        <f ca="1">SUM(E39:I39)</f>
        <v>251719.62536042958</v>
      </c>
      <c r="E46" t="s">
        <v>197</v>
      </c>
      <c r="I46" s="96">
        <f ca="1">C46</f>
        <v>251719.62536042958</v>
      </c>
      <c r="J46" s="96"/>
    </row>
    <row r="47" spans="2:13" x14ac:dyDescent="0.3">
      <c r="B47" s="12" t="s">
        <v>198</v>
      </c>
      <c r="C47" s="153">
        <f ca="1">C46+C45</f>
        <v>1423687.6595872275</v>
      </c>
      <c r="E47" s="12" t="s">
        <v>199</v>
      </c>
      <c r="I47" s="153">
        <f ca="1">SUM(I45:I46)</f>
        <v>1175488.1540329759</v>
      </c>
      <c r="J47" s="153"/>
    </row>
    <row r="49" spans="2:11" x14ac:dyDescent="0.3">
      <c r="B49" s="162" t="s">
        <v>200</v>
      </c>
      <c r="C49" s="163">
        <f ca="1">C45/$C$47</f>
        <v>0.82319181903043881</v>
      </c>
      <c r="E49" s="162" t="s">
        <v>200</v>
      </c>
      <c r="I49" s="163">
        <f ca="1">+I45/I47</f>
        <v>0.7858594963319655</v>
      </c>
      <c r="J49" s="163"/>
    </row>
    <row r="50" spans="2:11" x14ac:dyDescent="0.3">
      <c r="B50" s="162" t="s">
        <v>201</v>
      </c>
      <c r="C50" s="163">
        <f ca="1">1-C49</f>
        <v>0.17680818096956119</v>
      </c>
      <c r="E50" s="162" t="s">
        <v>288</v>
      </c>
      <c r="G50" s="164"/>
      <c r="I50" s="52">
        <f ca="1">1-I49</f>
        <v>0.2141405036680345</v>
      </c>
      <c r="J50" s="52"/>
    </row>
    <row r="51" spans="2:11" x14ac:dyDescent="0.3">
      <c r="B51" s="162" t="s">
        <v>202</v>
      </c>
      <c r="C51" s="166">
        <f ca="1">(C44/I16)</f>
        <v>15.878105466524191</v>
      </c>
      <c r="E51" t="s">
        <v>203</v>
      </c>
      <c r="I51" s="165">
        <f ca="1">(H4-I38/I44)/(1+I38/I44)</f>
        <v>1.7855722311486459E-2</v>
      </c>
      <c r="J51" s="165"/>
    </row>
    <row r="52" spans="2:11" x14ac:dyDescent="0.3">
      <c r="B52" s="162"/>
      <c r="C52" s="19"/>
      <c r="D52" s="166"/>
      <c r="I52" s="165"/>
      <c r="J52" s="165"/>
    </row>
    <row r="53" spans="2:11" x14ac:dyDescent="0.3">
      <c r="B53" s="142" t="s">
        <v>204</v>
      </c>
      <c r="C53" s="56"/>
      <c r="E53" s="142" t="s">
        <v>205</v>
      </c>
      <c r="F53" s="56"/>
      <c r="G53" s="142"/>
      <c r="H53" s="56"/>
      <c r="I53" s="56"/>
    </row>
    <row r="54" spans="2:11" x14ac:dyDescent="0.3">
      <c r="B54" t="s">
        <v>206</v>
      </c>
      <c r="C54" s="233" t="s">
        <v>207</v>
      </c>
    </row>
    <row r="55" spans="2:11" x14ac:dyDescent="0.3">
      <c r="B55" s="29" t="s">
        <v>208</v>
      </c>
      <c r="C55" s="158">
        <f>D6</f>
        <v>43827</v>
      </c>
      <c r="G55" s="32" t="s">
        <v>206</v>
      </c>
      <c r="H55" s="167" t="s">
        <v>209</v>
      </c>
      <c r="I55" s="167" t="s">
        <v>210</v>
      </c>
    </row>
    <row r="56" spans="2:11" x14ac:dyDescent="0.3">
      <c r="B56" s="168" t="s">
        <v>211</v>
      </c>
      <c r="C56" s="169"/>
      <c r="E56" t="s">
        <v>212</v>
      </c>
      <c r="G56" s="233" t="s">
        <v>207</v>
      </c>
      <c r="H56" s="233">
        <v>43847</v>
      </c>
      <c r="I56" s="170">
        <v>4375.4799999999996</v>
      </c>
      <c r="J56" s="170"/>
    </row>
    <row r="57" spans="2:11" x14ac:dyDescent="0.3">
      <c r="B57" s="28" t="s">
        <v>158</v>
      </c>
      <c r="C57" s="24">
        <f>4990+10224+93078</f>
        <v>108292</v>
      </c>
      <c r="E57" s="29" t="s">
        <v>213</v>
      </c>
      <c r="G57" s="233" t="s">
        <v>207</v>
      </c>
      <c r="H57" s="233">
        <v>43827</v>
      </c>
      <c r="I57" s="170">
        <v>96.02</v>
      </c>
      <c r="J57" s="171"/>
    </row>
    <row r="58" spans="2:11" x14ac:dyDescent="0.3">
      <c r="B58" s="28" t="s">
        <v>214</v>
      </c>
      <c r="C58" s="251">
        <f>[1]Shares!E25+[1]Shares!E31</f>
        <v>0</v>
      </c>
      <c r="E58" s="29" t="s">
        <v>215</v>
      </c>
      <c r="G58" s="233"/>
      <c r="H58" s="233"/>
      <c r="I58" s="271">
        <f>'Options&amp;Convertibles'!E20</f>
        <v>50.595642000584959</v>
      </c>
      <c r="K58" t="s">
        <v>289</v>
      </c>
    </row>
    <row r="59" spans="2:11" ht="15" customHeight="1" x14ac:dyDescent="0.3">
      <c r="B59" s="28" t="s">
        <v>216</v>
      </c>
      <c r="C59" s="251">
        <f>[1]Shares!E34+[1]Shares!E41</f>
        <v>0</v>
      </c>
      <c r="E59" t="s">
        <v>214</v>
      </c>
      <c r="G59" s="233"/>
      <c r="H59" s="233"/>
      <c r="I59" s="271">
        <f>'Options&amp;Convertibles'!E30</f>
        <v>58.171999999999997</v>
      </c>
      <c r="K59" t="s">
        <v>290</v>
      </c>
    </row>
    <row r="60" spans="2:11" x14ac:dyDescent="0.3">
      <c r="B60" s="172" t="s">
        <v>217</v>
      </c>
      <c r="C60" s="24">
        <v>0</v>
      </c>
      <c r="E60" t="s">
        <v>218</v>
      </c>
      <c r="G60" s="233"/>
      <c r="H60" s="233"/>
      <c r="I60" s="271">
        <f>'Options&amp;Convertibles'!E40</f>
        <v>195.65</v>
      </c>
      <c r="K60" t="s">
        <v>291</v>
      </c>
    </row>
    <row r="61" spans="2:11" ht="15" customHeight="1" x14ac:dyDescent="0.3">
      <c r="B61" s="168" t="s">
        <v>219</v>
      </c>
      <c r="E61" s="30" t="s">
        <v>220</v>
      </c>
      <c r="I61" s="272">
        <f>SUM(I56:I60)</f>
        <v>4775.9176420005842</v>
      </c>
      <c r="J61" s="173"/>
    </row>
    <row r="62" spans="2:11" x14ac:dyDescent="0.3">
      <c r="B62" s="174" t="s">
        <v>221</v>
      </c>
      <c r="C62" s="24">
        <f>39771+67391+99899</f>
        <v>207061</v>
      </c>
      <c r="J62" s="175"/>
    </row>
    <row r="63" spans="2:11" x14ac:dyDescent="0.3">
      <c r="B63" s="174" t="s">
        <v>222</v>
      </c>
      <c r="C63" s="24">
        <v>0</v>
      </c>
      <c r="J63" s="175"/>
    </row>
    <row r="64" spans="2:11" x14ac:dyDescent="0.3">
      <c r="J64" s="176"/>
    </row>
    <row r="65" spans="2:6" x14ac:dyDescent="0.3">
      <c r="B65" s="177" t="s">
        <v>204</v>
      </c>
      <c r="C65" s="39">
        <f>SUM(C57:C60)-SUM(C62:C63)</f>
        <v>-98769</v>
      </c>
    </row>
    <row r="67" spans="2:6" x14ac:dyDescent="0.3">
      <c r="B67" s="142" t="s">
        <v>223</v>
      </c>
      <c r="C67" s="56"/>
      <c r="D67" s="56"/>
    </row>
    <row r="68" spans="2:6" ht="16.2" x14ac:dyDescent="0.45">
      <c r="C68" s="178" t="s">
        <v>224</v>
      </c>
      <c r="D68" s="178" t="s">
        <v>23</v>
      </c>
    </row>
    <row r="69" spans="2:6" x14ac:dyDescent="0.3">
      <c r="B69" t="s">
        <v>225</v>
      </c>
      <c r="C69" s="273">
        <f ca="1">C47</f>
        <v>1423687.6595872275</v>
      </c>
      <c r="D69" s="273">
        <f ca="1">I47</f>
        <v>1175488.1540329759</v>
      </c>
    </row>
    <row r="70" spans="2:6" x14ac:dyDescent="0.3">
      <c r="B70" t="s">
        <v>204</v>
      </c>
      <c r="C70" s="274">
        <f>$C$65</f>
        <v>-98769</v>
      </c>
      <c r="D70" s="274">
        <f>C70</f>
        <v>-98769</v>
      </c>
    </row>
    <row r="71" spans="2:6" x14ac:dyDescent="0.3">
      <c r="B71" t="s">
        <v>226</v>
      </c>
      <c r="C71" s="275">
        <f ca="1">C69-C70</f>
        <v>1522456.6595872275</v>
      </c>
      <c r="D71" s="275">
        <f ca="1">D69-D70</f>
        <v>1274257.1540329759</v>
      </c>
    </row>
    <row r="72" spans="2:6" x14ac:dyDescent="0.3">
      <c r="B72" t="s">
        <v>205</v>
      </c>
      <c r="C72" s="275">
        <f>$I$61</f>
        <v>4775.9176420005842</v>
      </c>
      <c r="D72" s="275">
        <f>C72</f>
        <v>4775.9176420005842</v>
      </c>
    </row>
    <row r="73" spans="2:6" x14ac:dyDescent="0.3">
      <c r="B73" s="12" t="s">
        <v>227</v>
      </c>
      <c r="C73" s="179">
        <f ca="1">C71/C72</f>
        <v>318.7778294580234</v>
      </c>
      <c r="D73" s="179">
        <f ca="1">D71/D72</f>
        <v>266.80886262083914</v>
      </c>
    </row>
    <row r="75" spans="2:6" ht="16.2" x14ac:dyDescent="0.45">
      <c r="C75" s="144" t="s">
        <v>292</v>
      </c>
      <c r="D75" s="144"/>
    </row>
    <row r="76" spans="2:6" x14ac:dyDescent="0.3">
      <c r="B76" s="32"/>
      <c r="C76" s="167" t="s">
        <v>224</v>
      </c>
      <c r="D76" s="167" t="s">
        <v>23</v>
      </c>
    </row>
    <row r="77" spans="2:6" x14ac:dyDescent="0.3">
      <c r="B77" t="s">
        <v>229</v>
      </c>
      <c r="C77" s="253">
        <f ca="1">C$69/$C$14</f>
        <v>5.3403315194433318</v>
      </c>
      <c r="D77" s="253">
        <f ca="1">D$69/$C$14</f>
        <v>4.4093213827073603</v>
      </c>
    </row>
    <row r="78" spans="2:6" x14ac:dyDescent="0.3">
      <c r="B78" t="s">
        <v>230</v>
      </c>
      <c r="C78" s="180">
        <f t="shared" ref="C78" ca="1" si="11">C69/$C$16</f>
        <v>18.373521721476354</v>
      </c>
      <c r="D78" s="180">
        <f ca="1">D69/$C$16</f>
        <v>15.17036197231978</v>
      </c>
    </row>
    <row r="79" spans="2:6" x14ac:dyDescent="0.3">
      <c r="B79" s="149" t="s">
        <v>231</v>
      </c>
      <c r="C79" s="180">
        <f t="shared" ref="C79" ca="1" si="12">C69/$C$18</f>
        <v>21.733386715777403</v>
      </c>
      <c r="D79" s="180">
        <f ca="1">D69/$C$18</f>
        <v>17.944482737752303</v>
      </c>
    </row>
    <row r="80" spans="2:6" ht="16.2" x14ac:dyDescent="0.45">
      <c r="B80" s="149"/>
      <c r="C80" s="144" t="s">
        <v>293</v>
      </c>
      <c r="D80" s="144"/>
      <c r="E80" s="180"/>
      <c r="F80" s="180"/>
    </row>
    <row r="81" spans="2:17" x14ac:dyDescent="0.3">
      <c r="B81" s="32"/>
      <c r="C81" s="167" t="s">
        <v>224</v>
      </c>
      <c r="D81" s="167" t="s">
        <v>23</v>
      </c>
      <c r="E81" s="180"/>
      <c r="F81" s="180"/>
    </row>
    <row r="82" spans="2:17" x14ac:dyDescent="0.3">
      <c r="B82" t="s">
        <v>229</v>
      </c>
      <c r="C82" s="253">
        <f ca="1">C69/$E$14</f>
        <v>5.1623204687952207</v>
      </c>
      <c r="D82" s="253">
        <f ca="1">D69/$E$14</f>
        <v>4.2623440032837818</v>
      </c>
      <c r="E82" s="180"/>
      <c r="F82" s="180"/>
    </row>
    <row r="83" spans="2:17" x14ac:dyDescent="0.3">
      <c r="B83" t="s">
        <v>230</v>
      </c>
      <c r="C83" s="180">
        <f ca="1">C69/$E$16</f>
        <v>18.037134709035673</v>
      </c>
      <c r="D83" s="180">
        <f ca="1">D69/$E$16</f>
        <v>14.89261920645974</v>
      </c>
      <c r="E83" s="180"/>
      <c r="F83" s="180"/>
    </row>
    <row r="84" spans="2:17" x14ac:dyDescent="0.3">
      <c r="B84" s="149" t="s">
        <v>231</v>
      </c>
      <c r="C84" s="180">
        <f ca="1">C69/$E$18</f>
        <v>21.008940491918157</v>
      </c>
      <c r="D84" s="180">
        <f ca="1">D69/$E$18</f>
        <v>17.34633331316056</v>
      </c>
      <c r="E84" s="180"/>
      <c r="F84" s="180"/>
    </row>
    <row r="86" spans="2:17" x14ac:dyDescent="0.3">
      <c r="B86" s="142" t="s">
        <v>232</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227</v>
      </c>
      <c r="E88" s="144"/>
      <c r="F88" s="144"/>
      <c r="G88" s="144"/>
      <c r="H88" s="144"/>
      <c r="I88" s="144"/>
      <c r="J88" s="184"/>
      <c r="L88" s="183" t="s">
        <v>294</v>
      </c>
      <c r="M88" s="144"/>
      <c r="N88" s="144"/>
      <c r="O88" s="144"/>
      <c r="P88" s="144"/>
      <c r="Q88" s="144"/>
    </row>
    <row r="89" spans="2:17" ht="15" customHeight="1" x14ac:dyDescent="0.3">
      <c r="B89" s="182"/>
      <c r="D89" s="29"/>
      <c r="E89" s="82" t="s">
        <v>234</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235</v>
      </c>
      <c r="D93" s="195">
        <f>H4</f>
        <v>7.7864310730353978E-2</v>
      </c>
      <c r="E93" s="192">
        <v>186.27161229464818</v>
      </c>
      <c r="F93" s="192">
        <v>179.44691587010502</v>
      </c>
      <c r="G93" s="192">
        <v>179.44691587010502</v>
      </c>
      <c r="H93" s="192">
        <v>186.27161229464818</v>
      </c>
      <c r="I93" s="192">
        <v>202.55046260397353</v>
      </c>
      <c r="J93" s="193"/>
      <c r="K93" s="92" t="s">
        <v>235</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236</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237</v>
      </c>
      <c r="E96" s="197"/>
      <c r="F96" s="197"/>
      <c r="G96" s="197"/>
      <c r="H96" s="197"/>
      <c r="I96" s="197"/>
      <c r="J96" s="198"/>
    </row>
    <row r="97" spans="2:17" ht="17.25" customHeight="1" x14ac:dyDescent="0.45">
      <c r="B97" s="182"/>
      <c r="D97" s="183" t="s">
        <v>227</v>
      </c>
      <c r="E97" s="144"/>
      <c r="F97" s="144"/>
      <c r="G97" s="144"/>
      <c r="H97" s="144"/>
      <c r="I97" s="144"/>
      <c r="J97" s="184"/>
      <c r="L97" s="183" t="s">
        <v>294</v>
      </c>
      <c r="M97" s="144"/>
      <c r="N97" s="144"/>
      <c r="O97" s="144"/>
      <c r="P97" s="144"/>
      <c r="Q97" s="144"/>
    </row>
    <row r="98" spans="2:17" ht="15" customHeight="1" x14ac:dyDescent="0.3">
      <c r="B98" s="182"/>
      <c r="E98" s="82" t="s">
        <v>238</v>
      </c>
      <c r="F98" s="82"/>
      <c r="G98" s="82"/>
      <c r="H98" s="82"/>
      <c r="I98" s="82"/>
      <c r="J98" s="185"/>
      <c r="M98" s="82" t="s">
        <v>238</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194">
        <f t="dataTable" ref="M100:Q104" dt2D="1" dtr="1" r1="I43" r2="H4" ca="1"/>
        <v>12.29438897105455</v>
      </c>
      <c r="N100" s="194">
        <v>11.418938961779405</v>
      </c>
      <c r="O100" s="194">
        <v>11.418938961779405</v>
      </c>
      <c r="P100" s="194">
        <v>12.29438897105455</v>
      </c>
      <c r="Q100" s="19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194">
        <v>11.843689773787219</v>
      </c>
      <c r="N101" s="194">
        <v>11.003941042662058</v>
      </c>
      <c r="O101" s="194">
        <v>11.003941042662058</v>
      </c>
      <c r="P101" s="194">
        <v>11.843689773787219</v>
      </c>
      <c r="Q101" s="194">
        <v>13.52318723603754</v>
      </c>
    </row>
    <row r="102" spans="2:17" ht="15" customHeight="1" x14ac:dyDescent="0.3">
      <c r="B102" s="182"/>
      <c r="C102" s="92" t="s">
        <v>235</v>
      </c>
      <c r="D102" s="195">
        <f>H4</f>
        <v>7.7864310730353978E-2</v>
      </c>
      <c r="E102" s="192">
        <v>212.83599498311247</v>
      </c>
      <c r="F102" s="192">
        <v>199.21167481896762</v>
      </c>
      <c r="G102" s="192">
        <v>199.21167481896762</v>
      </c>
      <c r="H102" s="192">
        <v>212.83599498311247</v>
      </c>
      <c r="I102" s="192">
        <v>240.08463531140214</v>
      </c>
      <c r="J102" s="193"/>
      <c r="K102" s="92" t="s">
        <v>235</v>
      </c>
      <c r="L102" s="195">
        <f>H4</f>
        <v>7.7864310730353978E-2</v>
      </c>
      <c r="M102" s="194">
        <v>11.843689773787219</v>
      </c>
      <c r="N102" s="194">
        <v>11.003941042662058</v>
      </c>
      <c r="O102" s="194">
        <v>11.003941042662058</v>
      </c>
      <c r="P102" s="194">
        <v>11.843689773787219</v>
      </c>
      <c r="Q102" s="19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194">
        <v>12.29438897105455</v>
      </c>
      <c r="N103" s="194">
        <v>11.418938961779405</v>
      </c>
      <c r="O103" s="194">
        <v>11.418938961779405</v>
      </c>
      <c r="P103" s="194">
        <v>12.29438897105455</v>
      </c>
      <c r="Q103" s="19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194">
        <v>13.265231313024778</v>
      </c>
      <c r="N104" s="194">
        <v>12.312665983377276</v>
      </c>
      <c r="O104" s="194">
        <v>12.312665983377276</v>
      </c>
      <c r="P104" s="194">
        <v>13.265231313024778</v>
      </c>
      <c r="Q104" s="194">
        <v>15.17036197231978</v>
      </c>
    </row>
    <row r="105" spans="2:17" x14ac:dyDescent="0.3">
      <c r="J105" s="203"/>
    </row>
    <row r="106" spans="2:17" x14ac:dyDescent="0.3">
      <c r="B106" s="204" t="s">
        <v>239</v>
      </c>
      <c r="C106" s="204"/>
      <c r="D106" s="204"/>
      <c r="E106" s="204"/>
      <c r="G106" s="204" t="s">
        <v>240</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241</v>
      </c>
      <c r="D127" s="208" t="s">
        <v>242</v>
      </c>
      <c r="E127" s="209" t="s">
        <v>243</v>
      </c>
      <c r="G127" s="207"/>
      <c r="H127" s="138"/>
      <c r="I127" s="138"/>
      <c r="J127" s="210"/>
      <c r="K127" s="138"/>
      <c r="L127" s="138"/>
      <c r="M127" s="138"/>
      <c r="N127" s="138"/>
      <c r="O127" s="208" t="s">
        <v>241</v>
      </c>
      <c r="P127" s="208" t="s">
        <v>242</v>
      </c>
      <c r="Q127" s="209" t="s">
        <v>243</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244</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Options&amp;Convertibles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2022-09-16T16:50:31Z</dcterms:modified>
</cp:coreProperties>
</file>