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4.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Saad Ibrahim\Dropbox\My PC (LAPTOP-KK3STLDM)\Desktop\quat analyst revision\Corporate Finance\WSP\GitHub documents\"/>
    </mc:Choice>
  </mc:AlternateContent>
  <xr:revisionPtr revIDLastSave="0" documentId="13_ncr:1_{888CE251-9FF4-472F-B604-5620C80787CB}" xr6:coauthVersionLast="47" xr6:coauthVersionMax="47" xr10:uidLastSave="{00000000-0000-0000-0000-000000000000}"/>
  <bookViews>
    <workbookView xWindow="-23148" yWindow="4080" windowWidth="23256" windowHeight="12456" xr2:uid="{00000000-000D-0000-FFFF-FFFF00000000}"/>
  </bookViews>
  <sheets>
    <sheet name="Contents" sheetId="1" r:id="rId1"/>
    <sheet name="FSM Apple 2018" sheetId="2" r:id="rId2"/>
    <sheet name="FSM Apple 2019" sheetId="3" r:id="rId3"/>
    <sheet name="DCF 1-Pager" sheetId="6" r:id="rId4"/>
    <sheet name="Shares" sheetId="7" r:id="rId5"/>
    <sheet name="WACC" sheetId="4" r:id="rId6"/>
    <sheet name="FSM Integrated DCF" sheetId="5" r:id="rId7"/>
  </sheets>
  <externalReferences>
    <externalReference r:id="rId8"/>
  </externalReferences>
  <calcPr calcId="191029" calcMode="autoNoTable"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5" l="1"/>
  <c r="H4" i="6"/>
  <c r="C59" i="5"/>
  <c r="C58" i="5"/>
  <c r="O128" i="5"/>
  <c r="I59" i="6" l="1"/>
  <c r="H9" i="5"/>
  <c r="E37" i="5" l="1"/>
  <c r="D102" i="5"/>
  <c r="O90" i="5"/>
  <c r="N90" i="5" s="1"/>
  <c r="M90" i="5" s="1"/>
  <c r="G90" i="5"/>
  <c r="H90" i="5" s="1"/>
  <c r="I90" i="5" s="1"/>
  <c r="G99" i="5"/>
  <c r="H99" i="5" s="1"/>
  <c r="I99" i="5" s="1"/>
  <c r="O99" i="5"/>
  <c r="P99" i="5" s="1"/>
  <c r="Q99" i="5" s="1"/>
  <c r="I60" i="5"/>
  <c r="D32" i="5"/>
  <c r="F27" i="5"/>
  <c r="E27" i="5"/>
  <c r="G101" i="3"/>
  <c r="D25" i="5"/>
  <c r="D14" i="5"/>
  <c r="Q130" i="5"/>
  <c r="O130" i="5"/>
  <c r="D130" i="5"/>
  <c r="Q129" i="5"/>
  <c r="O129" i="5"/>
  <c r="E129" i="5"/>
  <c r="C129" i="5"/>
  <c r="Q128" i="5"/>
  <c r="E128" i="5"/>
  <c r="C128" i="5"/>
  <c r="C62" i="5"/>
  <c r="C57" i="5"/>
  <c r="C55" i="5"/>
  <c r="D37" i="5"/>
  <c r="B35" i="5"/>
  <c r="D12" i="5"/>
  <c r="E12" i="5" s="1"/>
  <c r="C12" i="5"/>
  <c r="D5" i="5"/>
  <c r="D8" i="5" s="1"/>
  <c r="B3" i="5"/>
  <c r="C13" i="4"/>
  <c r="E4" i="7"/>
  <c r="E12" i="7" s="1"/>
  <c r="E37" i="7"/>
  <c r="E38" i="7" s="1"/>
  <c r="E40" i="7" s="1"/>
  <c r="E41" i="7" s="1"/>
  <c r="C59" i="6" s="1"/>
  <c r="E28" i="7"/>
  <c r="E27" i="7" s="1"/>
  <c r="E30" i="7" s="1"/>
  <c r="I59" i="5" s="1"/>
  <c r="C16" i="7"/>
  <c r="E15" i="7"/>
  <c r="B3" i="7"/>
  <c r="D25" i="6"/>
  <c r="D14" i="6"/>
  <c r="E14" i="6" s="1"/>
  <c r="C7" i="4"/>
  <c r="C8" i="4" s="1"/>
  <c r="Q124" i="6"/>
  <c r="O124" i="6"/>
  <c r="D124" i="6"/>
  <c r="Q123" i="6"/>
  <c r="O123" i="6"/>
  <c r="G123" i="6"/>
  <c r="E123" i="6"/>
  <c r="D123" i="6" s="1"/>
  <c r="C123" i="6"/>
  <c r="Q122" i="6"/>
  <c r="O122" i="6"/>
  <c r="E122" i="6"/>
  <c r="C122" i="6"/>
  <c r="D98" i="6"/>
  <c r="L97" i="6"/>
  <c r="L98" i="6" s="1"/>
  <c r="D97" i="6"/>
  <c r="L95" i="6"/>
  <c r="L94" i="6" s="1"/>
  <c r="D95" i="6"/>
  <c r="D94" i="6" s="1"/>
  <c r="P93" i="6"/>
  <c r="Q93" i="6" s="1"/>
  <c r="N93" i="6"/>
  <c r="M93" i="6" s="1"/>
  <c r="H93" i="6"/>
  <c r="I93" i="6" s="1"/>
  <c r="F93" i="6"/>
  <c r="E93" i="6" s="1"/>
  <c r="L88" i="6"/>
  <c r="L89" i="6" s="1"/>
  <c r="D88" i="6"/>
  <c r="D89" i="6" s="1"/>
  <c r="L86" i="6"/>
  <c r="D86" i="6"/>
  <c r="D85" i="6" s="1"/>
  <c r="L85" i="6"/>
  <c r="P84" i="6"/>
  <c r="Q84" i="6" s="1"/>
  <c r="N84" i="6"/>
  <c r="M84" i="6"/>
  <c r="H84" i="6"/>
  <c r="I84" i="6" s="1"/>
  <c r="F84" i="6"/>
  <c r="E84" i="6" s="1"/>
  <c r="B123" i="6" s="1"/>
  <c r="C62" i="6"/>
  <c r="I57" i="6"/>
  <c r="C57" i="6"/>
  <c r="I56" i="6"/>
  <c r="D37" i="6"/>
  <c r="B35" i="6"/>
  <c r="D12" i="6"/>
  <c r="E12" i="6" s="1"/>
  <c r="D8" i="6"/>
  <c r="C38" i="6" s="1"/>
  <c r="B3" i="6"/>
  <c r="B3" i="4"/>
  <c r="D142" i="3"/>
  <c r="G156" i="3"/>
  <c r="F156" i="3"/>
  <c r="E156" i="3"/>
  <c r="D156" i="3"/>
  <c r="J207" i="2"/>
  <c r="K207" i="2"/>
  <c r="J211" i="2"/>
  <c r="K211" i="2" s="1"/>
  <c r="G147" i="3"/>
  <c r="G152" i="3" s="1"/>
  <c r="G146" i="3"/>
  <c r="F146" i="3"/>
  <c r="E146" i="3"/>
  <c r="F147" i="3" s="1"/>
  <c r="G106" i="2"/>
  <c r="F106" i="2"/>
  <c r="G102" i="2"/>
  <c r="G99" i="2" s="1"/>
  <c r="L208" i="3"/>
  <c r="K208" i="3"/>
  <c r="J208" i="3"/>
  <c r="I208" i="3"/>
  <c r="H208" i="3"/>
  <c r="L206" i="3"/>
  <c r="K206" i="3"/>
  <c r="J206" i="3"/>
  <c r="I206" i="3"/>
  <c r="H206" i="3"/>
  <c r="L204" i="3"/>
  <c r="K204" i="3"/>
  <c r="J204" i="3"/>
  <c r="I204" i="3"/>
  <c r="H204" i="3"/>
  <c r="L202" i="3"/>
  <c r="K202" i="3"/>
  <c r="J202" i="3"/>
  <c r="I202" i="3"/>
  <c r="H202" i="3"/>
  <c r="L200" i="3"/>
  <c r="K200" i="3"/>
  <c r="J200" i="3"/>
  <c r="I200" i="3"/>
  <c r="H200" i="3"/>
  <c r="L198" i="3"/>
  <c r="K198" i="3"/>
  <c r="J198" i="3"/>
  <c r="I198" i="3"/>
  <c r="H198" i="3"/>
  <c r="L196" i="3"/>
  <c r="K196" i="3"/>
  <c r="J196" i="3"/>
  <c r="I196" i="3"/>
  <c r="H196" i="3"/>
  <c r="L194" i="3"/>
  <c r="K194" i="3"/>
  <c r="J194" i="3"/>
  <c r="I194" i="3"/>
  <c r="H194" i="3"/>
  <c r="I184" i="3"/>
  <c r="J184" i="3" s="1"/>
  <c r="K184" i="3" s="1"/>
  <c r="L184" i="3" s="1"/>
  <c r="E184" i="3"/>
  <c r="J188" i="3" s="1"/>
  <c r="J38" i="3" s="1"/>
  <c r="F160" i="3"/>
  <c r="C160" i="3"/>
  <c r="C159" i="3"/>
  <c r="H155" i="3"/>
  <c r="I155" i="3" s="1"/>
  <c r="J155" i="3" s="1"/>
  <c r="K155" i="3" s="1"/>
  <c r="L155" i="3" s="1"/>
  <c r="H145" i="3"/>
  <c r="I145" i="3" s="1"/>
  <c r="J145" i="3" s="1"/>
  <c r="K145" i="3" s="1"/>
  <c r="L145" i="3" s="1"/>
  <c r="F142" i="3"/>
  <c r="E142" i="3"/>
  <c r="F140" i="3"/>
  <c r="C140" i="3"/>
  <c r="C139" i="3"/>
  <c r="G135" i="3"/>
  <c r="H132" i="3" s="1"/>
  <c r="F135" i="3"/>
  <c r="E135" i="3"/>
  <c r="F123" i="3"/>
  <c r="C123" i="3"/>
  <c r="C122" i="3"/>
  <c r="G119" i="3"/>
  <c r="F119" i="3"/>
  <c r="E119" i="3"/>
  <c r="D119" i="3"/>
  <c r="H118" i="3"/>
  <c r="I118" i="3" s="1"/>
  <c r="H115" i="3"/>
  <c r="G112" i="3"/>
  <c r="H109" i="3" s="1"/>
  <c r="F112" i="3"/>
  <c r="E112" i="3"/>
  <c r="G106" i="3"/>
  <c r="G104" i="3" s="1"/>
  <c r="G105" i="3" s="1"/>
  <c r="H105" i="3" s="1"/>
  <c r="F106" i="3"/>
  <c r="F104" i="3" s="1"/>
  <c r="F105" i="3" s="1"/>
  <c r="E106" i="3"/>
  <c r="E104" i="3" s="1"/>
  <c r="E105" i="3" s="1"/>
  <c r="F101" i="3"/>
  <c r="E101" i="3"/>
  <c r="H101" i="3" s="1"/>
  <c r="I101" i="3" s="1"/>
  <c r="J101" i="3" s="1"/>
  <c r="K101" i="3" s="1"/>
  <c r="L101" i="3" s="1"/>
  <c r="G99" i="3"/>
  <c r="H96" i="3" s="1"/>
  <c r="F99" i="3"/>
  <c r="F94" i="3"/>
  <c r="C94" i="3"/>
  <c r="C93" i="3"/>
  <c r="I81" i="3"/>
  <c r="I82" i="3" s="1"/>
  <c r="H81" i="3"/>
  <c r="H82" i="3" s="1"/>
  <c r="C70" i="3"/>
  <c r="C69" i="3"/>
  <c r="G64" i="3"/>
  <c r="F64" i="3"/>
  <c r="E64" i="3"/>
  <c r="H63" i="3"/>
  <c r="I63" i="3" s="1"/>
  <c r="J63" i="3" s="1"/>
  <c r="K63" i="3" s="1"/>
  <c r="L63" i="3" s="1"/>
  <c r="G57" i="3"/>
  <c r="G150" i="3" s="1"/>
  <c r="F57" i="3"/>
  <c r="F59" i="3" s="1"/>
  <c r="E57" i="3"/>
  <c r="E150" i="3" s="1"/>
  <c r="E55" i="3"/>
  <c r="G48" i="3"/>
  <c r="D32" i="6" s="1"/>
  <c r="D33" i="6" s="1"/>
  <c r="E33" i="6" s="1"/>
  <c r="E32" i="6" s="1"/>
  <c r="F48" i="3"/>
  <c r="C32" i="6" s="1"/>
  <c r="E48" i="3"/>
  <c r="G45" i="3"/>
  <c r="F45" i="3"/>
  <c r="E45" i="3"/>
  <c r="F44" i="3"/>
  <c r="C44" i="3"/>
  <c r="C43" i="3"/>
  <c r="G39" i="3"/>
  <c r="F39" i="3"/>
  <c r="E39" i="3"/>
  <c r="D39" i="3"/>
  <c r="G38" i="3"/>
  <c r="F38" i="3"/>
  <c r="E38" i="3"/>
  <c r="D38" i="3"/>
  <c r="G36" i="3"/>
  <c r="F36" i="3"/>
  <c r="E36" i="3"/>
  <c r="H25" i="3"/>
  <c r="I25" i="3" s="1"/>
  <c r="J25" i="3" s="1"/>
  <c r="K25" i="3" s="1"/>
  <c r="L25" i="3" s="1"/>
  <c r="G19" i="3"/>
  <c r="G22" i="3" s="1"/>
  <c r="D18" i="5" s="1"/>
  <c r="F19" i="3"/>
  <c r="F37" i="3" s="1"/>
  <c r="E19" i="3"/>
  <c r="E22" i="3" s="1"/>
  <c r="D19" i="3"/>
  <c r="D22" i="3" s="1"/>
  <c r="G15" i="3"/>
  <c r="G123" i="3" s="1"/>
  <c r="E15" i="3"/>
  <c r="E160" i="3" s="1"/>
  <c r="G14" i="3"/>
  <c r="F14" i="3" s="1"/>
  <c r="D11" i="3"/>
  <c r="H174" i="3" s="1"/>
  <c r="C2" i="3"/>
  <c r="F147" i="2"/>
  <c r="F143" i="2"/>
  <c r="G188" i="2"/>
  <c r="G175" i="2"/>
  <c r="F169" i="2"/>
  <c r="E169" i="2"/>
  <c r="D169" i="2"/>
  <c r="C161" i="2"/>
  <c r="C160" i="2"/>
  <c r="I220" i="2"/>
  <c r="H220" i="2"/>
  <c r="G220" i="2"/>
  <c r="J219" i="2"/>
  <c r="K219" i="2" s="1"/>
  <c r="I218" i="2"/>
  <c r="H218" i="2"/>
  <c r="G218" i="2"/>
  <c r="I216" i="2"/>
  <c r="H216" i="2"/>
  <c r="G216" i="2"/>
  <c r="J215" i="2"/>
  <c r="K215" i="2" s="1"/>
  <c r="J214" i="2"/>
  <c r="I214" i="2"/>
  <c r="H214" i="2"/>
  <c r="G214" i="2"/>
  <c r="I212" i="2"/>
  <c r="H212" i="2"/>
  <c r="G212" i="2"/>
  <c r="I210" i="2"/>
  <c r="H210" i="2"/>
  <c r="G210" i="2"/>
  <c r="I208" i="2"/>
  <c r="H208" i="2"/>
  <c r="G208" i="2"/>
  <c r="J206" i="2"/>
  <c r="I206" i="2"/>
  <c r="H206" i="2"/>
  <c r="G206" i="2"/>
  <c r="D198" i="2"/>
  <c r="G203" i="2" s="1"/>
  <c r="G40" i="2" s="1"/>
  <c r="D190" i="2"/>
  <c r="D191" i="2" s="1"/>
  <c r="D192" i="2" s="1"/>
  <c r="D193" i="2" s="1"/>
  <c r="D194" i="2" s="1"/>
  <c r="F188" i="2"/>
  <c r="H188" i="2" s="1"/>
  <c r="I188" i="2" s="1"/>
  <c r="F157" i="2"/>
  <c r="E157" i="2"/>
  <c r="D157" i="2"/>
  <c r="G156" i="2"/>
  <c r="H156" i="2" s="1"/>
  <c r="I156" i="2" s="1"/>
  <c r="J156" i="2" s="1"/>
  <c r="K156" i="2" s="1"/>
  <c r="E147" i="2"/>
  <c r="F148" i="2" s="1"/>
  <c r="F153" i="2" s="1"/>
  <c r="G146" i="2"/>
  <c r="H146" i="2" s="1"/>
  <c r="I146" i="2" s="1"/>
  <c r="J146" i="2" s="1"/>
  <c r="K146" i="2" s="1"/>
  <c r="E143" i="2"/>
  <c r="D143" i="2"/>
  <c r="C141" i="2"/>
  <c r="C140" i="2"/>
  <c r="F136" i="2"/>
  <c r="G133" i="2" s="1"/>
  <c r="E136" i="2"/>
  <c r="D136" i="2"/>
  <c r="C124" i="2"/>
  <c r="C123" i="2"/>
  <c r="F120" i="2"/>
  <c r="G116" i="2" s="1"/>
  <c r="D120" i="2"/>
  <c r="G119" i="2"/>
  <c r="G170" i="2" s="1"/>
  <c r="G118" i="2"/>
  <c r="H118" i="2" s="1"/>
  <c r="F113" i="2"/>
  <c r="G110" i="2" s="1"/>
  <c r="E113" i="2"/>
  <c r="F107" i="2"/>
  <c r="F105" i="2" s="1"/>
  <c r="E107" i="2"/>
  <c r="E105" i="2" s="1"/>
  <c r="E106" i="2" s="1"/>
  <c r="D107" i="2"/>
  <c r="D105" i="2" s="1"/>
  <c r="D106" i="2" s="1"/>
  <c r="F102" i="2"/>
  <c r="E102" i="2"/>
  <c r="D102" i="2"/>
  <c r="F100" i="2"/>
  <c r="G97" i="2" s="1"/>
  <c r="E100" i="2"/>
  <c r="C95" i="2"/>
  <c r="C94" i="2"/>
  <c r="G88" i="2"/>
  <c r="I82" i="2"/>
  <c r="I83" i="2" s="1"/>
  <c r="H82" i="2"/>
  <c r="H83" i="2" s="1"/>
  <c r="G82" i="2"/>
  <c r="G83" i="2" s="1"/>
  <c r="C71" i="2"/>
  <c r="C70" i="2"/>
  <c r="F65" i="2"/>
  <c r="E65" i="2"/>
  <c r="G64" i="2"/>
  <c r="H64" i="2" s="1"/>
  <c r="I64" i="2" s="1"/>
  <c r="J64" i="2" s="1"/>
  <c r="K64" i="2" s="1"/>
  <c r="E63" i="2"/>
  <c r="E120" i="2" s="1"/>
  <c r="F58" i="2"/>
  <c r="F151" i="2" s="1"/>
  <c r="E58" i="2"/>
  <c r="E151" i="2" s="1"/>
  <c r="F56" i="2"/>
  <c r="E56" i="2"/>
  <c r="F49" i="2"/>
  <c r="E49" i="2"/>
  <c r="F46" i="2"/>
  <c r="G127" i="2" s="1"/>
  <c r="E46" i="2"/>
  <c r="E52" i="2" s="1"/>
  <c r="C45" i="2"/>
  <c r="C44" i="2"/>
  <c r="J41" i="2"/>
  <c r="K41" i="2" s="1"/>
  <c r="F40" i="2"/>
  <c r="E40" i="2"/>
  <c r="D40" i="2"/>
  <c r="F39" i="2"/>
  <c r="E39" i="2"/>
  <c r="D39" i="2"/>
  <c r="F37" i="2"/>
  <c r="E37" i="2"/>
  <c r="G26" i="2"/>
  <c r="H26" i="2" s="1"/>
  <c r="I26" i="2" s="1"/>
  <c r="J26" i="2" s="1"/>
  <c r="K26" i="2" s="1"/>
  <c r="E23" i="2"/>
  <c r="E32" i="2" s="1"/>
  <c r="E34" i="2" s="1"/>
  <c r="F20" i="2"/>
  <c r="F38" i="2" s="1"/>
  <c r="E20" i="2"/>
  <c r="E38" i="2" s="1"/>
  <c r="D20" i="2"/>
  <c r="D38" i="2" s="1"/>
  <c r="G16" i="2"/>
  <c r="G199" i="2" s="1"/>
  <c r="F16" i="2"/>
  <c r="F45" i="2" s="1"/>
  <c r="E16" i="2"/>
  <c r="E141" i="2" s="1"/>
  <c r="F15" i="2"/>
  <c r="G15" i="2" s="1"/>
  <c r="C2" i="2"/>
  <c r="G122" i="6" l="1"/>
  <c r="E9" i="7"/>
  <c r="B122" i="6"/>
  <c r="D28" i="6"/>
  <c r="E28" i="6" s="1"/>
  <c r="C65" i="6"/>
  <c r="C65" i="5"/>
  <c r="C70" i="5" s="1"/>
  <c r="D70" i="5" s="1"/>
  <c r="L102" i="5"/>
  <c r="L93" i="5"/>
  <c r="P129" i="5"/>
  <c r="P90" i="5"/>
  <c r="Q90" i="5" s="1"/>
  <c r="D103" i="5"/>
  <c r="D104" i="5" s="1"/>
  <c r="D101" i="5"/>
  <c r="D100" i="5" s="1"/>
  <c r="D93" i="5"/>
  <c r="D128" i="5"/>
  <c r="P128" i="5"/>
  <c r="D129" i="5"/>
  <c r="F90" i="5"/>
  <c r="E90" i="5" s="1"/>
  <c r="B129" i="5" s="1"/>
  <c r="F99" i="5"/>
  <c r="E99" i="5" s="1"/>
  <c r="B128" i="5" s="1"/>
  <c r="N99" i="5"/>
  <c r="M99" i="5" s="1"/>
  <c r="P130" i="5"/>
  <c r="F14" i="6"/>
  <c r="G14" i="6" s="1"/>
  <c r="G16" i="6" s="1"/>
  <c r="E16" i="6"/>
  <c r="E27" i="6"/>
  <c r="D18" i="6"/>
  <c r="D16" i="6" s="1"/>
  <c r="D17" i="6" s="1"/>
  <c r="E59" i="3"/>
  <c r="D16" i="5"/>
  <c r="D17" i="5" s="1"/>
  <c r="D19" i="5"/>
  <c r="C38" i="5"/>
  <c r="F12" i="5"/>
  <c r="P122" i="6"/>
  <c r="D122" i="6"/>
  <c r="P124" i="6"/>
  <c r="P123" i="6"/>
  <c r="I60" i="6"/>
  <c r="E31" i="7"/>
  <c r="C58" i="6" s="1"/>
  <c r="E10" i="7"/>
  <c r="E18" i="7" s="1"/>
  <c r="E19" i="7" s="1"/>
  <c r="E11" i="7"/>
  <c r="E13" i="7"/>
  <c r="E14" i="7"/>
  <c r="F33" i="6"/>
  <c r="E26" i="6"/>
  <c r="F16" i="6"/>
  <c r="G124" i="6"/>
  <c r="E37" i="6"/>
  <c r="F12" i="6"/>
  <c r="D26" i="6"/>
  <c r="E18" i="6"/>
  <c r="H57" i="3"/>
  <c r="H84" i="3" s="1"/>
  <c r="I188" i="3"/>
  <c r="I38" i="3" s="1"/>
  <c r="I186" i="3"/>
  <c r="I36" i="3" s="1"/>
  <c r="H86" i="3"/>
  <c r="H169" i="3" s="1"/>
  <c r="L189" i="3"/>
  <c r="L39" i="3" s="1"/>
  <c r="G187" i="3"/>
  <c r="H187" i="3"/>
  <c r="H37" i="3" s="1"/>
  <c r="L186" i="3"/>
  <c r="L36" i="3" s="1"/>
  <c r="E147" i="3"/>
  <c r="E152" i="3" s="1"/>
  <c r="E151" i="3" s="1"/>
  <c r="G59" i="3"/>
  <c r="J118" i="3"/>
  <c r="K118" i="3" s="1"/>
  <c r="I86" i="3"/>
  <c r="I169" i="3" s="1"/>
  <c r="F22" i="3"/>
  <c r="H14" i="3"/>
  <c r="H139" i="3" s="1"/>
  <c r="G43" i="3"/>
  <c r="G160" i="3"/>
  <c r="H15" i="3"/>
  <c r="I15" i="3" s="1"/>
  <c r="I185" i="3" s="1"/>
  <c r="G37" i="3"/>
  <c r="I57" i="3"/>
  <c r="J57" i="3" s="1"/>
  <c r="E51" i="3"/>
  <c r="E66" i="3" s="1"/>
  <c r="F51" i="3"/>
  <c r="F66" i="3" s="1"/>
  <c r="G188" i="3"/>
  <c r="K188" i="3"/>
  <c r="K38" i="3" s="1"/>
  <c r="L188" i="3"/>
  <c r="L38" i="3" s="1"/>
  <c r="G189" i="3"/>
  <c r="H189" i="3"/>
  <c r="H39" i="3" s="1"/>
  <c r="G186" i="3"/>
  <c r="K186" i="3"/>
  <c r="K36" i="3" s="1"/>
  <c r="J15" i="3"/>
  <c r="D31" i="3"/>
  <c r="D33" i="3" s="1"/>
  <c r="D26" i="3"/>
  <c r="J86" i="3"/>
  <c r="J169" i="3" s="1"/>
  <c r="E26" i="3"/>
  <c r="E31" i="3"/>
  <c r="E33" i="3" s="1"/>
  <c r="G26" i="3"/>
  <c r="G40" i="3" s="1"/>
  <c r="G31" i="3"/>
  <c r="G33" i="3" s="1"/>
  <c r="I105" i="3"/>
  <c r="E14" i="3"/>
  <c r="F139" i="3"/>
  <c r="F43" i="3"/>
  <c r="F93" i="3"/>
  <c r="F122" i="3"/>
  <c r="F159" i="3"/>
  <c r="G51" i="3"/>
  <c r="G66" i="3" s="1"/>
  <c r="G122" i="3"/>
  <c r="E94" i="3"/>
  <c r="F150" i="3"/>
  <c r="E44" i="3"/>
  <c r="G159" i="3"/>
  <c r="I187" i="3"/>
  <c r="I37" i="3" s="1"/>
  <c r="I189" i="3"/>
  <c r="I39" i="3" s="1"/>
  <c r="G94" i="3"/>
  <c r="H126" i="3"/>
  <c r="E140" i="3"/>
  <c r="H150" i="3"/>
  <c r="J187" i="3"/>
  <c r="J37" i="3" s="1"/>
  <c r="J189" i="3"/>
  <c r="J39" i="3" s="1"/>
  <c r="D15" i="3"/>
  <c r="D37" i="3"/>
  <c r="G44" i="3"/>
  <c r="K187" i="3"/>
  <c r="K37" i="3" s="1"/>
  <c r="K189" i="3"/>
  <c r="K39" i="3" s="1"/>
  <c r="E37" i="3"/>
  <c r="G140" i="3"/>
  <c r="L187" i="3"/>
  <c r="L37" i="3" s="1"/>
  <c r="G93" i="3"/>
  <c r="F152" i="3"/>
  <c r="F151" i="3" s="1"/>
  <c r="E123" i="3"/>
  <c r="H186" i="3"/>
  <c r="H36" i="3" s="1"/>
  <c r="H188" i="3"/>
  <c r="H38" i="3" s="1"/>
  <c r="G139" i="3"/>
  <c r="J186" i="3"/>
  <c r="J36" i="3" s="1"/>
  <c r="J97" i="3" s="1"/>
  <c r="G27" i="5" s="1"/>
  <c r="E148" i="2"/>
  <c r="G87" i="2"/>
  <c r="F52" i="2"/>
  <c r="G141" i="2"/>
  <c r="E60" i="2"/>
  <c r="E67" i="2" s="1"/>
  <c r="G71" i="2"/>
  <c r="H119" i="2"/>
  <c r="H87" i="2" s="1"/>
  <c r="E153" i="2"/>
  <c r="E152" i="2" s="1"/>
  <c r="J208" i="2"/>
  <c r="I201" i="2"/>
  <c r="I38" i="2" s="1"/>
  <c r="I203" i="2"/>
  <c r="I40" i="2" s="1"/>
  <c r="J218" i="2"/>
  <c r="J220" i="2"/>
  <c r="J210" i="2"/>
  <c r="J216" i="2"/>
  <c r="J212" i="2"/>
  <c r="K214" i="2"/>
  <c r="K216" i="2"/>
  <c r="H102" i="2"/>
  <c r="F152" i="2"/>
  <c r="G152" i="2" s="1"/>
  <c r="K210" i="2"/>
  <c r="K212" i="2"/>
  <c r="H106" i="2"/>
  <c r="K218" i="2"/>
  <c r="K220" i="2"/>
  <c r="K206" i="2"/>
  <c r="K208" i="2"/>
  <c r="G160" i="2"/>
  <c r="G123" i="2"/>
  <c r="H15" i="2"/>
  <c r="G70" i="2"/>
  <c r="G198" i="2"/>
  <c r="G94" i="2"/>
  <c r="G44" i="2"/>
  <c r="G140" i="2"/>
  <c r="I118" i="2"/>
  <c r="H88" i="2"/>
  <c r="D16" i="2"/>
  <c r="D23" i="2"/>
  <c r="E27" i="2"/>
  <c r="F44" i="2"/>
  <c r="F141" i="2"/>
  <c r="H201" i="2"/>
  <c r="H38" i="2" s="1"/>
  <c r="H203" i="2"/>
  <c r="H40" i="2" s="1"/>
  <c r="H170" i="2"/>
  <c r="F23" i="2"/>
  <c r="F95" i="2"/>
  <c r="J201" i="2"/>
  <c r="J38" i="2" s="1"/>
  <c r="J203" i="2"/>
  <c r="J40" i="2" s="1"/>
  <c r="G95" i="2"/>
  <c r="E124" i="2"/>
  <c r="F140" i="2"/>
  <c r="K201" i="2"/>
  <c r="K38" i="2" s="1"/>
  <c r="K203" i="2"/>
  <c r="K40" i="2" s="1"/>
  <c r="E161" i="2"/>
  <c r="H16" i="2"/>
  <c r="F124" i="2"/>
  <c r="F200" i="2"/>
  <c r="F202" i="2"/>
  <c r="F161" i="2"/>
  <c r="F94" i="2"/>
  <c r="I119" i="2"/>
  <c r="G124" i="2"/>
  <c r="G200" i="2"/>
  <c r="G37" i="2" s="1"/>
  <c r="G202" i="2"/>
  <c r="G39" i="2" s="1"/>
  <c r="G161" i="2"/>
  <c r="F60" i="2"/>
  <c r="F67" i="2" s="1"/>
  <c r="H200" i="2"/>
  <c r="H37" i="2" s="1"/>
  <c r="H202" i="2"/>
  <c r="H39" i="2" s="1"/>
  <c r="E95" i="2"/>
  <c r="E45" i="2"/>
  <c r="G58" i="2"/>
  <c r="F123" i="2"/>
  <c r="I200" i="2"/>
  <c r="I37" i="2" s="1"/>
  <c r="I202" i="2"/>
  <c r="I39" i="2" s="1"/>
  <c r="F160" i="2"/>
  <c r="E15" i="2"/>
  <c r="J200" i="2"/>
  <c r="J37" i="2" s="1"/>
  <c r="J98" i="2" s="1"/>
  <c r="J202" i="2"/>
  <c r="J39" i="2" s="1"/>
  <c r="G45" i="2"/>
  <c r="K200" i="2"/>
  <c r="K37" i="2" s="1"/>
  <c r="K202" i="2"/>
  <c r="K39" i="2" s="1"/>
  <c r="F201" i="2"/>
  <c r="F203" i="2"/>
  <c r="G201" i="2"/>
  <c r="G38" i="2" s="1"/>
  <c r="G128" i="5" l="1"/>
  <c r="L101" i="5"/>
  <c r="L100" i="5" s="1"/>
  <c r="G129" i="5"/>
  <c r="F27" i="6"/>
  <c r="F18" i="6"/>
  <c r="F25" i="6" s="1"/>
  <c r="E25" i="6"/>
  <c r="C70" i="6"/>
  <c r="D70" i="6" s="1"/>
  <c r="C19" i="4"/>
  <c r="G56" i="2"/>
  <c r="H56" i="2" s="1"/>
  <c r="I56" i="2" s="1"/>
  <c r="J56" i="2" s="1"/>
  <c r="K56" i="2" s="1"/>
  <c r="L103" i="5"/>
  <c r="L104" i="5" s="1"/>
  <c r="L92" i="5"/>
  <c r="L91" i="5" s="1"/>
  <c r="L94" i="5"/>
  <c r="L95" i="5" s="1"/>
  <c r="D92" i="5"/>
  <c r="D91" i="5" s="1"/>
  <c r="D94" i="5"/>
  <c r="D95" i="5" s="1"/>
  <c r="J84" i="3"/>
  <c r="J150" i="3"/>
  <c r="D22" i="5"/>
  <c r="D21" i="5" s="1"/>
  <c r="D23" i="5" s="1"/>
  <c r="D22" i="6"/>
  <c r="D21" i="6" s="1"/>
  <c r="D23" i="6" s="1"/>
  <c r="D19" i="6"/>
  <c r="F37" i="5"/>
  <c r="G12" i="5"/>
  <c r="E16" i="7"/>
  <c r="E20" i="7" s="1"/>
  <c r="I58" i="5" s="1"/>
  <c r="I61" i="5" s="1"/>
  <c r="C72" i="5" s="1"/>
  <c r="D72" i="5" s="1"/>
  <c r="F37" i="6"/>
  <c r="G12" i="6"/>
  <c r="F21" i="6"/>
  <c r="F23" i="6" s="1"/>
  <c r="H14" i="6"/>
  <c r="G18" i="6"/>
  <c r="G27" i="6"/>
  <c r="E21" i="6"/>
  <c r="E23" i="6" s="1"/>
  <c r="E30" i="6" s="1"/>
  <c r="E38" i="6" s="1"/>
  <c r="G33" i="6"/>
  <c r="F32" i="6"/>
  <c r="F26" i="6" s="1"/>
  <c r="H43" i="3"/>
  <c r="G151" i="3"/>
  <c r="H151" i="3" s="1"/>
  <c r="H44" i="3"/>
  <c r="I123" i="3"/>
  <c r="I70" i="3"/>
  <c r="H160" i="3"/>
  <c r="I94" i="3"/>
  <c r="H123" i="3"/>
  <c r="I84" i="3"/>
  <c r="I150" i="3"/>
  <c r="H70" i="3"/>
  <c r="H94" i="3"/>
  <c r="H140" i="3"/>
  <c r="K57" i="3"/>
  <c r="K150" i="3" s="1"/>
  <c r="H185" i="3"/>
  <c r="I44" i="3"/>
  <c r="I14" i="3"/>
  <c r="I139" i="3" s="1"/>
  <c r="I140" i="3"/>
  <c r="H69" i="3"/>
  <c r="H159" i="3"/>
  <c r="H122" i="3"/>
  <c r="I160" i="3"/>
  <c r="H93" i="3"/>
  <c r="F26" i="3"/>
  <c r="F31" i="3"/>
  <c r="F33" i="3" s="1"/>
  <c r="K97" i="3"/>
  <c r="H27" i="5" s="1"/>
  <c r="J81" i="3"/>
  <c r="H40" i="3"/>
  <c r="E22" i="5" s="1"/>
  <c r="G28" i="3"/>
  <c r="L57" i="3"/>
  <c r="E40" i="3"/>
  <c r="E28" i="3"/>
  <c r="H98" i="3"/>
  <c r="L118" i="3"/>
  <c r="L86" i="3" s="1"/>
  <c r="L169" i="3" s="1"/>
  <c r="K86" i="3"/>
  <c r="K169" i="3" s="1"/>
  <c r="H48" i="3"/>
  <c r="I48" i="3" s="1"/>
  <c r="J48" i="3" s="1"/>
  <c r="K48" i="3" s="1"/>
  <c r="L48" i="3" s="1"/>
  <c r="H46" i="3"/>
  <c r="H32" i="3"/>
  <c r="H55" i="3"/>
  <c r="I55" i="3" s="1"/>
  <c r="J55" i="3" s="1"/>
  <c r="K55" i="3" s="1"/>
  <c r="L55" i="3" s="1"/>
  <c r="H50" i="3"/>
  <c r="H54" i="3"/>
  <c r="I54" i="3" s="1"/>
  <c r="J54" i="3" s="1"/>
  <c r="K54" i="3" s="1"/>
  <c r="L54" i="3" s="1"/>
  <c r="H58" i="3"/>
  <c r="H17" i="3"/>
  <c r="J105" i="3"/>
  <c r="D14" i="3"/>
  <c r="E139" i="3"/>
  <c r="E43" i="3"/>
  <c r="E93" i="3"/>
  <c r="E159" i="3"/>
  <c r="E122" i="3"/>
  <c r="J44" i="3"/>
  <c r="J140" i="3"/>
  <c r="J94" i="3"/>
  <c r="J70" i="3"/>
  <c r="J185" i="3"/>
  <c r="J160" i="3"/>
  <c r="J123" i="3"/>
  <c r="K15" i="3"/>
  <c r="D40" i="3"/>
  <c r="D28" i="3"/>
  <c r="D116" i="3" s="1"/>
  <c r="I98" i="3"/>
  <c r="E29" i="2"/>
  <c r="E41" i="2"/>
  <c r="H160" i="2"/>
  <c r="H123" i="2"/>
  <c r="I15" i="2"/>
  <c r="H70" i="2"/>
  <c r="H198" i="2"/>
  <c r="H94" i="2"/>
  <c r="H140" i="2"/>
  <c r="H44" i="2"/>
  <c r="D141" i="2"/>
  <c r="D161" i="2"/>
  <c r="D124" i="2"/>
  <c r="D95" i="2"/>
  <c r="I106" i="2"/>
  <c r="I87" i="2"/>
  <c r="J119" i="2"/>
  <c r="I170" i="2"/>
  <c r="J118" i="2"/>
  <c r="I88" i="2"/>
  <c r="H152" i="2"/>
  <c r="G153" i="2"/>
  <c r="F27" i="2"/>
  <c r="F32" i="2"/>
  <c r="F34" i="2" s="1"/>
  <c r="H45" i="2"/>
  <c r="H161" i="2"/>
  <c r="H124" i="2"/>
  <c r="I16" i="2"/>
  <c r="H95" i="2"/>
  <c r="H141" i="2"/>
  <c r="H71" i="2"/>
  <c r="H199" i="2"/>
  <c r="I102" i="2"/>
  <c r="H99" i="2"/>
  <c r="G151" i="2"/>
  <c r="G85" i="2"/>
  <c r="H58" i="2"/>
  <c r="J82" i="2"/>
  <c r="J83" i="2" s="1"/>
  <c r="K98" i="2"/>
  <c r="K82" i="2" s="1"/>
  <c r="K83" i="2" s="1"/>
  <c r="E44" i="2"/>
  <c r="E160" i="2"/>
  <c r="E123" i="2"/>
  <c r="D15" i="2"/>
  <c r="E94" i="2"/>
  <c r="E140" i="2"/>
  <c r="D27" i="2"/>
  <c r="D32" i="2"/>
  <c r="D34" i="2" s="1"/>
  <c r="G18" i="2"/>
  <c r="G100" i="2"/>
  <c r="G130" i="5" l="1"/>
  <c r="E14" i="5"/>
  <c r="C14" i="5" s="1"/>
  <c r="G33" i="2"/>
  <c r="H33" i="2" s="1"/>
  <c r="G47" i="2"/>
  <c r="H47" i="2" s="1"/>
  <c r="G49" i="2"/>
  <c r="H49" i="2" s="1"/>
  <c r="I49" i="2" s="1"/>
  <c r="J49" i="2" s="1"/>
  <c r="K49" i="2" s="1"/>
  <c r="G55" i="2"/>
  <c r="H55" i="2" s="1"/>
  <c r="I55" i="2" s="1"/>
  <c r="J55" i="2" s="1"/>
  <c r="K55" i="2" s="1"/>
  <c r="G59" i="2"/>
  <c r="H59" i="2" s="1"/>
  <c r="G51" i="2"/>
  <c r="H51" i="2" s="1"/>
  <c r="L97" i="3"/>
  <c r="I27" i="5" s="1"/>
  <c r="J82" i="3"/>
  <c r="G37" i="5"/>
  <c r="H12" i="5"/>
  <c r="I58" i="6"/>
  <c r="I61" i="6" s="1"/>
  <c r="H33" i="6"/>
  <c r="G32" i="6"/>
  <c r="G21" i="6"/>
  <c r="G23" i="6" s="1"/>
  <c r="I14" i="6"/>
  <c r="H18" i="6"/>
  <c r="H16" i="6"/>
  <c r="H25" i="6" s="1"/>
  <c r="H27" i="6"/>
  <c r="G25" i="6"/>
  <c r="F30" i="6"/>
  <c r="F38" i="6" s="1"/>
  <c r="G37" i="6"/>
  <c r="H12" i="6"/>
  <c r="H152" i="3"/>
  <c r="I151" i="3"/>
  <c r="K84" i="3"/>
  <c r="J14" i="3"/>
  <c r="J139" i="3" s="1"/>
  <c r="I122" i="3"/>
  <c r="I159" i="3"/>
  <c r="I93" i="3"/>
  <c r="J98" i="3"/>
  <c r="I43" i="3"/>
  <c r="F40" i="3"/>
  <c r="F28" i="3"/>
  <c r="I69" i="3"/>
  <c r="H78" i="3"/>
  <c r="I58" i="3"/>
  <c r="H99" i="3"/>
  <c r="L150" i="3"/>
  <c r="L84" i="3"/>
  <c r="G116" i="3"/>
  <c r="G162" i="3"/>
  <c r="H112" i="3"/>
  <c r="I50" i="3"/>
  <c r="I40" i="3"/>
  <c r="F22" i="5" s="1"/>
  <c r="H170" i="3"/>
  <c r="H175" i="3" s="1"/>
  <c r="H74" i="3"/>
  <c r="H61" i="3"/>
  <c r="I32" i="3"/>
  <c r="K81" i="3"/>
  <c r="E116" i="3"/>
  <c r="E162" i="3"/>
  <c r="I46" i="3"/>
  <c r="J93" i="3"/>
  <c r="J159" i="3"/>
  <c r="K140" i="3"/>
  <c r="K44" i="3"/>
  <c r="K94" i="3"/>
  <c r="K70" i="3"/>
  <c r="L15" i="3"/>
  <c r="K185" i="3"/>
  <c r="K160" i="3"/>
  <c r="K123" i="3"/>
  <c r="H20" i="3"/>
  <c r="H19" i="3"/>
  <c r="I17" i="3"/>
  <c r="F14" i="5" s="1"/>
  <c r="H21" i="3"/>
  <c r="H104" i="3"/>
  <c r="H110" i="3" s="1"/>
  <c r="K105" i="3"/>
  <c r="I45" i="2"/>
  <c r="J16" i="2"/>
  <c r="I199" i="2"/>
  <c r="I161" i="2"/>
  <c r="I124" i="2"/>
  <c r="I95" i="2"/>
  <c r="I141" i="2"/>
  <c r="I71" i="2"/>
  <c r="K118" i="2"/>
  <c r="K88" i="2" s="1"/>
  <c r="J88" i="2"/>
  <c r="G20" i="2"/>
  <c r="H18" i="2"/>
  <c r="G22" i="2"/>
  <c r="G105" i="2"/>
  <c r="G21" i="2"/>
  <c r="H85" i="2"/>
  <c r="I58" i="2"/>
  <c r="H151" i="2"/>
  <c r="J87" i="2"/>
  <c r="K119" i="2"/>
  <c r="J170" i="2"/>
  <c r="I160" i="2"/>
  <c r="I123" i="2"/>
  <c r="J15" i="2"/>
  <c r="I70" i="2"/>
  <c r="I198" i="2"/>
  <c r="I94" i="2"/>
  <c r="I140" i="2"/>
  <c r="I44" i="2"/>
  <c r="J106" i="2"/>
  <c r="D140" i="2"/>
  <c r="D160" i="2"/>
  <c r="D123" i="2"/>
  <c r="D94" i="2"/>
  <c r="I152" i="2"/>
  <c r="H153" i="2"/>
  <c r="D41" i="2"/>
  <c r="D29" i="2"/>
  <c r="H97" i="2"/>
  <c r="H100" i="2" s="1"/>
  <c r="G50" i="2"/>
  <c r="J102" i="2"/>
  <c r="I99" i="2"/>
  <c r="F41" i="2"/>
  <c r="F29" i="2"/>
  <c r="E163" i="2"/>
  <c r="E180" i="2"/>
  <c r="E117" i="2"/>
  <c r="C72" i="6" l="1"/>
  <c r="D72" i="6" s="1"/>
  <c r="C18" i="4"/>
  <c r="G75" i="2"/>
  <c r="G171" i="2"/>
  <c r="G176" i="2" s="1"/>
  <c r="G177" i="2" s="1"/>
  <c r="G62" i="2"/>
  <c r="H62" i="2" s="1"/>
  <c r="G79" i="2"/>
  <c r="G113" i="2"/>
  <c r="H110" i="2" s="1"/>
  <c r="L81" i="3"/>
  <c r="L82" i="3" s="1"/>
  <c r="I152" i="3"/>
  <c r="J151" i="3"/>
  <c r="J152" i="3" s="1"/>
  <c r="J43" i="3"/>
  <c r="J69" i="3"/>
  <c r="K14" i="3"/>
  <c r="J122" i="3"/>
  <c r="L98" i="3"/>
  <c r="K82" i="3"/>
  <c r="H37" i="5"/>
  <c r="I12" i="5"/>
  <c r="H21" i="6"/>
  <c r="H23" i="6" s="1"/>
  <c r="I16" i="6"/>
  <c r="I18" i="6"/>
  <c r="I27" i="6"/>
  <c r="G26" i="6"/>
  <c r="G30" i="6" s="1"/>
  <c r="G38" i="6" s="1"/>
  <c r="I33" i="6"/>
  <c r="I32" i="6" s="1"/>
  <c r="H32" i="6"/>
  <c r="H37" i="6"/>
  <c r="I12" i="6"/>
  <c r="F116" i="3"/>
  <c r="F162" i="3"/>
  <c r="H106" i="3"/>
  <c r="H30" i="3" s="1"/>
  <c r="E25" i="5" s="1"/>
  <c r="I20" i="3"/>
  <c r="I19" i="3"/>
  <c r="J17" i="3"/>
  <c r="G14" i="5" s="1"/>
  <c r="I21" i="3"/>
  <c r="I104" i="3"/>
  <c r="H111" i="3"/>
  <c r="H77" i="3" s="1"/>
  <c r="I109" i="3"/>
  <c r="I61" i="3"/>
  <c r="L105" i="3"/>
  <c r="H176" i="3"/>
  <c r="H163" i="3"/>
  <c r="G167" i="3"/>
  <c r="G164" i="3"/>
  <c r="G179" i="3"/>
  <c r="I170" i="3"/>
  <c r="J32" i="3"/>
  <c r="I74" i="3"/>
  <c r="K151" i="3"/>
  <c r="K152" i="3" s="1"/>
  <c r="L44" i="3"/>
  <c r="L94" i="3"/>
  <c r="L70" i="3"/>
  <c r="L185" i="3"/>
  <c r="L160" i="3"/>
  <c r="L123" i="3"/>
  <c r="L140" i="3"/>
  <c r="J46" i="3"/>
  <c r="J40" i="3"/>
  <c r="G22" i="5" s="1"/>
  <c r="H49" i="3"/>
  <c r="I96" i="3"/>
  <c r="I99" i="3" s="1"/>
  <c r="E167" i="3"/>
  <c r="E164" i="3"/>
  <c r="E179" i="3"/>
  <c r="K159" i="3"/>
  <c r="K122" i="3"/>
  <c r="K43" i="3"/>
  <c r="L14" i="3"/>
  <c r="K69" i="3"/>
  <c r="K139" i="3"/>
  <c r="K93" i="3"/>
  <c r="I78" i="3"/>
  <c r="J58" i="3"/>
  <c r="H22" i="3"/>
  <c r="E18" i="5" s="1"/>
  <c r="H18" i="3"/>
  <c r="J50" i="3"/>
  <c r="I112" i="3"/>
  <c r="E168" i="2"/>
  <c r="E165" i="2"/>
  <c r="G111" i="2"/>
  <c r="G107" i="2"/>
  <c r="G31" i="2" s="1"/>
  <c r="G74" i="2" s="1"/>
  <c r="F180" i="2"/>
  <c r="F181" i="2" s="1"/>
  <c r="F117" i="2"/>
  <c r="F163" i="2"/>
  <c r="H79" i="2"/>
  <c r="I59" i="2"/>
  <c r="J160" i="2"/>
  <c r="J123" i="2"/>
  <c r="K15" i="2"/>
  <c r="J70" i="2"/>
  <c r="J198" i="2"/>
  <c r="J94" i="2"/>
  <c r="J140" i="2"/>
  <c r="J44" i="2"/>
  <c r="H20" i="2"/>
  <c r="I18" i="2"/>
  <c r="H22" i="2"/>
  <c r="H105" i="2"/>
  <c r="H21" i="2"/>
  <c r="J161" i="2"/>
  <c r="J124" i="2"/>
  <c r="K16" i="2"/>
  <c r="J95" i="2"/>
  <c r="J141" i="2"/>
  <c r="J71" i="2"/>
  <c r="J199" i="2"/>
  <c r="J45" i="2"/>
  <c r="G19" i="2"/>
  <c r="G23" i="2"/>
  <c r="K102" i="2"/>
  <c r="K99" i="2" s="1"/>
  <c r="J99" i="2"/>
  <c r="J152" i="2"/>
  <c r="I47" i="2"/>
  <c r="I97" i="2"/>
  <c r="I100" i="2" s="1"/>
  <c r="H50" i="2"/>
  <c r="K87" i="2"/>
  <c r="K170" i="2"/>
  <c r="I33" i="2"/>
  <c r="H171" i="2"/>
  <c r="H75" i="2"/>
  <c r="D163" i="2"/>
  <c r="D180" i="2"/>
  <c r="E181" i="2" s="1"/>
  <c r="D117" i="2"/>
  <c r="K106" i="2"/>
  <c r="I85" i="2"/>
  <c r="J58" i="2"/>
  <c r="I151" i="2"/>
  <c r="I153" i="2" s="1"/>
  <c r="I51" i="2"/>
  <c r="H113" i="2"/>
  <c r="I26" i="6" l="1"/>
  <c r="E18" i="4"/>
  <c r="E19" i="4"/>
  <c r="E21" i="4" s="1"/>
  <c r="G32" i="2"/>
  <c r="G34" i="2" s="1"/>
  <c r="G164" i="2"/>
  <c r="G167" i="2" s="1"/>
  <c r="G112" i="2"/>
  <c r="G78" i="2" s="1"/>
  <c r="K98" i="3"/>
  <c r="I110" i="3"/>
  <c r="I111" i="3" s="1"/>
  <c r="I77" i="3" s="1"/>
  <c r="I106" i="3"/>
  <c r="I30" i="3" s="1"/>
  <c r="F25" i="5" s="1"/>
  <c r="H73" i="3"/>
  <c r="B43" i="5"/>
  <c r="B44" i="5"/>
  <c r="E44" i="5"/>
  <c r="I37" i="5"/>
  <c r="H26" i="6"/>
  <c r="H30" i="6" s="1"/>
  <c r="H38" i="6" s="1"/>
  <c r="H39" i="6" s="1"/>
  <c r="I21" i="6"/>
  <c r="I23" i="6" s="1"/>
  <c r="I25" i="6"/>
  <c r="I42" i="6"/>
  <c r="I44" i="6" s="1"/>
  <c r="E44" i="6"/>
  <c r="B44" i="6"/>
  <c r="B43" i="6"/>
  <c r="I37" i="6"/>
  <c r="F164" i="3"/>
  <c r="F179" i="3"/>
  <c r="G180" i="3" s="1"/>
  <c r="F167" i="3"/>
  <c r="F180" i="3"/>
  <c r="L159" i="3"/>
  <c r="L122" i="3"/>
  <c r="L93" i="3"/>
  <c r="L139" i="3"/>
  <c r="L69" i="3"/>
  <c r="L43" i="3"/>
  <c r="J61" i="3"/>
  <c r="J109" i="3"/>
  <c r="K46" i="3"/>
  <c r="J112" i="3"/>
  <c r="K50" i="3"/>
  <c r="K32" i="3"/>
  <c r="J74" i="3"/>
  <c r="J170" i="3"/>
  <c r="H53" i="3"/>
  <c r="H47" i="3"/>
  <c r="H31" i="3"/>
  <c r="H33" i="3" s="1"/>
  <c r="J78" i="3"/>
  <c r="K58" i="3"/>
  <c r="J96" i="3"/>
  <c r="J99" i="3" s="1"/>
  <c r="I49" i="3"/>
  <c r="J20" i="3"/>
  <c r="J19" i="3"/>
  <c r="K17" i="3"/>
  <c r="H14" i="5" s="1"/>
  <c r="J21" i="3"/>
  <c r="J104" i="3"/>
  <c r="L151" i="3"/>
  <c r="L152" i="3" s="1"/>
  <c r="H166" i="3"/>
  <c r="I18" i="3"/>
  <c r="I22" i="3"/>
  <c r="F18" i="5" s="1"/>
  <c r="K40" i="3"/>
  <c r="H22" i="5" s="1"/>
  <c r="H177" i="3"/>
  <c r="I174" i="3"/>
  <c r="H111" i="2"/>
  <c r="H112" i="2" s="1"/>
  <c r="H78" i="2" s="1"/>
  <c r="H107" i="2"/>
  <c r="H31" i="2" s="1"/>
  <c r="H74" i="2" s="1"/>
  <c r="I20" i="2"/>
  <c r="J18" i="2"/>
  <c r="I22" i="2"/>
  <c r="I21" i="2"/>
  <c r="I105" i="2"/>
  <c r="G54" i="2"/>
  <c r="G48" i="2"/>
  <c r="J97" i="2"/>
  <c r="J100" i="2" s="1"/>
  <c r="I50" i="2"/>
  <c r="H23" i="2"/>
  <c r="H19" i="2"/>
  <c r="F165" i="2"/>
  <c r="F168" i="2"/>
  <c r="D165" i="2"/>
  <c r="D168" i="2"/>
  <c r="J47" i="2"/>
  <c r="I110" i="2"/>
  <c r="J59" i="2"/>
  <c r="I79" i="2"/>
  <c r="J51" i="2"/>
  <c r="I113" i="2"/>
  <c r="K152" i="2"/>
  <c r="G178" i="2"/>
  <c r="H175" i="2"/>
  <c r="I171" i="2"/>
  <c r="I75" i="2"/>
  <c r="J33" i="2"/>
  <c r="K161" i="2"/>
  <c r="K124" i="2"/>
  <c r="K45" i="2"/>
  <c r="K95" i="2"/>
  <c r="K141" i="2"/>
  <c r="K71" i="2"/>
  <c r="K199" i="2"/>
  <c r="J85" i="2"/>
  <c r="K58" i="2"/>
  <c r="J151" i="2"/>
  <c r="J153" i="2" s="1"/>
  <c r="I62" i="2"/>
  <c r="K70" i="2"/>
  <c r="K198" i="2"/>
  <c r="K94" i="2"/>
  <c r="K140" i="2"/>
  <c r="K44" i="2"/>
  <c r="K160" i="2"/>
  <c r="K123" i="2"/>
  <c r="E39" i="6" l="1"/>
  <c r="F39" i="6"/>
  <c r="G39" i="6"/>
  <c r="E32" i="5"/>
  <c r="I73" i="3"/>
  <c r="I30" i="6"/>
  <c r="I38" i="6" s="1"/>
  <c r="C43" i="6" s="1"/>
  <c r="C44" i="6" s="1"/>
  <c r="I51" i="6"/>
  <c r="I45" i="6"/>
  <c r="L46" i="3"/>
  <c r="K61" i="3"/>
  <c r="J110" i="3"/>
  <c r="J111" i="3" s="1"/>
  <c r="J77" i="3" s="1"/>
  <c r="J106" i="3"/>
  <c r="J30" i="3" s="1"/>
  <c r="G25" i="5" s="1"/>
  <c r="I47" i="3"/>
  <c r="H75" i="3"/>
  <c r="I53" i="3"/>
  <c r="H76" i="3"/>
  <c r="K19" i="3"/>
  <c r="L17" i="3"/>
  <c r="K21" i="3"/>
  <c r="K20" i="3"/>
  <c r="K104" i="3"/>
  <c r="J18" i="3"/>
  <c r="J22" i="3"/>
  <c r="G18" i="5" s="1"/>
  <c r="L40" i="3"/>
  <c r="I22" i="5" s="1"/>
  <c r="K74" i="3"/>
  <c r="K170" i="3"/>
  <c r="L32" i="3"/>
  <c r="I31" i="3"/>
  <c r="I33" i="3" s="1"/>
  <c r="J49" i="3"/>
  <c r="K96" i="3"/>
  <c r="K99" i="3" s="1"/>
  <c r="L96" i="3" s="1"/>
  <c r="K109" i="3"/>
  <c r="L50" i="3"/>
  <c r="L112" i="3" s="1"/>
  <c r="K112" i="3"/>
  <c r="K78" i="3"/>
  <c r="L58" i="3"/>
  <c r="L78" i="3" s="1"/>
  <c r="K47" i="2"/>
  <c r="I111" i="2"/>
  <c r="I112" i="2" s="1"/>
  <c r="I78" i="2" s="1"/>
  <c r="I107" i="2"/>
  <c r="I31" i="2" s="1"/>
  <c r="I74" i="2" s="1"/>
  <c r="J110" i="2"/>
  <c r="J22" i="2"/>
  <c r="J20" i="2"/>
  <c r="K18" i="2"/>
  <c r="J21" i="2"/>
  <c r="J105" i="2"/>
  <c r="K51" i="2"/>
  <c r="K113" i="2" s="1"/>
  <c r="J113" i="2"/>
  <c r="I23" i="2"/>
  <c r="I19" i="2"/>
  <c r="K59" i="2"/>
  <c r="K79" i="2" s="1"/>
  <c r="J79" i="2"/>
  <c r="J62" i="2"/>
  <c r="J171" i="2"/>
  <c r="J75" i="2"/>
  <c r="K33" i="2"/>
  <c r="H32" i="2"/>
  <c r="H34" i="2" s="1"/>
  <c r="J50" i="2"/>
  <c r="K97" i="2"/>
  <c r="K100" i="2" s="1"/>
  <c r="K50" i="2" s="1"/>
  <c r="K151" i="2"/>
  <c r="K153" i="2" s="1"/>
  <c r="K85" i="2"/>
  <c r="H48" i="2"/>
  <c r="G76" i="2"/>
  <c r="H54" i="2"/>
  <c r="G77" i="2"/>
  <c r="I39" i="6" l="1"/>
  <c r="C46" i="6" s="1"/>
  <c r="I75" i="3"/>
  <c r="F32" i="5"/>
  <c r="J73" i="3"/>
  <c r="L19" i="3"/>
  <c r="I14" i="5"/>
  <c r="C51" i="6"/>
  <c r="C45" i="6"/>
  <c r="J31" i="3"/>
  <c r="J33" i="3" s="1"/>
  <c r="J47" i="3"/>
  <c r="J53" i="3"/>
  <c r="I76" i="3"/>
  <c r="K49" i="3"/>
  <c r="K110" i="3"/>
  <c r="K111" i="3" s="1"/>
  <c r="K77" i="3" s="1"/>
  <c r="K106" i="3"/>
  <c r="K30" i="3" s="1"/>
  <c r="H25" i="5" s="1"/>
  <c r="L109" i="3"/>
  <c r="L61" i="3"/>
  <c r="L21" i="3"/>
  <c r="L20" i="3"/>
  <c r="L104" i="3"/>
  <c r="L74" i="3"/>
  <c r="L170" i="3"/>
  <c r="K18" i="3"/>
  <c r="K22" i="3"/>
  <c r="H18" i="5" s="1"/>
  <c r="J111" i="2"/>
  <c r="J112" i="2" s="1"/>
  <c r="J78" i="2" s="1"/>
  <c r="J107" i="2"/>
  <c r="J31" i="2" s="1"/>
  <c r="J74" i="2" s="1"/>
  <c r="K22" i="2"/>
  <c r="K20" i="2"/>
  <c r="K21" i="2"/>
  <c r="K105" i="2"/>
  <c r="J23" i="2"/>
  <c r="J19" i="2"/>
  <c r="I48" i="2"/>
  <c r="H76" i="2"/>
  <c r="K62" i="2"/>
  <c r="K171" i="2"/>
  <c r="K75" i="2"/>
  <c r="I32" i="2"/>
  <c r="I34" i="2" s="1"/>
  <c r="I54" i="2"/>
  <c r="H77" i="2"/>
  <c r="K110" i="2"/>
  <c r="I46" i="6" l="1"/>
  <c r="I47" i="6" s="1"/>
  <c r="D69" i="6" s="1"/>
  <c r="D77" i="6" s="1"/>
  <c r="L93" i="6" s="1"/>
  <c r="J75" i="3"/>
  <c r="G32" i="5"/>
  <c r="L99" i="3"/>
  <c r="L49" i="3" s="1"/>
  <c r="K73" i="3"/>
  <c r="C47" i="6"/>
  <c r="L22" i="3"/>
  <c r="I18" i="5" s="1"/>
  <c r="L110" i="3"/>
  <c r="L111" i="3" s="1"/>
  <c r="L77" i="3" s="1"/>
  <c r="L106" i="3"/>
  <c r="L30" i="3" s="1"/>
  <c r="I25" i="5" s="1"/>
  <c r="K53" i="3"/>
  <c r="J76" i="3"/>
  <c r="L18" i="3"/>
  <c r="K47" i="3"/>
  <c r="K31" i="3"/>
  <c r="K33" i="3" s="1"/>
  <c r="J48" i="2"/>
  <c r="I76" i="2"/>
  <c r="J32" i="2"/>
  <c r="J34" i="2" s="1"/>
  <c r="J54" i="2"/>
  <c r="I77" i="2"/>
  <c r="K111" i="2"/>
  <c r="K112" i="2" s="1"/>
  <c r="K78" i="2" s="1"/>
  <c r="K107" i="2"/>
  <c r="K31" i="2" s="1"/>
  <c r="K74" i="2" s="1"/>
  <c r="K23" i="2"/>
  <c r="K19" i="2"/>
  <c r="I50" i="6" l="1"/>
  <c r="I49" i="6"/>
  <c r="D71" i="6"/>
  <c r="D73" i="6" s="1"/>
  <c r="D93" i="6" s="1"/>
  <c r="D78" i="6"/>
  <c r="D76" i="6"/>
  <c r="K75" i="3"/>
  <c r="H32" i="5"/>
  <c r="L73" i="3"/>
  <c r="C69" i="6"/>
  <c r="C77" i="6" s="1"/>
  <c r="C50" i="6"/>
  <c r="C49" i="6"/>
  <c r="L47" i="3"/>
  <c r="L31" i="3"/>
  <c r="L33" i="3" s="1"/>
  <c r="K76" i="3"/>
  <c r="L53" i="3"/>
  <c r="K54" i="2"/>
  <c r="J77" i="2"/>
  <c r="K48" i="2"/>
  <c r="K76" i="2" s="1"/>
  <c r="J76" i="2"/>
  <c r="K32" i="2"/>
  <c r="K34" i="2" s="1"/>
  <c r="L75" i="3" l="1"/>
  <c r="I32" i="5"/>
  <c r="C71" i="6"/>
  <c r="C73" i="6" s="1"/>
  <c r="D84" i="6" s="1"/>
  <c r="L84" i="6"/>
  <c r="C76" i="6"/>
  <c r="C78" i="6"/>
  <c r="L76" i="3"/>
  <c r="K77" i="2"/>
  <c r="E15" i="5" l="1"/>
  <c r="E28" i="5"/>
  <c r="E26" i="5" l="1"/>
  <c r="E33" i="5"/>
  <c r="F15" i="5"/>
  <c r="F28" i="5"/>
  <c r="G15" i="5"/>
  <c r="G28" i="5"/>
  <c r="H15" i="5" l="1"/>
  <c r="E19" i="5"/>
  <c r="E21" i="5"/>
  <c r="E23" i="5" s="1"/>
  <c r="C18" i="5"/>
  <c r="E16" i="5"/>
  <c r="H28" i="5"/>
  <c r="E30" i="5" l="1"/>
  <c r="E38" i="5" s="1"/>
  <c r="E39" i="5" s="1"/>
  <c r="E17" i="5"/>
  <c r="C16" i="5"/>
  <c r="F33" i="5"/>
  <c r="F26" i="5"/>
  <c r="I15" i="5"/>
  <c r="F19" i="5"/>
  <c r="F16" i="5"/>
  <c r="F17" i="5" s="1"/>
  <c r="F21" i="5"/>
  <c r="F23" i="5" s="1"/>
  <c r="I28" i="5" l="1"/>
  <c r="F30" i="5"/>
  <c r="F38" i="5" s="1"/>
  <c r="F39" i="5" s="1"/>
  <c r="G33" i="5"/>
  <c r="G26" i="5"/>
  <c r="G19" i="5"/>
  <c r="G21" i="5"/>
  <c r="G23" i="5" s="1"/>
  <c r="G16" i="5"/>
  <c r="G17" i="5" s="1"/>
  <c r="H26" i="5"/>
  <c r="G30" i="5" l="1"/>
  <c r="G38" i="5" s="1"/>
  <c r="G39" i="5" s="1"/>
  <c r="I33" i="5"/>
  <c r="H19" i="5"/>
  <c r="H16" i="5"/>
  <c r="H17" i="5" s="1"/>
  <c r="H21" i="5"/>
  <c r="H23" i="5" s="1"/>
  <c r="H30" i="5" s="1"/>
  <c r="H38" i="5" s="1"/>
  <c r="H39" i="5" s="1"/>
  <c r="H33" i="5"/>
  <c r="I26" i="5" l="1"/>
  <c r="I19" i="5"/>
  <c r="I21" i="5"/>
  <c r="I23" i="5" s="1"/>
  <c r="I16" i="5"/>
  <c r="I30" i="5" l="1"/>
  <c r="I38" i="5" s="1"/>
  <c r="I39" i="5" s="1"/>
  <c r="C46" i="5" s="1"/>
  <c r="I17" i="5"/>
  <c r="I42" i="5"/>
  <c r="I44" i="5" s="1"/>
  <c r="I45" i="5" s="1"/>
  <c r="C43" i="5" l="1"/>
  <c r="C44" i="5" s="1"/>
  <c r="C51" i="5" s="1"/>
  <c r="I51" i="5"/>
  <c r="I46" i="5"/>
  <c r="I47" i="5" s="1"/>
  <c r="C45" i="5" l="1"/>
  <c r="C47" i="5" s="1"/>
  <c r="C69" i="5" s="1"/>
  <c r="C77" i="5" s="1"/>
  <c r="D69" i="5"/>
  <c r="I49" i="5"/>
  <c r="I50" i="5" s="1"/>
  <c r="C49" i="5" l="1"/>
  <c r="C50" i="5" s="1"/>
  <c r="C84" i="5"/>
  <c r="C78" i="5"/>
  <c r="L90" i="5" s="1"/>
  <c r="C79" i="5"/>
  <c r="C71" i="5"/>
  <c r="C73" i="5" s="1"/>
  <c r="D90" i="5" s="1"/>
  <c r="C82" i="5"/>
  <c r="C83" i="5"/>
  <c r="D82" i="5"/>
  <c r="D71" i="5"/>
  <c r="D73" i="5" s="1"/>
  <c r="D99" i="5" s="1"/>
  <c r="D79" i="5"/>
  <c r="D78" i="5"/>
  <c r="L99" i="5" s="1"/>
  <c r="D84" i="5"/>
  <c r="D77" i="5"/>
  <c r="D83" i="5"/>
  <c r="G24" i="2" l="1"/>
  <c r="H24" i="2"/>
  <c r="I24" i="2"/>
  <c r="J24" i="2"/>
  <c r="K24" i="2"/>
  <c r="G25" i="2"/>
  <c r="H25" i="2"/>
  <c r="I25" i="2"/>
  <c r="J25" i="2"/>
  <c r="K25" i="2"/>
  <c r="G27" i="2"/>
  <c r="H27" i="2"/>
  <c r="I27" i="2"/>
  <c r="J27" i="2"/>
  <c r="K27" i="2"/>
  <c r="G28" i="2"/>
  <c r="H28" i="2"/>
  <c r="I28" i="2"/>
  <c r="J28" i="2"/>
  <c r="K28" i="2"/>
  <c r="G29" i="2"/>
  <c r="H29" i="2"/>
  <c r="I29" i="2"/>
  <c r="J29" i="2"/>
  <c r="K29" i="2"/>
  <c r="G46" i="2"/>
  <c r="H46" i="2"/>
  <c r="I46" i="2"/>
  <c r="J46" i="2"/>
  <c r="K46" i="2"/>
  <c r="G52" i="2"/>
  <c r="H52" i="2"/>
  <c r="I52" i="2"/>
  <c r="J52" i="2"/>
  <c r="K52" i="2"/>
  <c r="G57" i="2"/>
  <c r="H57" i="2"/>
  <c r="I57" i="2"/>
  <c r="J57" i="2"/>
  <c r="K57" i="2"/>
  <c r="G60" i="2"/>
  <c r="H60" i="2"/>
  <c r="I60" i="2"/>
  <c r="J60" i="2"/>
  <c r="K60" i="2"/>
  <c r="G63" i="2"/>
  <c r="H63" i="2"/>
  <c r="I63" i="2"/>
  <c r="J63" i="2"/>
  <c r="K63" i="2"/>
  <c r="G65" i="2"/>
  <c r="H65" i="2"/>
  <c r="I65" i="2"/>
  <c r="J65" i="2"/>
  <c r="K65" i="2"/>
  <c r="G67" i="2"/>
  <c r="H67" i="2"/>
  <c r="I67" i="2"/>
  <c r="J67" i="2"/>
  <c r="K67" i="2"/>
  <c r="G73" i="2"/>
  <c r="H73" i="2"/>
  <c r="I73" i="2"/>
  <c r="J73" i="2"/>
  <c r="K73" i="2"/>
  <c r="G80" i="2"/>
  <c r="H80" i="2"/>
  <c r="I80" i="2"/>
  <c r="J80" i="2"/>
  <c r="K80" i="2"/>
  <c r="G86" i="2"/>
  <c r="H86" i="2"/>
  <c r="I86" i="2"/>
  <c r="J86" i="2"/>
  <c r="K86" i="2"/>
  <c r="G89" i="2"/>
  <c r="H89" i="2"/>
  <c r="I89" i="2"/>
  <c r="J89" i="2"/>
  <c r="K89" i="2"/>
  <c r="G91" i="2"/>
  <c r="H91" i="2"/>
  <c r="I91" i="2"/>
  <c r="J91" i="2"/>
  <c r="K91" i="2"/>
  <c r="H116" i="2"/>
  <c r="I116" i="2"/>
  <c r="J116" i="2"/>
  <c r="K116" i="2"/>
  <c r="G117" i="2"/>
  <c r="H117" i="2"/>
  <c r="I117" i="2"/>
  <c r="J117" i="2"/>
  <c r="K117" i="2"/>
  <c r="G120" i="2"/>
  <c r="H120" i="2"/>
  <c r="I120" i="2"/>
  <c r="J120" i="2"/>
  <c r="K120" i="2"/>
  <c r="H127" i="2"/>
  <c r="I127" i="2"/>
  <c r="J127" i="2"/>
  <c r="K127" i="2"/>
  <c r="G129" i="2"/>
  <c r="H129" i="2"/>
  <c r="I129" i="2"/>
  <c r="J129" i="2"/>
  <c r="K129" i="2"/>
  <c r="G130" i="2"/>
  <c r="H130" i="2"/>
  <c r="I130" i="2"/>
  <c r="J130" i="2"/>
  <c r="K130" i="2"/>
  <c r="H133" i="2"/>
  <c r="I133" i="2"/>
  <c r="J133" i="2"/>
  <c r="K133" i="2"/>
  <c r="G134" i="2"/>
  <c r="H134" i="2"/>
  <c r="I134" i="2"/>
  <c r="J134" i="2"/>
  <c r="K134" i="2"/>
  <c r="G136" i="2"/>
  <c r="H136" i="2"/>
  <c r="I136" i="2"/>
  <c r="J136" i="2"/>
  <c r="K136" i="2"/>
  <c r="G137" i="2"/>
  <c r="H137" i="2"/>
  <c r="I137" i="2"/>
  <c r="J137" i="2"/>
  <c r="K137" i="2"/>
  <c r="G143" i="2"/>
  <c r="H143" i="2"/>
  <c r="I143" i="2"/>
  <c r="J143" i="2"/>
  <c r="K143" i="2"/>
  <c r="G147" i="2"/>
  <c r="H147" i="2"/>
  <c r="I147" i="2"/>
  <c r="J147" i="2"/>
  <c r="K147" i="2"/>
  <c r="G148" i="2"/>
  <c r="H148" i="2"/>
  <c r="I148" i="2"/>
  <c r="J148" i="2"/>
  <c r="K148" i="2"/>
  <c r="G157" i="2"/>
  <c r="H157" i="2"/>
  <c r="I157" i="2"/>
  <c r="J157" i="2"/>
  <c r="K157" i="2"/>
  <c r="G163" i="2"/>
  <c r="H163" i="2"/>
  <c r="I163" i="2"/>
  <c r="J163" i="2"/>
  <c r="K163" i="2"/>
  <c r="H164" i="2"/>
  <c r="I164" i="2"/>
  <c r="J164" i="2"/>
  <c r="K164" i="2"/>
  <c r="G165" i="2"/>
  <c r="H165" i="2"/>
  <c r="I165" i="2"/>
  <c r="J165" i="2"/>
  <c r="K165" i="2"/>
  <c r="H167" i="2"/>
  <c r="I167" i="2"/>
  <c r="J167" i="2"/>
  <c r="K167" i="2"/>
  <c r="G168" i="2"/>
  <c r="H168" i="2"/>
  <c r="I168" i="2"/>
  <c r="J168" i="2"/>
  <c r="K168" i="2"/>
  <c r="H172" i="2"/>
  <c r="I172" i="2"/>
  <c r="J172" i="2"/>
  <c r="K172" i="2"/>
  <c r="H173" i="2"/>
  <c r="I173" i="2"/>
  <c r="J173" i="2"/>
  <c r="K173" i="2"/>
  <c r="I175" i="2"/>
  <c r="J175" i="2"/>
  <c r="K175" i="2"/>
  <c r="H176" i="2"/>
  <c r="I176" i="2"/>
  <c r="J176" i="2"/>
  <c r="K176" i="2"/>
  <c r="H177" i="2"/>
  <c r="I177" i="2"/>
  <c r="J177" i="2"/>
  <c r="K177" i="2"/>
  <c r="H178" i="2"/>
  <c r="I178" i="2"/>
  <c r="J178" i="2"/>
  <c r="K178" i="2"/>
  <c r="G180" i="2"/>
  <c r="H180" i="2"/>
  <c r="I180" i="2"/>
  <c r="J180" i="2"/>
  <c r="K180" i="2"/>
  <c r="G181" i="2"/>
  <c r="H181" i="2"/>
  <c r="I181" i="2"/>
  <c r="J181" i="2"/>
  <c r="K181" i="2"/>
  <c r="D188" i="2"/>
  <c r="H23" i="3"/>
  <c r="I23" i="3"/>
  <c r="J23" i="3"/>
  <c r="K23" i="3"/>
  <c r="L23" i="3"/>
  <c r="H24" i="3"/>
  <c r="I24" i="3"/>
  <c r="J24" i="3"/>
  <c r="K24" i="3"/>
  <c r="L24" i="3"/>
  <c r="H26" i="3"/>
  <c r="I26" i="3"/>
  <c r="J26" i="3"/>
  <c r="K26" i="3"/>
  <c r="L26" i="3"/>
  <c r="H27" i="3"/>
  <c r="I27" i="3"/>
  <c r="J27" i="3"/>
  <c r="K27" i="3"/>
  <c r="L27" i="3"/>
  <c r="H28" i="3"/>
  <c r="I28" i="3"/>
  <c r="J28" i="3"/>
  <c r="K28" i="3"/>
  <c r="L28" i="3"/>
  <c r="H45" i="3"/>
  <c r="I45" i="3"/>
  <c r="J45" i="3"/>
  <c r="K45" i="3"/>
  <c r="L45" i="3"/>
  <c r="H51" i="3"/>
  <c r="I51" i="3"/>
  <c r="J51" i="3"/>
  <c r="K51" i="3"/>
  <c r="L51" i="3"/>
  <c r="H56" i="3"/>
  <c r="I56" i="3"/>
  <c r="J56" i="3"/>
  <c r="K56" i="3"/>
  <c r="L56" i="3"/>
  <c r="H59" i="3"/>
  <c r="I59" i="3"/>
  <c r="J59" i="3"/>
  <c r="K59" i="3"/>
  <c r="L59" i="3"/>
  <c r="H62" i="3"/>
  <c r="I62" i="3"/>
  <c r="J62" i="3"/>
  <c r="K62" i="3"/>
  <c r="L62" i="3"/>
  <c r="H64" i="3"/>
  <c r="I64" i="3"/>
  <c r="J64" i="3"/>
  <c r="K64" i="3"/>
  <c r="L64" i="3"/>
  <c r="H66" i="3"/>
  <c r="I66" i="3"/>
  <c r="J66" i="3"/>
  <c r="K66" i="3"/>
  <c r="L66" i="3"/>
  <c r="H72" i="3"/>
  <c r="I72" i="3"/>
  <c r="J72" i="3"/>
  <c r="K72" i="3"/>
  <c r="L72" i="3"/>
  <c r="H79" i="3"/>
  <c r="I79" i="3"/>
  <c r="J79" i="3"/>
  <c r="K79" i="3"/>
  <c r="L79" i="3"/>
  <c r="H85" i="3"/>
  <c r="I85" i="3"/>
  <c r="J85" i="3"/>
  <c r="K85" i="3"/>
  <c r="L85" i="3"/>
  <c r="H87" i="3"/>
  <c r="I87" i="3"/>
  <c r="J87" i="3"/>
  <c r="K87" i="3"/>
  <c r="L87" i="3"/>
  <c r="H88" i="3"/>
  <c r="I88" i="3"/>
  <c r="J88" i="3"/>
  <c r="K88" i="3"/>
  <c r="L88" i="3"/>
  <c r="H90" i="3"/>
  <c r="I90" i="3"/>
  <c r="J90" i="3"/>
  <c r="K90" i="3"/>
  <c r="L90" i="3"/>
  <c r="I115" i="3"/>
  <c r="J115" i="3"/>
  <c r="K115" i="3"/>
  <c r="L115" i="3"/>
  <c r="H116" i="3"/>
  <c r="I116" i="3"/>
  <c r="J116" i="3"/>
  <c r="K116" i="3"/>
  <c r="L116" i="3"/>
  <c r="H117" i="3"/>
  <c r="I117" i="3"/>
  <c r="J117" i="3"/>
  <c r="K117" i="3"/>
  <c r="L117" i="3"/>
  <c r="H119" i="3"/>
  <c r="I119" i="3"/>
  <c r="J119" i="3"/>
  <c r="K119" i="3"/>
  <c r="L119" i="3"/>
  <c r="I126" i="3"/>
  <c r="J126" i="3"/>
  <c r="K126" i="3"/>
  <c r="L126" i="3"/>
  <c r="H128" i="3"/>
  <c r="I128" i="3"/>
  <c r="J128" i="3"/>
  <c r="K128" i="3"/>
  <c r="L128" i="3"/>
  <c r="H129" i="3"/>
  <c r="I129" i="3"/>
  <c r="J129" i="3"/>
  <c r="K129" i="3"/>
  <c r="L129" i="3"/>
  <c r="I132" i="3"/>
  <c r="J132" i="3"/>
  <c r="K132" i="3"/>
  <c r="L132" i="3"/>
  <c r="H133" i="3"/>
  <c r="I133" i="3"/>
  <c r="J133" i="3"/>
  <c r="K133" i="3"/>
  <c r="L133" i="3"/>
  <c r="H135" i="3"/>
  <c r="I135" i="3"/>
  <c r="J135" i="3"/>
  <c r="K135" i="3"/>
  <c r="L135" i="3"/>
  <c r="H136" i="3"/>
  <c r="I136" i="3"/>
  <c r="J136" i="3"/>
  <c r="K136" i="3"/>
  <c r="L136" i="3"/>
  <c r="H142" i="3"/>
  <c r="I142" i="3"/>
  <c r="J142" i="3"/>
  <c r="K142" i="3"/>
  <c r="L142" i="3"/>
  <c r="H146" i="3"/>
  <c r="I146" i="3"/>
  <c r="J146" i="3"/>
  <c r="K146" i="3"/>
  <c r="L146" i="3"/>
  <c r="H147" i="3"/>
  <c r="I147" i="3"/>
  <c r="J147" i="3"/>
  <c r="K147" i="3"/>
  <c r="L147" i="3"/>
  <c r="H156" i="3"/>
  <c r="I156" i="3"/>
  <c r="J156" i="3"/>
  <c r="K156" i="3"/>
  <c r="L156" i="3"/>
  <c r="H162" i="3"/>
  <c r="I162" i="3"/>
  <c r="J162" i="3"/>
  <c r="K162" i="3"/>
  <c r="L162" i="3"/>
  <c r="I163" i="3"/>
  <c r="J163" i="3"/>
  <c r="K163" i="3"/>
  <c r="L163" i="3"/>
  <c r="H164" i="3"/>
  <c r="I164" i="3"/>
  <c r="J164" i="3"/>
  <c r="K164" i="3"/>
  <c r="L164" i="3"/>
  <c r="I166" i="3"/>
  <c r="J166" i="3"/>
  <c r="K166" i="3"/>
  <c r="L166" i="3"/>
  <c r="H167" i="3"/>
  <c r="I167" i="3"/>
  <c r="J167" i="3"/>
  <c r="K167" i="3"/>
  <c r="L167" i="3"/>
  <c r="I171" i="3"/>
  <c r="J171" i="3"/>
  <c r="K171" i="3"/>
  <c r="L171" i="3"/>
  <c r="I172" i="3"/>
  <c r="J172" i="3"/>
  <c r="K172" i="3"/>
  <c r="L172" i="3"/>
  <c r="J174" i="3"/>
  <c r="K174" i="3"/>
  <c r="L174" i="3"/>
  <c r="I175" i="3"/>
  <c r="J175" i="3"/>
  <c r="K175" i="3"/>
  <c r="L175" i="3"/>
  <c r="I176" i="3"/>
  <c r="J176" i="3"/>
  <c r="K176" i="3"/>
  <c r="L176" i="3"/>
  <c r="I177" i="3"/>
  <c r="J177" i="3"/>
  <c r="K177" i="3"/>
  <c r="L177" i="3"/>
  <c r="H179" i="3"/>
  <c r="I179" i="3"/>
  <c r="J179" i="3"/>
  <c r="K179" i="3"/>
  <c r="L179" i="3"/>
  <c r="H180" i="3"/>
  <c r="I180" i="3"/>
  <c r="J180" i="3"/>
  <c r="K180" i="3"/>
  <c r="L180"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Matan Feldman</author>
    <author>saad ibrahim</author>
  </authors>
  <commentList>
    <comment ref="D11" authorId="0" shapeId="0" xr:uid="{ED393414-0B93-4DE3-B687-430230D5D3C8}">
      <text>
        <r>
          <rPr>
            <sz val="9"/>
            <color indexed="81"/>
            <rFont val="Tahoma"/>
            <family val="2"/>
          </rPr>
          <t>Front cover of Apple 2018 10K</t>
        </r>
      </text>
    </comment>
    <comment ref="C49" authorId="0" shapeId="0" xr:uid="{C94A94E2-F6FA-4014-8FDE-5146E2E491B3}">
      <text>
        <r>
          <rPr>
            <sz val="9"/>
            <color indexed="81"/>
            <rFont val="Tahoma"/>
            <family val="2"/>
          </rPr>
          <t>Includes vendor non-trade receivables</t>
        </r>
      </text>
    </comment>
    <comment ref="C51" authorId="0" shapeId="0" xr:uid="{953843F7-9639-4957-A7CD-566EF5993165}">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2" authorId="0" shapeId="0" xr:uid="{3177E3A7-EDF5-416E-98D2-EF73534404CC}">
      <text>
        <r>
          <rPr>
            <sz val="9"/>
            <color indexed="81"/>
            <rFont val="Tahoma"/>
            <family val="2"/>
          </rPr>
          <t>Arbitrary estimate</t>
        </r>
      </text>
    </comment>
    <comment ref="C118" authorId="0" shapeId="0" xr:uid="{3BF7FC52-7053-4E03-8DFB-50919EE7B7C5}">
      <text>
        <r>
          <rPr>
            <sz val="9"/>
            <color indexed="81"/>
            <rFont val="Tahoma"/>
            <family val="2"/>
          </rPr>
          <t>Statement of shareholders equity schedule, p.41 Apple 2018 10K</t>
        </r>
      </text>
    </comment>
    <comment ref="C119" authorId="0" shapeId="0" xr:uid="{C369A5EA-A4AE-4B92-8500-197C961B675E}">
      <text>
        <r>
          <rPr>
            <sz val="9"/>
            <color indexed="81"/>
            <rFont val="Tahoma"/>
            <family val="2"/>
          </rPr>
          <t>Statement of shareholders equity schedule, p.41 Apple 2018 10K</t>
        </r>
      </text>
    </comment>
    <comment ref="E146" authorId="0" shapeId="0" xr:uid="{6BF5EAAC-CD25-4718-9CAC-D6BAC7914DF8}">
      <text>
        <r>
          <rPr>
            <sz val="9"/>
            <color indexed="81"/>
            <rFont val="Tahoma"/>
            <family val="2"/>
          </rPr>
          <t>2018 Note 5 - Debt. 10K p55</t>
        </r>
      </text>
    </comment>
    <comment ref="F146" authorId="0" shapeId="0" xr:uid="{8D834A62-2D64-4F4C-A7CD-6BC447CB662C}">
      <text>
        <r>
          <rPr>
            <sz val="9"/>
            <color indexed="81"/>
            <rFont val="Tahoma"/>
            <family val="2"/>
          </rPr>
          <t>2018 Note 5 - Debt. 10K p55</t>
        </r>
      </text>
    </comment>
    <comment ref="C152" authorId="0" shapeId="0" xr:uid="{0ED649A9-6DBA-4D2D-9BB1-D6CFBB09B832}">
      <text>
        <r>
          <rPr>
            <sz val="9"/>
            <color indexed="81"/>
            <rFont val="Tahoma"/>
            <family val="2"/>
          </rPr>
          <t xml:space="preserve">We estimate the historical interest rate (though not explicitly disclosed by Apple). </t>
        </r>
      </text>
    </comment>
    <comment ref="C153" authorId="0" shapeId="0" xr:uid="{66F94C47-DF6F-4808-A8D2-DB6CFB861C92}">
      <text>
        <r>
          <rPr>
            <sz val="9"/>
            <color indexed="81"/>
            <rFont val="Tahoma"/>
            <family val="2"/>
          </rPr>
          <t>Although Apple doesn't disclose interest expense specifically, it does disclose the interest rate on commercial paper which enables us to back into interest expense for LTD</t>
        </r>
      </text>
    </comment>
    <comment ref="D156" authorId="0" shapeId="0" xr:uid="{B9ED72C8-28E8-4E9D-AEFD-BEAA37AE2C10}">
      <text>
        <r>
          <rPr>
            <sz val="9"/>
            <color indexed="81"/>
            <rFont val="Tahoma"/>
            <family val="2"/>
          </rPr>
          <t>2018 p.27 in the 'Other Income/(Expense), Net' section.</t>
        </r>
      </text>
    </comment>
    <comment ref="E156" authorId="0" shapeId="0" xr:uid="{4061DE0D-9A65-4959-8D67-CCBB4F8528FE}">
      <text>
        <r>
          <rPr>
            <sz val="9"/>
            <color indexed="81"/>
            <rFont val="Tahoma"/>
            <family val="2"/>
          </rPr>
          <t>2018 p.27 in the 'Other Income/(Expense), Net' section.</t>
        </r>
      </text>
    </comment>
    <comment ref="F156" authorId="0" shapeId="0" xr:uid="{0E23F320-649C-4D2A-8E56-C8C109557B2E}">
      <text>
        <r>
          <rPr>
            <sz val="9"/>
            <color indexed="81"/>
            <rFont val="Tahoma"/>
            <family val="2"/>
          </rPr>
          <t>2018 p.27 in the 'Other Income/(Expense), Net' section.</t>
        </r>
      </text>
    </comment>
    <comment ref="C164" authorId="1" shapeId="0" xr:uid="{E734E539-0092-4DA3-A806-D705CA7E6324}">
      <text>
        <r>
          <rPr>
            <b/>
            <sz val="9"/>
            <color indexed="81"/>
            <rFont val="Tahoma"/>
            <family val="2"/>
          </rPr>
          <t>saad ibrahim:</t>
        </r>
        <r>
          <rPr>
            <sz val="9"/>
            <color indexed="81"/>
            <rFont val="Tahoma"/>
            <family val="2"/>
          </rPr>
          <t xml:space="preserve">
basic shares in millions</t>
        </r>
      </text>
    </comment>
    <comment ref="C167" authorId="0" shapeId="0" xr:uid="{DA5D96B5-A551-43DF-A97C-781D2ED19ACF}">
      <text>
        <r>
          <rPr>
            <sz val="9"/>
            <color indexed="81"/>
            <rFont val="Tahoma"/>
            <family val="2"/>
          </rPr>
          <t>We straight line last actual year's dilutive securities (calculated as diluted - basic shares) and add this number to the basic share count to arrive at diluted shares</t>
        </r>
      </text>
    </comment>
    <comment ref="D169" authorId="1" shapeId="0" xr:uid="{B7962A01-A412-42D6-8BD8-D19DC3D6053D}">
      <text>
        <r>
          <rPr>
            <b/>
            <sz val="9"/>
            <color indexed="81"/>
            <rFont val="Tahoma"/>
            <family val="2"/>
          </rPr>
          <t>saad ibrahim:</t>
        </r>
        <r>
          <rPr>
            <sz val="9"/>
            <color indexed="81"/>
            <rFont val="Tahoma"/>
            <family val="2"/>
          </rPr>
          <t xml:space="preserve">
1) get the diluted shares from page 41 under earnings per share. Refer to point 2 of this comment for how to calculate
2) get the dilutive securities from page 48 of the 10K for the calculation. 
</t>
        </r>
      </text>
    </comment>
    <comment ref="C171" authorId="0" shapeId="0" xr:uid="{DC9EE1E4-DC63-4523-96F9-7337EB3D75A5}">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G172" authorId="0" shapeId="0" xr:uid="{A2689D46-C41E-4CC6-8502-021F154604AC}">
      <text>
        <r>
          <rPr>
            <sz val="9"/>
            <color indexed="81"/>
            <rFont val="Tahoma"/>
            <family val="2"/>
          </rPr>
          <t>assumption: either take the average of the last 12 months share price or the latest price</t>
        </r>
      </text>
    </comment>
    <comment ref="C207" authorId="1" shapeId="0" xr:uid="{3413C88E-E8F1-4F54-9016-0F322ED3AAC9}">
      <text>
        <r>
          <rPr>
            <b/>
            <sz val="9"/>
            <color indexed="81"/>
            <rFont val="Tahoma"/>
            <family val="2"/>
          </rPr>
          <t>saad ibrahim:</t>
        </r>
        <r>
          <rPr>
            <sz val="9"/>
            <color indexed="81"/>
            <rFont val="Tahoma"/>
            <family val="2"/>
          </rPr>
          <t xml:space="preserve">
also known as the street case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Matan Feldman</author>
    <author>saad ibrahim</author>
  </authors>
  <commentList>
    <comment ref="D11" authorId="0" shapeId="0" xr:uid="{980FDCBA-7B50-4E8F-B8A4-60A7BB08643A}">
      <text>
        <r>
          <rPr>
            <sz val="9"/>
            <color indexed="81"/>
            <rFont val="Tahoma"/>
            <family val="2"/>
          </rPr>
          <t>Front cover of Apple 2018 10K</t>
        </r>
      </text>
    </comment>
    <comment ref="O14" authorId="1" shapeId="0" xr:uid="{D5DABE64-ED09-4778-8245-95529562E6F8}">
      <text>
        <r>
          <rPr>
            <b/>
            <sz val="9"/>
            <color indexed="81"/>
            <rFont val="Tahoma"/>
            <family val="2"/>
          </rPr>
          <t>saad ibrahim:</t>
        </r>
        <r>
          <rPr>
            <sz val="9"/>
            <color indexed="81"/>
            <rFont val="Tahoma"/>
            <family val="2"/>
          </rPr>
          <t xml:space="preserve">
Here we will compare our projected 2019 results from FSM Apple 2018 with actual 2019 results in column G</t>
        </r>
      </text>
    </comment>
    <comment ref="C46" authorId="1" shapeId="0" xr:uid="{AF624861-3BF3-452F-8A4C-9047FEF9C851}">
      <text>
        <r>
          <rPr>
            <b/>
            <sz val="9"/>
            <color indexed="81"/>
            <rFont val="Tahoma"/>
            <family val="2"/>
          </rPr>
          <t>saad ibrahim:</t>
        </r>
        <r>
          <rPr>
            <sz val="9"/>
            <color indexed="81"/>
            <rFont val="Tahoma"/>
            <family val="2"/>
          </rPr>
          <t xml:space="preserve">
working capital items are from line 46 to 48</t>
        </r>
      </text>
    </comment>
    <comment ref="C48" authorId="0" shapeId="0" xr:uid="{46E76BCB-BAAF-47B2-A972-F421FA9FA1E9}">
      <text>
        <r>
          <rPr>
            <sz val="9"/>
            <color indexed="81"/>
            <rFont val="Tahoma"/>
            <family val="2"/>
          </rPr>
          <t>Includes vendor non-trade receivables</t>
        </r>
      </text>
    </comment>
    <comment ref="C50" authorId="0" shapeId="0" xr:uid="{70A8A23C-D795-4246-A115-DB81EB2ADBBA}">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C53" authorId="1" shapeId="0" xr:uid="{05247339-7DB7-4EAE-AEF5-53EBE5667DD4}">
      <text>
        <r>
          <rPr>
            <b/>
            <sz val="9"/>
            <color indexed="81"/>
            <rFont val="Tahoma"/>
            <family val="2"/>
          </rPr>
          <t>saad ibrahim:</t>
        </r>
        <r>
          <rPr>
            <sz val="9"/>
            <color indexed="81"/>
            <rFont val="Tahoma"/>
            <family val="2"/>
          </rPr>
          <t xml:space="preserve">
working capital items are from line 53 to 55</t>
        </r>
      </text>
    </comment>
    <comment ref="C117" authorId="0" shapeId="0" xr:uid="{801797B7-BE9E-455C-B3EF-C41FAD5C4265}">
      <text>
        <r>
          <rPr>
            <sz val="9"/>
            <color indexed="81"/>
            <rFont val="Tahoma"/>
            <family val="2"/>
          </rPr>
          <t>Statement of shareholders equity schedule, p.41 Apple 2018 10K</t>
        </r>
      </text>
    </comment>
    <comment ref="C118" authorId="0" shapeId="0" xr:uid="{5DDE487F-FB36-4806-9119-62005E3390E2}">
      <text>
        <r>
          <rPr>
            <sz val="9"/>
            <color indexed="81"/>
            <rFont val="Tahoma"/>
            <family val="2"/>
          </rPr>
          <t>Statement of shareholders equity schedule, p.41 Apple 2018 10K</t>
        </r>
      </text>
    </comment>
    <comment ref="E145" authorId="0" shapeId="0" xr:uid="{E5BA4248-4F24-4F31-A748-CD39F5F92131}">
      <text>
        <r>
          <rPr>
            <sz val="9"/>
            <color indexed="81"/>
            <rFont val="Tahoma"/>
            <family val="2"/>
          </rPr>
          <t>2018 Note 5 - Debt. 10K p55</t>
        </r>
      </text>
    </comment>
    <comment ref="F145" authorId="1" shapeId="0" xr:uid="{78F932FC-77D2-48B6-B051-907E986A65CE}">
      <text>
        <r>
          <rPr>
            <b/>
            <sz val="9"/>
            <color indexed="81"/>
            <rFont val="Tahoma"/>
            <family val="2"/>
          </rPr>
          <t>saad ibrahim:</t>
        </r>
        <r>
          <rPr>
            <sz val="9"/>
            <color indexed="81"/>
            <rFont val="Tahoma"/>
            <family val="2"/>
          </rPr>
          <t xml:space="preserve">
2019 10k p.47</t>
        </r>
      </text>
    </comment>
    <comment ref="G145" authorId="1" shapeId="0" xr:uid="{46EB9A1A-D900-436F-84FA-E4BC07C42C76}">
      <text>
        <r>
          <rPr>
            <b/>
            <sz val="9"/>
            <color indexed="81"/>
            <rFont val="Tahoma"/>
            <family val="2"/>
          </rPr>
          <t>saad ibrahim:</t>
        </r>
        <r>
          <rPr>
            <sz val="9"/>
            <color indexed="81"/>
            <rFont val="Tahoma"/>
            <family val="2"/>
          </rPr>
          <t xml:space="preserve">
2019 10k p.47</t>
        </r>
      </text>
    </comment>
    <comment ref="C151" authorId="0" shapeId="0" xr:uid="{9ADA4F7C-C8F5-4EEB-92C7-FBCA648D9221}">
      <text>
        <r>
          <rPr>
            <sz val="9"/>
            <color indexed="81"/>
            <rFont val="Tahoma"/>
            <family val="2"/>
          </rPr>
          <t xml:space="preserve">We estimate the historical interest rate (though not explicitly disclosed by Apple). </t>
        </r>
      </text>
    </comment>
    <comment ref="C152" authorId="0" shapeId="0" xr:uid="{907FF89B-AB2F-4E2C-862C-F55DBBD84842}">
      <text>
        <r>
          <rPr>
            <sz val="9"/>
            <color indexed="81"/>
            <rFont val="Tahoma"/>
            <family val="2"/>
          </rPr>
          <t>Although Apple doesn't disclose interest expense specifically, it does disclose the interest rate on commercial paper which enables us to back into interest expense for LTD</t>
        </r>
      </text>
    </comment>
    <comment ref="D155" authorId="0" shapeId="0" xr:uid="{338BA137-A345-44C2-970D-140DFFE263DF}">
      <text>
        <r>
          <rPr>
            <sz val="9"/>
            <color indexed="81"/>
            <rFont val="Tahoma"/>
            <family val="2"/>
          </rPr>
          <t>2018 p.27 in the 'Other Income/(Expense), Net' section.</t>
        </r>
      </text>
    </comment>
    <comment ref="E155" authorId="0" shapeId="0" xr:uid="{347369E7-EEF4-47EF-8EC2-6CD7570CAAB0}">
      <text>
        <r>
          <rPr>
            <sz val="9"/>
            <color indexed="81"/>
            <rFont val="Tahoma"/>
            <family val="2"/>
          </rPr>
          <t>2018 p.27 in the 'Other Income/(Expense), Net' section.</t>
        </r>
      </text>
    </comment>
    <comment ref="F155" authorId="1" shapeId="0" xr:uid="{CE93BB2F-F1F5-4155-ADC6-51B202CB34F2}">
      <text>
        <r>
          <rPr>
            <b/>
            <sz val="9"/>
            <color indexed="81"/>
            <rFont val="Tahoma"/>
            <family val="2"/>
          </rPr>
          <t>saad ibrahim:</t>
        </r>
        <r>
          <rPr>
            <sz val="9"/>
            <color indexed="81"/>
            <rFont val="Tahoma"/>
            <family val="2"/>
          </rPr>
          <t xml:space="preserve">
2019 10k p.22</t>
        </r>
      </text>
    </comment>
    <comment ref="G155" authorId="1" shapeId="0" xr:uid="{80A6EE6F-C466-4EBF-8D82-60180ECB2995}">
      <text>
        <r>
          <rPr>
            <b/>
            <sz val="9"/>
            <color indexed="81"/>
            <rFont val="Tahoma"/>
            <family val="2"/>
          </rPr>
          <t>saad ibrahim:</t>
        </r>
        <r>
          <rPr>
            <sz val="9"/>
            <color indexed="81"/>
            <rFont val="Tahoma"/>
            <family val="2"/>
          </rPr>
          <t xml:space="preserve">
2019 10k p.22</t>
        </r>
      </text>
    </comment>
    <comment ref="C166" authorId="0" shapeId="0" xr:uid="{FDB217A0-A501-4094-BC9E-104DA401CB92}">
      <text>
        <r>
          <rPr>
            <sz val="9"/>
            <color indexed="81"/>
            <rFont val="Tahoma"/>
            <family val="2"/>
          </rPr>
          <t>We straight line last actual year's dilutive securities (calculated as diluted - basic shares) and add this number to the basic share count to arrive at diluted shares</t>
        </r>
      </text>
    </comment>
    <comment ref="C170" authorId="0" shapeId="0" xr:uid="{EDE38592-0A9A-4DD6-A126-F7387F9E2C71}">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H171" authorId="0" shapeId="0" xr:uid="{94F4735F-0FEE-48EE-A261-6ADF159D40B5}">
      <text>
        <r>
          <rPr>
            <sz val="9"/>
            <color indexed="81"/>
            <rFont val="Tahoma"/>
            <family val="2"/>
          </rPr>
          <t>assumption: either take the average of the last 12 months share price or the latest price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saad ibrahim</author>
  </authors>
  <commentList>
    <comment ref="D7" authorId="0" shapeId="0" xr:uid="{63390FD2-58A4-4263-82D7-08D6BECBDA8A}">
      <text>
        <r>
          <rPr>
            <b/>
            <sz val="9"/>
            <color indexed="81"/>
            <rFont val="Tahoma"/>
            <family val="2"/>
          </rPr>
          <t>saad ibrahim:</t>
        </r>
        <r>
          <rPr>
            <sz val="9"/>
            <color indexed="81"/>
            <rFont val="Tahoma"/>
            <family val="2"/>
          </rPr>
          <t xml:space="preserve">
In practice can use the NOW() function to keep current date active</t>
        </r>
      </text>
    </comment>
    <comment ref="H7" authorId="0" shapeId="0" xr:uid="{1E8436E6-1779-4310-9A4E-E5F47B78A742}">
      <text>
        <r>
          <rPr>
            <b/>
            <sz val="9"/>
            <color indexed="81"/>
            <rFont val="Tahoma"/>
            <family val="2"/>
          </rPr>
          <t>saad ibrahim:</t>
        </r>
        <r>
          <rPr>
            <sz val="9"/>
            <color indexed="81"/>
            <rFont val="Tahoma"/>
            <family val="2"/>
          </rPr>
          <t xml:space="preserve">
1 = Midyear CF
0 = End of year CF</t>
        </r>
      </text>
    </comment>
    <comment ref="B18" authorId="0" shapeId="0" xr:uid="{3078E410-AF5C-4E04-A359-4B2B3E4BDA59}">
      <text>
        <r>
          <rPr>
            <b/>
            <sz val="9"/>
            <color indexed="81"/>
            <rFont val="Tahoma"/>
            <family val="2"/>
          </rPr>
          <t>saad ibrahim:</t>
        </r>
        <r>
          <rPr>
            <sz val="9"/>
            <color indexed="81"/>
            <rFont val="Tahoma"/>
            <family val="2"/>
          </rPr>
          <t xml:space="preserve">
called operating income in the income statement. Calculated as gross profit - operating expenses</t>
        </r>
      </text>
    </comment>
    <comment ref="B22" authorId="0" shapeId="0" xr:uid="{26D1BC29-0D14-4061-B34F-13E528A8B0DA}">
      <text>
        <r>
          <rPr>
            <b/>
            <sz val="9"/>
            <color indexed="81"/>
            <rFont val="Tahoma"/>
            <family val="2"/>
          </rPr>
          <t>saad ibrahim:</t>
        </r>
        <r>
          <rPr>
            <sz val="9"/>
            <color indexed="81"/>
            <rFont val="Tahoma"/>
            <family val="2"/>
          </rPr>
          <t xml:space="preserve">
we are given this on the 10K but you could just calculate it by doing - provision for income taxes/income before provision for income taxes</t>
        </r>
      </text>
    </comment>
    <comment ref="B23" authorId="0" shapeId="0" xr:uid="{159230A1-8FB7-4215-B88E-2F8AD454B832}">
      <text>
        <r>
          <rPr>
            <b/>
            <sz val="9"/>
            <color indexed="81"/>
            <rFont val="Tahoma"/>
            <family val="2"/>
          </rPr>
          <t>saad ibrahim:</t>
        </r>
        <r>
          <rPr>
            <sz val="9"/>
            <color indexed="81"/>
            <rFont val="Tahoma"/>
            <family val="2"/>
          </rPr>
          <t xml:space="preserve">
NOPAT stands for net operating profit after taxes.  It represents a company's operating profits less tax expense on operations.  This means that the tax deductions due to interest expense are ignored in this buildup and are instead captured in the discount rate.</t>
        </r>
      </text>
    </comment>
    <comment ref="B27" authorId="0" shapeId="0" xr:uid="{A582C69E-DF3C-427C-BE5A-49C0F73C550A}">
      <text>
        <r>
          <rPr>
            <b/>
            <sz val="9"/>
            <color indexed="81"/>
            <rFont val="Tahoma"/>
            <family val="2"/>
          </rPr>
          <t>saad ibrahim:</t>
        </r>
        <r>
          <rPr>
            <sz val="9"/>
            <color indexed="81"/>
            <rFont val="Tahoma"/>
            <family val="2"/>
          </rPr>
          <t xml:space="preserve">
obtained from the cash flow under payments for acquisitions of property, plant and equipment. Capex is money spent on acquiring or maintaining fixed assets</t>
        </r>
      </text>
    </comment>
    <comment ref="E38" authorId="0" shapeId="0" xr:uid="{A7DB1A30-73CF-43C3-8F29-4549A2A3E8C1}">
      <text>
        <r>
          <rPr>
            <b/>
            <sz val="9"/>
            <color indexed="81"/>
            <rFont val="Tahoma"/>
            <family val="2"/>
          </rPr>
          <t>saad ibrahim:</t>
        </r>
        <r>
          <rPr>
            <sz val="9"/>
            <color indexed="81"/>
            <rFont val="Tahoma"/>
            <family val="2"/>
          </rPr>
          <t xml:space="preserve">
Stub year adjusted</t>
        </r>
      </text>
    </comment>
    <comment ref="B42" authorId="0" shapeId="0" xr:uid="{86479218-9F42-4D1C-B1A9-091F526E88E3}">
      <text>
        <r>
          <rPr>
            <b/>
            <sz val="9"/>
            <color indexed="81"/>
            <rFont val="Tahoma"/>
            <family val="2"/>
          </rPr>
          <t>saad ibrahim:</t>
        </r>
        <r>
          <rPr>
            <sz val="9"/>
            <color indexed="81"/>
            <rFont val="Tahoma"/>
            <family val="2"/>
          </rPr>
          <t xml:space="preserve">
typically is between 2% - 5%</t>
        </r>
      </text>
    </comment>
    <comment ref="I51" authorId="0" shapeId="0" xr:uid="{52C4D86F-FE45-40C3-8D39-D70E7D3F52A1}">
      <text>
        <r>
          <rPr>
            <b/>
            <sz val="9"/>
            <color indexed="81"/>
            <rFont val="Tahoma"/>
            <family val="2"/>
          </rPr>
          <t>saad ibrahim:</t>
        </r>
        <r>
          <rPr>
            <sz val="9"/>
            <color indexed="81"/>
            <rFont val="Tahoma"/>
            <family val="2"/>
          </rPr>
          <t xml:space="preserve">
Implied g = [r -FCF(t)/TV]/(1+FCF(t)/TV)</t>
        </r>
      </text>
    </comment>
    <comment ref="B57" authorId="0" shapeId="0" xr:uid="{B93463E1-481E-4868-8509-2371D1B6C331}">
      <text>
        <r>
          <rPr>
            <b/>
            <sz val="9"/>
            <color indexed="81"/>
            <rFont val="Tahoma"/>
            <family val="2"/>
          </rPr>
          <t>saad ibrahim:</t>
        </r>
        <r>
          <rPr>
            <sz val="9"/>
            <color indexed="81"/>
            <rFont val="Tahoma"/>
            <family val="2"/>
          </rPr>
          <t xml:space="preserve">
Include all debt tranches. For apple this includes commercial paper, current term debt and non-current term debt</t>
        </r>
      </text>
    </comment>
    <comment ref="E57" authorId="0" shapeId="0" xr:uid="{58002163-9C89-4872-8C9A-B1C0C6756A39}">
      <text>
        <r>
          <rPr>
            <b/>
            <sz val="9"/>
            <color indexed="81"/>
            <rFont val="Tahoma"/>
            <family val="2"/>
          </rPr>
          <t>saad ibrahim:</t>
        </r>
        <r>
          <rPr>
            <sz val="9"/>
            <color indexed="81"/>
            <rFont val="Tahoma"/>
            <family val="2"/>
          </rPr>
          <t xml:space="preserve">
ctrl f excersiable or restricted stock</t>
        </r>
      </text>
    </comment>
    <comment ref="I57" authorId="0" shapeId="0" xr:uid="{A66086C9-07F6-4EE4-9161-6DF422ECD5EA}">
      <text>
        <r>
          <rPr>
            <b/>
            <sz val="9"/>
            <color indexed="81"/>
            <rFont val="Tahoma"/>
            <family val="2"/>
          </rPr>
          <t>saad ibrahim:</t>
        </r>
        <r>
          <rPr>
            <sz val="9"/>
            <color indexed="81"/>
            <rFont val="Tahoma"/>
            <family val="2"/>
          </rPr>
          <t xml:space="preserve">
Source: Q1 2020 10Q p.19 </t>
        </r>
      </text>
    </comment>
    <comment ref="B58" authorId="0" shapeId="0" xr:uid="{1BBE5F4C-4993-4089-9D1B-85D545E5AB90}">
      <text>
        <r>
          <rPr>
            <b/>
            <sz val="9"/>
            <color indexed="81"/>
            <rFont val="Tahoma"/>
            <family val="2"/>
          </rPr>
          <t>saad ibrahim:</t>
        </r>
        <r>
          <rPr>
            <sz val="9"/>
            <color indexed="81"/>
            <rFont val="Tahoma"/>
            <family val="2"/>
          </rPr>
          <t xml:space="preserve">
ctrl f on 10k and 10q to check for convertible debt to see if they have any</t>
        </r>
      </text>
    </comment>
    <comment ref="B60" authorId="0" shapeId="0" xr:uid="{F0E38BA0-01F2-4AF1-9131-8D9AE5754E7E}">
      <text>
        <r>
          <rPr>
            <b/>
            <sz val="9"/>
            <color indexed="81"/>
            <rFont val="Tahoma"/>
            <family val="2"/>
          </rPr>
          <t>saad ibrahim:</t>
        </r>
        <r>
          <rPr>
            <sz val="9"/>
            <color indexed="81"/>
            <rFont val="Tahoma"/>
            <family val="2"/>
          </rPr>
          <t xml:space="preserve">
ctrl f on 10k and 10q to check for noncontrolling and non-controlling to see if they have any</t>
        </r>
      </text>
    </comment>
    <comment ref="B62" authorId="0" shapeId="0" xr:uid="{794599E8-59AE-4C03-815C-009871B35D40}">
      <text>
        <r>
          <rPr>
            <b/>
            <sz val="9"/>
            <color indexed="81"/>
            <rFont val="Tahoma"/>
            <family val="2"/>
          </rPr>
          <t>saad ibrahim:</t>
        </r>
        <r>
          <rPr>
            <sz val="9"/>
            <color indexed="81"/>
            <rFont val="Tahoma"/>
            <family val="2"/>
          </rPr>
          <t xml:space="preserve">
Include cash &amp; equivalents, short term and long term marketable securites and investments</t>
        </r>
      </text>
    </comment>
    <comment ref="B63" authorId="0" shapeId="0" xr:uid="{809099A4-9D9A-4C1B-940F-9F554EF4A3E1}">
      <text>
        <r>
          <rPr>
            <b/>
            <sz val="9"/>
            <color indexed="81"/>
            <rFont val="Tahoma"/>
            <family val="2"/>
          </rPr>
          <t>saad ibrahim:</t>
        </r>
        <r>
          <rPr>
            <sz val="9"/>
            <color indexed="81"/>
            <rFont val="Tahoma"/>
            <family val="2"/>
          </rPr>
          <t xml:space="preserve">
normally displayed under non current assets but can search the term affiliates, that’s another term for equity investments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Matan Feldman</author>
    <author>saad ibrahim</author>
    <author>Wall Street Prep</author>
  </authors>
  <commentList>
    <comment ref="D7" authorId="0" shapeId="0" xr:uid="{47DCF53A-7666-4A52-B3E8-6C7758BFEC21}">
      <text>
        <r>
          <rPr>
            <b/>
            <sz val="9"/>
            <color indexed="81"/>
            <rFont val="Tahoma"/>
            <family val="2"/>
          </rPr>
          <t>Matan Feldman:</t>
        </r>
        <r>
          <rPr>
            <sz val="9"/>
            <color indexed="81"/>
            <rFont val="Tahoma"/>
            <family val="2"/>
          </rPr>
          <t xml:space="preserve">
In practice can use the NOW() function to keep current date active</t>
        </r>
      </text>
    </comment>
    <comment ref="H7" authorId="1" shapeId="0" xr:uid="{1F7F7379-F537-4016-ADE4-D014B2816096}">
      <text>
        <r>
          <rPr>
            <b/>
            <sz val="9"/>
            <color indexed="81"/>
            <rFont val="Tahoma"/>
            <family val="2"/>
          </rPr>
          <t>saad ibrahim:</t>
        </r>
        <r>
          <rPr>
            <sz val="9"/>
            <color indexed="81"/>
            <rFont val="Tahoma"/>
            <family val="2"/>
          </rPr>
          <t xml:space="preserve">
1 = Midyear CF
0 = End of year CF</t>
        </r>
      </text>
    </comment>
    <comment ref="B23" authorId="0" shapeId="0" xr:uid="{06A94801-A072-4448-AE1E-AB389A98A25A}">
      <text>
        <r>
          <rPr>
            <b/>
            <sz val="9"/>
            <color indexed="81"/>
            <rFont val="Tahoma"/>
            <family val="2"/>
          </rPr>
          <t>Matan Feldman:</t>
        </r>
        <r>
          <rPr>
            <sz val="9"/>
            <color indexed="81"/>
            <rFont val="Tahoma"/>
            <family val="2"/>
          </rPr>
          <t xml:space="preserve">
NOPAT stands for net operating profit after taxes.  It represents a company's operating profits less tax expense on operations.  This means that the tax deductions due to interest expense are ignored in this buildup and are instead captured in the discount rate.</t>
        </r>
      </text>
    </comment>
    <comment ref="E38" authorId="0" shapeId="0" xr:uid="{6AAAB8D1-7636-45AF-9604-DFB030334365}">
      <text>
        <r>
          <rPr>
            <b/>
            <sz val="9"/>
            <color indexed="81"/>
            <rFont val="Tahoma"/>
            <family val="2"/>
          </rPr>
          <t>Matan Feldman:</t>
        </r>
        <r>
          <rPr>
            <sz val="9"/>
            <color indexed="81"/>
            <rFont val="Tahoma"/>
            <family val="2"/>
          </rPr>
          <t xml:space="preserve">
Stub year adjusted</t>
        </r>
      </text>
    </comment>
    <comment ref="I51" authorId="2" shapeId="0" xr:uid="{229E48E7-7790-4BED-95F1-B5162E0F83E6}">
      <text>
        <r>
          <rPr>
            <b/>
            <sz val="9"/>
            <color indexed="81"/>
            <rFont val="Tahoma"/>
            <family val="2"/>
          </rPr>
          <t>Wall Street Prep:</t>
        </r>
        <r>
          <rPr>
            <sz val="9"/>
            <color indexed="81"/>
            <rFont val="Tahoma"/>
            <family val="2"/>
          </rPr>
          <t xml:space="preserve">
Implied g = [r -FCF(t)/TV]/(1+FCF(t)/TV)</t>
        </r>
      </text>
    </comment>
    <comment ref="I57" authorId="0" shapeId="0" xr:uid="{54D66AC9-4409-4CB6-8DBF-D9EA888DA882}">
      <text>
        <r>
          <rPr>
            <b/>
            <sz val="9"/>
            <color indexed="81"/>
            <rFont val="Tahoma"/>
            <family val="2"/>
          </rPr>
          <t>Matan Feldman:</t>
        </r>
        <r>
          <rPr>
            <sz val="9"/>
            <color indexed="81"/>
            <rFont val="Tahoma"/>
            <family val="2"/>
          </rPr>
          <t xml:space="preserve">
Source: Q1 2020 10Q p.19 </t>
        </r>
      </text>
    </comment>
    <comment ref="B62" authorId="0" shapeId="0" xr:uid="{8BC55738-A2BD-4A92-86B9-BE61375D78E7}">
      <text>
        <r>
          <rPr>
            <b/>
            <sz val="9"/>
            <color indexed="81"/>
            <rFont val="Tahoma"/>
            <family val="2"/>
          </rPr>
          <t>Matan Feldman:</t>
        </r>
        <r>
          <rPr>
            <sz val="9"/>
            <color indexed="81"/>
            <rFont val="Tahoma"/>
            <family val="2"/>
          </rPr>
          <t xml:space="preserve">
Include cash &amp; equivalents, short term and long term marketable securites and investments</t>
        </r>
      </text>
    </comment>
  </commentList>
</comments>
</file>

<file path=xl/sharedStrings.xml><?xml version="1.0" encoding="utf-8"?>
<sst xmlns="http://schemas.openxmlformats.org/spreadsheetml/2006/main" count="675" uniqueCount="316">
  <si>
    <t>$ in thousands except per share</t>
  </si>
  <si>
    <t>Company name</t>
  </si>
  <si>
    <t>Apple</t>
  </si>
  <si>
    <t>Ticker</t>
  </si>
  <si>
    <t>AAPL</t>
  </si>
  <si>
    <t>Circ break 1=off, 0=on</t>
  </si>
  <si>
    <t>Latest closing share price</t>
  </si>
  <si>
    <t>Latest closing share price date</t>
  </si>
  <si>
    <t>Latest fiscal year end date</t>
  </si>
  <si>
    <t>Shares outstanding (millions)</t>
  </si>
  <si>
    <t>Select an operating scenario:</t>
  </si>
  <si>
    <t>Base case</t>
  </si>
  <si>
    <t>INCOME STATEMENT</t>
  </si>
  <si>
    <t xml:space="preserve">Fiscal year  </t>
  </si>
  <si>
    <t>Fiscal year end date</t>
  </si>
  <si>
    <t>Revenue</t>
  </si>
  <si>
    <t>Gross Profit</t>
  </si>
  <si>
    <t>Operating profit (EBIT)</t>
  </si>
  <si>
    <t>Interest income</t>
  </si>
  <si>
    <t>Pretax profit</t>
  </si>
  <si>
    <t>Net income</t>
  </si>
  <si>
    <t>Depreciation &amp; amortization</t>
  </si>
  <si>
    <t>EBITDA</t>
  </si>
  <si>
    <t>Stock based compensation</t>
  </si>
  <si>
    <t>Adjusted EBITDA</t>
  </si>
  <si>
    <t>Growth rates &amp; margins</t>
  </si>
  <si>
    <t>Revenue growth</t>
  </si>
  <si>
    <t>Gross profit margin</t>
  </si>
  <si>
    <t>R&amp;D % of sales</t>
  </si>
  <si>
    <t>SG&amp;A % of sales</t>
  </si>
  <si>
    <t>Tax rate</t>
  </si>
  <si>
    <t>BALANCE SHEET</t>
  </si>
  <si>
    <t>Cash &amp; equivalents, ST and LT marketable securities</t>
  </si>
  <si>
    <t>Accounts receivable</t>
  </si>
  <si>
    <t>Inventories</t>
  </si>
  <si>
    <t>Other current assets</t>
  </si>
  <si>
    <t>Property, plant &amp; equipment</t>
  </si>
  <si>
    <t>Other non current assets</t>
  </si>
  <si>
    <t>Total assets</t>
  </si>
  <si>
    <t>Accounts payable</t>
  </si>
  <si>
    <t>Other current liabilities</t>
  </si>
  <si>
    <t>Deferred revenue (current and non current)</t>
  </si>
  <si>
    <t>Commercial paper / revolver</t>
  </si>
  <si>
    <t>Long term debt (includes current portion)</t>
  </si>
  <si>
    <t>Other non current liabilities</t>
  </si>
  <si>
    <t>Total liabilities</t>
  </si>
  <si>
    <t>Common stock</t>
  </si>
  <si>
    <t xml:space="preserve">Retained earnings </t>
  </si>
  <si>
    <t>Other comprehensive income</t>
  </si>
  <si>
    <t>Total equity</t>
  </si>
  <si>
    <t>Balance check</t>
  </si>
  <si>
    <t>CASH FLOW STATEMENT</t>
  </si>
  <si>
    <t>Depreciation and amortization</t>
  </si>
  <si>
    <t>Decreases / (Increases) in working capital assets</t>
  </si>
  <si>
    <t>Increases / (Decreases) in working capital liabilities</t>
  </si>
  <si>
    <t>Cash from operating activities</t>
  </si>
  <si>
    <t>Capital expenditures</t>
  </si>
  <si>
    <t>Cash from investing activities</t>
  </si>
  <si>
    <t>Long term debt</t>
  </si>
  <si>
    <t>Revolver</t>
  </si>
  <si>
    <t>Share repurchases</t>
  </si>
  <si>
    <t>Common dividends</t>
  </si>
  <si>
    <t>Cash from financing activities</t>
  </si>
  <si>
    <t>Net change in cash during period</t>
  </si>
  <si>
    <t>PROPERTY, PLANT &amp; EQUIPMENT</t>
  </si>
  <si>
    <t>Forecast</t>
  </si>
  <si>
    <t>Beginning of period</t>
  </si>
  <si>
    <t>Plus: Capital expenditures</t>
  </si>
  <si>
    <t>Less: Depreciation</t>
  </si>
  <si>
    <t>End of period</t>
  </si>
  <si>
    <t>D&amp;A related to PP&amp;E as a % of capex</t>
  </si>
  <si>
    <t>IMPUTING TOTAL DEPRECIATION &amp; AMORTIZATION</t>
  </si>
  <si>
    <r>
      <t xml:space="preserve">D&amp;A </t>
    </r>
    <r>
      <rPr>
        <u/>
        <sz val="11"/>
        <color theme="1"/>
        <rFont val="Calibri"/>
        <family val="2"/>
        <scheme val="minor"/>
      </rPr>
      <t>not</t>
    </r>
    <r>
      <rPr>
        <sz val="11"/>
        <color theme="1"/>
        <rFont val="Calibri"/>
        <family val="2"/>
        <scheme val="minor"/>
      </rPr>
      <t xml:space="preserve"> related to PP&amp;E</t>
    </r>
  </si>
  <si>
    <t>as % of revenue</t>
  </si>
  <si>
    <t xml:space="preserve">Depreciation &amp; Amortization - Total </t>
  </si>
  <si>
    <t>OTHER NON-CURRENT ASSETS</t>
  </si>
  <si>
    <t>Less: Amortization of intangible assets</t>
  </si>
  <si>
    <t xml:space="preserve">Plus: Additions </t>
  </si>
  <si>
    <t>RETAINED EARNINGS</t>
  </si>
  <si>
    <t>Plus: Net income</t>
  </si>
  <si>
    <t>Less: Dividends</t>
  </si>
  <si>
    <t>Less: Repurchases</t>
  </si>
  <si>
    <t>REVOLVER (MODEL PLUG)</t>
  </si>
  <si>
    <t>Revolver needs analysis</t>
  </si>
  <si>
    <t>Cash at beginning of period (BOP)</t>
  </si>
  <si>
    <t>Less: Minimum cash balance</t>
  </si>
  <si>
    <t>Plus: Free cash flows generated during period</t>
  </si>
  <si>
    <t>Equals: Cash available (needed) to pay down (draw from) revolver</t>
  </si>
  <si>
    <t>Commercial paper / Revolver</t>
  </si>
  <si>
    <t>Draw / (paydown)</t>
  </si>
  <si>
    <t>Discretionary borrowing / (paydown)</t>
  </si>
  <si>
    <t>Debt balance:</t>
  </si>
  <si>
    <t>INTEREST EXPENSE AND INTEREST INCOME</t>
  </si>
  <si>
    <t>Total interest expense (from I/S)</t>
  </si>
  <si>
    <t>Commercial Paper / Revolver</t>
  </si>
  <si>
    <t>Weighted average interest rate</t>
  </si>
  <si>
    <t>End of period balance (from B/S)</t>
  </si>
  <si>
    <t>Interest expense</t>
  </si>
  <si>
    <t xml:space="preserve">Interest expense </t>
  </si>
  <si>
    <t>Interest rate on cash</t>
  </si>
  <si>
    <t>Weighted average interest rate on cash</t>
  </si>
  <si>
    <t>SENSITIVITY ANALYSIS</t>
  </si>
  <si>
    <t>First forecast year net income  sensitivity</t>
  </si>
  <si>
    <t>Revenue growth rate</t>
  </si>
  <si>
    <t>Gross</t>
  </si>
  <si>
    <t>Profit</t>
  </si>
  <si>
    <t>Margin:</t>
  </si>
  <si>
    <t>SCENARIO ANALYSIS</t>
  </si>
  <si>
    <t>Active case:</t>
  </si>
  <si>
    <t xml:space="preserve">Variance from </t>
  </si>
  <si>
    <t>base case</t>
  </si>
  <si>
    <t>Best case</t>
  </si>
  <si>
    <t>NM</t>
  </si>
  <si>
    <t>Weak case</t>
  </si>
  <si>
    <t>EARNINGS PER SHARE</t>
  </si>
  <si>
    <t xml:space="preserve">Basic shares </t>
  </si>
  <si>
    <t>Basic EPS</t>
  </si>
  <si>
    <t>Diluted Shares</t>
  </si>
  <si>
    <t>Diluted EPS</t>
  </si>
  <si>
    <t>$ amount of shares repurchased</t>
  </si>
  <si>
    <t>$ amount of new shares issued</t>
  </si>
  <si>
    <t>Average share price</t>
  </si>
  <si>
    <t>Share price increase</t>
  </si>
  <si>
    <t>Basic Shares - BOP</t>
  </si>
  <si>
    <t>Net change in basic shares</t>
  </si>
  <si>
    <t>Basic shares - EOP</t>
  </si>
  <si>
    <t>Basic shares - average</t>
  </si>
  <si>
    <t>yoy % growth in net income</t>
  </si>
  <si>
    <t>JP Morgan estimates through 2021: straight-line margin thereafter</t>
  </si>
  <si>
    <t>Comments:</t>
  </si>
  <si>
    <t>JP Morgan estimates through 2021; straight-line growth rate thereafter</t>
  </si>
  <si>
    <t>JP Morgan estimates through 2021; straight-line margin thereafter</t>
  </si>
  <si>
    <t>Select a scenario</t>
  </si>
  <si>
    <t>best case</t>
  </si>
  <si>
    <t>Commercial paper/ Revolver</t>
  </si>
  <si>
    <t>Scenario Analysis</t>
  </si>
  <si>
    <t>Variance from</t>
  </si>
  <si>
    <t xml:space="preserve"> base case</t>
  </si>
  <si>
    <t>weak case</t>
  </si>
  <si>
    <t>Step</t>
  </si>
  <si>
    <t>WACC Buildup</t>
  </si>
  <si>
    <t>Cost of capital assumptions</t>
  </si>
  <si>
    <t>Source</t>
  </si>
  <si>
    <t>Cost of debt</t>
  </si>
  <si>
    <t>Cost of debt (after tax)</t>
  </si>
  <si>
    <t xml:space="preserve">Risk free rate </t>
  </si>
  <si>
    <t>Wall street journal: 10 Year US Treasury Yield</t>
  </si>
  <si>
    <t xml:space="preserve">Beta </t>
  </si>
  <si>
    <t>Market risk premium</t>
  </si>
  <si>
    <t>Cost of equity</t>
  </si>
  <si>
    <t>RfR + Beta x MRP</t>
  </si>
  <si>
    <t>Capital weights (capital structure)</t>
  </si>
  <si>
    <t xml:space="preserve">Target </t>
  </si>
  <si>
    <t xml:space="preserve">Current </t>
  </si>
  <si>
    <t>(override)</t>
  </si>
  <si>
    <t>% of total</t>
  </si>
  <si>
    <t>Equity</t>
  </si>
  <si>
    <t>Debt</t>
  </si>
  <si>
    <t>Cost of capital (WACC)</t>
  </si>
  <si>
    <t>Discounted Cash Flow Valuation</t>
  </si>
  <si>
    <t>Most recent fiscal year end</t>
  </si>
  <si>
    <t>Discount rate (WACC)</t>
  </si>
  <si>
    <t>End of first fiscal year</t>
  </si>
  <si>
    <t>Share price (Public Co)</t>
  </si>
  <si>
    <t>Most recent quarter end date</t>
  </si>
  <si>
    <t>Share price date</t>
  </si>
  <si>
    <t xml:space="preserve">Valuation date </t>
  </si>
  <si>
    <t>Midyear adjustment?</t>
  </si>
  <si>
    <t>Portion of year 1 cash flows in forecast</t>
  </si>
  <si>
    <t>Unlevered Free Cash Flows</t>
  </si>
  <si>
    <t>Actual</t>
  </si>
  <si>
    <t>Forecasts</t>
  </si>
  <si>
    <t>Fiscal year ended</t>
  </si>
  <si>
    <t>% growth</t>
  </si>
  <si>
    <t>% margin</t>
  </si>
  <si>
    <t>EBIT</t>
  </si>
  <si>
    <t>Tax on EBIT</t>
  </si>
  <si>
    <t>NOPAT (aka EBIAT)</t>
  </si>
  <si>
    <t>Changes in net working capital</t>
  </si>
  <si>
    <t>Unlevered free cash flows (UFCF)</t>
  </si>
  <si>
    <t>Net working capital (WC Assets - WC liabilities)</t>
  </si>
  <si>
    <t>Val date</t>
  </si>
  <si>
    <t xml:space="preserve">Yr 1 - Stub </t>
  </si>
  <si>
    <t>Year 2</t>
  </si>
  <si>
    <t>Year 3</t>
  </si>
  <si>
    <t>Year 4</t>
  </si>
  <si>
    <t>Year 5</t>
  </si>
  <si>
    <t>Date for discounting cash flows</t>
  </si>
  <si>
    <t>Stub %</t>
  </si>
  <si>
    <t>Unlevered free cash flows (UFCF) stub adjusted</t>
  </si>
  <si>
    <t>Present value of of unlevered free cash flows</t>
  </si>
  <si>
    <t>Terminal value - growth in perpetuity approach</t>
  </si>
  <si>
    <t>Long term growth rate</t>
  </si>
  <si>
    <t>Terminal year EBITDA</t>
  </si>
  <si>
    <t>EBITDA multiple</t>
  </si>
  <si>
    <t>Present value of terminal value</t>
  </si>
  <si>
    <t>Present value of stage 1 cash flows</t>
  </si>
  <si>
    <t>Total enterprise value (TEV)</t>
  </si>
  <si>
    <t>Enterprise value (stage 1 + 2)</t>
  </si>
  <si>
    <t>Terminal value as % of TEV</t>
  </si>
  <si>
    <t>Stage 1 cash flows as % of TEV</t>
  </si>
  <si>
    <t>Implied TV exit EBITDA multiple</t>
  </si>
  <si>
    <t>Implied terminal growth rate</t>
  </si>
  <si>
    <t>Net debt</t>
  </si>
  <si>
    <t>Shares outstanding</t>
  </si>
  <si>
    <t>Source doc</t>
  </si>
  <si>
    <t>Q1 2020 10Q</t>
  </si>
  <si>
    <t>Source date</t>
  </si>
  <si>
    <t>Date</t>
  </si>
  <si>
    <t>Shares</t>
  </si>
  <si>
    <t>Gross debt and equivalents</t>
  </si>
  <si>
    <t>Basic shares</t>
  </si>
  <si>
    <t>Restricted stock / RSUs</t>
  </si>
  <si>
    <t>Convertible debt</t>
  </si>
  <si>
    <t>Options / warrants</t>
  </si>
  <si>
    <t>Preferred stock</t>
  </si>
  <si>
    <t>Noncontrolling (minority) interests</t>
  </si>
  <si>
    <t>Convertible preferred stock</t>
  </si>
  <si>
    <t>Nonoperating assets</t>
  </si>
  <si>
    <t>Net diluted shares outstanding</t>
  </si>
  <si>
    <t xml:space="preserve">Cash </t>
  </si>
  <si>
    <t xml:space="preserve">Equity investments </t>
  </si>
  <si>
    <t>Valuation</t>
  </si>
  <si>
    <t>Perpetuity</t>
  </si>
  <si>
    <t>Enterprise value</t>
  </si>
  <si>
    <t xml:space="preserve">Equity value </t>
  </si>
  <si>
    <t>Equity value per share</t>
  </si>
  <si>
    <t>Year 1 Multiples</t>
  </si>
  <si>
    <t>EV / Revenue</t>
  </si>
  <si>
    <t xml:space="preserve">EV / EBITDA </t>
  </si>
  <si>
    <t>EV / EBIT</t>
  </si>
  <si>
    <t>Outputs</t>
  </si>
  <si>
    <t>Year 1 EBITDA multiple</t>
  </si>
  <si>
    <t>Long term growth rate (g):</t>
  </si>
  <si>
    <t>WACC:</t>
  </si>
  <si>
    <t xml:space="preserve">Data </t>
  </si>
  <si>
    <t>Tables</t>
  </si>
  <si>
    <t>Exit EBITDA Multiple</t>
  </si>
  <si>
    <t>Equity value range</t>
  </si>
  <si>
    <t>Football field</t>
  </si>
  <si>
    <t>Low</t>
  </si>
  <si>
    <t>Diff.</t>
  </si>
  <si>
    <t>High</t>
  </si>
  <si>
    <t>52 Week Market High/Low</t>
  </si>
  <si>
    <t>Terminal value - EBITDA multiple approach</t>
  </si>
  <si>
    <t>Shares - Options and Convertibles</t>
  </si>
  <si>
    <t>Current share price</t>
  </si>
  <si>
    <t xml:space="preserve">Stock options - Treasury stock method </t>
  </si>
  <si>
    <t>Outstanding</t>
  </si>
  <si>
    <t xml:space="preserve">Exercise </t>
  </si>
  <si>
    <t>In-the-$</t>
  </si>
  <si>
    <t>options</t>
  </si>
  <si>
    <t>price</t>
  </si>
  <si>
    <t>Tranche 1</t>
  </si>
  <si>
    <t>Tranche 2</t>
  </si>
  <si>
    <t>Tranche 3</t>
  </si>
  <si>
    <t>Tranche 4</t>
  </si>
  <si>
    <t>Tranche 5</t>
  </si>
  <si>
    <t>Tranche 6</t>
  </si>
  <si>
    <t>Tranche 7</t>
  </si>
  <si>
    <t>Total</t>
  </si>
  <si>
    <t>Total proceeds ($mm)</t>
  </si>
  <si>
    <t>Total shares repurchased (mm)</t>
  </si>
  <si>
    <t>Net dilutive impact of stock options</t>
  </si>
  <si>
    <t>Convertible securities "if-converted" test</t>
  </si>
  <si>
    <t>Convertible Debt</t>
  </si>
  <si>
    <t xml:space="preserve">Principal Outstanding </t>
  </si>
  <si>
    <t>Each $1,000 in principal convertible into (Conversion ratio)</t>
  </si>
  <si>
    <t>Conversion price</t>
  </si>
  <si>
    <t>Common shares convertible into</t>
  </si>
  <si>
    <t>Dilutive impact of convertible securities</t>
  </si>
  <si>
    <t>Elimination of liability from net debt</t>
  </si>
  <si>
    <t>Convertible Preferred Stock</t>
  </si>
  <si>
    <t>Convertible Preferred Par Value</t>
  </si>
  <si>
    <t>Preferred shares outstanding</t>
  </si>
  <si>
    <t>Conversion ratio</t>
  </si>
  <si>
    <t>Apple doesn't have any convertible debt so this number is arbitrarily added to show how it would be calculated</t>
  </si>
  <si>
    <t>Apple doesn't have any options so these numbers are arbitrarily added to show how it would be calculated</t>
  </si>
  <si>
    <t>The projected tax rates shown are obtained from Capitaliq</t>
  </si>
  <si>
    <t>Apple doesn't have any convertible preferred stock so this number is arbitrarily added to show how it would be calculated</t>
  </si>
  <si>
    <t>Bloomberg - Yield to maturity on 2.2% 9/29 Bond</t>
  </si>
  <si>
    <t>Bloomberg 2 year weekly adjusted beta</t>
  </si>
  <si>
    <t>Market risk premium from Duff &amp; Phelps May 1, 2019</t>
  </si>
  <si>
    <t>Source: Capital IQ</t>
  </si>
  <si>
    <t>Portion of First Year Cash Flows</t>
  </si>
  <si>
    <t>Case active:</t>
  </si>
  <si>
    <t>LTM</t>
  </si>
  <si>
    <t>Cash flows as % of TEV</t>
  </si>
  <si>
    <t>&lt;-These are for illustrative purposes, Apple doesn't have options</t>
  </si>
  <si>
    <t>&lt;-These are for illustrative purposes, Apple doesn't have convertible debt</t>
  </si>
  <si>
    <t>&lt;-These are for illustrative purposes, Apple doesn't have convertible preferred stock</t>
  </si>
  <si>
    <t>Last twelve months (LTM)</t>
  </si>
  <si>
    <t>Year 1</t>
  </si>
  <si>
    <t>LTM EBITDA multiple</t>
  </si>
  <si>
    <t>Step:</t>
  </si>
  <si>
    <t>these figures have been obtained from consensus data</t>
  </si>
  <si>
    <t>Contents</t>
  </si>
  <si>
    <t>1)</t>
  </si>
  <si>
    <t>FSM Apple 2018 - This sheet uses data from 2016 - 2018 to make projections for 2019 - 2023</t>
  </si>
  <si>
    <t>2)</t>
  </si>
  <si>
    <t>3)</t>
  </si>
  <si>
    <t>4)</t>
  </si>
  <si>
    <t>5)</t>
  </si>
  <si>
    <t>6)</t>
  </si>
  <si>
    <t>DCF 1-Pager - This sheet shows a discounted cash flow that is not integrated to the financial statement model</t>
  </si>
  <si>
    <t>WACC - Calculating the weighted average cost of capital</t>
  </si>
  <si>
    <t>FSM Apple 2019 - This sheet updates the previous sheet with actual 2019 results and compares the results of the projection with actual</t>
  </si>
  <si>
    <t>FSM Integrated DCF - This sheet integrates the results from the financial statement model to a discounted cash flow valuation</t>
  </si>
  <si>
    <t xml:space="preserve">Cost of sales </t>
  </si>
  <si>
    <t xml:space="preserve">Research &amp; development </t>
  </si>
  <si>
    <t xml:space="preserve">Selling, general &amp; administrative </t>
  </si>
  <si>
    <t xml:space="preserve">Other expense, net </t>
  </si>
  <si>
    <t>Stub year counts first year cash flows starting at the valuation date</t>
  </si>
  <si>
    <t>Taxes</t>
  </si>
  <si>
    <t>Shares - This sheet highlights the process of handling options, convertible debt and convertible preferred stock</t>
  </si>
  <si>
    <t>JP Morgan estimates through 2021: straight-line thereafter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</si>
</sst>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5">
    <numFmt numFmtId="164" formatCode="_(#,##0_)_%;\(#,##0\)_%;_(&quot;–&quot;_)_%;_(@_)_%"/>
    <numFmt numFmtId="165" formatCode="&quot;$&quot;#,##0.00_);[Red]\(&quot;$&quot;#,##0.00\)"/>
    <numFmt numFmtId="166" formatCode="m/d/yy;@"/>
    <numFmt numFmtId="167" formatCode="#,##0.000_);\(#,##0.000\)"/>
    <numFmt numFmtId="168" formatCode="0\A;[Red]0\A"/>
    <numFmt numFmtId="169" formatCode="0\P_);\(0\P\)"/>
    <numFmt numFmtId="170" formatCode="0.0%"/>
    <numFmt numFmtId="171" formatCode="0.0%_);\(0.0%\);@_)"/>
    <numFmt numFmtId="172" formatCode="_(#,##0.0%_);\(#,##0.0%\);_(&quot;–&quot;_)_%;_(@_)_%"/>
    <numFmt numFmtId="173" formatCode="0.00%_);\(0.00%\);@_)"/>
    <numFmt numFmtId="174" formatCode="_(#,##0.00%_);\(#,##0.00%\);_(&quot;–&quot;_)_%;_(@_)_%"/>
    <numFmt numFmtId="175" formatCode="&quot;$&quot;#,##0_);\(&quot;$&quot;#,##0\)"/>
    <numFmt numFmtId="176" formatCode="0.0%;\ \(0.0%\)"/>
    <numFmt numFmtId="177" formatCode="#,##0_);\(#,##0\);@_)"/>
    <numFmt numFmtId="178" formatCode="0%_);\(0%\);@_)"/>
    <numFmt numFmtId="179" formatCode="&quot;$&quot;#,##0.00_);\(&quot;$&quot;#,##0.00\)"/>
    <numFmt numFmtId="180" formatCode="#,##0;\(#,##0\);&quot;–&quot;;@"/>
    <numFmt numFmtId="181" formatCode="#,##0.0_);\(#,##0.0\);@_)"/>
    <numFmt numFmtId="182" formatCode="0000\A"/>
    <numFmt numFmtId="183" formatCode="0000\P"/>
    <numFmt numFmtId="184" formatCode="0.0\x_);\(0.0\x\);@_)"/>
    <numFmt numFmtId="185" formatCode="0.000%_);\(0.000%\);@_)"/>
    <numFmt numFmtId="186" formatCode="#,##0.00_);\(#,##0.00\);@_)"/>
    <numFmt numFmtId="187" formatCode="#,##0.000_);\(#,##0.000\);@_)"/>
    <numFmt numFmtId="188" formatCode="_([$$]#,##0_)_%;\([$$]#,##0\)_%;_(&quot;–&quot;_)_%;_(@_)_%"/>
    <numFmt numFmtId="189" formatCode="&quot;$&quot;#,##0.00_);\(&quot;$&quot;#,##0.00\);@_)"/>
    <numFmt numFmtId="190" formatCode="_(0.0_)_'_x;_(\(0.0\)_';_(&quot;–&quot;_)_%;_(@_)_%"/>
    <numFmt numFmtId="191" formatCode="_(0.0\x_)_';_(\(0.0\x\)_';_(&quot;–&quot;_)_%;_(@_)_%"/>
    <numFmt numFmtId="192" formatCode="#,##0.00_);\(#,##0.00\);\-_);@_)"/>
    <numFmt numFmtId="193" formatCode="#,##0.0_);\(#,##0.0\);\-_);@_)"/>
    <numFmt numFmtId="194" formatCode="_([$$]#,##0.00_)_%;\([$$]#,##0.00\)_%;_(&quot;–&quot;_)_%;_(@_)_%"/>
    <numFmt numFmtId="195" formatCode="[$$-380A]\ #,##0.00;\-[$$-380A]\ #,##0.00"/>
    <numFmt numFmtId="196" formatCode="0_);\(0\);0_)"/>
    <numFmt numFmtId="197" formatCode="#,##0.000"/>
    <numFmt numFmtId="198" formatCode="0.00\x_);\(0.00\x\);@_)"/>
  </numFmts>
  <fonts count="33" x14ac:knownFonts="1">
    <font>
      <sz val="11"/>
      <color theme="1"/>
      <name val="Calibri"/>
      <family val="2"/>
      <scheme val="minor"/>
    </font>
    <font>
      <sz val="11"/>
      <color theme="1"/>
      <name val="Calibri"/>
      <family val="2"/>
      <scheme val="minor"/>
    </font>
    <font>
      <b/>
      <sz val="11"/>
      <color theme="1"/>
      <name val="Calibri"/>
      <family val="2"/>
      <scheme val="minor"/>
    </font>
    <font>
      <i/>
      <sz val="11"/>
      <color rgb="FF000000"/>
      <name val="Calibri"/>
      <family val="2"/>
      <scheme val="minor"/>
    </font>
    <font>
      <sz val="11"/>
      <color rgb="FF000000"/>
      <name val="Calibri"/>
      <family val="2"/>
      <scheme val="minor"/>
    </font>
    <font>
      <sz val="11"/>
      <color rgb="FF0000FF"/>
      <name val="Calibri"/>
      <family val="2"/>
      <scheme val="minor"/>
    </font>
    <font>
      <i/>
      <sz val="11"/>
      <color theme="1"/>
      <name val="Calibri"/>
      <family val="2"/>
      <scheme val="minor"/>
    </font>
    <font>
      <i/>
      <sz val="11"/>
      <color rgb="FF0000FF"/>
      <name val="Calibri"/>
      <family val="2"/>
      <scheme val="minor"/>
    </font>
    <font>
      <b/>
      <sz val="11"/>
      <color rgb="FF000000"/>
      <name val="Calibri"/>
      <family val="2"/>
      <scheme val="minor"/>
    </font>
    <font>
      <u/>
      <sz val="11"/>
      <color theme="1"/>
      <name val="Calibri"/>
      <family val="2"/>
      <scheme val="minor"/>
    </font>
    <font>
      <sz val="9"/>
      <color rgb="FF008000"/>
      <name val="Calibri"/>
      <family val="2"/>
      <scheme val="minor"/>
    </font>
    <font>
      <sz val="8"/>
      <color rgb="FFFF0000"/>
      <name val="Calibri"/>
      <family val="2"/>
      <scheme val="minor"/>
    </font>
    <font>
      <b/>
      <u/>
      <sz val="11"/>
      <color theme="1"/>
      <name val="Calibri"/>
      <family val="2"/>
      <scheme val="minor"/>
    </font>
    <font>
      <sz val="11"/>
      <name val="Calibri"/>
      <family val="2"/>
      <scheme val="minor"/>
    </font>
    <font>
      <b/>
      <sz val="9"/>
      <color theme="1"/>
      <name val="Calibri"/>
      <family val="2"/>
      <scheme val="minor"/>
    </font>
    <font>
      <sz val="9"/>
      <color indexed="81"/>
      <name val="Tahoma"/>
      <family val="2"/>
    </font>
    <font>
      <b/>
      <sz val="9"/>
      <color indexed="81"/>
      <name val="Tahoma"/>
      <family val="2"/>
    </font>
    <font>
      <b/>
      <i/>
      <sz val="9"/>
      <color theme="1"/>
      <name val="Calibri"/>
      <family val="2"/>
      <scheme val="minor"/>
    </font>
    <font>
      <i/>
      <sz val="9"/>
      <color rgb="FF000000"/>
      <name val="Calibri"/>
      <family val="2"/>
      <scheme val="minor"/>
    </font>
    <font>
      <sz val="11"/>
      <color rgb="FF008000"/>
      <name val="Calibri"/>
      <family val="2"/>
      <scheme val="minor"/>
    </font>
    <font>
      <u val="singleAccounting"/>
      <sz val="11"/>
      <color rgb="FF000000"/>
      <name val="Calibri"/>
      <family val="2"/>
      <scheme val="minor"/>
    </font>
    <font>
      <u/>
      <sz val="11"/>
      <color theme="10"/>
      <name val="Calibri"/>
      <family val="2"/>
      <scheme val="minor"/>
    </font>
    <font>
      <b/>
      <u/>
      <sz val="11"/>
      <color rgb="FF0000FF"/>
      <name val="Calibri"/>
      <family val="2"/>
      <scheme val="minor"/>
    </font>
    <font>
      <u val="singleAccounting"/>
      <sz val="11"/>
      <color theme="1"/>
      <name val="Calibri"/>
      <family val="2"/>
      <scheme val="minor"/>
    </font>
    <font>
      <u/>
      <sz val="11"/>
      <color rgb="FF000000"/>
      <name val="Calibri"/>
      <family val="2"/>
      <scheme val="minor"/>
    </font>
    <font>
      <u/>
      <sz val="11"/>
      <color rgb="FF0000FF"/>
      <name val="Calibri"/>
      <family val="2"/>
      <scheme val="minor"/>
    </font>
    <font>
      <b/>
      <u val="singleAccounting"/>
      <sz val="11"/>
      <color theme="1"/>
      <name val="Calibri"/>
      <family val="2"/>
      <scheme val="minor"/>
    </font>
    <font>
      <u val="singleAccounting"/>
      <sz val="11"/>
      <color rgb="FF0000FF"/>
      <name val="Calibri"/>
      <family val="2"/>
      <scheme val="minor"/>
    </font>
    <font>
      <sz val="10"/>
      <name val="Times New Roman"/>
      <family val="1"/>
    </font>
    <font>
      <b/>
      <u/>
      <sz val="11"/>
      <color rgb="FF0070C0"/>
      <name val="Calibri"/>
      <family val="2"/>
      <scheme val="minor"/>
    </font>
    <font>
      <sz val="14"/>
      <color theme="1"/>
      <name val="Calibri"/>
      <family val="2"/>
      <scheme val="minor"/>
    </font>
    <font>
      <u/>
      <sz val="72"/>
      <color theme="1"/>
      <name val="Calibri"/>
      <family val="2"/>
      <scheme val="minor"/>
    </font>
    <font>
      <b/>
      <sz val="14"/>
      <color theme="1"/>
      <name val="Calibri"/>
      <family val="2"/>
      <scheme val="minor"/>
    </font>
  </fonts>
  <fills count="6">
    <fill>
      <patternFill patternType="none"/>
    </fill>
    <fill>
      <patternFill patternType="gray125"/>
    </fill>
    <fill>
      <patternFill patternType="solid">
        <fgColor rgb="FFFCE5CD"/>
        <bgColor indexed="64"/>
      </patternFill>
    </fill>
    <fill>
      <patternFill patternType="solid">
        <fgColor rgb="FFD2F2FF"/>
        <bgColor rgb="FF000000"/>
      </patternFill>
    </fill>
    <fill>
      <patternFill patternType="solid">
        <fgColor rgb="FFCCFFFF"/>
        <bgColor indexed="64"/>
      </patternFill>
    </fill>
    <fill>
      <patternFill patternType="solid">
        <fgColor rgb="FFC0C0C0"/>
        <bgColor indexed="64"/>
      </patternFill>
    </fill>
  </fills>
  <borders count="39">
    <border>
      <left/>
      <right/>
      <top/>
      <bottom/>
      <diagonal/>
    </border>
    <border>
      <left/>
      <right/>
      <top style="medium">
        <color rgb="FF000000"/>
      </top>
      <bottom style="medium">
        <color rgb="FF000000"/>
      </bottom>
      <diagonal/>
    </border>
    <border>
      <left/>
      <right/>
      <top style="medium">
        <color rgb="FF000000"/>
      </top>
      <bottom/>
      <diagonal/>
    </border>
    <border>
      <left style="hair">
        <color rgb="FF000000"/>
      </left>
      <right style="hair">
        <color rgb="FF000000"/>
      </right>
      <top style="hair">
        <color rgb="FF000000"/>
      </top>
      <bottom style="hair">
        <color rgb="FF000000"/>
      </bottom>
      <diagonal/>
    </border>
    <border>
      <left/>
      <right/>
      <top/>
      <bottom style="thin">
        <color rgb="FF000000"/>
      </bottom>
      <diagonal/>
    </border>
    <border>
      <left/>
      <right/>
      <top/>
      <bottom style="thin">
        <color auto="1"/>
      </bottom>
      <diagonal/>
    </border>
    <border>
      <left/>
      <right/>
      <top style="thin">
        <color rgb="FF000000"/>
      </top>
      <bottom/>
      <diagonal/>
    </border>
    <border>
      <left/>
      <right/>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right/>
      <top style="hair">
        <color rgb="FF000000"/>
      </top>
      <bottom/>
      <diagonal/>
    </border>
    <border>
      <left/>
      <right/>
      <top/>
      <bottom style="medium">
        <color rgb="FF000000"/>
      </bottom>
      <diagonal/>
    </border>
    <border>
      <left style="thin">
        <color rgb="FF000000"/>
      </left>
      <right/>
      <top style="thin">
        <color rgb="FF000000"/>
      </top>
      <bottom/>
      <diagonal/>
    </border>
    <border>
      <left/>
      <right/>
      <top style="thin">
        <color rgb="FF000000"/>
      </top>
      <bottom style="medium">
        <color rgb="FF000000"/>
      </bottom>
      <diagonal/>
    </border>
    <border>
      <left style="thin">
        <color rgb="FF000000"/>
      </left>
      <right style="medium">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right style="medium">
        <color rgb="FF000000"/>
      </right>
      <top/>
      <bottom style="medium">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hair">
        <color rgb="FF000000"/>
      </left>
      <right style="hair">
        <color rgb="FF000000"/>
      </right>
      <top/>
      <bottom/>
      <diagonal/>
    </border>
    <border>
      <left style="hair">
        <color rgb="FF000000"/>
      </left>
      <right/>
      <top/>
      <bottom/>
      <diagonal/>
    </border>
    <border>
      <left style="hair">
        <color rgb="FF000000"/>
      </left>
      <right style="hair">
        <color rgb="FF000000"/>
      </right>
      <top/>
      <bottom style="hair">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hair">
        <color rgb="FF000000"/>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style="hair">
        <color rgb="FF000000"/>
      </left>
      <right/>
      <top/>
      <bottom style="thin">
        <color rgb="FF000000"/>
      </bottom>
      <diagonal/>
    </border>
    <border>
      <left style="thin">
        <color rgb="FF000000"/>
      </left>
      <right style="thin">
        <color rgb="FF000000"/>
      </right>
      <top/>
      <bottom style="thin">
        <color rgb="FF000000"/>
      </bottom>
      <diagonal/>
    </border>
  </borders>
  <cellStyleXfs count="4">
    <xf numFmtId="0" fontId="0" fillId="0" borderId="0"/>
    <xf numFmtId="9" fontId="1" fillId="0" borderId="0" applyFont="0" applyFill="0" applyBorder="0" applyAlignment="0" applyProtection="0"/>
    <xf numFmtId="0" fontId="21" fillId="0" borderId="0" applyNumberFormat="0" applyFill="0" applyBorder="0" applyAlignment="0" applyProtection="0"/>
    <xf numFmtId="37" fontId="28" fillId="0" borderId="0"/>
  </cellStyleXfs>
  <cellXfs count="305">
    <xf numFmtId="0" fontId="0" fillId="0" borderId="0" xfId="0"/>
    <xf numFmtId="0" fontId="2" fillId="0" borderId="1" xfId="0" applyFont="1" applyBorder="1"/>
    <xf numFmtId="0" fontId="0" fillId="0" borderId="1" xfId="0" applyBorder="1"/>
    <xf numFmtId="14" fontId="3" fillId="0" borderId="0" xfId="0" applyNumberFormat="1" applyFont="1" applyAlignment="1">
      <alignment horizontal="left"/>
    </xf>
    <xf numFmtId="0" fontId="0" fillId="0" borderId="2" xfId="0" applyBorder="1"/>
    <xf numFmtId="0" fontId="4" fillId="0" borderId="0" xfId="0" applyFont="1"/>
    <xf numFmtId="0" fontId="5" fillId="0" borderId="0" xfId="0" applyFont="1" applyAlignment="1">
      <alignment horizontal="center"/>
    </xf>
    <xf numFmtId="164" fontId="5" fillId="2" borderId="3" xfId="0" applyNumberFormat="1" applyFont="1" applyFill="1" applyBorder="1" applyAlignment="1">
      <alignment horizontal="center"/>
    </xf>
    <xf numFmtId="165" fontId="5" fillId="0" borderId="0" xfId="0" applyNumberFormat="1" applyFont="1" applyAlignment="1">
      <alignment horizontal="center"/>
    </xf>
    <xf numFmtId="14" fontId="5" fillId="0" borderId="0" xfId="0" applyNumberFormat="1" applyFont="1" applyAlignment="1">
      <alignment horizontal="center"/>
    </xf>
    <xf numFmtId="166" fontId="5" fillId="0" borderId="0" xfId="0" applyNumberFormat="1" applyFont="1" applyAlignment="1">
      <alignment horizontal="center"/>
    </xf>
    <xf numFmtId="167" fontId="5" fillId="0" borderId="0" xfId="0" applyNumberFormat="1" applyFont="1" applyAlignment="1">
      <alignment horizontal="center"/>
    </xf>
    <xf numFmtId="0" fontId="2" fillId="0" borderId="0" xfId="0" applyFont="1"/>
    <xf numFmtId="0" fontId="2" fillId="0" borderId="4" xfId="0" applyFont="1" applyBorder="1"/>
    <xf numFmtId="0" fontId="0" fillId="0" borderId="4" xfId="0" applyBorder="1"/>
    <xf numFmtId="168" fontId="2" fillId="0" borderId="0" xfId="0" applyNumberFormat="1" applyFont="1"/>
    <xf numFmtId="169" fontId="2" fillId="0" borderId="0" xfId="0" applyNumberFormat="1" applyFont="1"/>
    <xf numFmtId="0" fontId="6" fillId="0" borderId="4" xfId="0" applyFont="1" applyBorder="1"/>
    <xf numFmtId="166" fontId="6" fillId="0" borderId="5" xfId="0" applyNumberFormat="1" applyFont="1" applyBorder="1"/>
    <xf numFmtId="0" fontId="6" fillId="0" borderId="0" xfId="0" applyFont="1"/>
    <xf numFmtId="166" fontId="7" fillId="0" borderId="0" xfId="0" applyNumberFormat="1" applyFont="1"/>
    <xf numFmtId="166" fontId="6" fillId="0" borderId="0" xfId="0" applyNumberFormat="1" applyFont="1"/>
    <xf numFmtId="9" fontId="6" fillId="0" borderId="0" xfId="0" applyNumberFormat="1" applyFont="1"/>
    <xf numFmtId="170" fontId="6" fillId="0" borderId="0" xfId="0" applyNumberFormat="1" applyFont="1"/>
    <xf numFmtId="37" fontId="5" fillId="0" borderId="0" xfId="0" applyNumberFormat="1" applyFont="1"/>
    <xf numFmtId="37" fontId="4" fillId="0" borderId="0" xfId="0" applyNumberFormat="1" applyFont="1"/>
    <xf numFmtId="37" fontId="8" fillId="0" borderId="0" xfId="0" applyNumberFormat="1" applyFont="1"/>
    <xf numFmtId="37" fontId="0" fillId="0" borderId="0" xfId="0" applyNumberFormat="1"/>
    <xf numFmtId="0" fontId="0" fillId="0" borderId="0" xfId="0" applyAlignment="1">
      <alignment horizontal="left" indent="1"/>
    </xf>
    <xf numFmtId="0" fontId="0" fillId="0" borderId="0" xfId="0" applyAlignment="1">
      <alignment horizontal="left"/>
    </xf>
    <xf numFmtId="0" fontId="2" fillId="0" borderId="0" xfId="0" applyFont="1" applyAlignment="1">
      <alignment horizontal="left"/>
    </xf>
    <xf numFmtId="4" fontId="0" fillId="0" borderId="0" xfId="0" applyNumberFormat="1"/>
    <xf numFmtId="0" fontId="9" fillId="0" borderId="0" xfId="0" applyFont="1"/>
    <xf numFmtId="171" fontId="4" fillId="0" borderId="0" xfId="0" applyNumberFormat="1" applyFont="1"/>
    <xf numFmtId="166" fontId="6" fillId="0" borderId="4" xfId="0" applyNumberFormat="1" applyFont="1" applyBorder="1"/>
    <xf numFmtId="14" fontId="6" fillId="0" borderId="0" xfId="0" applyNumberFormat="1" applyFont="1"/>
    <xf numFmtId="168" fontId="8" fillId="0" borderId="0" xfId="0" applyNumberFormat="1" applyFont="1"/>
    <xf numFmtId="169" fontId="8" fillId="0" borderId="0" xfId="0" applyNumberFormat="1" applyFont="1"/>
    <xf numFmtId="166" fontId="3" fillId="0" borderId="4" xfId="0" applyNumberFormat="1" applyFont="1" applyBorder="1"/>
    <xf numFmtId="37" fontId="2" fillId="0" borderId="0" xfId="0" applyNumberFormat="1" applyFont="1"/>
    <xf numFmtId="37" fontId="6" fillId="0" borderId="0" xfId="0" applyNumberFormat="1" applyFont="1"/>
    <xf numFmtId="3" fontId="0" fillId="0" borderId="0" xfId="0" applyNumberFormat="1"/>
    <xf numFmtId="0" fontId="2" fillId="0" borderId="6" xfId="0" applyFont="1" applyBorder="1" applyAlignment="1">
      <alignment horizontal="centerContinuous"/>
    </xf>
    <xf numFmtId="0" fontId="0" fillId="0" borderId="0" xfId="0" quotePrefix="1" applyAlignment="1">
      <alignment horizontal="left" indent="1"/>
    </xf>
    <xf numFmtId="0" fontId="0" fillId="0" borderId="7" xfId="0" quotePrefix="1" applyBorder="1" applyAlignment="1">
      <alignment horizontal="left" indent="1"/>
    </xf>
    <xf numFmtId="37" fontId="5" fillId="0" borderId="7" xfId="0" applyNumberFormat="1" applyFont="1" applyBorder="1"/>
    <xf numFmtId="37" fontId="0" fillId="0" borderId="7" xfId="0" applyNumberFormat="1" applyBorder="1"/>
    <xf numFmtId="0" fontId="2" fillId="0" borderId="0" xfId="0" applyFont="1" applyAlignment="1">
      <alignment horizontal="left" indent="1"/>
    </xf>
    <xf numFmtId="171" fontId="0" fillId="0" borderId="0" xfId="0" applyNumberFormat="1"/>
    <xf numFmtId="0" fontId="2" fillId="0" borderId="4" xfId="0" applyFont="1" applyBorder="1" applyAlignment="1">
      <alignment horizontal="left"/>
    </xf>
    <xf numFmtId="171" fontId="0" fillId="0" borderId="4" xfId="0" applyNumberFormat="1" applyBorder="1"/>
    <xf numFmtId="171" fontId="4" fillId="0" borderId="4" xfId="0" applyNumberFormat="1" applyFont="1" applyBorder="1"/>
    <xf numFmtId="172" fontId="0" fillId="0" borderId="0" xfId="0" applyNumberFormat="1"/>
    <xf numFmtId="37" fontId="2" fillId="0" borderId="4" xfId="0" applyNumberFormat="1" applyFont="1" applyBorder="1"/>
    <xf numFmtId="37" fontId="4" fillId="0" borderId="6" xfId="0" applyNumberFormat="1" applyFont="1" applyBorder="1"/>
    <xf numFmtId="0" fontId="0" fillId="0" borderId="7" xfId="0" applyBorder="1" applyAlignment="1">
      <alignment horizontal="left" indent="1"/>
    </xf>
    <xf numFmtId="0" fontId="0" fillId="0" borderId="7" xfId="0" applyBorder="1"/>
    <xf numFmtId="37" fontId="4" fillId="0" borderId="7" xfId="0" applyNumberFormat="1" applyFont="1" applyBorder="1"/>
    <xf numFmtId="37" fontId="2" fillId="0" borderId="4" xfId="0" applyNumberFormat="1" applyFont="1" applyBorder="1" applyAlignment="1">
      <alignment horizontal="left"/>
    </xf>
    <xf numFmtId="37" fontId="2" fillId="0" borderId="7" xfId="0" applyNumberFormat="1" applyFont="1" applyBorder="1"/>
    <xf numFmtId="0" fontId="10" fillId="0" borderId="8" xfId="0" applyFont="1" applyBorder="1" applyAlignment="1">
      <alignment horizontal="left" indent="2"/>
    </xf>
    <xf numFmtId="37" fontId="0" fillId="0" borderId="9" xfId="0" applyNumberFormat="1" applyBorder="1"/>
    <xf numFmtId="0" fontId="0" fillId="0" borderId="9" xfId="0" applyBorder="1"/>
    <xf numFmtId="37" fontId="11" fillId="0" borderId="9" xfId="0" applyNumberFormat="1" applyFont="1" applyBorder="1" applyAlignment="1">
      <alignment horizontal="right"/>
    </xf>
    <xf numFmtId="37" fontId="11" fillId="0" borderId="10" xfId="0" applyNumberFormat="1" applyFont="1" applyBorder="1" applyAlignment="1">
      <alignment horizontal="right"/>
    </xf>
    <xf numFmtId="0" fontId="10" fillId="0" borderId="0" xfId="0" applyFont="1" applyAlignment="1">
      <alignment horizontal="center"/>
    </xf>
    <xf numFmtId="37" fontId="11" fillId="0" borderId="0" xfId="0" applyNumberFormat="1" applyFont="1" applyAlignment="1">
      <alignment horizontal="right"/>
    </xf>
    <xf numFmtId="9" fontId="5" fillId="0" borderId="4" xfId="0" applyNumberFormat="1" applyFont="1" applyBorder="1"/>
    <xf numFmtId="37" fontId="0" fillId="0" borderId="6" xfId="0" applyNumberFormat="1" applyBorder="1"/>
    <xf numFmtId="0" fontId="9" fillId="0" borderId="0" xfId="0" applyFont="1" applyAlignment="1">
      <alignment horizontal="left" indent="1"/>
    </xf>
    <xf numFmtId="0" fontId="12" fillId="0" borderId="0" xfId="0" applyFont="1" applyAlignment="1">
      <alignment horizontal="left"/>
    </xf>
    <xf numFmtId="173" fontId="5" fillId="0" borderId="0" xfId="0" applyNumberFormat="1" applyFont="1"/>
    <xf numFmtId="174" fontId="13" fillId="0" borderId="0" xfId="0" applyNumberFormat="1" applyFont="1"/>
    <xf numFmtId="0" fontId="8" fillId="0" borderId="11" xfId="0" applyFont="1" applyBorder="1" applyAlignment="1">
      <alignment horizontal="left" indent="1"/>
    </xf>
    <xf numFmtId="37" fontId="8" fillId="0" borderId="11" xfId="0" applyNumberFormat="1" applyFont="1" applyBorder="1"/>
    <xf numFmtId="0" fontId="0" fillId="0" borderId="0" xfId="0" applyAlignment="1">
      <alignment horizontal="left" indent="2"/>
    </xf>
    <xf numFmtId="10" fontId="5" fillId="0" borderId="0" xfId="0" applyNumberFormat="1" applyFont="1"/>
    <xf numFmtId="174" fontId="4" fillId="0" borderId="0" xfId="0" applyNumberFormat="1" applyFont="1"/>
    <xf numFmtId="37" fontId="4" fillId="0" borderId="0" xfId="0" applyNumberFormat="1" applyFont="1" applyAlignment="1">
      <alignment horizontal="left" indent="1"/>
    </xf>
    <xf numFmtId="169" fontId="2" fillId="0" borderId="12" xfId="0" applyNumberFormat="1" applyFont="1" applyBorder="1"/>
    <xf numFmtId="0" fontId="0" fillId="0" borderId="12" xfId="0" applyBorder="1"/>
    <xf numFmtId="0" fontId="2" fillId="0" borderId="0" xfId="0" applyFont="1" applyAlignment="1">
      <alignment horizontal="centerContinuous"/>
    </xf>
    <xf numFmtId="0" fontId="0" fillId="0" borderId="0" xfId="0" applyAlignment="1">
      <alignment horizontal="centerContinuous"/>
    </xf>
    <xf numFmtId="0" fontId="2" fillId="0" borderId="0" xfId="0" applyFont="1" applyAlignment="1">
      <alignment horizontal="right"/>
    </xf>
    <xf numFmtId="0" fontId="0" fillId="0" borderId="18" xfId="0" applyBorder="1"/>
    <xf numFmtId="0" fontId="0" fillId="0" borderId="20" xfId="0" applyBorder="1"/>
    <xf numFmtId="172" fontId="5" fillId="0" borderId="20" xfId="0" applyNumberFormat="1" applyFont="1" applyBorder="1" applyAlignment="1">
      <alignment horizontal="center"/>
    </xf>
    <xf numFmtId="0" fontId="0" fillId="0" borderId="20" xfId="0" applyBorder="1" applyAlignment="1">
      <alignment horizontal="center"/>
    </xf>
    <xf numFmtId="171" fontId="5" fillId="0" borderId="0" xfId="0" applyNumberFormat="1" applyFont="1"/>
    <xf numFmtId="178" fontId="0" fillId="0" borderId="0" xfId="0" applyNumberFormat="1"/>
    <xf numFmtId="172" fontId="5" fillId="0" borderId="21" xfId="0" applyNumberFormat="1" applyFont="1" applyBorder="1" applyAlignment="1">
      <alignment horizontal="center"/>
    </xf>
    <xf numFmtId="165" fontId="0" fillId="0" borderId="0" xfId="0" applyNumberFormat="1"/>
    <xf numFmtId="0" fontId="0" fillId="0" borderId="0" xfId="0" applyAlignment="1">
      <alignment horizontal="right"/>
    </xf>
    <xf numFmtId="175" fontId="4" fillId="0" borderId="13" xfId="0" applyNumberFormat="1" applyFont="1" applyBorder="1"/>
    <xf numFmtId="170" fontId="5" fillId="0" borderId="14" xfId="1" applyNumberFormat="1" applyFont="1" applyFill="1" applyBorder="1" applyAlignment="1"/>
    <xf numFmtId="176" fontId="5" fillId="0" borderId="15" xfId="0" applyNumberFormat="1" applyFont="1" applyBorder="1"/>
    <xf numFmtId="177" fontId="0" fillId="0" borderId="0" xfId="0" applyNumberFormat="1"/>
    <xf numFmtId="0" fontId="14" fillId="0" borderId="17" xfId="0" applyFont="1" applyBorder="1" applyAlignment="1">
      <alignment horizontal="center"/>
    </xf>
    <xf numFmtId="0" fontId="14" fillId="0" borderId="19" xfId="0" applyFont="1" applyBorder="1" applyAlignment="1">
      <alignment horizontal="center"/>
    </xf>
    <xf numFmtId="171" fontId="0" fillId="0" borderId="20" xfId="0" applyNumberFormat="1" applyBorder="1" applyAlignment="1">
      <alignment horizontal="center"/>
    </xf>
    <xf numFmtId="37" fontId="13" fillId="0" borderId="0" xfId="0" applyNumberFormat="1" applyFont="1"/>
    <xf numFmtId="179" fontId="8" fillId="0" borderId="0" xfId="0" applyNumberFormat="1" applyFont="1"/>
    <xf numFmtId="180" fontId="13" fillId="0" borderId="0" xfId="0" applyNumberFormat="1" applyFont="1"/>
    <xf numFmtId="180" fontId="0" fillId="0" borderId="0" xfId="0" applyNumberFormat="1"/>
    <xf numFmtId="165" fontId="5" fillId="0" borderId="0" xfId="0" applyNumberFormat="1" applyFont="1"/>
    <xf numFmtId="180" fontId="5" fillId="0" borderId="0" xfId="0" applyNumberFormat="1" applyFont="1"/>
    <xf numFmtId="172" fontId="4" fillId="0" borderId="0" xfId="0" applyNumberFormat="1" applyFont="1"/>
    <xf numFmtId="170" fontId="5" fillId="0" borderId="0" xfId="0" applyNumberFormat="1" applyFont="1"/>
    <xf numFmtId="170" fontId="5" fillId="0" borderId="0" xfId="1" applyNumberFormat="1" applyFont="1"/>
    <xf numFmtId="0" fontId="10" fillId="0" borderId="9" xfId="0" applyFont="1" applyBorder="1" applyAlignment="1">
      <alignment horizontal="left" indent="2"/>
    </xf>
    <xf numFmtId="0" fontId="8" fillId="0" borderId="0" xfId="0" applyFont="1" applyAlignment="1">
      <alignment horizontal="left" indent="1"/>
    </xf>
    <xf numFmtId="172" fontId="13" fillId="0" borderId="0" xfId="0" applyNumberFormat="1" applyFont="1"/>
    <xf numFmtId="0" fontId="2" fillId="0" borderId="12" xfId="0" applyFont="1" applyBorder="1"/>
    <xf numFmtId="37" fontId="17" fillId="0" borderId="22" xfId="0" applyNumberFormat="1" applyFont="1" applyBorder="1" applyAlignment="1">
      <alignment horizontal="center"/>
    </xf>
    <xf numFmtId="169" fontId="2" fillId="0" borderId="22" xfId="0" applyNumberFormat="1" applyFont="1" applyBorder="1" applyAlignment="1">
      <alignment horizontal="center"/>
    </xf>
    <xf numFmtId="169" fontId="2" fillId="0" borderId="2" xfId="0" applyNumberFormat="1" applyFont="1" applyBorder="1" applyAlignment="1">
      <alignment horizontal="center"/>
    </xf>
    <xf numFmtId="169" fontId="2" fillId="0" borderId="23" xfId="0" applyNumberFormat="1" applyFont="1" applyBorder="1" applyAlignment="1">
      <alignment horizontal="center"/>
    </xf>
    <xf numFmtId="0" fontId="17" fillId="0" borderId="20" xfId="0" applyFont="1" applyBorder="1" applyAlignment="1">
      <alignment horizontal="center"/>
    </xf>
    <xf numFmtId="166" fontId="6" fillId="0" borderId="12" xfId="0" applyNumberFormat="1" applyFont="1" applyBorder="1" applyAlignment="1">
      <alignment horizontal="center"/>
    </xf>
    <xf numFmtId="166" fontId="6" fillId="0" borderId="24" xfId="0" applyNumberFormat="1" applyFont="1" applyBorder="1" applyAlignment="1">
      <alignment horizontal="center"/>
    </xf>
    <xf numFmtId="10" fontId="0" fillId="0" borderId="17" xfId="0" applyNumberFormat="1" applyBorder="1" applyAlignment="1">
      <alignment horizontal="center"/>
    </xf>
    <xf numFmtId="171" fontId="4" fillId="0" borderId="2" xfId="0" applyNumberFormat="1" applyFont="1" applyBorder="1"/>
    <xf numFmtId="10" fontId="0" fillId="0" borderId="20" xfId="0" applyNumberFormat="1" applyBorder="1" applyAlignment="1">
      <alignment horizontal="center"/>
    </xf>
    <xf numFmtId="169" fontId="2" fillId="0" borderId="6" xfId="0" applyNumberFormat="1" applyFont="1" applyBorder="1"/>
    <xf numFmtId="170" fontId="4" fillId="0" borderId="20" xfId="1" applyNumberFormat="1" applyFont="1" applyFill="1" applyBorder="1" applyAlignment="1">
      <alignment horizontal="center"/>
    </xf>
    <xf numFmtId="0" fontId="4" fillId="0" borderId="20" xfId="0" applyFont="1" applyBorder="1" applyAlignment="1">
      <alignment horizontal="center"/>
    </xf>
    <xf numFmtId="10" fontId="4" fillId="0" borderId="20" xfId="0" applyNumberFormat="1" applyFont="1" applyBorder="1" applyAlignment="1">
      <alignment horizontal="center"/>
    </xf>
    <xf numFmtId="170" fontId="5" fillId="0" borderId="20" xfId="1" applyNumberFormat="1" applyFont="1" applyFill="1" applyBorder="1" applyAlignment="1">
      <alignment horizontal="center"/>
    </xf>
    <xf numFmtId="10" fontId="5" fillId="0" borderId="20" xfId="0" applyNumberFormat="1" applyFont="1" applyBorder="1" applyAlignment="1">
      <alignment horizontal="center"/>
    </xf>
    <xf numFmtId="10" fontId="5" fillId="0" borderId="21" xfId="0" applyNumberFormat="1" applyFont="1" applyBorder="1" applyAlignment="1">
      <alignment horizontal="center"/>
    </xf>
    <xf numFmtId="170" fontId="5" fillId="0" borderId="0" xfId="1" applyNumberFormat="1" applyFont="1" applyFill="1" applyBorder="1" applyAlignment="1"/>
    <xf numFmtId="164" fontId="5" fillId="2" borderId="16" xfId="0" applyNumberFormat="1" applyFont="1" applyFill="1" applyBorder="1" applyAlignment="1">
      <alignment horizontal="center"/>
    </xf>
    <xf numFmtId="0" fontId="18" fillId="0" borderId="2" xfId="0" applyFont="1" applyBorder="1"/>
    <xf numFmtId="0" fontId="8" fillId="0" borderId="7" xfId="0" applyFont="1" applyBorder="1"/>
    <xf numFmtId="0" fontId="4" fillId="0" borderId="7" xfId="0" applyFont="1" applyBorder="1"/>
    <xf numFmtId="0" fontId="8" fillId="0" borderId="7" xfId="0" applyFont="1" applyBorder="1" applyAlignment="1">
      <alignment horizontal="right"/>
    </xf>
    <xf numFmtId="0" fontId="9" fillId="0" borderId="0" xfId="0" applyFont="1" applyAlignment="1">
      <alignment horizontal="left"/>
    </xf>
    <xf numFmtId="0" fontId="2" fillId="0" borderId="25" xfId="0" applyFont="1" applyBorder="1"/>
    <xf numFmtId="0" fontId="0" fillId="0" borderId="26" xfId="0" applyBorder="1"/>
    <xf numFmtId="0" fontId="2" fillId="0" borderId="2" xfId="0" applyFont="1" applyBorder="1"/>
    <xf numFmtId="0" fontId="21" fillId="0" borderId="0" xfId="2" applyBorder="1"/>
    <xf numFmtId="179" fontId="19" fillId="0" borderId="0" xfId="0" applyNumberFormat="1" applyFont="1" applyAlignment="1">
      <alignment horizontal="right"/>
    </xf>
    <xf numFmtId="0" fontId="2" fillId="0" borderId="7" xfId="0" applyFont="1" applyBorder="1"/>
    <xf numFmtId="179" fontId="19" fillId="0" borderId="7" xfId="0" applyNumberFormat="1" applyFont="1" applyBorder="1" applyAlignment="1">
      <alignment horizontal="right"/>
    </xf>
    <xf numFmtId="0" fontId="23" fillId="0" borderId="0" xfId="0" applyFont="1" applyAlignment="1">
      <alignment horizontal="centerContinuous"/>
    </xf>
    <xf numFmtId="0" fontId="20" fillId="0" borderId="9" xfId="0" applyFont="1" applyBorder="1" applyAlignment="1">
      <alignment horizontal="centerContinuous"/>
    </xf>
    <xf numFmtId="14" fontId="0" fillId="0" borderId="0" xfId="0" applyNumberFormat="1" applyAlignment="1">
      <alignment horizontal="center"/>
    </xf>
    <xf numFmtId="182" fontId="2" fillId="0" borderId="28" xfId="0" applyNumberFormat="1" applyFont="1" applyBorder="1"/>
    <xf numFmtId="183" fontId="2" fillId="0" borderId="0" xfId="0" applyNumberFormat="1" applyFont="1"/>
    <xf numFmtId="177" fontId="4" fillId="0" borderId="0" xfId="0" applyNumberFormat="1" applyFont="1"/>
    <xf numFmtId="172" fontId="5" fillId="0" borderId="0" xfId="0" applyNumberFormat="1" applyFont="1"/>
    <xf numFmtId="177" fontId="19" fillId="0" borderId="28" xfId="0" applyNumberFormat="1" applyFont="1" applyBorder="1"/>
    <xf numFmtId="177" fontId="19" fillId="0" borderId="0" xfId="0" applyNumberFormat="1" applyFont="1"/>
    <xf numFmtId="177" fontId="2" fillId="0" borderId="0" xfId="0" applyNumberFormat="1" applyFont="1"/>
    <xf numFmtId="177" fontId="8" fillId="0" borderId="0" xfId="0" applyNumberFormat="1" applyFont="1"/>
    <xf numFmtId="177" fontId="19" fillId="0" borderId="7" xfId="0" applyNumberFormat="1" applyFont="1" applyBorder="1"/>
    <xf numFmtId="177" fontId="20" fillId="0" borderId="7" xfId="0" applyNumberFormat="1" applyFont="1" applyBorder="1" applyAlignment="1">
      <alignment horizontal="center"/>
    </xf>
    <xf numFmtId="177" fontId="20" fillId="0" borderId="0" xfId="0" applyNumberFormat="1" applyFont="1"/>
    <xf numFmtId="14" fontId="0" fillId="0" borderId="0" xfId="0" applyNumberFormat="1"/>
    <xf numFmtId="0" fontId="8" fillId="0" borderId="0" xfId="0" applyFont="1"/>
    <xf numFmtId="183" fontId="0" fillId="0" borderId="0" xfId="0" applyNumberFormat="1"/>
    <xf numFmtId="184" fontId="5" fillId="0" borderId="0" xfId="0" applyNumberFormat="1" applyFont="1"/>
    <xf numFmtId="0" fontId="6" fillId="0" borderId="0" xfId="0" applyFont="1" applyAlignment="1">
      <alignment horizontal="left"/>
    </xf>
    <xf numFmtId="172" fontId="6" fillId="0" borderId="0" xfId="0" applyNumberFormat="1" applyFont="1"/>
    <xf numFmtId="185" fontId="6" fillId="0" borderId="0" xfId="0" applyNumberFormat="1" applyFont="1"/>
    <xf numFmtId="171" fontId="0" fillId="0" borderId="0" xfId="0" quotePrefix="1" applyNumberFormat="1"/>
    <xf numFmtId="184" fontId="6" fillId="0" borderId="0" xfId="0" applyNumberFormat="1" applyFont="1"/>
    <xf numFmtId="0" fontId="9" fillId="0" borderId="0" xfId="0" applyFont="1" applyAlignment="1">
      <alignment horizontal="right"/>
    </xf>
    <xf numFmtId="0" fontId="9" fillId="0" borderId="0" xfId="0" applyFont="1" applyAlignment="1">
      <alignment horizontal="left" vertical="center"/>
    </xf>
    <xf numFmtId="14" fontId="4" fillId="0" borderId="0" xfId="0" applyNumberFormat="1" applyFont="1"/>
    <xf numFmtId="187" fontId="5" fillId="0" borderId="0" xfId="0" applyNumberFormat="1" applyFont="1"/>
    <xf numFmtId="167" fontId="5" fillId="0" borderId="0" xfId="0" applyNumberFormat="1" applyFont="1"/>
    <xf numFmtId="0" fontId="4" fillId="0" borderId="0" xfId="0" applyFont="1" applyAlignment="1">
      <alignment horizontal="left" indent="1"/>
    </xf>
    <xf numFmtId="188" fontId="5" fillId="0" borderId="0" xfId="0" applyNumberFormat="1" applyFont="1"/>
    <xf numFmtId="0" fontId="0" fillId="0" borderId="0" xfId="0" applyAlignment="1">
      <alignment horizontal="left" vertical="center" indent="1"/>
    </xf>
    <xf numFmtId="167" fontId="0" fillId="0" borderId="0" xfId="0" applyNumberFormat="1"/>
    <xf numFmtId="187" fontId="25" fillId="0" borderId="0" xfId="0" applyNumberFormat="1" applyFont="1"/>
    <xf numFmtId="0" fontId="2" fillId="0" borderId="0" xfId="0" applyFont="1" applyAlignment="1">
      <alignment vertical="center"/>
    </xf>
    <xf numFmtId="0" fontId="23" fillId="0" borderId="0" xfId="0" applyFont="1" applyAlignment="1">
      <alignment horizontal="right"/>
    </xf>
    <xf numFmtId="189" fontId="2" fillId="0" borderId="0" xfId="0" applyNumberFormat="1" applyFont="1" applyAlignment="1">
      <alignment horizontal="right"/>
    </xf>
    <xf numFmtId="190" fontId="0" fillId="0" borderId="0" xfId="0" applyNumberFormat="1" applyAlignment="1">
      <alignment horizontal="right"/>
    </xf>
    <xf numFmtId="9" fontId="0" fillId="0" borderId="0" xfId="0" applyNumberFormat="1"/>
    <xf numFmtId="0" fontId="4" fillId="3" borderId="0" xfId="0" applyFont="1" applyFill="1"/>
    <xf numFmtId="0" fontId="26" fillId="0" borderId="0" xfId="0" applyFont="1" applyAlignment="1">
      <alignment horizontal="centerContinuous"/>
    </xf>
    <xf numFmtId="0" fontId="23" fillId="0" borderId="29" xfId="0" applyFont="1" applyBorder="1" applyAlignment="1">
      <alignment horizontal="centerContinuous"/>
    </xf>
    <xf numFmtId="0" fontId="0" fillId="0" borderId="29" xfId="0" applyBorder="1" applyAlignment="1">
      <alignment horizontal="centerContinuous"/>
    </xf>
    <xf numFmtId="39" fontId="0" fillId="0" borderId="4" xfId="0" applyNumberFormat="1" applyBorder="1" applyAlignment="1">
      <alignment horizontal="right"/>
    </xf>
    <xf numFmtId="170" fontId="4" fillId="4" borderId="26" xfId="0" applyNumberFormat="1" applyFont="1" applyFill="1" applyBorder="1"/>
    <xf numFmtId="170" fontId="5" fillId="4" borderId="26" xfId="0" applyNumberFormat="1" applyFont="1" applyFill="1" applyBorder="1"/>
    <xf numFmtId="170" fontId="4" fillId="4" borderId="29" xfId="0" applyNumberFormat="1" applyFont="1" applyFill="1" applyBorder="1"/>
    <xf numFmtId="184" fontId="0" fillId="0" borderId="31" xfId="0" applyNumberFormat="1" applyBorder="1" applyAlignment="1">
      <alignment horizontal="right"/>
    </xf>
    <xf numFmtId="170" fontId="4" fillId="4" borderId="32" xfId="0" applyNumberFormat="1" applyFont="1" applyFill="1" applyBorder="1" applyAlignment="1">
      <alignment horizontal="right"/>
    </xf>
    <xf numFmtId="192" fontId="0" fillId="0" borderId="0" xfId="0" applyNumberFormat="1"/>
    <xf numFmtId="192" fontId="0" fillId="0" borderId="29" xfId="0" applyNumberFormat="1" applyBorder="1"/>
    <xf numFmtId="184" fontId="0" fillId="0" borderId="0" xfId="0" applyNumberFormat="1" applyAlignment="1">
      <alignment horizontal="right"/>
    </xf>
    <xf numFmtId="170" fontId="5" fillId="4" borderId="32" xfId="0" applyNumberFormat="1" applyFont="1" applyFill="1" applyBorder="1" applyAlignment="1">
      <alignment horizontal="right"/>
    </xf>
    <xf numFmtId="0" fontId="8" fillId="3" borderId="0" xfId="0" applyFont="1" applyFill="1" applyAlignment="1">
      <alignment horizontal="center"/>
    </xf>
    <xf numFmtId="193" fontId="0" fillId="0" borderId="0" xfId="0" applyNumberFormat="1"/>
    <xf numFmtId="193" fontId="0" fillId="0" borderId="29" xfId="0" applyNumberFormat="1" applyBorder="1"/>
    <xf numFmtId="189" fontId="0" fillId="0" borderId="31" xfId="0" applyNumberFormat="1" applyBorder="1"/>
    <xf numFmtId="184" fontId="4" fillId="4" borderId="26" xfId="0" applyNumberFormat="1" applyFont="1" applyFill="1" applyBorder="1"/>
    <xf numFmtId="184" fontId="5" fillId="4" borderId="26" xfId="0" applyNumberFormat="1" applyFont="1" applyFill="1" applyBorder="1"/>
    <xf numFmtId="184" fontId="4" fillId="4" borderId="29" xfId="0" applyNumberFormat="1" applyFont="1" applyFill="1" applyBorder="1"/>
    <xf numFmtId="0" fontId="0" fillId="0" borderId="29" xfId="0" applyBorder="1"/>
    <xf numFmtId="0" fontId="2" fillId="5" borderId="0" xfId="0" applyFont="1" applyFill="1"/>
    <xf numFmtId="0" fontId="2" fillId="5" borderId="29" xfId="0" applyFont="1" applyFill="1" applyBorder="1"/>
    <xf numFmtId="174" fontId="0" fillId="0" borderId="0" xfId="0" applyNumberFormat="1"/>
    <xf numFmtId="0" fontId="0" fillId="0" borderId="25" xfId="0" applyBorder="1"/>
    <xf numFmtId="0" fontId="0" fillId="0" borderId="26" xfId="0" applyBorder="1" applyAlignment="1">
      <alignment horizontal="right"/>
    </xf>
    <xf numFmtId="0" fontId="0" fillId="0" borderId="27" xfId="0" applyBorder="1" applyAlignment="1">
      <alignment horizontal="right"/>
    </xf>
    <xf numFmtId="0" fontId="0" fillId="0" borderId="33" xfId="0" applyBorder="1"/>
    <xf numFmtId="0" fontId="0" fillId="0" borderId="34" xfId="0" quotePrefix="1" applyBorder="1"/>
    <xf numFmtId="39" fontId="0" fillId="0" borderId="0" xfId="0" applyNumberFormat="1"/>
    <xf numFmtId="39" fontId="0" fillId="0" borderId="35" xfId="0" applyNumberFormat="1" applyBorder="1"/>
    <xf numFmtId="39" fontId="4" fillId="0" borderId="0" xfId="0" applyNumberFormat="1" applyFont="1"/>
    <xf numFmtId="39" fontId="4" fillId="0" borderId="35" xfId="0" applyNumberFormat="1" applyFont="1" applyBorder="1"/>
    <xf numFmtId="0" fontId="0" fillId="0" borderId="34" xfId="0" applyBorder="1"/>
    <xf numFmtId="0" fontId="0" fillId="0" borderId="36" xfId="0" applyBorder="1"/>
    <xf numFmtId="39" fontId="0" fillId="0" borderId="4" xfId="0" applyNumberFormat="1" applyBorder="1"/>
    <xf numFmtId="39" fontId="0" fillId="0" borderId="31" xfId="0" applyNumberFormat="1" applyBorder="1"/>
    <xf numFmtId="0" fontId="0" fillId="0" borderId="37" xfId="0" applyBorder="1"/>
    <xf numFmtId="39" fontId="4" fillId="0" borderId="4" xfId="0" applyNumberFormat="1" applyFont="1" applyBorder="1"/>
    <xf numFmtId="39" fontId="4" fillId="0" borderId="31" xfId="0" applyNumberFormat="1" applyFont="1" applyBorder="1"/>
    <xf numFmtId="179" fontId="19" fillId="0" borderId="0" xfId="0" applyNumberFormat="1" applyFont="1"/>
    <xf numFmtId="0" fontId="0" fillId="0" borderId="7" xfId="0" applyBorder="1" applyAlignment="1">
      <alignment horizontal="center"/>
    </xf>
    <xf numFmtId="0" fontId="23" fillId="0" borderId="0" xfId="0" applyFont="1" applyAlignment="1">
      <alignment horizontal="center"/>
    </xf>
    <xf numFmtId="194" fontId="5" fillId="0" borderId="0" xfId="0" applyNumberFormat="1" applyFont="1"/>
    <xf numFmtId="167" fontId="27" fillId="0" borderId="0" xfId="0" applyNumberFormat="1" applyFont="1"/>
    <xf numFmtId="167" fontId="4" fillId="0" borderId="0" xfId="0" applyNumberFormat="1" applyFont="1"/>
    <xf numFmtId="179" fontId="0" fillId="0" borderId="0" xfId="0" applyNumberFormat="1"/>
    <xf numFmtId="14" fontId="5" fillId="0" borderId="0" xfId="0" applyNumberFormat="1" applyFont="1"/>
    <xf numFmtId="171" fontId="19" fillId="0" borderId="0" xfId="0" applyNumberFormat="1" applyFont="1"/>
    <xf numFmtId="179" fontId="5" fillId="0" borderId="0" xfId="0" applyNumberFormat="1" applyFont="1"/>
    <xf numFmtId="14" fontId="5" fillId="0" borderId="0" xfId="0" applyNumberFormat="1" applyFont="1" applyAlignment="1">
      <alignment horizontal="right"/>
    </xf>
    <xf numFmtId="0" fontId="21" fillId="0" borderId="0" xfId="2" applyFill="1" applyBorder="1"/>
    <xf numFmtId="177" fontId="22" fillId="0" borderId="3" xfId="0" applyNumberFormat="1" applyFont="1" applyBorder="1" applyAlignment="1">
      <alignment horizontal="center"/>
    </xf>
    <xf numFmtId="166" fontId="0" fillId="0" borderId="28" xfId="0" applyNumberFormat="1" applyBorder="1" applyAlignment="1">
      <alignment horizontal="center"/>
    </xf>
    <xf numFmtId="166" fontId="0" fillId="0" borderId="11" xfId="0" applyNumberFormat="1" applyBorder="1" applyAlignment="1">
      <alignment horizontal="center"/>
    </xf>
    <xf numFmtId="0" fontId="0" fillId="0" borderId="28" xfId="0" applyBorder="1"/>
    <xf numFmtId="177" fontId="4" fillId="0" borderId="28" xfId="0" applyNumberFormat="1" applyFont="1" applyBorder="1"/>
    <xf numFmtId="172" fontId="4" fillId="0" borderId="28" xfId="0" applyNumberFormat="1" applyFont="1" applyBorder="1"/>
    <xf numFmtId="171" fontId="19" fillId="0" borderId="29" xfId="0" applyNumberFormat="1" applyFont="1" applyBorder="1"/>
    <xf numFmtId="177" fontId="8" fillId="0" borderId="29" xfId="0" applyNumberFormat="1" applyFont="1" applyBorder="1"/>
    <xf numFmtId="177" fontId="4" fillId="0" borderId="29" xfId="0" applyNumberFormat="1" applyFont="1" applyBorder="1"/>
    <xf numFmtId="177" fontId="5" fillId="0" borderId="28" xfId="0" applyNumberFormat="1" applyFont="1" applyBorder="1"/>
    <xf numFmtId="172" fontId="4" fillId="0" borderId="30" xfId="0" applyNumberFormat="1" applyFont="1" applyBorder="1"/>
    <xf numFmtId="177" fontId="5" fillId="0" borderId="0" xfId="0" applyNumberFormat="1" applyFont="1"/>
    <xf numFmtId="0" fontId="24" fillId="0" borderId="0" xfId="0" applyFont="1" applyAlignment="1">
      <alignment horizontal="center"/>
    </xf>
    <xf numFmtId="177" fontId="4" fillId="0" borderId="7" xfId="0" applyNumberFormat="1" applyFont="1" applyBorder="1"/>
    <xf numFmtId="0" fontId="5" fillId="0" borderId="0" xfId="0" applyFont="1"/>
    <xf numFmtId="186" fontId="5" fillId="0" borderId="0" xfId="0" applyNumberFormat="1" applyFont="1"/>
    <xf numFmtId="37" fontId="19" fillId="0" borderId="0" xfId="0" applyNumberFormat="1" applyFont="1"/>
    <xf numFmtId="4" fontId="2" fillId="0" borderId="0" xfId="0" applyNumberFormat="1" applyFont="1"/>
    <xf numFmtId="191" fontId="0" fillId="0" borderId="0" xfId="0" applyNumberFormat="1" applyAlignment="1">
      <alignment horizontal="right"/>
    </xf>
    <xf numFmtId="172" fontId="0" fillId="0" borderId="0" xfId="0" applyNumberFormat="1" applyAlignment="1">
      <alignment horizontal="right"/>
    </xf>
    <xf numFmtId="177" fontId="4" fillId="0" borderId="0" xfId="0" applyNumberFormat="1" applyFont="1" applyAlignment="1">
      <alignment horizontal="right"/>
    </xf>
    <xf numFmtId="37" fontId="3" fillId="0" borderId="7" xfId="0" applyNumberFormat="1" applyFont="1" applyBorder="1" applyAlignment="1">
      <alignment horizontal="right"/>
    </xf>
    <xf numFmtId="37" fontId="4" fillId="0" borderId="0" xfId="0" applyNumberFormat="1" applyFont="1" applyAlignment="1">
      <alignment horizontal="right"/>
    </xf>
    <xf numFmtId="189" fontId="8" fillId="0" borderId="0" xfId="0" applyNumberFormat="1" applyFont="1" applyAlignment="1">
      <alignment horizontal="right"/>
    </xf>
    <xf numFmtId="191" fontId="4" fillId="0" borderId="0" xfId="0" applyNumberFormat="1" applyFont="1" applyAlignment="1">
      <alignment horizontal="right"/>
    </xf>
    <xf numFmtId="190" fontId="4" fillId="0" borderId="0" xfId="0" applyNumberFormat="1" applyFont="1" applyAlignment="1">
      <alignment horizontal="right"/>
    </xf>
    <xf numFmtId="0" fontId="2" fillId="0" borderId="0" xfId="0" applyFont="1" applyAlignment="1">
      <alignment horizontal="center"/>
    </xf>
    <xf numFmtId="186" fontId="19" fillId="0" borderId="0" xfId="0" applyNumberFormat="1" applyFont="1"/>
    <xf numFmtId="14" fontId="5" fillId="0" borderId="0" xfId="3" applyNumberFormat="1" applyFont="1" applyAlignment="1">
      <alignment horizontal="right"/>
    </xf>
    <xf numFmtId="14" fontId="4" fillId="0" borderId="0" xfId="3" applyNumberFormat="1" applyFont="1" applyAlignment="1">
      <alignment horizontal="right"/>
    </xf>
    <xf numFmtId="0" fontId="29" fillId="0" borderId="0" xfId="0" applyFont="1" applyAlignment="1">
      <alignment horizontal="center"/>
    </xf>
    <xf numFmtId="166" fontId="0" fillId="0" borderId="29" xfId="0" applyNumberFormat="1" applyBorder="1" applyAlignment="1">
      <alignment horizontal="center"/>
    </xf>
    <xf numFmtId="166" fontId="0" fillId="0" borderId="0" xfId="0" applyNumberFormat="1" applyAlignment="1">
      <alignment horizontal="center"/>
    </xf>
    <xf numFmtId="196" fontId="0" fillId="0" borderId="0" xfId="0" applyNumberFormat="1"/>
    <xf numFmtId="9" fontId="0" fillId="0" borderId="0" xfId="1" applyFont="1"/>
    <xf numFmtId="172" fontId="0" fillId="0" borderId="0" xfId="0" applyNumberFormat="1" applyAlignment="1">
      <alignment horizontal="center"/>
    </xf>
    <xf numFmtId="167" fontId="19" fillId="0" borderId="0" xfId="0" applyNumberFormat="1" applyFont="1" applyAlignment="1">
      <alignment horizontal="right"/>
    </xf>
    <xf numFmtId="197" fontId="2" fillId="0" borderId="0" xfId="0" applyNumberFormat="1" applyFont="1"/>
    <xf numFmtId="177" fontId="0" fillId="0" borderId="0" xfId="0" applyNumberFormat="1" applyAlignment="1">
      <alignment horizontal="right"/>
    </xf>
    <xf numFmtId="37" fontId="6" fillId="0" borderId="7" xfId="0" applyNumberFormat="1" applyFont="1" applyBorder="1" applyAlignment="1">
      <alignment horizontal="right"/>
    </xf>
    <xf numFmtId="37" fontId="0" fillId="0" borderId="0" xfId="0" applyNumberFormat="1" applyAlignment="1">
      <alignment horizontal="right"/>
    </xf>
    <xf numFmtId="189" fontId="0" fillId="0" borderId="4" xfId="0" applyNumberFormat="1" applyBorder="1" applyAlignment="1">
      <alignment horizontal="right"/>
    </xf>
    <xf numFmtId="170" fontId="4" fillId="4" borderId="25" xfId="0" applyNumberFormat="1" applyFont="1" applyFill="1" applyBorder="1"/>
    <xf numFmtId="170" fontId="4" fillId="4" borderId="27" xfId="0" applyNumberFormat="1" applyFont="1" applyFill="1" applyBorder="1"/>
    <xf numFmtId="170" fontId="4" fillId="4" borderId="38" xfId="0" applyNumberFormat="1" applyFont="1" applyFill="1" applyBorder="1" applyAlignment="1">
      <alignment horizontal="right"/>
    </xf>
    <xf numFmtId="184" fontId="4" fillId="4" borderId="27" xfId="0" applyNumberFormat="1" applyFont="1" applyFill="1" applyBorder="1"/>
    <xf numFmtId="0" fontId="9" fillId="0" borderId="0" xfId="0" applyFont="1" applyAlignment="1">
      <alignment horizontal="center"/>
    </xf>
    <xf numFmtId="9" fontId="5" fillId="0" borderId="0" xfId="1" applyFont="1"/>
    <xf numFmtId="0" fontId="30" fillId="0" borderId="0" xfId="0" applyFont="1" applyAlignment="1">
      <alignment horizontal="right"/>
    </xf>
    <xf numFmtId="0" fontId="30" fillId="0" borderId="0" xfId="0" applyFont="1"/>
    <xf numFmtId="0" fontId="31" fillId="0" borderId="0" xfId="0" applyFont="1"/>
    <xf numFmtId="0" fontId="32" fillId="0" borderId="0" xfId="0" applyFont="1" applyAlignment="1">
      <alignment horizontal="left"/>
    </xf>
    <xf numFmtId="39" fontId="8" fillId="0" borderId="0" xfId="0" applyNumberFormat="1" applyFont="1"/>
    <xf numFmtId="167" fontId="2" fillId="0" borderId="0" xfId="0" applyNumberFormat="1" applyFont="1"/>
    <xf numFmtId="167" fontId="2" fillId="0" borderId="7" xfId="0" applyNumberFormat="1" applyFont="1" applyBorder="1"/>
    <xf numFmtId="39" fontId="5" fillId="0" borderId="0" xfId="0" applyNumberFormat="1" applyFont="1"/>
    <xf numFmtId="195" fontId="0" fillId="0" borderId="0" xfId="0" applyNumberFormat="1"/>
    <xf numFmtId="37" fontId="3" fillId="0" borderId="0" xfId="0" applyNumberFormat="1" applyFont="1"/>
    <xf numFmtId="179" fontId="4" fillId="0" borderId="0" xfId="0" applyNumberFormat="1" applyFont="1"/>
    <xf numFmtId="174" fontId="19" fillId="0" borderId="7" xfId="0" applyNumberFormat="1" applyFont="1" applyBorder="1"/>
    <xf numFmtId="10" fontId="5" fillId="0" borderId="7" xfId="0" applyNumberFormat="1" applyFont="1" applyBorder="1"/>
    <xf numFmtId="10" fontId="4" fillId="0" borderId="0" xfId="0" applyNumberFormat="1" applyFont="1"/>
    <xf numFmtId="170" fontId="4" fillId="0" borderId="0" xfId="0" applyNumberFormat="1" applyFont="1"/>
    <xf numFmtId="170" fontId="20" fillId="0" borderId="0" xfId="0" applyNumberFormat="1" applyFont="1" applyAlignment="1">
      <alignment horizontal="right"/>
    </xf>
    <xf numFmtId="181" fontId="19" fillId="0" borderId="0" xfId="0" applyNumberFormat="1" applyFont="1"/>
    <xf numFmtId="9" fontId="5" fillId="0" borderId="0" xfId="0" applyNumberFormat="1" applyFont="1"/>
    <xf numFmtId="0" fontId="2" fillId="0" borderId="26" xfId="0" applyFont="1" applyBorder="1"/>
    <xf numFmtId="171" fontId="2" fillId="0" borderId="27" xfId="0" applyNumberFormat="1" applyFont="1" applyBorder="1"/>
    <xf numFmtId="177" fontId="8" fillId="0" borderId="30" xfId="0" applyNumberFormat="1" applyFont="1" applyBorder="1"/>
    <xf numFmtId="198" fontId="0" fillId="0" borderId="0" xfId="0" applyNumberFormat="1" applyAlignment="1">
      <alignment horizontal="right"/>
    </xf>
  </cellXfs>
  <cellStyles count="4">
    <cellStyle name="Hyperlink" xfId="2" builtinId="8"/>
    <cellStyle name="Normal" xfId="0" builtinId="0"/>
    <cellStyle name="Normal_DCF_Model" xfId="3" xr:uid="{36F4519E-4956-40C3-91BF-1E0FEE3A930F}"/>
    <cellStyle name="Percent" xfId="1" builtinId="5"/>
  </cellStyles>
  <dxfs count="6">
    <dxf>
      <font>
        <color rgb="FF9C0006"/>
      </font>
      <fill>
        <patternFill>
          <bgColor rgb="FFFFC7CE"/>
        </patternFill>
      </fill>
    </dxf>
    <dxf>
      <font>
        <color rgb="FF9C0006"/>
      </font>
      <fill>
        <patternFill>
          <bgColor rgb="FFFFC7CE"/>
        </patternFill>
      </fill>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Equity Valuation Range </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1-Pager'!$B$122:$B$124</c:f>
              <c:strCache>
                <c:ptCount val="3"/>
                <c:pt idx="0">
                  <c:v>DCF Value at 11.5x-13.5x Exit EBITDA Range at 7.8% WACC</c:v>
                </c:pt>
                <c:pt idx="1">
                  <c:v>DCF Value at 2.0%-4.0% Perpetuity Range at 7.8% WACC</c:v>
                </c:pt>
                <c:pt idx="2">
                  <c:v>52 Week Market High/Low</c:v>
                </c:pt>
              </c:strCache>
            </c:strRef>
          </c:cat>
          <c:val>
            <c:numRef>
              <c:f>'DCF 1-Pager'!$C$122:$C$124</c:f>
              <c:numCache>
                <c:formatCode>#,##0.00_);\(#,##0.00\)</c:formatCode>
                <c:ptCount val="3"/>
                <c:pt idx="0">
                  <c:v>249.08634127580683</c:v>
                </c:pt>
                <c:pt idx="1">
                  <c:v>271.51409196853308</c:v>
                </c:pt>
                <c:pt idx="2">
                  <c:v>169.5</c:v>
                </c:pt>
              </c:numCache>
            </c:numRef>
          </c:val>
          <c:extLst>
            <c:ext xmlns:c16="http://schemas.microsoft.com/office/drawing/2014/chart" uri="{C3380CC4-5D6E-409C-BE32-E72D297353CC}">
              <c16:uniqueId val="{00000000-1F42-4DC1-91A8-272A7F300EFC}"/>
            </c:ext>
          </c:extLst>
        </c:ser>
        <c:ser>
          <c:idx val="1"/>
          <c:order val="1"/>
          <c:spPr>
            <a:solidFill>
              <a:srgbClr val="C00000"/>
            </a:solidFill>
          </c:spPr>
          <c:invertIfNegative val="0"/>
          <c:cat>
            <c:strRef>
              <c:f>'DCF 1-Pager'!$B$122:$B$124</c:f>
              <c:strCache>
                <c:ptCount val="3"/>
                <c:pt idx="0">
                  <c:v>DCF Value at 11.5x-13.5x Exit EBITDA Range at 7.8% WACC</c:v>
                </c:pt>
                <c:pt idx="1">
                  <c:v>DCF Value at 2.0%-4.0% Perpetuity Range at 7.8% WACC</c:v>
                </c:pt>
                <c:pt idx="2">
                  <c:v>52 Week Market High/Low</c:v>
                </c:pt>
              </c:strCache>
            </c:strRef>
          </c:cat>
          <c:val>
            <c:numRef>
              <c:f>'DCF 1-Pager'!$D$122:$D$124</c:f>
              <c:numCache>
                <c:formatCode>#,##0.00_);\(#,##0.00\)</c:formatCode>
                <c:ptCount val="3"/>
                <c:pt idx="0">
                  <c:v>30.29596153302225</c:v>
                </c:pt>
                <c:pt idx="1">
                  <c:v>109.37390753828566</c:v>
                </c:pt>
                <c:pt idx="2">
                  <c:v>158.35000000000002</c:v>
                </c:pt>
              </c:numCache>
            </c:numRef>
          </c:val>
          <c:extLst>
            <c:ext xmlns:c16="http://schemas.microsoft.com/office/drawing/2014/chart" uri="{C3380CC4-5D6E-409C-BE32-E72D297353CC}">
              <c16:uniqueId val="{00000001-1F42-4DC1-91A8-272A7F300EFC}"/>
            </c:ext>
          </c:extLst>
        </c:ser>
        <c:ser>
          <c:idx val="2"/>
          <c:order val="2"/>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1-Pager'!$B$122:$B$124</c:f>
              <c:strCache>
                <c:ptCount val="3"/>
                <c:pt idx="0">
                  <c:v>DCF Value at 11.5x-13.5x Exit EBITDA Range at 7.8% WACC</c:v>
                </c:pt>
                <c:pt idx="1">
                  <c:v>DCF Value at 2.0%-4.0% Perpetuity Range at 7.8% WACC</c:v>
                </c:pt>
                <c:pt idx="2">
                  <c:v>52 Week Market High/Low</c:v>
                </c:pt>
              </c:strCache>
            </c:strRef>
          </c:cat>
          <c:val>
            <c:numRef>
              <c:f>'DCF 1-Pager'!$E$122:$E$124</c:f>
              <c:numCache>
                <c:formatCode>#,##0.00_);\(#,##0.00\)</c:formatCode>
                <c:ptCount val="3"/>
                <c:pt idx="0">
                  <c:v>279.38230280882908</c:v>
                </c:pt>
                <c:pt idx="1">
                  <c:v>380.88799950681874</c:v>
                </c:pt>
                <c:pt idx="2">
                  <c:v>327.85</c:v>
                </c:pt>
              </c:numCache>
            </c:numRef>
          </c:val>
          <c:extLst>
            <c:ext xmlns:c16="http://schemas.microsoft.com/office/drawing/2014/chart" uri="{C3380CC4-5D6E-409C-BE32-E72D297353CC}">
              <c16:uniqueId val="{00000002-1F42-4DC1-91A8-272A7F300EFC}"/>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400"/>
          <c:min val="1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LTM EBITDA Multiple Range</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numFmt formatCode="#,##0.0\x;\-#,##0.0\x" sourceLinked="0"/>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1-Pager'!$G$122:$G$124</c:f>
              <c:strCache>
                <c:ptCount val="3"/>
                <c:pt idx="0">
                  <c:v>LTM EBITDA Purchase Multiple at 2.5%-3.5% Perpetuity Growth at 7.8% WACC</c:v>
                </c:pt>
                <c:pt idx="1">
                  <c:v>LTM EBITDA Purchase Multiple at 13.4x-15.2x Exit EBITDA Multiple at 7.8% WACC</c:v>
                </c:pt>
                <c:pt idx="2">
                  <c:v>LTM EBITDA Purchase Multiple at 6.8%-8.8% WACC at 12.5x Exit EBITDA</c:v>
                </c:pt>
              </c:strCache>
            </c:strRef>
          </c:cat>
          <c:val>
            <c:numRef>
              <c:f>'DCF 1-Pager'!$O$122:$O$124</c:f>
              <c:numCache>
                <c:formatCode>#,##0.00_);\(#,##0.00\)</c:formatCode>
                <c:ptCount val="3"/>
                <c:pt idx="0">
                  <c:v>15.850364139878245</c:v>
                </c:pt>
                <c:pt idx="1">
                  <c:v>13.386841924961782</c:v>
                </c:pt>
                <c:pt idx="2">
                  <c:v>13.735438835521636</c:v>
                </c:pt>
              </c:numCache>
            </c:numRef>
          </c:val>
          <c:extLst>
            <c:ext xmlns:c16="http://schemas.microsoft.com/office/drawing/2014/chart" uri="{C3380CC4-5D6E-409C-BE32-E72D297353CC}">
              <c16:uniqueId val="{00000000-9ABD-4740-81BA-CB860411F8AC}"/>
            </c:ext>
          </c:extLst>
        </c:ser>
        <c:ser>
          <c:idx val="1"/>
          <c:order val="1"/>
          <c:spPr>
            <a:solidFill>
              <a:schemeClr val="tx2"/>
            </a:solidFill>
          </c:spPr>
          <c:invertIfNegative val="0"/>
          <c:cat>
            <c:strRef>
              <c:f>'DCF 1-Pager'!$G$122:$G$124</c:f>
              <c:strCache>
                <c:ptCount val="3"/>
                <c:pt idx="0">
                  <c:v>LTM EBITDA Purchase Multiple at 2.5%-3.5% Perpetuity Growth at 7.8% WACC</c:v>
                </c:pt>
                <c:pt idx="1">
                  <c:v>LTM EBITDA Purchase Multiple at 13.4x-15.2x Exit EBITDA Multiple at 7.8% WACC</c:v>
                </c:pt>
                <c:pt idx="2">
                  <c:v>LTM EBITDA Purchase Multiple at 6.8%-8.8% WACC at 12.5x Exit EBITDA</c:v>
                </c:pt>
              </c:strCache>
            </c:strRef>
          </c:cat>
          <c:val>
            <c:numRef>
              <c:f>'DCF 1-Pager'!$P$122:$P$124</c:f>
              <c:numCache>
                <c:formatCode>#,##0.00_);\(#,##0.00\)</c:formatCode>
                <c:ptCount val="3"/>
                <c:pt idx="0">
                  <c:v>3.0997179565497177</c:v>
                </c:pt>
                <c:pt idx="1">
                  <c:v>1.775644098703383</c:v>
                </c:pt>
                <c:pt idx="2">
                  <c:v>1.1062331549815383</c:v>
                </c:pt>
              </c:numCache>
            </c:numRef>
          </c:val>
          <c:extLst>
            <c:ext xmlns:c16="http://schemas.microsoft.com/office/drawing/2014/chart" uri="{C3380CC4-5D6E-409C-BE32-E72D297353CC}">
              <c16:uniqueId val="{00000001-9ABD-4740-81BA-CB860411F8AC}"/>
            </c:ext>
          </c:extLst>
        </c:ser>
        <c:ser>
          <c:idx val="2"/>
          <c:order val="2"/>
          <c:spPr>
            <a:noFill/>
          </c:spPr>
          <c:invertIfNegative val="0"/>
          <c:dLbls>
            <c:numFmt formatCode="#,##0.0\x;\-#,##0.0\x" sourceLinked="0"/>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'DCF 1-Pager'!$G$122:$G$124</c:f>
              <c:strCache>
                <c:ptCount val="3"/>
                <c:pt idx="0">
                  <c:v>LTM EBITDA Purchase Multiple at 2.5%-3.5% Perpetuity Growth at 7.8% WACC</c:v>
                </c:pt>
                <c:pt idx="1">
                  <c:v>LTM EBITDA Purchase Multiple at 13.4x-15.2x Exit EBITDA Multiple at 7.8% WACC</c:v>
                </c:pt>
                <c:pt idx="2">
                  <c:v>LTM EBITDA Purchase Multiple at 6.8%-8.8% WACC at 12.5x Exit EBITDA</c:v>
                </c:pt>
              </c:strCache>
            </c:strRef>
          </c:cat>
          <c:val>
            <c:numRef>
              <c:f>'DCF 1-Pager'!$Q$122:$Q$124</c:f>
              <c:numCache>
                <c:formatCode>#,##0.00_);\(#,##0.00\)</c:formatCode>
                <c:ptCount val="3"/>
                <c:pt idx="0">
                  <c:v>18.950082096427963</c:v>
                </c:pt>
                <c:pt idx="1">
                  <c:v>15.162486023665165</c:v>
                </c:pt>
                <c:pt idx="2">
                  <c:v>14.841671990503174</c:v>
                </c:pt>
              </c:numCache>
            </c:numRef>
          </c:val>
          <c:extLst>
            <c:ext xmlns:c16="http://schemas.microsoft.com/office/drawing/2014/chart" uri="{C3380CC4-5D6E-409C-BE32-E72D297353CC}">
              <c16:uniqueId val="{00000002-9ABD-4740-81BA-CB860411F8AC}"/>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20"/>
          <c:min val="10"/>
        </c:scaling>
        <c:delete val="0"/>
        <c:axPos val="l"/>
        <c:numFmt formatCode="#,##0.0\x;\-#,##0.0\x" sourceLinked="0"/>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DCF Equity Valuation Range </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'FSM Integrated DCF'!$B$128:$B$130</c:f>
              <c:strCache>
                <c:ptCount val="3"/>
                <c:pt idx="0">
                  <c:v>DCF Value at 10.5x-14.5x Exit EBITDA Range at 7.8% WACC</c:v>
                </c:pt>
                <c:pt idx="1">
                  <c:v>DCF Value at 2.0%-4.0% Perpetuity Range at 7.8% WACC</c:v>
                </c:pt>
                <c:pt idx="2">
                  <c:v>52 Week Market High/Low</c:v>
                </c:pt>
              </c:strCache>
            </c:strRef>
          </c:cat>
          <c:val>
            <c:numRef>
              <c:f>'FSM Integrated DCF'!$C$128:$C$130</c:f>
              <c:numCache>
                <c:formatCode>#,##0.00_);\(#,##0.00\)</c:formatCode>
                <c:ptCount val="3"/>
                <c:pt idx="0">
                  <c:v>212.83599498311247</c:v>
                </c:pt>
                <c:pt idx="1">
                  <c:v>186.27161229464818</c:v>
                </c:pt>
                <c:pt idx="2">
                  <c:v>169.5</c:v>
                </c:pt>
              </c:numCache>
            </c:numRef>
          </c:val>
          <c:extLst>
            <c:ext xmlns:c16="http://schemas.microsoft.com/office/drawing/2014/chart" uri="{C3380CC4-5D6E-409C-BE32-E72D297353CC}">
              <c16:uniqueId val="{00000000-6FC7-4FF1-85A4-EC1EA6DC8DC2}"/>
            </c:ext>
          </c:extLst>
        </c:ser>
        <c:ser>
          <c:idx val="1"/>
          <c:order val="1"/>
          <c:invertIfNegative val="0"/>
          <c:cat>
            <c:strRef>
              <c:f>'FSM Integrated DCF'!$B$128:$B$130</c:f>
              <c:strCache>
                <c:ptCount val="3"/>
                <c:pt idx="0">
                  <c:v>DCF Value at 10.5x-14.5x Exit EBITDA Range at 7.8% WACC</c:v>
                </c:pt>
                <c:pt idx="1">
                  <c:v>DCF Value at 2.0%-4.0% Perpetuity Range at 7.8% WACC</c:v>
                </c:pt>
                <c:pt idx="2">
                  <c:v>52 Week Market High/Low</c:v>
                </c:pt>
              </c:strCache>
            </c:strRef>
          </c:cat>
          <c:val>
            <c:numRef>
              <c:f>'FSM Integrated DCF'!$D$128:$D$130</c:f>
              <c:numCache>
                <c:formatCode>#,##0.00_);\(#,##0.00\)</c:formatCode>
                <c:ptCount val="3"/>
                <c:pt idx="0">
                  <c:v>27.248640328289667</c:v>
                </c:pt>
                <c:pt idx="1">
                  <c:v>16.27885030932535</c:v>
                </c:pt>
                <c:pt idx="2">
                  <c:v>158.35000000000002</c:v>
                </c:pt>
              </c:numCache>
            </c:numRef>
          </c:val>
          <c:extLst>
            <c:ext xmlns:c16="http://schemas.microsoft.com/office/drawing/2014/chart" uri="{C3380CC4-5D6E-409C-BE32-E72D297353CC}">
              <c16:uniqueId val="{00000001-6FC7-4FF1-85A4-EC1EA6DC8DC2}"/>
            </c:ext>
          </c:extLst>
        </c:ser>
        <c:ser>
          <c:idx val="2"/>
          <c:order val="2"/>
          <c:spPr>
            <a:noFill/>
          </c:spPr>
          <c:invertIfNegative val="0"/>
          <c:dLbls>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'FSM Integrated DCF'!$B$128:$B$130</c:f>
              <c:strCache>
                <c:ptCount val="3"/>
                <c:pt idx="0">
                  <c:v>DCF Value at 10.5x-14.5x Exit EBITDA Range at 7.8% WACC</c:v>
                </c:pt>
                <c:pt idx="1">
                  <c:v>DCF Value at 2.0%-4.0% Perpetuity Range at 7.8% WACC</c:v>
                </c:pt>
                <c:pt idx="2">
                  <c:v>52 Week Market High/Low</c:v>
                </c:pt>
              </c:strCache>
            </c:strRef>
          </c:cat>
          <c:val>
            <c:numRef>
              <c:f>'FSM Integrated DCF'!$E$128:$E$130</c:f>
              <c:numCache>
                <c:formatCode>#,##0.00_);\(#,##0.00\)</c:formatCode>
                <c:ptCount val="3"/>
                <c:pt idx="0">
                  <c:v>240.08463531140214</c:v>
                </c:pt>
                <c:pt idx="1">
                  <c:v>202.55046260397353</c:v>
                </c:pt>
                <c:pt idx="2">
                  <c:v>327.85</c:v>
                </c:pt>
              </c:numCache>
            </c:numRef>
          </c:val>
          <c:extLst>
            <c:ext xmlns:c16="http://schemas.microsoft.com/office/drawing/2014/chart" uri="{C3380CC4-5D6E-409C-BE32-E72D297353CC}">
              <c16:uniqueId val="{00000002-6FC7-4FF1-85A4-EC1EA6DC8DC2}"/>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400"/>
          <c:min val="100"/>
        </c:scaling>
        <c:delete val="0"/>
        <c:axPos val="l"/>
        <c:numFmt formatCode="#,##0.00_);\(#,##0.00\)" sourceLinked="1"/>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00"/>
            </a:pPr>
            <a:r>
              <a:rPr lang="en-US" sz="1100"/>
              <a:t>LTM EBITDA Multiple Range</a:t>
            </a:r>
          </a:p>
        </c:rich>
      </c:tx>
      <c:layout>
        <c:manualLayout>
          <c:xMode val="edge"/>
          <c:yMode val="edge"/>
          <c:x val="0.31291626892699836"/>
          <c:y val="0"/>
        </c:manualLayout>
      </c:layout>
      <c:overlay val="0"/>
    </c:title>
    <c:autoTitleDeleted val="0"/>
    <c:plotArea>
      <c:layout/>
      <c:barChart>
        <c:barDir val="col"/>
        <c:grouping val="stacked"/>
        <c:varyColors val="0"/>
        <c:ser>
          <c:idx val="0"/>
          <c:order val="0"/>
          <c:spPr>
            <a:noFill/>
          </c:spPr>
          <c:invertIfNegative val="0"/>
          <c:dLbls>
            <c:numFmt formatCode="#,##0.0\x;\-#,##0.0\x" sourceLinked="0"/>
            <c:spPr>
              <a:noFill/>
              <a:ln>
                <a:noFill/>
              </a:ln>
              <a:effectLst/>
            </c:sp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'FSM Integrated DCF'!$G$128:$G$130</c:f>
              <c:strCache>
                <c:ptCount val="3"/>
                <c:pt idx="0">
                  <c:v>LTM EBITDA Purchase Multiple at 2.0%-4.0% Perpetuity Growth at 7.8% WACC</c:v>
                </c:pt>
                <c:pt idx="1">
                  <c:v>LTM EBITDA Purchase Multiple at 11.8x-13.5x Exit EBITDA Multiple at 7.8% WACC</c:v>
                </c:pt>
                <c:pt idx="2">
                  <c:v>LTM EBITDA Purchase Multiple at 5.8%-9.8% WACC at 12.5x Exit EBITDA</c:v>
                </c:pt>
              </c:strCache>
            </c:strRef>
          </c:cat>
          <c:val>
            <c:numRef>
              <c:f>'FSM Integrated DCF'!$O$128:$O$130</c:f>
              <c:numCache>
                <c:formatCode>#,##0.00_);\(#,##0.00\)</c:formatCode>
                <c:ptCount val="3"/>
                <c:pt idx="0">
                  <c:v>10.206367222129375</c:v>
                </c:pt>
                <c:pt idx="1">
                  <c:v>11.843689773787219</c:v>
                </c:pt>
                <c:pt idx="2">
                  <c:v>11.418938961779405</c:v>
                </c:pt>
              </c:numCache>
            </c:numRef>
          </c:val>
          <c:extLst>
            <c:ext xmlns:c16="http://schemas.microsoft.com/office/drawing/2014/chart" uri="{C3380CC4-5D6E-409C-BE32-E72D297353CC}">
              <c16:uniqueId val="{00000000-181B-4878-8F8D-22742447AE86}"/>
            </c:ext>
          </c:extLst>
        </c:ser>
        <c:ser>
          <c:idx val="1"/>
          <c:order val="1"/>
          <c:spPr>
            <a:solidFill>
              <a:schemeClr val="tx2"/>
            </a:solidFill>
          </c:spPr>
          <c:invertIfNegative val="0"/>
          <c:cat>
            <c:strRef>
              <c:f>'FSM Integrated DCF'!$G$128:$G$130</c:f>
              <c:strCache>
                <c:ptCount val="3"/>
                <c:pt idx="0">
                  <c:v>LTM EBITDA Purchase Multiple at 2.0%-4.0% Perpetuity Growth at 7.8% WACC</c:v>
                </c:pt>
                <c:pt idx="1">
                  <c:v>LTM EBITDA Purchase Multiple at 11.8x-13.5x Exit EBITDA Multiple at 7.8% WACC</c:v>
                </c:pt>
                <c:pt idx="2">
                  <c:v>LTM EBITDA Purchase Multiple at 5.8%-9.8% WACC at 12.5x Exit EBITDA</c:v>
                </c:pt>
              </c:strCache>
            </c:strRef>
          </c:cat>
          <c:val>
            <c:numRef>
              <c:f>'FSM Integrated DCF'!$P$128:$P$130</c:f>
              <c:numCache>
                <c:formatCode>#,##0.00_);\(#,##0.00\)</c:formatCode>
                <c:ptCount val="3"/>
                <c:pt idx="0">
                  <c:v>1.0033633771619765</c:v>
                </c:pt>
                <c:pt idx="1">
                  <c:v>1.6794974622503211</c:v>
                </c:pt>
                <c:pt idx="2">
                  <c:v>0.89372702159787032</c:v>
                </c:pt>
              </c:numCache>
            </c:numRef>
          </c:val>
          <c:extLst>
            <c:ext xmlns:c16="http://schemas.microsoft.com/office/drawing/2014/chart" uri="{C3380CC4-5D6E-409C-BE32-E72D297353CC}">
              <c16:uniqueId val="{00000001-181B-4878-8F8D-22742447AE86}"/>
            </c:ext>
          </c:extLst>
        </c:ser>
        <c:ser>
          <c:idx val="2"/>
          <c:order val="2"/>
          <c:spPr>
            <a:noFill/>
          </c:spPr>
          <c:invertIfNegative val="0"/>
          <c:dLbls>
            <c:numFmt formatCode="#,##0.0\x;\-#,##0.0\x" sourceLinked="0"/>
            <c:spPr>
              <a:noFill/>
              <a:ln>
                <a:noFill/>
              </a:ln>
              <a:effectLst/>
            </c:spPr>
            <c:dLblPos val="inBase"/>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'FSM Integrated DCF'!$G$128:$G$130</c:f>
              <c:strCache>
                <c:ptCount val="3"/>
                <c:pt idx="0">
                  <c:v>LTM EBITDA Purchase Multiple at 2.0%-4.0% Perpetuity Growth at 7.8% WACC</c:v>
                </c:pt>
                <c:pt idx="1">
                  <c:v>LTM EBITDA Purchase Multiple at 11.8x-13.5x Exit EBITDA Multiple at 7.8% WACC</c:v>
                </c:pt>
                <c:pt idx="2">
                  <c:v>LTM EBITDA Purchase Multiple at 5.8%-9.8% WACC at 12.5x Exit EBITDA</c:v>
                </c:pt>
              </c:strCache>
            </c:strRef>
          </c:cat>
          <c:val>
            <c:numRef>
              <c:f>'FSM Integrated DCF'!$Q$128:$Q$130</c:f>
              <c:numCache>
                <c:formatCode>#,##0.00_);\(#,##0.00\)</c:formatCode>
                <c:ptCount val="3"/>
                <c:pt idx="0">
                  <c:v>11.209730599291351</c:v>
                </c:pt>
                <c:pt idx="1">
                  <c:v>13.52318723603754</c:v>
                </c:pt>
                <c:pt idx="2">
                  <c:v>12.312665983377276</c:v>
                </c:pt>
              </c:numCache>
            </c:numRef>
          </c:val>
          <c:extLst>
            <c:ext xmlns:c16="http://schemas.microsoft.com/office/drawing/2014/chart" uri="{C3380CC4-5D6E-409C-BE32-E72D297353CC}">
              <c16:uniqueId val="{00000002-181B-4878-8F8D-22742447AE86}"/>
            </c:ext>
          </c:extLst>
        </c:ser>
        <c:dLbls>
          <c:showLegendKey val="0"/>
          <c:showVal val="0"/>
          <c:showCatName val="0"/>
          <c:showSerName val="0"/>
          <c:showPercent val="0"/>
          <c:showBubbleSize val="0"/>
        </c:dLbls>
        <c:gapWidth val="150"/>
        <c:overlap val="100"/>
        <c:axId val="99639680"/>
        <c:axId val="99641216"/>
      </c:barChart>
      <c:catAx>
        <c:axId val="99639680"/>
        <c:scaling>
          <c:orientation val="minMax"/>
        </c:scaling>
        <c:delete val="0"/>
        <c:axPos val="b"/>
        <c:numFmt formatCode="General" sourceLinked="0"/>
        <c:majorTickMark val="out"/>
        <c:minorTickMark val="none"/>
        <c:tickLblPos val="nextTo"/>
        <c:crossAx val="99641216"/>
        <c:crosses val="autoZero"/>
        <c:auto val="1"/>
        <c:lblAlgn val="ctr"/>
        <c:lblOffset val="100"/>
        <c:noMultiLvlLbl val="0"/>
      </c:catAx>
      <c:valAx>
        <c:axId val="99641216"/>
        <c:scaling>
          <c:orientation val="minMax"/>
          <c:max val="20"/>
          <c:min val="10"/>
        </c:scaling>
        <c:delete val="0"/>
        <c:axPos val="l"/>
        <c:numFmt formatCode="#,##0.0\x;\-#,##0.0\x" sourceLinked="0"/>
        <c:majorTickMark val="out"/>
        <c:minorTickMark val="none"/>
        <c:tickLblPos val="nextTo"/>
        <c:crossAx val="99639680"/>
        <c:crosses val="autoZero"/>
        <c:crossBetween val="between"/>
      </c:valAx>
    </c:plotArea>
    <c:plotVisOnly val="1"/>
    <c:dispBlanksAs val="gap"/>
    <c:showDLblsOverMax val="0"/>
  </c:chart>
  <c:spPr>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xdr:col>
      <xdr:colOff>53578</xdr:colOff>
      <xdr:row>100</xdr:row>
      <xdr:rowOff>149424</xdr:rowOff>
    </xdr:from>
    <xdr:to>
      <xdr:col>4</xdr:col>
      <xdr:colOff>654844</xdr:colOff>
      <xdr:row>119</xdr:row>
      <xdr:rowOff>53578</xdr:rowOff>
    </xdr:to>
    <xdr:graphicFrame macro="">
      <xdr:nvGraphicFramePr>
        <xdr:cNvPr id="2" name="Chart 1">
          <a:extLst>
            <a:ext uri="{FF2B5EF4-FFF2-40B4-BE49-F238E27FC236}">
              <a16:creationId xmlns:a16="http://schemas.microsoft.com/office/drawing/2014/main" id="{39D50331-8728-4EA0-8A12-2BE72CBDFA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47228</xdr:colOff>
      <xdr:row>100</xdr:row>
      <xdr:rowOff>149424</xdr:rowOff>
    </xdr:from>
    <xdr:to>
      <xdr:col>15</xdr:col>
      <xdr:colOff>657225</xdr:colOff>
      <xdr:row>119</xdr:row>
      <xdr:rowOff>47228</xdr:rowOff>
    </xdr:to>
    <xdr:graphicFrame macro="">
      <xdr:nvGraphicFramePr>
        <xdr:cNvPr id="3" name="Chart 2">
          <a:extLst>
            <a:ext uri="{FF2B5EF4-FFF2-40B4-BE49-F238E27FC236}">
              <a16:creationId xmlns:a16="http://schemas.microsoft.com/office/drawing/2014/main" id="{966BF5A7-A2B8-4D1F-816A-1EC21D8AD4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53578</xdr:colOff>
      <xdr:row>106</xdr:row>
      <xdr:rowOff>149424</xdr:rowOff>
    </xdr:from>
    <xdr:to>
      <xdr:col>4</xdr:col>
      <xdr:colOff>654844</xdr:colOff>
      <xdr:row>125</xdr:row>
      <xdr:rowOff>53578</xdr:rowOff>
    </xdr:to>
    <xdr:graphicFrame macro="">
      <xdr:nvGraphicFramePr>
        <xdr:cNvPr id="2" name="Chart 1">
          <a:extLst>
            <a:ext uri="{FF2B5EF4-FFF2-40B4-BE49-F238E27FC236}">
              <a16:creationId xmlns:a16="http://schemas.microsoft.com/office/drawing/2014/main" id="{A8308C62-7677-4623-A9F7-0F7C7CF864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47228</xdr:colOff>
      <xdr:row>106</xdr:row>
      <xdr:rowOff>149424</xdr:rowOff>
    </xdr:from>
    <xdr:to>
      <xdr:col>15</xdr:col>
      <xdr:colOff>657225</xdr:colOff>
      <xdr:row>125</xdr:row>
      <xdr:rowOff>47228</xdr:rowOff>
    </xdr:to>
    <xdr:graphicFrame macro="">
      <xdr:nvGraphicFramePr>
        <xdr:cNvPr id="3" name="Chart 2">
          <a:extLst>
            <a:ext uri="{FF2B5EF4-FFF2-40B4-BE49-F238E27FC236}">
              <a16:creationId xmlns:a16="http://schemas.microsoft.com/office/drawing/2014/main" id="{F24F95D3-AE62-4BFF-8351-168D82092E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aad%20Ibrahim/Dropbox/My%20PC%20(LAPTOP-KK3STLDM)/Desktop/quat%20analyst%20revision/Corporate%20Finance/WSP/Discounted%20cash%20flow%20modelling/DCF-Modeling-Course-DL-Kit/DCF%20Mod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nancials "/>
      <sheetName val="Simple DCF Empty"/>
      <sheetName val="Simple DCF Done"/>
      <sheetName val="WACC Empty"/>
      <sheetName val="WACC Done"/>
      <sheetName val="Shares Empty"/>
      <sheetName val="Shares"/>
      <sheetName val="DCF 1-Pager"/>
      <sheetName val="2019 FSM Update Complete"/>
      <sheetName val="Integrated DCF Empty"/>
      <sheetName val="Integrated DCF"/>
    </sheetNames>
    <sheetDataSet>
      <sheetData sheetId="0">
        <row r="3">
          <cell r="B3" t="str">
            <v xml:space="preserve">$ and shares in millions, except per share data </v>
          </cell>
        </row>
      </sheetData>
      <sheetData sheetId="1"/>
      <sheetData sheetId="2"/>
      <sheetData sheetId="3"/>
      <sheetData sheetId="4">
        <row r="21">
          <cell r="E21">
            <v>7.7864310730353978E-2</v>
          </cell>
        </row>
      </sheetData>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4"/>
  <sheetViews>
    <sheetView showGridLines="0" tabSelected="1" workbookViewId="0">
      <selection activeCell="A3" sqref="A3"/>
    </sheetView>
  </sheetViews>
  <sheetFormatPr defaultRowHeight="14.4" x14ac:dyDescent="0.3"/>
  <sheetData>
    <row r="2" spans="1:2" ht="91.8" x14ac:dyDescent="1.65">
      <c r="A2" s="285" t="s">
        <v>296</v>
      </c>
    </row>
    <row r="5" spans="1:2" ht="18" x14ac:dyDescent="0.35">
      <c r="A5" s="283" t="s">
        <v>297</v>
      </c>
      <c r="B5" s="284" t="s">
        <v>298</v>
      </c>
    </row>
    <row r="6" spans="1:2" ht="18" x14ac:dyDescent="0.35">
      <c r="A6" s="283" t="s">
        <v>299</v>
      </c>
      <c r="B6" s="284" t="s">
        <v>306</v>
      </c>
    </row>
    <row r="7" spans="1:2" ht="18" x14ac:dyDescent="0.35">
      <c r="A7" s="283" t="s">
        <v>300</v>
      </c>
      <c r="B7" s="284" t="s">
        <v>304</v>
      </c>
    </row>
    <row r="8" spans="1:2" ht="18" x14ac:dyDescent="0.35">
      <c r="A8" s="283" t="s">
        <v>301</v>
      </c>
      <c r="B8" s="284" t="s">
        <v>314</v>
      </c>
    </row>
    <row r="9" spans="1:2" s="19" customFormat="1" ht="18" x14ac:dyDescent="0.35">
      <c r="A9" s="283" t="s">
        <v>302</v>
      </c>
      <c r="B9" s="284" t="s">
        <v>305</v>
      </c>
    </row>
    <row r="10" spans="1:2" ht="18" x14ac:dyDescent="0.35">
      <c r="A10" s="283" t="s">
        <v>303</v>
      </c>
      <c r="B10" s="284" t="s">
        <v>307</v>
      </c>
    </row>
    <row r="13" spans="1:2" ht="18" x14ac:dyDescent="0.35">
      <c r="A13" s="286"/>
    </row>
    <row r="14" spans="1:2" ht="18" x14ac:dyDescent="0.35">
      <c r="A14" s="283"/>
      <c r="B14" s="28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FF522-6205-4001-A23A-01E18190829D}">
  <dimension ref="C1:M220"/>
  <sheetViews>
    <sheetView workbookViewId="0"/>
  </sheetViews>
  <sheetFormatPr defaultRowHeight="14.4" x14ac:dyDescent="0.3"/>
  <cols>
    <col min="1" max="2" width="2.33203125" customWidth="1"/>
    <col min="3" max="3" width="46.77734375" customWidth="1"/>
    <col min="4" max="4" width="12.109375" bestFit="1" customWidth="1"/>
    <col min="6" max="6" width="10.77734375" customWidth="1"/>
    <col min="12" max="12" width="2.33203125" customWidth="1"/>
  </cols>
  <sheetData>
    <row r="1" spans="3:13" ht="15" thickBot="1" x14ac:dyDescent="0.35"/>
    <row r="2" spans="3:13" ht="15" thickBot="1" x14ac:dyDescent="0.35">
      <c r="C2" s="1" t="str">
        <f>"Financial Statement Model for "&amp;D5</f>
        <v>Financial Statement Model for Apple</v>
      </c>
      <c r="D2" s="2"/>
      <c r="E2" s="2"/>
      <c r="F2" s="2"/>
      <c r="G2" s="2"/>
      <c r="H2" s="2"/>
      <c r="I2" s="2"/>
      <c r="J2" s="2"/>
      <c r="K2" s="2"/>
    </row>
    <row r="3" spans="3:13" x14ac:dyDescent="0.3">
      <c r="C3" s="3" t="s">
        <v>0</v>
      </c>
      <c r="D3" s="4"/>
      <c r="E3" s="4"/>
      <c r="F3" s="4"/>
      <c r="G3" s="4"/>
      <c r="H3" s="4"/>
    </row>
    <row r="5" spans="3:13" x14ac:dyDescent="0.3">
      <c r="C5" s="5" t="s">
        <v>1</v>
      </c>
      <c r="D5" s="6" t="s">
        <v>2</v>
      </c>
    </row>
    <row r="6" spans="3:13" x14ac:dyDescent="0.3">
      <c r="C6" s="5" t="s">
        <v>3</v>
      </c>
      <c r="D6" s="6" t="s">
        <v>4</v>
      </c>
    </row>
    <row r="7" spans="3:13" x14ac:dyDescent="0.3">
      <c r="C7" t="s">
        <v>5</v>
      </c>
      <c r="D7" s="7">
        <v>1</v>
      </c>
    </row>
    <row r="8" spans="3:13" x14ac:dyDescent="0.3">
      <c r="C8" t="s">
        <v>6</v>
      </c>
      <c r="D8" s="8">
        <v>171.25</v>
      </c>
    </row>
    <row r="9" spans="3:13" x14ac:dyDescent="0.3">
      <c r="C9" t="s">
        <v>7</v>
      </c>
      <c r="D9" s="9">
        <v>43500</v>
      </c>
    </row>
    <row r="10" spans="3:13" x14ac:dyDescent="0.3">
      <c r="C10" s="5" t="s">
        <v>8</v>
      </c>
      <c r="D10" s="10">
        <v>43372</v>
      </c>
    </row>
    <row r="11" spans="3:13" x14ac:dyDescent="0.3">
      <c r="C11" t="s">
        <v>9</v>
      </c>
      <c r="D11" s="11">
        <v>4745.3980000000001</v>
      </c>
    </row>
    <row r="12" spans="3:13" x14ac:dyDescent="0.3">
      <c r="C12" t="s">
        <v>10</v>
      </c>
      <c r="D12" s="7" t="s">
        <v>11</v>
      </c>
    </row>
    <row r="13" spans="3:13" x14ac:dyDescent="0.3">
      <c r="C13" s="12"/>
      <c r="D13" s="12"/>
    </row>
    <row r="14" spans="3:13" x14ac:dyDescent="0.3">
      <c r="C14" s="13" t="s">
        <v>12</v>
      </c>
      <c r="D14" s="14"/>
      <c r="E14" s="14"/>
      <c r="F14" s="14"/>
      <c r="G14" s="14"/>
      <c r="H14" s="14"/>
      <c r="I14" s="14"/>
      <c r="J14" s="14"/>
      <c r="K14" s="14"/>
    </row>
    <row r="15" spans="3:13" x14ac:dyDescent="0.3">
      <c r="C15" t="s">
        <v>13</v>
      </c>
      <c r="D15" s="15">
        <f>E15-1</f>
        <v>2016</v>
      </c>
      <c r="E15" s="15">
        <f>F15-1</f>
        <v>2017</v>
      </c>
      <c r="F15" s="15">
        <f>YEAR(D10)</f>
        <v>2018</v>
      </c>
      <c r="G15" s="16">
        <f>F15+1</f>
        <v>2019</v>
      </c>
      <c r="H15" s="16">
        <f>G15+1</f>
        <v>2020</v>
      </c>
      <c r="I15" s="16">
        <f>H15+1</f>
        <v>2021</v>
      </c>
      <c r="J15" s="16">
        <f>I15+1</f>
        <v>2022</v>
      </c>
      <c r="K15" s="16">
        <f>J15+1</f>
        <v>2023</v>
      </c>
      <c r="M15" s="12" t="s">
        <v>129</v>
      </c>
    </row>
    <row r="16" spans="3:13" x14ac:dyDescent="0.3">
      <c r="C16" s="17" t="s">
        <v>14</v>
      </c>
      <c r="D16" s="18">
        <f>EOMONTH(E16,-12)</f>
        <v>42643</v>
      </c>
      <c r="E16" s="18">
        <f>EOMONTH(F16,-12)</f>
        <v>43008</v>
      </c>
      <c r="F16" s="18">
        <f>D10</f>
        <v>43372</v>
      </c>
      <c r="G16" s="18">
        <f>EOMONTH(F16,12)</f>
        <v>43738</v>
      </c>
      <c r="H16" s="18">
        <f>EOMONTH(G16,12)</f>
        <v>44104</v>
      </c>
      <c r="I16" s="18">
        <f>EOMONTH(H16,12)</f>
        <v>44469</v>
      </c>
      <c r="J16" s="18">
        <f>EOMONTH(I16,12)</f>
        <v>44834</v>
      </c>
      <c r="K16" s="18">
        <f>EOMONTH(J16,12)</f>
        <v>45199</v>
      </c>
    </row>
    <row r="17" spans="3:11" x14ac:dyDescent="0.3">
      <c r="C17" s="19"/>
      <c r="D17" s="20"/>
      <c r="E17" s="21"/>
      <c r="F17" s="21"/>
      <c r="G17" s="22"/>
      <c r="H17" s="23"/>
      <c r="I17" s="23"/>
      <c r="J17" s="21"/>
      <c r="K17" s="21"/>
    </row>
    <row r="18" spans="3:11" x14ac:dyDescent="0.3">
      <c r="C18" t="s">
        <v>15</v>
      </c>
      <c r="D18" s="24">
        <v>215639</v>
      </c>
      <c r="E18" s="24">
        <v>229234</v>
      </c>
      <c r="F18" s="24">
        <v>265595</v>
      </c>
      <c r="G18" s="25">
        <f ca="1">F18*(1+G37)</f>
        <v>254971.19999999998</v>
      </c>
      <c r="H18" s="25">
        <f ca="1">G18*(1+H37)</f>
        <v>270269.47200000001</v>
      </c>
      <c r="I18" s="25">
        <f ca="1">H18*(1+I37)</f>
        <v>288918.06556800002</v>
      </c>
      <c r="J18" s="25">
        <f ca="1">I18*(1+J37)</f>
        <v>308853.41209219198</v>
      </c>
      <c r="K18" s="25">
        <f ca="1">J18*(1+K37)</f>
        <v>330164.29752655321</v>
      </c>
    </row>
    <row r="19" spans="3:11" x14ac:dyDescent="0.3">
      <c r="C19" t="s">
        <v>308</v>
      </c>
      <c r="D19" s="24">
        <v>-131376</v>
      </c>
      <c r="E19" s="24">
        <v>-141048</v>
      </c>
      <c r="F19" s="24">
        <v>-163756</v>
      </c>
      <c r="G19" s="25">
        <f ca="1">G20-G18</f>
        <v>-158592.08639999997</v>
      </c>
      <c r="H19" s="25">
        <f ca="1">H20-H18</f>
        <v>-167567.07264</v>
      </c>
      <c r="I19" s="25">
        <f ca="1">I20-I18</f>
        <v>-178551.36452102399</v>
      </c>
      <c r="J19" s="25">
        <f ca="1">J20-J18</f>
        <v>-190871.40867297465</v>
      </c>
      <c r="K19" s="25">
        <f ca="1">K20-K18</f>
        <v>-204041.53587140987</v>
      </c>
    </row>
    <row r="20" spans="3:11" x14ac:dyDescent="0.3">
      <c r="C20" s="12" t="s">
        <v>16</v>
      </c>
      <c r="D20" s="26">
        <f>SUM(D18:D19)</f>
        <v>84263</v>
      </c>
      <c r="E20" s="26">
        <f>SUM(E18:E19)</f>
        <v>88186</v>
      </c>
      <c r="F20" s="26">
        <f>SUM(F18:F19)</f>
        <v>101839</v>
      </c>
      <c r="G20" s="26">
        <f ca="1">G18*G38</f>
        <v>96379.113599999997</v>
      </c>
      <c r="H20" s="26">
        <f ca="1">H18*H38</f>
        <v>102702.39936000001</v>
      </c>
      <c r="I20" s="26">
        <f ca="1">I18*I38</f>
        <v>110366.70104697601</v>
      </c>
      <c r="J20" s="26">
        <f ca="1">J18*J38</f>
        <v>117982.00341921733</v>
      </c>
      <c r="K20" s="26">
        <f ca="1">K18*K38</f>
        <v>126122.76165514333</v>
      </c>
    </row>
    <row r="21" spans="3:11" x14ac:dyDescent="0.3">
      <c r="C21" t="s">
        <v>309</v>
      </c>
      <c r="D21" s="24">
        <v>-10045</v>
      </c>
      <c r="E21" s="24">
        <v>-11581</v>
      </c>
      <c r="F21" s="24">
        <v>-14236</v>
      </c>
      <c r="G21" s="25">
        <f ca="1">-G39*G18</f>
        <v>-15808.214399999999</v>
      </c>
      <c r="H21" s="25">
        <f ca="1">-H39*H18</f>
        <v>-17026.976736000001</v>
      </c>
      <c r="I21" s="25">
        <f ca="1">-I39*I18</f>
        <v>-18201.838130784003</v>
      </c>
      <c r="J21" s="25">
        <f ca="1">-J39*J18</f>
        <v>-19457.764961808094</v>
      </c>
      <c r="K21" s="25">
        <f ca="1">-K39*K18</f>
        <v>-20800.350744172854</v>
      </c>
    </row>
    <row r="22" spans="3:11" x14ac:dyDescent="0.3">
      <c r="C22" t="s">
        <v>310</v>
      </c>
      <c r="D22" s="24">
        <v>-14194</v>
      </c>
      <c r="E22" s="24">
        <v>-15261</v>
      </c>
      <c r="F22" s="24">
        <v>-16705</v>
      </c>
      <c r="G22" s="25">
        <f ca="1">-G18*G40</f>
        <v>-18867.868799999997</v>
      </c>
      <c r="H22" s="25">
        <f ca="1">-H18*H40</f>
        <v>-18648.593568000004</v>
      </c>
      <c r="I22" s="25">
        <f ca="1">-I18*I40</f>
        <v>-19935.346524192002</v>
      </c>
      <c r="J22" s="25">
        <f ca="1">-J18*J40</f>
        <v>-21310.885434361247</v>
      </c>
      <c r="K22" s="25">
        <f ca="1">-K18*K40</f>
        <v>-22781.336529332173</v>
      </c>
    </row>
    <row r="23" spans="3:11" x14ac:dyDescent="0.3">
      <c r="C23" s="12" t="s">
        <v>17</v>
      </c>
      <c r="D23" s="26">
        <f t="shared" ref="D23:K23" si="0">D20+D21+D22</f>
        <v>60024</v>
      </c>
      <c r="E23" s="26">
        <f t="shared" si="0"/>
        <v>61344</v>
      </c>
      <c r="F23" s="26">
        <f t="shared" si="0"/>
        <v>70898</v>
      </c>
      <c r="G23" s="26">
        <f t="shared" ca="1" si="0"/>
        <v>61703.030400000003</v>
      </c>
      <c r="H23" s="26">
        <f t="shared" ca="1" si="0"/>
        <v>67026.829056000017</v>
      </c>
      <c r="I23" s="26">
        <f t="shared" ca="1" si="0"/>
        <v>72229.516392000005</v>
      </c>
      <c r="J23" s="26">
        <f t="shared" ca="1" si="0"/>
        <v>77213.353023047996</v>
      </c>
      <c r="K23" s="26">
        <f t="shared" ca="1" si="0"/>
        <v>82541.074381638304</v>
      </c>
    </row>
    <row r="24" spans="3:11" x14ac:dyDescent="0.3">
      <c r="C24" t="s">
        <v>18</v>
      </c>
      <c r="D24" s="24">
        <v>3999</v>
      </c>
      <c r="E24" s="24">
        <v>5201</v>
      </c>
      <c r="F24" s="24">
        <v>5686</v>
      </c>
      <c r="G24" s="27">
        <f ca="1">G157</f>
        <v>4744.4371106301642</v>
      </c>
      <c r="H24" s="27">
        <f ca="1">H157</f>
        <v>4088.7027781344427</v>
      </c>
      <c r="I24" s="27">
        <f ca="1">I157</f>
        <v>3588.1045266676065</v>
      </c>
      <c r="J24" s="27">
        <f ca="1">J157</f>
        <v>3195.5989027165901</v>
      </c>
      <c r="K24" s="27">
        <f ca="1">K157</f>
        <v>2908.1802297648728</v>
      </c>
    </row>
    <row r="25" spans="3:11" x14ac:dyDescent="0.3">
      <c r="C25" t="s">
        <v>98</v>
      </c>
      <c r="D25" s="24">
        <v>-1456</v>
      </c>
      <c r="E25" s="24">
        <v>-2323</v>
      </c>
      <c r="F25" s="24">
        <v>-3240</v>
      </c>
      <c r="G25" s="27">
        <f ca="1">-G143</f>
        <v>-3223.1468651501777</v>
      </c>
      <c r="H25" s="27">
        <f ca="1">-H143</f>
        <v>-3223.5392651501775</v>
      </c>
      <c r="I25" s="27">
        <f ca="1">-I143</f>
        <v>-3223.5392651501775</v>
      </c>
      <c r="J25" s="27">
        <f ca="1">-J143</f>
        <v>-3223.5392651501775</v>
      </c>
      <c r="K25" s="27">
        <f ca="1">-K143</f>
        <v>-3223.5392651501775</v>
      </c>
    </row>
    <row r="26" spans="3:11" x14ac:dyDescent="0.3">
      <c r="C26" t="s">
        <v>311</v>
      </c>
      <c r="D26" s="24">
        <v>-1195</v>
      </c>
      <c r="E26" s="24">
        <v>-133</v>
      </c>
      <c r="F26" s="24">
        <v>-441</v>
      </c>
      <c r="G26" s="27">
        <f>F26</f>
        <v>-441</v>
      </c>
      <c r="H26" s="27">
        <f>G26</f>
        <v>-441</v>
      </c>
      <c r="I26" s="27">
        <f>H26</f>
        <v>-441</v>
      </c>
      <c r="J26" s="27">
        <f>I26</f>
        <v>-441</v>
      </c>
      <c r="K26" s="27">
        <f>J26</f>
        <v>-441</v>
      </c>
    </row>
    <row r="27" spans="3:11" x14ac:dyDescent="0.3">
      <c r="C27" s="12" t="s">
        <v>19</v>
      </c>
      <c r="D27" s="26">
        <f t="shared" ref="D27:K27" si="1">SUM(D23:D26)</f>
        <v>61372</v>
      </c>
      <c r="E27" s="26">
        <f t="shared" si="1"/>
        <v>64089</v>
      </c>
      <c r="F27" s="26">
        <f t="shared" si="1"/>
        <v>72903</v>
      </c>
      <c r="G27" s="26">
        <f ca="1">SUM(G23:G26)</f>
        <v>62783.320645479995</v>
      </c>
      <c r="H27" s="26">
        <f t="shared" ca="1" si="1"/>
        <v>67450.992568984278</v>
      </c>
      <c r="I27" s="26">
        <f t="shared" ca="1" si="1"/>
        <v>72153.081653517438</v>
      </c>
      <c r="J27" s="26">
        <f t="shared" ca="1" si="1"/>
        <v>76744.412660614413</v>
      </c>
      <c r="K27" s="26">
        <f t="shared" ca="1" si="1"/>
        <v>81784.715346252997</v>
      </c>
    </row>
    <row r="28" spans="3:11" x14ac:dyDescent="0.3">
      <c r="C28" t="s">
        <v>313</v>
      </c>
      <c r="D28" s="24">
        <v>-15685</v>
      </c>
      <c r="E28" s="24">
        <v>-15738</v>
      </c>
      <c r="F28" s="24">
        <v>-13372</v>
      </c>
      <c r="G28" s="25">
        <f ca="1">-G41*G27</f>
        <v>-10484.81454779516</v>
      </c>
      <c r="H28" s="25">
        <f ca="1">-H41*H27</f>
        <v>-11466.668736727328</v>
      </c>
      <c r="I28" s="25">
        <f ca="1">-I41*I27</f>
        <v>-12193.870799444448</v>
      </c>
      <c r="J28" s="25">
        <f ca="1">-J41*J27</f>
        <v>-12969.805739643836</v>
      </c>
      <c r="K28" s="25">
        <f ca="1">-K41*K27</f>
        <v>-13821.616893516757</v>
      </c>
    </row>
    <row r="29" spans="3:11" x14ac:dyDescent="0.3">
      <c r="C29" s="12" t="s">
        <v>20</v>
      </c>
      <c r="D29" s="26">
        <f t="shared" ref="D29:K29" si="2">SUM(D27:D28)</f>
        <v>45687</v>
      </c>
      <c r="E29" s="26">
        <f t="shared" si="2"/>
        <v>48351</v>
      </c>
      <c r="F29" s="26">
        <f t="shared" si="2"/>
        <v>59531</v>
      </c>
      <c r="G29" s="26">
        <f ca="1">SUM(G27:G28)</f>
        <v>52298.506097684833</v>
      </c>
      <c r="H29" s="26">
        <f ca="1">SUM(H27:H28)</f>
        <v>55984.323832256952</v>
      </c>
      <c r="I29" s="26">
        <f t="shared" ca="1" si="2"/>
        <v>59959.21085407299</v>
      </c>
      <c r="J29" s="26">
        <f t="shared" ca="1" si="2"/>
        <v>63774.606920970575</v>
      </c>
      <c r="K29" s="26">
        <f t="shared" ca="1" si="2"/>
        <v>67963.098452736245</v>
      </c>
    </row>
    <row r="30" spans="3:11" x14ac:dyDescent="0.3">
      <c r="C30" s="28"/>
      <c r="D30" s="27"/>
      <c r="E30" s="27"/>
      <c r="F30" s="27"/>
      <c r="G30" s="27"/>
      <c r="H30" s="27"/>
      <c r="I30" s="27"/>
      <c r="J30" s="27"/>
      <c r="K30" s="27"/>
    </row>
    <row r="31" spans="3:11" x14ac:dyDescent="0.3">
      <c r="C31" s="29" t="s">
        <v>21</v>
      </c>
      <c r="D31" s="24">
        <v>10505</v>
      </c>
      <c r="E31" s="24">
        <v>10157</v>
      </c>
      <c r="F31" s="24">
        <v>10903</v>
      </c>
      <c r="G31" s="27">
        <f ca="1">G107</f>
        <v>11085.020171261172</v>
      </c>
      <c r="H31" s="27">
        <f ca="1">H107</f>
        <v>11711.890744865921</v>
      </c>
      <c r="I31" s="27">
        <f ca="1">I107</f>
        <v>12226.380531123083</v>
      </c>
      <c r="J31" s="27">
        <f ca="1">J107</f>
        <v>13365.451007770575</v>
      </c>
      <c r="K31" s="27">
        <f ca="1">K107</f>
        <v>14603.503412486743</v>
      </c>
    </row>
    <row r="32" spans="3:11" x14ac:dyDescent="0.3">
      <c r="C32" s="30" t="s">
        <v>22</v>
      </c>
      <c r="D32" s="26">
        <f t="shared" ref="D32:K32" si="3">D23+D31</f>
        <v>70529</v>
      </c>
      <c r="E32" s="26">
        <f t="shared" si="3"/>
        <v>71501</v>
      </c>
      <c r="F32" s="26">
        <f t="shared" si="3"/>
        <v>81801</v>
      </c>
      <c r="G32" s="26">
        <f ca="1">G23+G31</f>
        <v>72788.050571261178</v>
      </c>
      <c r="H32" s="26">
        <f t="shared" ca="1" si="3"/>
        <v>78738.719800865932</v>
      </c>
      <c r="I32" s="26">
        <f t="shared" ca="1" si="3"/>
        <v>84455.896923123088</v>
      </c>
      <c r="J32" s="26">
        <f t="shared" ca="1" si="3"/>
        <v>90578.804030818574</v>
      </c>
      <c r="K32" s="26">
        <f t="shared" ca="1" si="3"/>
        <v>97144.577794125042</v>
      </c>
    </row>
    <row r="33" spans="3:13" x14ac:dyDescent="0.3">
      <c r="C33" s="29" t="s">
        <v>23</v>
      </c>
      <c r="D33" s="24">
        <v>4210</v>
      </c>
      <c r="E33" s="24">
        <v>4840</v>
      </c>
      <c r="F33" s="24">
        <v>5340</v>
      </c>
      <c r="G33" s="27">
        <f ca="1">F33*(1+G37)</f>
        <v>5126.3999999999996</v>
      </c>
      <c r="H33" s="27">
        <f ca="1">G33*(1+H37)</f>
        <v>5433.9839999999995</v>
      </c>
      <c r="I33" s="27">
        <f ca="1">H33*(1+I37)</f>
        <v>5808.9288959999994</v>
      </c>
      <c r="J33" s="27">
        <f ca="1">I33*(1+J37)</f>
        <v>6209.7449898239993</v>
      </c>
      <c r="K33" s="27">
        <f ca="1">J33*(1+K37)</f>
        <v>6638.2173941218552</v>
      </c>
    </row>
    <row r="34" spans="3:13" x14ac:dyDescent="0.3">
      <c r="C34" s="30" t="s">
        <v>24</v>
      </c>
      <c r="D34" s="26">
        <f t="shared" ref="D34:K34" si="4">SUM(D32:D33)</f>
        <v>74739</v>
      </c>
      <c r="E34" s="26">
        <f t="shared" si="4"/>
        <v>76341</v>
      </c>
      <c r="F34" s="26">
        <f>SUM(F32:F33)</f>
        <v>87141</v>
      </c>
      <c r="G34" s="26">
        <f t="shared" ca="1" si="4"/>
        <v>77914.450571261172</v>
      </c>
      <c r="H34" s="26">
        <f t="shared" ca="1" si="4"/>
        <v>84172.703800865929</v>
      </c>
      <c r="I34" s="26">
        <f t="shared" ca="1" si="4"/>
        <v>90264.825819123085</v>
      </c>
      <c r="J34" s="26">
        <f t="shared" ca="1" si="4"/>
        <v>96788.549020642575</v>
      </c>
      <c r="K34" s="26">
        <f t="shared" ca="1" si="4"/>
        <v>103782.79518824689</v>
      </c>
    </row>
    <row r="35" spans="3:13" x14ac:dyDescent="0.3">
      <c r="C35" s="28"/>
      <c r="G35" s="31"/>
    </row>
    <row r="36" spans="3:13" x14ac:dyDescent="0.3">
      <c r="C36" s="32" t="s">
        <v>25</v>
      </c>
    </row>
    <row r="37" spans="3:13" x14ac:dyDescent="0.3">
      <c r="C37" s="28" t="s">
        <v>26</v>
      </c>
      <c r="D37" s="33"/>
      <c r="E37" s="33">
        <f>E18/D18-1</f>
        <v>6.304518199398057E-2</v>
      </c>
      <c r="F37" s="33">
        <f>F18/E18-1</f>
        <v>0.15861957650261305</v>
      </c>
      <c r="G37" s="88">
        <f t="shared" ref="G37:K40" ca="1" si="5">G200</f>
        <v>-0.04</v>
      </c>
      <c r="H37" s="88">
        <f t="shared" ca="1" si="5"/>
        <v>0.06</v>
      </c>
      <c r="I37" s="88">
        <f t="shared" ca="1" si="5"/>
        <v>6.9000000000000006E-2</v>
      </c>
      <c r="J37" s="88">
        <f t="shared" ca="1" si="5"/>
        <v>6.9000000000000006E-2</v>
      </c>
      <c r="K37" s="88">
        <f t="shared" ca="1" si="5"/>
        <v>6.9000000000000006E-2</v>
      </c>
    </row>
    <row r="38" spans="3:13" x14ac:dyDescent="0.3">
      <c r="C38" s="28" t="s">
        <v>27</v>
      </c>
      <c r="D38" s="33">
        <f>D20/D18</f>
        <v>0.39075955648097049</v>
      </c>
      <c r="E38" s="33">
        <f>E20/E18</f>
        <v>0.38469860491899105</v>
      </c>
      <c r="F38" s="33">
        <f>F20/F18</f>
        <v>0.38343718820007905</v>
      </c>
      <c r="G38" s="88">
        <f t="shared" ca="1" si="5"/>
        <v>0.378</v>
      </c>
      <c r="H38" s="88">
        <f t="shared" ca="1" si="5"/>
        <v>0.38</v>
      </c>
      <c r="I38" s="88">
        <f t="shared" ca="1" si="5"/>
        <v>0.38200000000000001</v>
      </c>
      <c r="J38" s="88">
        <f t="shared" ca="1" si="5"/>
        <v>0.38200000000000001</v>
      </c>
      <c r="K38" s="88">
        <f t="shared" ca="1" si="5"/>
        <v>0.38200000000000001</v>
      </c>
    </row>
    <row r="39" spans="3:13" x14ac:dyDescent="0.3">
      <c r="C39" s="28" t="s">
        <v>28</v>
      </c>
      <c r="D39" s="33">
        <f>-D21/D18</f>
        <v>4.6582482760539605E-2</v>
      </c>
      <c r="E39" s="33">
        <f>-E21/E18</f>
        <v>5.0520428906706681E-2</v>
      </c>
      <c r="F39" s="33">
        <f>-F21/F18</f>
        <v>5.3600406634161032E-2</v>
      </c>
      <c r="G39" s="88">
        <f t="shared" ca="1" si="5"/>
        <v>6.2E-2</v>
      </c>
      <c r="H39" s="88">
        <f t="shared" ca="1" si="5"/>
        <v>6.3E-2</v>
      </c>
      <c r="I39" s="88">
        <f t="shared" ca="1" si="5"/>
        <v>6.3E-2</v>
      </c>
      <c r="J39" s="88">
        <f t="shared" ca="1" si="5"/>
        <v>6.3E-2</v>
      </c>
      <c r="K39" s="88">
        <f t="shared" ca="1" si="5"/>
        <v>6.3E-2</v>
      </c>
    </row>
    <row r="40" spans="3:13" x14ac:dyDescent="0.3">
      <c r="C40" s="28" t="s">
        <v>29</v>
      </c>
      <c r="D40" s="33">
        <f>-D22/D18</f>
        <v>6.5822972653369755E-2</v>
      </c>
      <c r="E40" s="33">
        <f>-E22/E18</f>
        <v>6.6573893924984945E-2</v>
      </c>
      <c r="F40" s="33">
        <f>-F22/F18</f>
        <v>6.2896515371147807E-2</v>
      </c>
      <c r="G40" s="88">
        <f t="shared" ca="1" si="5"/>
        <v>7.3999999999999996E-2</v>
      </c>
      <c r="H40" s="88">
        <f t="shared" ca="1" si="5"/>
        <v>6.9000000000000006E-2</v>
      </c>
      <c r="I40" s="88">
        <f t="shared" ca="1" si="5"/>
        <v>6.9000000000000006E-2</v>
      </c>
      <c r="J40" s="88">
        <f t="shared" ca="1" si="5"/>
        <v>6.9000000000000006E-2</v>
      </c>
      <c r="K40" s="88">
        <f t="shared" ca="1" si="5"/>
        <v>6.9000000000000006E-2</v>
      </c>
    </row>
    <row r="41" spans="3:13" x14ac:dyDescent="0.3">
      <c r="C41" s="28" t="s">
        <v>30</v>
      </c>
      <c r="D41" s="33">
        <f>-(D28/D27)</f>
        <v>0.25557257381216192</v>
      </c>
      <c r="E41" s="33">
        <f>-(E28/E27)</f>
        <v>0.24556476150353415</v>
      </c>
      <c r="F41" s="33">
        <f>-(F28/F27)</f>
        <v>0.18342180705869443</v>
      </c>
      <c r="G41" s="88">
        <v>0.16700000000000001</v>
      </c>
      <c r="H41" s="88">
        <v>0.17</v>
      </c>
      <c r="I41" s="88">
        <v>0.16900000000000001</v>
      </c>
      <c r="J41" s="33">
        <f t="shared" ref="J41:K41" si="6">I41</f>
        <v>0.16900000000000001</v>
      </c>
      <c r="K41" s="33">
        <f t="shared" si="6"/>
        <v>0.16900000000000001</v>
      </c>
      <c r="M41" t="s">
        <v>315</v>
      </c>
    </row>
    <row r="42" spans="3:13" x14ac:dyDescent="0.3">
      <c r="C42" s="28"/>
      <c r="G42" s="31"/>
    </row>
    <row r="43" spans="3:13" x14ac:dyDescent="0.3">
      <c r="C43" s="13" t="s">
        <v>31</v>
      </c>
      <c r="D43" s="34"/>
      <c r="E43" s="34"/>
      <c r="F43" s="34"/>
      <c r="G43" s="14"/>
      <c r="H43" s="14"/>
      <c r="I43" s="14"/>
      <c r="J43" s="14"/>
      <c r="K43" s="14"/>
    </row>
    <row r="44" spans="3:13" x14ac:dyDescent="0.3">
      <c r="C44" s="35" t="str">
        <f>C15</f>
        <v xml:space="preserve">Fiscal year  </v>
      </c>
      <c r="D44" s="36"/>
      <c r="E44" s="36">
        <f t="shared" ref="E44:K45" si="7">E15</f>
        <v>2017</v>
      </c>
      <c r="F44" s="36">
        <f t="shared" si="7"/>
        <v>2018</v>
      </c>
      <c r="G44" s="37">
        <f t="shared" si="7"/>
        <v>2019</v>
      </c>
      <c r="H44" s="37">
        <f t="shared" si="7"/>
        <v>2020</v>
      </c>
      <c r="I44" s="37">
        <f t="shared" si="7"/>
        <v>2021</v>
      </c>
      <c r="J44" s="37">
        <f t="shared" si="7"/>
        <v>2022</v>
      </c>
      <c r="K44" s="37">
        <f t="shared" si="7"/>
        <v>2023</v>
      </c>
    </row>
    <row r="45" spans="3:13" x14ac:dyDescent="0.3">
      <c r="C45" s="14" t="str">
        <f>C16</f>
        <v>Fiscal year end date</v>
      </c>
      <c r="D45" s="38"/>
      <c r="E45" s="38">
        <f t="shared" si="7"/>
        <v>43008</v>
      </c>
      <c r="F45" s="38">
        <f t="shared" si="7"/>
        <v>43372</v>
      </c>
      <c r="G45" s="38">
        <f t="shared" si="7"/>
        <v>43738</v>
      </c>
      <c r="H45" s="38">
        <f t="shared" si="7"/>
        <v>44104</v>
      </c>
      <c r="I45" s="38">
        <f t="shared" si="7"/>
        <v>44469</v>
      </c>
      <c r="J45" s="38">
        <f t="shared" si="7"/>
        <v>44834</v>
      </c>
      <c r="K45" s="38">
        <f t="shared" si="7"/>
        <v>45199</v>
      </c>
    </row>
    <row r="46" spans="3:13" x14ac:dyDescent="0.3">
      <c r="C46" t="s">
        <v>32</v>
      </c>
      <c r="D46" s="24"/>
      <c r="E46" s="24">
        <f>20289+53892+194714</f>
        <v>268895</v>
      </c>
      <c r="F46" s="24">
        <f>25913+40388+170799</f>
        <v>237100</v>
      </c>
      <c r="G46" s="27">
        <f ca="1">G91+F46</f>
        <v>202199.73246575586</v>
      </c>
      <c r="H46" s="27">
        <f ca="1">H91+G46</f>
        <v>176383.85810224805</v>
      </c>
      <c r="I46" s="27">
        <f ca="1">I91+H46</f>
        <v>155848.04251512291</v>
      </c>
      <c r="J46" s="27">
        <f ca="1">J91+I46</f>
        <v>140040.74477345025</v>
      </c>
      <c r="K46" s="27">
        <f ca="1">K91+J46</f>
        <v>129235.2024270009</v>
      </c>
    </row>
    <row r="47" spans="3:13" x14ac:dyDescent="0.3">
      <c r="C47" t="s">
        <v>33</v>
      </c>
      <c r="D47" s="24"/>
      <c r="E47" s="24">
        <v>17874</v>
      </c>
      <c r="F47" s="24">
        <v>23186</v>
      </c>
      <c r="G47" s="27">
        <f ca="1">F47*(1+G37)</f>
        <v>22258.559999999998</v>
      </c>
      <c r="H47" s="27">
        <f ca="1">G47*(1+H37)</f>
        <v>23594.0736</v>
      </c>
      <c r="I47" s="27">
        <f ca="1">H47*(1+I37)</f>
        <v>25222.064678399998</v>
      </c>
      <c r="J47" s="27">
        <f ca="1">I47*(1+J37)</f>
        <v>26962.387141209598</v>
      </c>
      <c r="K47" s="27">
        <f ca="1">J47*(1+K37)</f>
        <v>28822.791853953058</v>
      </c>
    </row>
    <row r="48" spans="3:13" x14ac:dyDescent="0.3">
      <c r="C48" t="s">
        <v>34</v>
      </c>
      <c r="D48" s="24"/>
      <c r="E48" s="24">
        <v>4855</v>
      </c>
      <c r="F48" s="24">
        <v>3956</v>
      </c>
      <c r="G48" s="27">
        <f ca="1">F48*G19/F19</f>
        <v>3831.2507254598299</v>
      </c>
      <c r="H48" s="27">
        <f ca="1">G48*H19/G19</f>
        <v>4048.0674867720268</v>
      </c>
      <c r="I48" s="27">
        <f ca="1">H48*I19/H19</f>
        <v>4313.4248396710409</v>
      </c>
      <c r="J48" s="27">
        <f ca="1">I48*J19/I19</f>
        <v>4611.0511536083422</v>
      </c>
      <c r="K48" s="27">
        <f ca="1">J48*K19/J19</f>
        <v>4929.2136832073174</v>
      </c>
    </row>
    <row r="49" spans="3:13" x14ac:dyDescent="0.3">
      <c r="C49" t="s">
        <v>35</v>
      </c>
      <c r="D49" s="24"/>
      <c r="E49" s="24">
        <f>17799+13936</f>
        <v>31735</v>
      </c>
      <c r="F49" s="24">
        <f>25809+12087</f>
        <v>37896</v>
      </c>
      <c r="G49" s="27">
        <f ca="1">F49*(1+G37)</f>
        <v>36380.159999999996</v>
      </c>
      <c r="H49" s="27">
        <f ca="1">G49*(1+H37)</f>
        <v>38562.969599999997</v>
      </c>
      <c r="I49" s="27">
        <f ca="1">H49*(1+I37)</f>
        <v>41223.814502399997</v>
      </c>
      <c r="J49" s="27">
        <f ca="1">I49*(1+J37)</f>
        <v>44068.257703065596</v>
      </c>
      <c r="K49" s="27">
        <f ca="1">J49*(1+K37)</f>
        <v>47108.967484577122</v>
      </c>
      <c r="M49" s="27"/>
    </row>
    <row r="50" spans="3:13" x14ac:dyDescent="0.3">
      <c r="C50" t="s">
        <v>36</v>
      </c>
      <c r="D50" s="24"/>
      <c r="E50" s="24">
        <v>33783</v>
      </c>
      <c r="F50" s="24">
        <v>41304</v>
      </c>
      <c r="G50" s="27">
        <f>G100</f>
        <v>45042.85982873883</v>
      </c>
      <c r="H50" s="27">
        <f>H100</f>
        <v>48611.181883872909</v>
      </c>
      <c r="I50" s="27">
        <f>I100</f>
        <v>51947.567835949827</v>
      </c>
      <c r="J50" s="27">
        <f ca="1">J100</f>
        <v>55218.714198720052</v>
      </c>
      <c r="K50" s="27">
        <f ca="1">K100</f>
        <v>58399.73337534142</v>
      </c>
    </row>
    <row r="51" spans="3:13" x14ac:dyDescent="0.3">
      <c r="C51" t="s">
        <v>37</v>
      </c>
      <c r="D51" s="24"/>
      <c r="E51" s="24">
        <v>18177</v>
      </c>
      <c r="F51" s="24">
        <v>22283</v>
      </c>
      <c r="G51" s="27">
        <f ca="1">F51*(1+G37)</f>
        <v>21391.68</v>
      </c>
      <c r="H51" s="27">
        <f ca="1">G51*(1+H37)</f>
        <v>22675.180800000002</v>
      </c>
      <c r="I51" s="27">
        <f ca="1">H51*(1+I37)</f>
        <v>24239.7682752</v>
      </c>
      <c r="J51" s="27">
        <f ca="1">I51*(1+J37)</f>
        <v>25912.3122861888</v>
      </c>
      <c r="K51" s="27">
        <f ca="1">J51*(1+K37)</f>
        <v>27700.261833935827</v>
      </c>
    </row>
    <row r="52" spans="3:13" x14ac:dyDescent="0.3">
      <c r="C52" s="30" t="s">
        <v>38</v>
      </c>
      <c r="D52" s="26"/>
      <c r="E52" s="26">
        <f t="shared" ref="E52:K52" si="8">SUM(E46:E51)</f>
        <v>375319</v>
      </c>
      <c r="F52" s="26">
        <f t="shared" si="8"/>
        <v>365725</v>
      </c>
      <c r="G52" s="39">
        <f t="shared" ca="1" si="8"/>
        <v>331104.24301995453</v>
      </c>
      <c r="H52" s="39">
        <f t="shared" ca="1" si="8"/>
        <v>313875.33147289301</v>
      </c>
      <c r="I52" s="39">
        <f t="shared" ca="1" si="8"/>
        <v>302794.68264674378</v>
      </c>
      <c r="J52" s="39">
        <f t="shared" ca="1" si="8"/>
        <v>296813.46725624264</v>
      </c>
      <c r="K52" s="39">
        <f t="shared" ca="1" si="8"/>
        <v>296196.17065801559</v>
      </c>
    </row>
    <row r="53" spans="3:13" x14ac:dyDescent="0.3">
      <c r="C53" s="29"/>
      <c r="D53" s="27"/>
      <c r="E53" s="27"/>
      <c r="F53" s="27"/>
      <c r="G53" s="27"/>
      <c r="H53" s="27"/>
      <c r="I53" s="27"/>
      <c r="J53" s="27"/>
      <c r="K53" s="27"/>
    </row>
    <row r="54" spans="3:13" x14ac:dyDescent="0.3">
      <c r="C54" s="29" t="s">
        <v>39</v>
      </c>
      <c r="D54" s="24"/>
      <c r="E54" s="24">
        <v>44242</v>
      </c>
      <c r="F54" s="24">
        <v>55888</v>
      </c>
      <c r="G54" s="27">
        <f ca="1">F54*G19/F19</f>
        <v>54125.616922269706</v>
      </c>
      <c r="H54" s="27">
        <f ca="1">G54*H19/G19</f>
        <v>57188.674342951221</v>
      </c>
      <c r="I54" s="27">
        <f ca="1">H54*I19/H19</f>
        <v>60937.484185929003</v>
      </c>
      <c r="J54" s="27">
        <f ca="1">I54*J19/I19</f>
        <v>65142.170594758099</v>
      </c>
      <c r="K54" s="27">
        <f ca="1">J54*K19/J19</f>
        <v>69636.980365796408</v>
      </c>
    </row>
    <row r="55" spans="3:13" x14ac:dyDescent="0.3">
      <c r="C55" s="29" t="s">
        <v>40</v>
      </c>
      <c r="D55" s="24"/>
      <c r="E55" s="24">
        <v>30551</v>
      </c>
      <c r="F55" s="24">
        <v>32687</v>
      </c>
      <c r="G55" s="27">
        <f ca="1">F55*(1+G37)</f>
        <v>31379.52</v>
      </c>
      <c r="H55" s="27">
        <f ca="1">G55*(1+H37)</f>
        <v>33262.2912</v>
      </c>
      <c r="I55" s="27">
        <f ca="1">H55*(1+I37)</f>
        <v>35557.389292799999</v>
      </c>
      <c r="J55" s="27">
        <f ca="1">I55*(1+J37)</f>
        <v>38010.849154003197</v>
      </c>
      <c r="K55" s="27">
        <f ca="1">J55*(1+K37)</f>
        <v>40633.597745629413</v>
      </c>
    </row>
    <row r="56" spans="3:13" x14ac:dyDescent="0.3">
      <c r="C56" s="29" t="s">
        <v>41</v>
      </c>
      <c r="D56" s="24"/>
      <c r="E56" s="24">
        <f>7548+2836</f>
        <v>10384</v>
      </c>
      <c r="F56" s="24">
        <f>7543+2797</f>
        <v>10340</v>
      </c>
      <c r="G56" s="27">
        <f ca="1">F56*(1+G37)</f>
        <v>9926.4</v>
      </c>
      <c r="H56" s="27">
        <f ca="1">G56*(1+H37)</f>
        <v>10521.984</v>
      </c>
      <c r="I56" s="27">
        <f ca="1">H56*(1+I37)</f>
        <v>11248.000896</v>
      </c>
      <c r="J56" s="27">
        <f ca="1">I56*(1+J37)</f>
        <v>12024.112957824</v>
      </c>
      <c r="K56" s="27">
        <f ca="1">J56*(1+K37)</f>
        <v>12853.776751913854</v>
      </c>
    </row>
    <row r="57" spans="3:13" x14ac:dyDescent="0.3">
      <c r="C57" s="29" t="s">
        <v>42</v>
      </c>
      <c r="D57" s="24"/>
      <c r="E57" s="24">
        <v>11977</v>
      </c>
      <c r="F57" s="24">
        <v>11964</v>
      </c>
      <c r="G57" s="27">
        <f ca="1">G136</f>
        <v>12000</v>
      </c>
      <c r="H57" s="27">
        <f ca="1">H136</f>
        <v>12000</v>
      </c>
      <c r="I57" s="27">
        <f ca="1">I136</f>
        <v>12000</v>
      </c>
      <c r="J57" s="27">
        <f ca="1">J136</f>
        <v>12000</v>
      </c>
      <c r="K57" s="27">
        <f ca="1">K136</f>
        <v>12000</v>
      </c>
    </row>
    <row r="58" spans="3:13" x14ac:dyDescent="0.3">
      <c r="C58" s="29" t="s">
        <v>43</v>
      </c>
      <c r="D58" s="24"/>
      <c r="E58" s="24">
        <f>6496+97207</f>
        <v>103703</v>
      </c>
      <c r="F58" s="24">
        <f>8784+93735</f>
        <v>102519</v>
      </c>
      <c r="G58" s="27">
        <f>F58</f>
        <v>102519</v>
      </c>
      <c r="H58" s="27">
        <f t="shared" ref="H58:K58" si="9">G58</f>
        <v>102519</v>
      </c>
      <c r="I58" s="27">
        <f t="shared" si="9"/>
        <v>102519</v>
      </c>
      <c r="J58" s="27">
        <f t="shared" si="9"/>
        <v>102519</v>
      </c>
      <c r="K58" s="27">
        <f t="shared" si="9"/>
        <v>102519</v>
      </c>
    </row>
    <row r="59" spans="3:13" x14ac:dyDescent="0.3">
      <c r="C59" s="29" t="s">
        <v>44</v>
      </c>
      <c r="D59" s="24"/>
      <c r="E59" s="24">
        <v>40415</v>
      </c>
      <c r="F59" s="24">
        <v>45180</v>
      </c>
      <c r="G59" s="27">
        <f ca="1">F59*(1+G37)</f>
        <v>43372.799999999996</v>
      </c>
      <c r="H59" s="27">
        <f t="shared" ref="H59:K59" ca="1" si="10">G59*(1+H37)</f>
        <v>45975.167999999998</v>
      </c>
      <c r="I59" s="27">
        <f t="shared" ca="1" si="10"/>
        <v>49147.454591999995</v>
      </c>
      <c r="J59" s="27">
        <f t="shared" ca="1" si="10"/>
        <v>52538.628958847992</v>
      </c>
      <c r="K59" s="27">
        <f t="shared" ca="1" si="10"/>
        <v>56163.794357008504</v>
      </c>
    </row>
    <row r="60" spans="3:13" x14ac:dyDescent="0.3">
      <c r="C60" s="30" t="s">
        <v>45</v>
      </c>
      <c r="D60" s="26"/>
      <c r="E60" s="26">
        <f t="shared" ref="E60:K60" si="11">SUM(E54:E59)</f>
        <v>241272</v>
      </c>
      <c r="F60" s="26">
        <f t="shared" si="11"/>
        <v>258578</v>
      </c>
      <c r="G60" s="39">
        <f t="shared" ca="1" si="11"/>
        <v>253323.33692226969</v>
      </c>
      <c r="H60" s="39">
        <f t="shared" ca="1" si="11"/>
        <v>261467.11754295122</v>
      </c>
      <c r="I60" s="39">
        <f t="shared" ca="1" si="11"/>
        <v>271409.32896672899</v>
      </c>
      <c r="J60" s="39">
        <f t="shared" ca="1" si="11"/>
        <v>282234.7616654333</v>
      </c>
      <c r="K60" s="39">
        <f t="shared" ca="1" si="11"/>
        <v>293807.14922034822</v>
      </c>
    </row>
    <row r="61" spans="3:13" x14ac:dyDescent="0.3">
      <c r="C61" s="30"/>
      <c r="D61" s="26"/>
      <c r="E61" s="26"/>
      <c r="F61" s="26"/>
      <c r="G61" s="27"/>
      <c r="H61" s="27"/>
      <c r="I61" s="27"/>
      <c r="J61" s="27"/>
      <c r="K61" s="27"/>
    </row>
    <row r="62" spans="3:13" x14ac:dyDescent="0.3">
      <c r="C62" s="29" t="s">
        <v>46</v>
      </c>
      <c r="D62" s="24"/>
      <c r="E62" s="24">
        <v>35867</v>
      </c>
      <c r="F62" s="24">
        <v>40201</v>
      </c>
      <c r="G62" s="27">
        <f ca="1">F62+G33</f>
        <v>45327.4</v>
      </c>
      <c r="H62" s="27">
        <f ca="1">G62+H33</f>
        <v>50761.383999999998</v>
      </c>
      <c r="I62" s="27">
        <f ca="1">H62+I33</f>
        <v>56570.312895999996</v>
      </c>
      <c r="J62" s="27">
        <f ca="1">I62+J33</f>
        <v>62780.057885823997</v>
      </c>
      <c r="K62" s="27">
        <f ca="1">J62+K33</f>
        <v>69418.275279945854</v>
      </c>
    </row>
    <row r="63" spans="3:13" x14ac:dyDescent="0.3">
      <c r="C63" s="29" t="s">
        <v>47</v>
      </c>
      <c r="D63" s="25"/>
      <c r="E63" s="25">
        <f>98330</f>
        <v>98330</v>
      </c>
      <c r="F63" s="24">
        <v>70400</v>
      </c>
      <c r="G63" s="27">
        <f ca="1">G120</f>
        <v>35907.506097684833</v>
      </c>
      <c r="H63" s="27">
        <f ca="1">H120</f>
        <v>5100.8299299417849</v>
      </c>
      <c r="I63" s="27">
        <f ca="1">I120</f>
        <v>-21730.959215985225</v>
      </c>
      <c r="J63" s="27">
        <f ca="1">J120</f>
        <v>-44747.352295014651</v>
      </c>
      <c r="K63" s="27">
        <f ca="1">K120</f>
        <v>-63575.253842278406</v>
      </c>
    </row>
    <row r="64" spans="3:13" x14ac:dyDescent="0.3">
      <c r="C64" s="29" t="s">
        <v>48</v>
      </c>
      <c r="D64" s="24"/>
      <c r="E64" s="24">
        <v>-150</v>
      </c>
      <c r="F64" s="24">
        <v>-3454</v>
      </c>
      <c r="G64" s="27">
        <f>F64</f>
        <v>-3454</v>
      </c>
      <c r="H64" s="27">
        <f>G64</f>
        <v>-3454</v>
      </c>
      <c r="I64" s="27">
        <f>H64</f>
        <v>-3454</v>
      </c>
      <c r="J64" s="27">
        <f>I64</f>
        <v>-3454</v>
      </c>
      <c r="K64" s="27">
        <f>J64</f>
        <v>-3454</v>
      </c>
    </row>
    <row r="65" spans="3:11" x14ac:dyDescent="0.3">
      <c r="C65" s="30" t="s">
        <v>49</v>
      </c>
      <c r="D65" s="39"/>
      <c r="E65" s="39">
        <f t="shared" ref="E65:K65" si="12">SUM(E62:E64)</f>
        <v>134047</v>
      </c>
      <c r="F65" s="39">
        <f t="shared" si="12"/>
        <v>107147</v>
      </c>
      <c r="G65" s="39">
        <f t="shared" ca="1" si="12"/>
        <v>77780.906097684841</v>
      </c>
      <c r="H65" s="39">
        <f t="shared" ca="1" si="12"/>
        <v>52408.213929941783</v>
      </c>
      <c r="I65" s="39">
        <f t="shared" ca="1" si="12"/>
        <v>31385.35368001477</v>
      </c>
      <c r="J65" s="39">
        <f t="shared" ca="1" si="12"/>
        <v>14578.705590809346</v>
      </c>
      <c r="K65" s="39">
        <f t="shared" ca="1" si="12"/>
        <v>2389.0214376674485</v>
      </c>
    </row>
    <row r="66" spans="3:11" x14ac:dyDescent="0.3">
      <c r="D66" s="27"/>
      <c r="E66" s="27"/>
      <c r="F66" s="27"/>
    </row>
    <row r="67" spans="3:11" x14ac:dyDescent="0.3">
      <c r="C67" s="19" t="s">
        <v>50</v>
      </c>
      <c r="D67" s="40"/>
      <c r="E67" s="40">
        <f t="shared" ref="E67:K67" si="13">ROUND(E52-E60-E65,3)</f>
        <v>0</v>
      </c>
      <c r="F67" s="40">
        <f t="shared" si="13"/>
        <v>0</v>
      </c>
      <c r="G67" s="40">
        <f t="shared" ca="1" si="13"/>
        <v>0</v>
      </c>
      <c r="H67" s="40">
        <f t="shared" ca="1" si="13"/>
        <v>0</v>
      </c>
      <c r="I67" s="40">
        <f t="shared" ca="1" si="13"/>
        <v>0</v>
      </c>
      <c r="J67" s="40">
        <f t="shared" ca="1" si="13"/>
        <v>0</v>
      </c>
      <c r="K67" s="40">
        <f t="shared" ca="1" si="13"/>
        <v>0</v>
      </c>
    </row>
    <row r="68" spans="3:11" x14ac:dyDescent="0.3">
      <c r="E68" s="27"/>
      <c r="F68" s="27"/>
      <c r="H68" s="27"/>
      <c r="I68" s="27"/>
      <c r="J68" s="27"/>
      <c r="K68" s="27"/>
    </row>
    <row r="69" spans="3:11" x14ac:dyDescent="0.3">
      <c r="C69" s="13" t="s">
        <v>51</v>
      </c>
      <c r="D69" s="34"/>
      <c r="E69" s="34"/>
      <c r="F69" s="34"/>
      <c r="G69" s="34"/>
      <c r="H69" s="34"/>
      <c r="I69" s="34"/>
      <c r="J69" s="34"/>
      <c r="K69" s="34"/>
    </row>
    <row r="70" spans="3:11" x14ac:dyDescent="0.3">
      <c r="C70" s="35" t="str">
        <f>C15</f>
        <v xml:space="preserve">Fiscal year  </v>
      </c>
      <c r="D70" s="36"/>
      <c r="E70" s="36"/>
      <c r="F70" s="36"/>
      <c r="G70" s="37">
        <f t="shared" ref="G70:K71" si="14">G15</f>
        <v>2019</v>
      </c>
      <c r="H70" s="37">
        <f t="shared" si="14"/>
        <v>2020</v>
      </c>
      <c r="I70" s="37">
        <f t="shared" si="14"/>
        <v>2021</v>
      </c>
      <c r="J70" s="37">
        <f t="shared" si="14"/>
        <v>2022</v>
      </c>
      <c r="K70" s="37">
        <f t="shared" si="14"/>
        <v>2023</v>
      </c>
    </row>
    <row r="71" spans="3:11" x14ac:dyDescent="0.3">
      <c r="C71" s="14" t="str">
        <f>C16</f>
        <v>Fiscal year end date</v>
      </c>
      <c r="D71" s="38"/>
      <c r="E71" s="38"/>
      <c r="F71" s="38"/>
      <c r="G71" s="38">
        <f t="shared" si="14"/>
        <v>43738</v>
      </c>
      <c r="H71" s="38">
        <f t="shared" si="14"/>
        <v>44104</v>
      </c>
      <c r="I71" s="38">
        <f t="shared" si="14"/>
        <v>44469</v>
      </c>
      <c r="J71" s="38">
        <f t="shared" si="14"/>
        <v>44834</v>
      </c>
      <c r="K71" s="38">
        <f t="shared" si="14"/>
        <v>45199</v>
      </c>
    </row>
    <row r="73" spans="3:11" x14ac:dyDescent="0.3">
      <c r="C73" t="s">
        <v>20</v>
      </c>
      <c r="D73" s="41"/>
      <c r="E73" s="41"/>
      <c r="F73" s="41"/>
      <c r="G73" s="27">
        <f ca="1">G29</f>
        <v>52298.506097684833</v>
      </c>
      <c r="H73" s="27">
        <f ca="1">H29</f>
        <v>55984.323832256952</v>
      </c>
      <c r="I73" s="27">
        <f ca="1">I29</f>
        <v>59959.21085407299</v>
      </c>
      <c r="J73" s="27">
        <f ca="1">J29</f>
        <v>63774.606920970575</v>
      </c>
      <c r="K73" s="27">
        <f ca="1">K29</f>
        <v>67963.098452736245</v>
      </c>
    </row>
    <row r="74" spans="3:11" x14ac:dyDescent="0.3">
      <c r="C74" t="s">
        <v>52</v>
      </c>
      <c r="D74" s="41"/>
      <c r="E74" s="41"/>
      <c r="F74" s="41"/>
      <c r="G74" s="27">
        <f ca="1">G31</f>
        <v>11085.020171261172</v>
      </c>
      <c r="H74" s="27">
        <f ca="1">H31</f>
        <v>11711.890744865921</v>
      </c>
      <c r="I74" s="27">
        <f ca="1">I31</f>
        <v>12226.380531123083</v>
      </c>
      <c r="J74" s="27">
        <f ca="1">J31</f>
        <v>13365.451007770575</v>
      </c>
      <c r="K74" s="27">
        <f ca="1">K31</f>
        <v>14603.503412486743</v>
      </c>
    </row>
    <row r="75" spans="3:11" x14ac:dyDescent="0.3">
      <c r="C75" t="s">
        <v>23</v>
      </c>
      <c r="D75" s="41"/>
      <c r="E75" s="41"/>
      <c r="F75" s="41"/>
      <c r="G75" s="27">
        <f ca="1">G33</f>
        <v>5126.3999999999996</v>
      </c>
      <c r="H75" s="27">
        <f ca="1">H33</f>
        <v>5433.9839999999995</v>
      </c>
      <c r="I75" s="27">
        <f ca="1">I33</f>
        <v>5808.9288959999994</v>
      </c>
      <c r="J75" s="27">
        <f ca="1">J33</f>
        <v>6209.7449898239993</v>
      </c>
      <c r="K75" s="27">
        <f ca="1">K33</f>
        <v>6638.2173941218552</v>
      </c>
    </row>
    <row r="76" spans="3:11" x14ac:dyDescent="0.3">
      <c r="C76" t="s">
        <v>53</v>
      </c>
      <c r="D76" s="27"/>
      <c r="E76" s="27"/>
      <c r="F76" s="27"/>
      <c r="G76" s="27">
        <f ca="1">-1*(SUM(G47:G49)-SUM(F47:F49))</f>
        <v>2568.0292745401748</v>
      </c>
      <c r="H76" s="27">
        <f ca="1">-1*(SUM(H47:H49)-SUM(G47:G49))</f>
        <v>-3735.1399613121976</v>
      </c>
      <c r="I76" s="27">
        <f ca="1">-1*(SUM(I47:I49)-SUM(H47:H49))</f>
        <v>-4554.1933336990041</v>
      </c>
      <c r="J76" s="27">
        <f ca="1">-1*(SUM(J47:J49)-SUM(I47:I49))</f>
        <v>-4882.3919774125097</v>
      </c>
      <c r="K76" s="27">
        <f ca="1">-1*(SUM(K47:K49)-SUM(J47:J49))</f>
        <v>-5219.277023853967</v>
      </c>
    </row>
    <row r="77" spans="3:11" x14ac:dyDescent="0.3">
      <c r="C77" t="s">
        <v>54</v>
      </c>
      <c r="D77" s="27"/>
      <c r="E77" s="27"/>
      <c r="F77" s="27"/>
      <c r="G77" s="27">
        <f ca="1">SUM(G54:G56)-SUM(F54:F56)</f>
        <v>-3483.4630777302955</v>
      </c>
      <c r="H77" s="27">
        <f ca="1">SUM(H54:H56)-SUM(G54:G56)</f>
        <v>5541.4126206815126</v>
      </c>
      <c r="I77" s="27">
        <f ca="1">SUM(I54:I56)-SUM(H54:H56)</f>
        <v>6769.9248317777819</v>
      </c>
      <c r="J77" s="27">
        <f ca="1">SUM(J54:J56)-SUM(I54:I56)</f>
        <v>7434.2583318562829</v>
      </c>
      <c r="K77" s="27">
        <f ca="1">SUM(K54:K56)-SUM(J54:J56)</f>
        <v>7947.2221567544038</v>
      </c>
    </row>
    <row r="78" spans="3:11" x14ac:dyDescent="0.3">
      <c r="C78" t="s">
        <v>37</v>
      </c>
      <c r="G78" s="27">
        <f ca="1">-(G112)</f>
        <v>-647.56000000000131</v>
      </c>
      <c r="H78" s="27">
        <f ca="1">-(H112)</f>
        <v>-2914.7136000000028</v>
      </c>
      <c r="I78" s="27">
        <f ca="1">-(I112)</f>
        <v>-3308.3539583999991</v>
      </c>
      <c r="J78" s="27">
        <f ca="1">-(J112)</f>
        <v>-3536.6303815296014</v>
      </c>
      <c r="K78" s="27">
        <f ca="1">-(K112)</f>
        <v>-3780.6578778551411</v>
      </c>
    </row>
    <row r="79" spans="3:11" x14ac:dyDescent="0.3">
      <c r="C79" t="s">
        <v>44</v>
      </c>
      <c r="G79" s="27">
        <f ca="1">G59-F59</f>
        <v>-1807.2000000000044</v>
      </c>
      <c r="H79" s="27">
        <f ca="1">H59-G59</f>
        <v>2602.3680000000022</v>
      </c>
      <c r="I79" s="27">
        <f ca="1">I59-H59</f>
        <v>3172.2865919999967</v>
      </c>
      <c r="J79" s="27">
        <f ca="1">J59-I59</f>
        <v>3391.1743668479976</v>
      </c>
      <c r="K79" s="27">
        <f ca="1">K59-J59</f>
        <v>3625.1653981605123</v>
      </c>
    </row>
    <row r="80" spans="3:11" x14ac:dyDescent="0.3">
      <c r="C80" s="12" t="s">
        <v>55</v>
      </c>
      <c r="G80" s="39">
        <f ca="1">SUM(G73:G79)</f>
        <v>65139.732465755871</v>
      </c>
      <c r="H80" s="39">
        <f ca="1">SUM(H73:H79)</f>
        <v>74624.125636492186</v>
      </c>
      <c r="I80" s="39">
        <f ca="1">SUM(I73:I79)</f>
        <v>80074.184412874863</v>
      </c>
      <c r="J80" s="39">
        <f ca="1">SUM(J73:J79)</f>
        <v>85756.213258327334</v>
      </c>
      <c r="K80" s="39">
        <f ca="1">SUM(K73:K79)</f>
        <v>91777.271912550641</v>
      </c>
    </row>
    <row r="81" spans="3:11" x14ac:dyDescent="0.3">
      <c r="G81" s="27"/>
      <c r="H81" s="27"/>
      <c r="I81" s="27"/>
      <c r="J81" s="27"/>
      <c r="K81" s="27"/>
    </row>
    <row r="82" spans="3:11" x14ac:dyDescent="0.3">
      <c r="C82" t="s">
        <v>56</v>
      </c>
      <c r="G82" s="27">
        <f>-(G98)</f>
        <v>-13285</v>
      </c>
      <c r="H82" s="27">
        <f>-(H98)</f>
        <v>-13649</v>
      </c>
      <c r="I82" s="27">
        <f>-(I98)</f>
        <v>-13819</v>
      </c>
      <c r="J82" s="27">
        <f ca="1">-(J98)</f>
        <v>-14772.510999999999</v>
      </c>
      <c r="K82" s="27">
        <f ca="1">-(K98)</f>
        <v>-15791.814258999997</v>
      </c>
    </row>
    <row r="83" spans="3:11" x14ac:dyDescent="0.3">
      <c r="C83" s="12" t="s">
        <v>57</v>
      </c>
      <c r="G83" s="39">
        <f>IFERROR(G82,"NA")</f>
        <v>-13285</v>
      </c>
      <c r="H83" s="39">
        <f>IFERROR(H82,"NA")</f>
        <v>-13649</v>
      </c>
      <c r="I83" s="39">
        <f>IFERROR(I82,"NA")</f>
        <v>-13819</v>
      </c>
      <c r="J83" s="39">
        <f ca="1">IFERROR(J82,"NA")</f>
        <v>-14772.510999999999</v>
      </c>
      <c r="K83" s="39">
        <f ca="1">IFERROR(K82,"NA")</f>
        <v>-15791.814258999997</v>
      </c>
    </row>
    <row r="84" spans="3:11" x14ac:dyDescent="0.3">
      <c r="G84" s="27"/>
      <c r="H84" s="27"/>
      <c r="I84" s="27"/>
      <c r="J84" s="27"/>
      <c r="K84" s="27"/>
    </row>
    <row r="85" spans="3:11" x14ac:dyDescent="0.3">
      <c r="C85" t="s">
        <v>58</v>
      </c>
      <c r="G85" s="27">
        <f>G58-F58</f>
        <v>0</v>
      </c>
      <c r="H85" s="27">
        <f>H58-G58</f>
        <v>0</v>
      </c>
      <c r="I85" s="27">
        <f>I58-H58</f>
        <v>0</v>
      </c>
      <c r="J85" s="27">
        <f>J58-I58</f>
        <v>0</v>
      </c>
      <c r="K85" s="27">
        <f>K58-J58</f>
        <v>0</v>
      </c>
    </row>
    <row r="86" spans="3:11" x14ac:dyDescent="0.3">
      <c r="C86" t="s">
        <v>59</v>
      </c>
      <c r="G86" s="27">
        <f ca="1">G57-F57</f>
        <v>36</v>
      </c>
      <c r="H86" s="27">
        <f ca="1">H57-G57</f>
        <v>0</v>
      </c>
      <c r="I86" s="27">
        <f ca="1">I57-H57</f>
        <v>0</v>
      </c>
      <c r="J86" s="27">
        <f ca="1">J57-I57</f>
        <v>0</v>
      </c>
      <c r="K86" s="27">
        <f ca="1">K57-J57</f>
        <v>0</v>
      </c>
    </row>
    <row r="87" spans="3:11" x14ac:dyDescent="0.3">
      <c r="C87" t="s">
        <v>60</v>
      </c>
      <c r="G87" s="27">
        <f>G119</f>
        <v>-73056</v>
      </c>
      <c r="H87" s="27">
        <f>H119</f>
        <v>-73056</v>
      </c>
      <c r="I87" s="27">
        <f>I119</f>
        <v>-73056</v>
      </c>
      <c r="J87" s="27">
        <f>J119</f>
        <v>-73056</v>
      </c>
      <c r="K87" s="27">
        <f>K119</f>
        <v>-73056</v>
      </c>
    </row>
    <row r="88" spans="3:11" x14ac:dyDescent="0.3">
      <c r="C88" t="s">
        <v>61</v>
      </c>
      <c r="G88" s="27">
        <f>G118</f>
        <v>-13735</v>
      </c>
      <c r="H88" s="27">
        <f>H118</f>
        <v>-13735</v>
      </c>
      <c r="I88" s="27">
        <f>I118</f>
        <v>-13735</v>
      </c>
      <c r="J88" s="27">
        <f>J118</f>
        <v>-13735</v>
      </c>
      <c r="K88" s="27">
        <f>K118</f>
        <v>-13735</v>
      </c>
    </row>
    <row r="89" spans="3:11" x14ac:dyDescent="0.3">
      <c r="C89" s="12" t="s">
        <v>62</v>
      </c>
      <c r="G89" s="39">
        <f ca="1">SUM(G85:G88)</f>
        <v>-86755</v>
      </c>
      <c r="H89" s="39">
        <f ca="1">SUM(H85:H88)</f>
        <v>-86791</v>
      </c>
      <c r="I89" s="39">
        <f ca="1">SUM(I85:I88)</f>
        <v>-86791</v>
      </c>
      <c r="J89" s="39">
        <f ca="1">SUM(J85:J88)</f>
        <v>-86791</v>
      </c>
      <c r="K89" s="39">
        <f ca="1">SUM(K85:K88)</f>
        <v>-86791</v>
      </c>
    </row>
    <row r="90" spans="3:11" x14ac:dyDescent="0.3">
      <c r="G90" s="27"/>
      <c r="H90" s="27"/>
      <c r="I90" s="27"/>
      <c r="J90" s="27"/>
      <c r="K90" s="27"/>
    </row>
    <row r="91" spans="3:11" x14ac:dyDescent="0.3">
      <c r="C91" s="12" t="s">
        <v>63</v>
      </c>
      <c r="G91" s="39">
        <f ca="1">G80+G83+G89</f>
        <v>-34900.267534244129</v>
      </c>
      <c r="H91" s="39">
        <f ca="1">H80+H83+H89</f>
        <v>-25815.874363507814</v>
      </c>
      <c r="I91" s="39">
        <f ca="1">I80+I83+I89</f>
        <v>-20535.815587125137</v>
      </c>
      <c r="J91" s="39">
        <f ca="1">J80+J83+J89</f>
        <v>-15807.297741672664</v>
      </c>
      <c r="K91" s="39">
        <f ca="1">K80+K83+K89</f>
        <v>-10805.542346449351</v>
      </c>
    </row>
    <row r="93" spans="3:11" x14ac:dyDescent="0.3">
      <c r="C93" s="13" t="s">
        <v>64</v>
      </c>
      <c r="D93" s="14"/>
      <c r="E93" s="14"/>
      <c r="F93" s="14"/>
      <c r="G93" s="14"/>
      <c r="H93" s="14"/>
      <c r="I93" s="14"/>
      <c r="J93" s="14"/>
      <c r="K93" s="14"/>
    </row>
    <row r="94" spans="3:11" x14ac:dyDescent="0.3">
      <c r="C94" s="35" t="str">
        <f t="shared" ref="C94:K95" si="15">C15</f>
        <v xml:space="preserve">Fiscal year  </v>
      </c>
      <c r="D94" s="36">
        <f t="shared" si="15"/>
        <v>2016</v>
      </c>
      <c r="E94" s="36">
        <f t="shared" si="15"/>
        <v>2017</v>
      </c>
      <c r="F94" s="36">
        <f t="shared" si="15"/>
        <v>2018</v>
      </c>
      <c r="G94" s="37">
        <f t="shared" si="15"/>
        <v>2019</v>
      </c>
      <c r="H94" s="37">
        <f t="shared" si="15"/>
        <v>2020</v>
      </c>
      <c r="I94" s="37">
        <f t="shared" si="15"/>
        <v>2021</v>
      </c>
      <c r="J94" s="37">
        <f t="shared" si="15"/>
        <v>2022</v>
      </c>
      <c r="K94" s="37">
        <f t="shared" si="15"/>
        <v>2023</v>
      </c>
    </row>
    <row r="95" spans="3:11" x14ac:dyDescent="0.3">
      <c r="C95" s="14" t="str">
        <f t="shared" si="15"/>
        <v>Fiscal year end date</v>
      </c>
      <c r="D95" s="38">
        <f t="shared" si="15"/>
        <v>42643</v>
      </c>
      <c r="E95" s="38">
        <f t="shared" si="15"/>
        <v>43008</v>
      </c>
      <c r="F95" s="38">
        <f t="shared" si="15"/>
        <v>43372</v>
      </c>
      <c r="G95" s="38">
        <f t="shared" si="15"/>
        <v>43738</v>
      </c>
      <c r="H95" s="38">
        <f t="shared" si="15"/>
        <v>44104</v>
      </c>
      <c r="I95" s="38">
        <f t="shared" si="15"/>
        <v>44469</v>
      </c>
      <c r="J95" s="38">
        <f t="shared" si="15"/>
        <v>44834</v>
      </c>
      <c r="K95" s="38">
        <f t="shared" si="15"/>
        <v>45199</v>
      </c>
    </row>
    <row r="96" spans="3:11" x14ac:dyDescent="0.3">
      <c r="C96" s="12"/>
      <c r="G96" s="42" t="s">
        <v>65</v>
      </c>
      <c r="H96" s="42"/>
      <c r="I96" s="42"/>
      <c r="J96" s="42"/>
      <c r="K96" s="42"/>
    </row>
    <row r="97" spans="3:13" x14ac:dyDescent="0.3">
      <c r="C97" s="29" t="s">
        <v>66</v>
      </c>
      <c r="G97" s="27">
        <f>F100</f>
        <v>41304</v>
      </c>
      <c r="H97" s="27">
        <f>G100</f>
        <v>45042.85982873883</v>
      </c>
      <c r="I97" s="27">
        <f>H100</f>
        <v>48611.181883872909</v>
      </c>
      <c r="J97" s="27">
        <f>I100</f>
        <v>51947.567835949827</v>
      </c>
      <c r="K97" s="27">
        <f ca="1">J100</f>
        <v>55218.714198720052</v>
      </c>
    </row>
    <row r="98" spans="3:13" x14ac:dyDescent="0.3">
      <c r="C98" s="43" t="s">
        <v>67</v>
      </c>
      <c r="D98" s="24">
        <v>12734</v>
      </c>
      <c r="E98" s="24">
        <v>12451</v>
      </c>
      <c r="F98" s="24">
        <v>13313</v>
      </c>
      <c r="G98" s="24">
        <v>13285</v>
      </c>
      <c r="H98" s="24">
        <v>13649</v>
      </c>
      <c r="I98" s="24">
        <v>13819</v>
      </c>
      <c r="J98" s="24">
        <f ca="1">I98*(1+J37)</f>
        <v>14772.510999999999</v>
      </c>
      <c r="K98" s="24">
        <f t="shared" ref="K98" ca="1" si="16">J98*(1+K37)</f>
        <v>15791.814258999997</v>
      </c>
    </row>
    <row r="99" spans="3:13" x14ac:dyDescent="0.3">
      <c r="C99" s="44" t="s">
        <v>68</v>
      </c>
      <c r="D99" s="45">
        <v>-8300</v>
      </c>
      <c r="E99" s="45">
        <v>-8200</v>
      </c>
      <c r="F99" s="45">
        <v>-9300</v>
      </c>
      <c r="G99" s="46">
        <f>-(G102*G98)</f>
        <v>-9546.1401712611732</v>
      </c>
      <c r="H99" s="46">
        <f>-(H102*H98)</f>
        <v>-10080.677944865922</v>
      </c>
      <c r="I99" s="46">
        <f>-(I102*I98)</f>
        <v>-10482.614047923083</v>
      </c>
      <c r="J99" s="46">
        <f ca="1">-(J102*J98)</f>
        <v>-11501.364637229775</v>
      </c>
      <c r="K99" s="46">
        <f ca="1">-(K102*K98)</f>
        <v>-12610.795082378629</v>
      </c>
    </row>
    <row r="100" spans="3:13" x14ac:dyDescent="0.3">
      <c r="C100" s="47" t="s">
        <v>69</v>
      </c>
      <c r="D100" s="39"/>
      <c r="E100" s="39">
        <f>E50</f>
        <v>33783</v>
      </c>
      <c r="F100" s="39">
        <f>F50</f>
        <v>41304</v>
      </c>
      <c r="G100" s="39">
        <f>SUM(G97:G99)</f>
        <v>45042.85982873883</v>
      </c>
      <c r="H100" s="39">
        <f>SUM(H97:H99)</f>
        <v>48611.181883872909</v>
      </c>
      <c r="I100" s="39">
        <f>SUM(I97:I99)</f>
        <v>51947.567835949827</v>
      </c>
      <c r="J100" s="39">
        <f ca="1">SUM(J97:J99)</f>
        <v>55218.714198720052</v>
      </c>
      <c r="K100" s="39">
        <f ca="1">SUM(K97:K99)</f>
        <v>58399.73337534142</v>
      </c>
    </row>
    <row r="101" spans="3:13" x14ac:dyDescent="0.3">
      <c r="C101" s="29"/>
      <c r="M101" s="32" t="s">
        <v>139</v>
      </c>
    </row>
    <row r="102" spans="3:13" x14ac:dyDescent="0.3">
      <c r="C102" s="29" t="s">
        <v>70</v>
      </c>
      <c r="D102" s="48">
        <f>-(D99/D98)</f>
        <v>0.65179833516569818</v>
      </c>
      <c r="E102" s="48">
        <f>-(E99/E98)</f>
        <v>0.6585816400289134</v>
      </c>
      <c r="F102" s="48">
        <f>-(F99/F98)</f>
        <v>0.69856531210095396</v>
      </c>
      <c r="G102" s="33">
        <f>F102+$M$102</f>
        <v>0.71856531210095398</v>
      </c>
      <c r="H102" s="33">
        <f>G102+$M$102</f>
        <v>0.738565312100954</v>
      </c>
      <c r="I102" s="33">
        <f>H102+$M$102</f>
        <v>0.75856531210095401</v>
      </c>
      <c r="J102" s="33">
        <f>I102+$M$102</f>
        <v>0.77856531210095403</v>
      </c>
      <c r="K102" s="33">
        <f>J102+$M$102</f>
        <v>0.79856531210095405</v>
      </c>
      <c r="M102" s="150">
        <v>0.02</v>
      </c>
    </row>
    <row r="103" spans="3:13" x14ac:dyDescent="0.3">
      <c r="C103" s="29"/>
      <c r="D103" s="48"/>
      <c r="E103" s="48"/>
      <c r="F103" s="48"/>
      <c r="G103" s="33"/>
      <c r="H103" s="33"/>
      <c r="I103" s="33"/>
      <c r="J103" s="33"/>
      <c r="K103" s="33"/>
    </row>
    <row r="104" spans="3:13" x14ac:dyDescent="0.3">
      <c r="C104" s="49" t="s">
        <v>71</v>
      </c>
      <c r="D104" s="50"/>
      <c r="E104" s="50"/>
      <c r="F104" s="50"/>
      <c r="G104" s="51"/>
      <c r="H104" s="51"/>
      <c r="I104" s="51"/>
      <c r="J104" s="51"/>
      <c r="K104" s="51"/>
    </row>
    <row r="105" spans="3:13" x14ac:dyDescent="0.3">
      <c r="C105" s="29" t="s">
        <v>72</v>
      </c>
      <c r="D105" s="27">
        <f>D107+D99</f>
        <v>2205</v>
      </c>
      <c r="E105" s="27">
        <f>E107+E99</f>
        <v>1957</v>
      </c>
      <c r="F105" s="27">
        <f>F107+F99</f>
        <v>1603</v>
      </c>
      <c r="G105" s="25">
        <f ca="1">G106*G18</f>
        <v>1538.8799999999999</v>
      </c>
      <c r="H105" s="25">
        <f ca="1">H106*H18</f>
        <v>1631.2128</v>
      </c>
      <c r="I105" s="25">
        <f ca="1">I106*I18</f>
        <v>1743.7664832</v>
      </c>
      <c r="J105" s="25">
        <f ca="1">J106*J18</f>
        <v>1864.0863705407999</v>
      </c>
      <c r="K105" s="25">
        <f ca="1">K106*K18</f>
        <v>1992.708330108115</v>
      </c>
    </row>
    <row r="106" spans="3:13" x14ac:dyDescent="0.3">
      <c r="C106" s="28" t="s">
        <v>73</v>
      </c>
      <c r="D106" s="52">
        <f>D105/D18</f>
        <v>1.0225423044996499E-2</v>
      </c>
      <c r="E106" s="52">
        <f>E105/E18</f>
        <v>8.537128000209393E-3</v>
      </c>
      <c r="F106" s="52">
        <f>F105/F18</f>
        <v>6.0355051864681188E-3</v>
      </c>
      <c r="G106" s="33">
        <f>F106</f>
        <v>6.0355051864681188E-3</v>
      </c>
      <c r="H106" s="33">
        <f>G106</f>
        <v>6.0355051864681188E-3</v>
      </c>
      <c r="I106" s="33">
        <f>H106</f>
        <v>6.0355051864681188E-3</v>
      </c>
      <c r="J106" s="33">
        <f>I106</f>
        <v>6.0355051864681188E-3</v>
      </c>
      <c r="K106" s="33">
        <f>J106</f>
        <v>6.0355051864681188E-3</v>
      </c>
    </row>
    <row r="107" spans="3:13" x14ac:dyDescent="0.3">
      <c r="C107" s="30" t="s">
        <v>74</v>
      </c>
      <c r="D107" s="39">
        <f>D31</f>
        <v>10505</v>
      </c>
      <c r="E107" s="39">
        <f>E31</f>
        <v>10157</v>
      </c>
      <c r="F107" s="39">
        <f>F31</f>
        <v>10903</v>
      </c>
      <c r="G107" s="26">
        <f ca="1">-G99+G105</f>
        <v>11085.020171261172</v>
      </c>
      <c r="H107" s="26">
        <f ca="1">-H99+H105</f>
        <v>11711.890744865921</v>
      </c>
      <c r="I107" s="26">
        <f ca="1">-I99+I105</f>
        <v>12226.380531123083</v>
      </c>
      <c r="J107" s="26">
        <f ca="1">-J99+J105</f>
        <v>13365.451007770575</v>
      </c>
      <c r="K107" s="26">
        <f ca="1">-K99+K105</f>
        <v>14603.503412486743</v>
      </c>
    </row>
    <row r="108" spans="3:13" x14ac:dyDescent="0.3">
      <c r="C108" s="29"/>
      <c r="D108" s="27"/>
      <c r="E108" s="27"/>
      <c r="F108" s="27"/>
      <c r="H108" s="27"/>
      <c r="I108" s="27"/>
      <c r="J108" s="27"/>
      <c r="K108" s="27"/>
    </row>
    <row r="109" spans="3:13" x14ac:dyDescent="0.3">
      <c r="C109" s="53" t="s">
        <v>75</v>
      </c>
      <c r="D109" s="14"/>
      <c r="E109" s="14"/>
      <c r="F109" s="14"/>
      <c r="H109" s="27"/>
      <c r="I109" s="27"/>
      <c r="J109" s="27"/>
      <c r="K109" s="27"/>
    </row>
    <row r="110" spans="3:13" x14ac:dyDescent="0.3">
      <c r="C110" s="29" t="s">
        <v>66</v>
      </c>
      <c r="D110" s="27"/>
      <c r="G110" s="54">
        <f>F113</f>
        <v>22283</v>
      </c>
      <c r="H110" s="54">
        <f ca="1">G113</f>
        <v>21391.68</v>
      </c>
      <c r="I110" s="54">
        <f ca="1">H113</f>
        <v>22675.180800000002</v>
      </c>
      <c r="J110" s="54">
        <f ca="1">I113</f>
        <v>24239.7682752</v>
      </c>
      <c r="K110" s="54">
        <f ca="1">J113</f>
        <v>25912.3122861888</v>
      </c>
    </row>
    <row r="111" spans="3:13" x14ac:dyDescent="0.3">
      <c r="C111" s="28" t="s">
        <v>76</v>
      </c>
      <c r="G111" s="27">
        <f ca="1">-(G105)</f>
        <v>-1538.8799999999999</v>
      </c>
      <c r="H111" s="27">
        <f ca="1">-(H105)</f>
        <v>-1631.2128</v>
      </c>
      <c r="I111" s="27">
        <f ca="1">-(I105)</f>
        <v>-1743.7664832</v>
      </c>
      <c r="J111" s="27">
        <f ca="1">-(J105)</f>
        <v>-1864.0863705407999</v>
      </c>
      <c r="K111" s="27">
        <f ca="1">-(K105)</f>
        <v>-1992.708330108115</v>
      </c>
    </row>
    <row r="112" spans="3:13" x14ac:dyDescent="0.3">
      <c r="C112" s="55" t="s">
        <v>77</v>
      </c>
      <c r="D112" s="56"/>
      <c r="E112" s="56"/>
      <c r="F112" s="56"/>
      <c r="G112" s="57">
        <f ca="1">G113-G111-G110</f>
        <v>647.56000000000131</v>
      </c>
      <c r="H112" s="57">
        <f ca="1">H113-H111-H110</f>
        <v>2914.7136000000028</v>
      </c>
      <c r="I112" s="57">
        <f ca="1">I113-I111-I110</f>
        <v>3308.3539583999991</v>
      </c>
      <c r="J112" s="57">
        <f ca="1">J113-J111-J110</f>
        <v>3536.6303815296014</v>
      </c>
      <c r="K112" s="57">
        <f ca="1">K113-K111-K110</f>
        <v>3780.6578778551411</v>
      </c>
    </row>
    <row r="113" spans="3:11" x14ac:dyDescent="0.3">
      <c r="C113" s="47" t="s">
        <v>69</v>
      </c>
      <c r="E113" s="39">
        <f t="shared" ref="E113:K113" si="17">E51</f>
        <v>18177</v>
      </c>
      <c r="F113" s="39">
        <f t="shared" si="17"/>
        <v>22283</v>
      </c>
      <c r="G113" s="39">
        <f t="shared" ca="1" si="17"/>
        <v>21391.68</v>
      </c>
      <c r="H113" s="39">
        <f t="shared" ca="1" si="17"/>
        <v>22675.180800000002</v>
      </c>
      <c r="I113" s="39">
        <f t="shared" ca="1" si="17"/>
        <v>24239.7682752</v>
      </c>
      <c r="J113" s="39">
        <f t="shared" ca="1" si="17"/>
        <v>25912.3122861888</v>
      </c>
      <c r="K113" s="39">
        <f t="shared" ca="1" si="17"/>
        <v>27700.261833935827</v>
      </c>
    </row>
    <row r="114" spans="3:11" x14ac:dyDescent="0.3">
      <c r="C114" s="28"/>
      <c r="E114" s="27"/>
      <c r="F114" s="27"/>
      <c r="H114" s="27"/>
      <c r="I114" s="27"/>
      <c r="J114" s="27"/>
      <c r="K114" s="27"/>
    </row>
    <row r="115" spans="3:11" x14ac:dyDescent="0.3">
      <c r="C115" s="58" t="s">
        <v>78</v>
      </c>
      <c r="D115" s="53"/>
      <c r="E115" s="53"/>
      <c r="F115" s="53"/>
      <c r="G115" s="14"/>
      <c r="H115" s="14"/>
      <c r="I115" s="14"/>
      <c r="J115" s="14"/>
      <c r="K115" s="14"/>
    </row>
    <row r="116" spans="3:11" x14ac:dyDescent="0.3">
      <c r="C116" s="29" t="s">
        <v>66</v>
      </c>
      <c r="G116" s="27">
        <f>F120</f>
        <v>70400</v>
      </c>
      <c r="H116" s="27">
        <f ca="1">G120</f>
        <v>35907.506097684833</v>
      </c>
      <c r="I116" s="27">
        <f ca="1">H120</f>
        <v>5100.8299299417849</v>
      </c>
      <c r="J116" s="27">
        <f ca="1">I120</f>
        <v>-21730.959215985225</v>
      </c>
      <c r="K116" s="27">
        <f ca="1">J120</f>
        <v>-44747.352295014651</v>
      </c>
    </row>
    <row r="117" spans="3:11" x14ac:dyDescent="0.3">
      <c r="C117" s="28" t="s">
        <v>79</v>
      </c>
      <c r="D117" s="25">
        <f t="shared" ref="D117:K117" si="18">D29</f>
        <v>45687</v>
      </c>
      <c r="E117" s="25">
        <f t="shared" si="18"/>
        <v>48351</v>
      </c>
      <c r="F117" s="25">
        <f t="shared" si="18"/>
        <v>59531</v>
      </c>
      <c r="G117" s="27">
        <f t="shared" ca="1" si="18"/>
        <v>52298.506097684833</v>
      </c>
      <c r="H117" s="27">
        <f t="shared" ca="1" si="18"/>
        <v>55984.323832256952</v>
      </c>
      <c r="I117" s="27">
        <f t="shared" ca="1" si="18"/>
        <v>59959.21085407299</v>
      </c>
      <c r="J117" s="27">
        <f t="shared" ca="1" si="18"/>
        <v>63774.606920970575</v>
      </c>
      <c r="K117" s="27">
        <f t="shared" ca="1" si="18"/>
        <v>67963.098452736245</v>
      </c>
    </row>
    <row r="118" spans="3:11" x14ac:dyDescent="0.3">
      <c r="C118" s="28" t="s">
        <v>80</v>
      </c>
      <c r="D118" s="24">
        <v>-12188</v>
      </c>
      <c r="E118" s="24">
        <v>-12803</v>
      </c>
      <c r="F118" s="24">
        <v>-13735</v>
      </c>
      <c r="G118" s="27">
        <f>F118</f>
        <v>-13735</v>
      </c>
      <c r="H118" s="27">
        <f>G118</f>
        <v>-13735</v>
      </c>
      <c r="I118" s="27">
        <f t="shared" ref="I118:K119" si="19">H118</f>
        <v>-13735</v>
      </c>
      <c r="J118" s="27">
        <f t="shared" si="19"/>
        <v>-13735</v>
      </c>
      <c r="K118" s="27">
        <f t="shared" si="19"/>
        <v>-13735</v>
      </c>
    </row>
    <row r="119" spans="3:11" x14ac:dyDescent="0.3">
      <c r="C119" s="55" t="s">
        <v>81</v>
      </c>
      <c r="D119" s="45">
        <v>-29000</v>
      </c>
      <c r="E119" s="45">
        <v>-33001</v>
      </c>
      <c r="F119" s="45">
        <v>-73056</v>
      </c>
      <c r="G119" s="46">
        <f>F119</f>
        <v>-73056</v>
      </c>
      <c r="H119" s="46">
        <f>G119</f>
        <v>-73056</v>
      </c>
      <c r="I119" s="46">
        <f t="shared" si="19"/>
        <v>-73056</v>
      </c>
      <c r="J119" s="46">
        <f t="shared" si="19"/>
        <v>-73056</v>
      </c>
      <c r="K119" s="46">
        <f t="shared" si="19"/>
        <v>-73056</v>
      </c>
    </row>
    <row r="120" spans="3:11" x14ac:dyDescent="0.3">
      <c r="C120" s="47" t="s">
        <v>69</v>
      </c>
      <c r="D120" s="26">
        <f>D63</f>
        <v>0</v>
      </c>
      <c r="E120" s="26">
        <f>E63</f>
        <v>98330</v>
      </c>
      <c r="F120" s="26">
        <f>F63</f>
        <v>70400</v>
      </c>
      <c r="G120" s="39">
        <f ca="1">SUM(G116:G119)</f>
        <v>35907.506097684833</v>
      </c>
      <c r="H120" s="39">
        <f ca="1">SUM(H116:H119)</f>
        <v>5100.8299299417849</v>
      </c>
      <c r="I120" s="39">
        <f ca="1">SUM(I116:I119)</f>
        <v>-21730.959215985225</v>
      </c>
      <c r="J120" s="39">
        <f ca="1">SUM(J116:J119)</f>
        <v>-44747.352295014651</v>
      </c>
      <c r="K120" s="39">
        <f ca="1">SUM(K116:K119)</f>
        <v>-63575.253842278406</v>
      </c>
    </row>
    <row r="121" spans="3:11" x14ac:dyDescent="0.3">
      <c r="E121" s="41"/>
      <c r="F121" s="41"/>
    </row>
    <row r="122" spans="3:11" x14ac:dyDescent="0.3">
      <c r="C122" s="13" t="s">
        <v>82</v>
      </c>
      <c r="D122" s="14"/>
      <c r="E122" s="14"/>
      <c r="F122" s="14"/>
      <c r="G122" s="14"/>
      <c r="H122" s="14"/>
      <c r="I122" s="14"/>
      <c r="J122" s="14"/>
      <c r="K122" s="14"/>
    </row>
    <row r="123" spans="3:11" x14ac:dyDescent="0.3">
      <c r="C123" s="35" t="str">
        <f t="shared" ref="C123:K124" si="20">C15</f>
        <v xml:space="preserve">Fiscal year  </v>
      </c>
      <c r="D123" s="36">
        <f t="shared" si="20"/>
        <v>2016</v>
      </c>
      <c r="E123" s="36">
        <f t="shared" si="20"/>
        <v>2017</v>
      </c>
      <c r="F123" s="36">
        <f t="shared" si="20"/>
        <v>2018</v>
      </c>
      <c r="G123" s="37">
        <f t="shared" si="20"/>
        <v>2019</v>
      </c>
      <c r="H123" s="37">
        <f t="shared" si="20"/>
        <v>2020</v>
      </c>
      <c r="I123" s="37">
        <f t="shared" si="20"/>
        <v>2021</v>
      </c>
      <c r="J123" s="37">
        <f t="shared" si="20"/>
        <v>2022</v>
      </c>
      <c r="K123" s="37">
        <f t="shared" si="20"/>
        <v>2023</v>
      </c>
    </row>
    <row r="124" spans="3:11" x14ac:dyDescent="0.3">
      <c r="C124" s="14" t="str">
        <f t="shared" si="20"/>
        <v>Fiscal year end date</v>
      </c>
      <c r="D124" s="38">
        <f t="shared" si="20"/>
        <v>42643</v>
      </c>
      <c r="E124" s="38">
        <f t="shared" si="20"/>
        <v>43008</v>
      </c>
      <c r="F124" s="38">
        <f t="shared" si="20"/>
        <v>43372</v>
      </c>
      <c r="G124" s="38">
        <f t="shared" si="20"/>
        <v>43738</v>
      </c>
      <c r="H124" s="38">
        <f t="shared" si="20"/>
        <v>44104</v>
      </c>
      <c r="I124" s="38">
        <f t="shared" si="20"/>
        <v>44469</v>
      </c>
      <c r="J124" s="38">
        <f t="shared" si="20"/>
        <v>44834</v>
      </c>
      <c r="K124" s="38">
        <f t="shared" si="20"/>
        <v>45199</v>
      </c>
    </row>
    <row r="125" spans="3:11" x14ac:dyDescent="0.3">
      <c r="C125" s="12"/>
    </row>
    <row r="126" spans="3:11" x14ac:dyDescent="0.3">
      <c r="C126" s="32" t="s">
        <v>83</v>
      </c>
    </row>
    <row r="127" spans="3:11" x14ac:dyDescent="0.3">
      <c r="C127" s="28" t="s">
        <v>84</v>
      </c>
      <c r="G127" s="27">
        <f>F46</f>
        <v>237100</v>
      </c>
      <c r="H127" s="27">
        <f ca="1">G46</f>
        <v>202199.73246575586</v>
      </c>
      <c r="I127" s="27">
        <f ca="1">H46</f>
        <v>176383.85810224805</v>
      </c>
      <c r="J127" s="27">
        <f ca="1">I46</f>
        <v>155848.04251512291</v>
      </c>
      <c r="K127" s="27">
        <f ca="1">J46</f>
        <v>140040.74477345025</v>
      </c>
    </row>
    <row r="128" spans="3:11" x14ac:dyDescent="0.3">
      <c r="C128" s="28" t="s">
        <v>85</v>
      </c>
      <c r="G128" s="24">
        <v>-50000</v>
      </c>
      <c r="H128" s="24">
        <v>-50000</v>
      </c>
      <c r="I128" s="24">
        <v>-50000</v>
      </c>
      <c r="J128" s="24">
        <v>-50000</v>
      </c>
      <c r="K128" s="24">
        <v>-50000</v>
      </c>
    </row>
    <row r="129" spans="3:11" x14ac:dyDescent="0.3">
      <c r="C129" s="55" t="s">
        <v>86</v>
      </c>
      <c r="D129" s="56"/>
      <c r="E129" s="56"/>
      <c r="F129" s="56"/>
      <c r="G129" s="46">
        <f ca="1">SUM(G80,G83,G85,G87,G88)</f>
        <v>-34936.267534244129</v>
      </c>
      <c r="H129" s="46">
        <f ca="1">SUM(H80,H83,H85,H87,H88)</f>
        <v>-25815.874363507814</v>
      </c>
      <c r="I129" s="46">
        <f ca="1">SUM(I80,I83,I85,I87,I88)</f>
        <v>-20535.815587125137</v>
      </c>
      <c r="J129" s="46">
        <f ca="1">SUM(J80,J83,J85,J87,J88)</f>
        <v>-15807.297741672664</v>
      </c>
      <c r="K129" s="46">
        <f ca="1">SUM(K80,K83,K85,K87,K88)</f>
        <v>-10805.542346449351</v>
      </c>
    </row>
    <row r="130" spans="3:11" x14ac:dyDescent="0.3">
      <c r="C130" s="47" t="s">
        <v>87</v>
      </c>
      <c r="G130" s="39">
        <f ca="1">SUM(G127:G129)</f>
        <v>152163.73246575586</v>
      </c>
      <c r="H130" s="39">
        <f ca="1">SUM(H127:H129)</f>
        <v>126383.85810224805</v>
      </c>
      <c r="I130" s="39">
        <f ca="1">SUM(I127:I129)</f>
        <v>105848.04251512291</v>
      </c>
      <c r="J130" s="39">
        <f ca="1">SUM(J127:J129)</f>
        <v>90040.744773450249</v>
      </c>
      <c r="K130" s="39">
        <f ca="1">SUM(K127:K129)</f>
        <v>79235.202427000899</v>
      </c>
    </row>
    <row r="132" spans="3:11" x14ac:dyDescent="0.3">
      <c r="C132" s="12" t="s">
        <v>88</v>
      </c>
    </row>
    <row r="133" spans="3:11" x14ac:dyDescent="0.3">
      <c r="C133" s="28" t="s">
        <v>66</v>
      </c>
      <c r="G133" s="27">
        <f>F136</f>
        <v>11964</v>
      </c>
      <c r="H133" s="27">
        <f ca="1">G136</f>
        <v>12000</v>
      </c>
      <c r="I133" s="27">
        <f ca="1">H136</f>
        <v>12000</v>
      </c>
      <c r="J133" s="27">
        <f ca="1">I136</f>
        <v>12000</v>
      </c>
      <c r="K133" s="27">
        <f ca="1">J136</f>
        <v>12000</v>
      </c>
    </row>
    <row r="134" spans="3:11" x14ac:dyDescent="0.3">
      <c r="C134" s="43" t="s">
        <v>89</v>
      </c>
      <c r="G134" s="27">
        <f ca="1">-MIN(G130,G133)</f>
        <v>-11964</v>
      </c>
      <c r="H134" s="27">
        <f ca="1">-MIN(H130,H133)</f>
        <v>-12000</v>
      </c>
      <c r="I134" s="27">
        <f ca="1">-MIN(I130,I133)</f>
        <v>-12000</v>
      </c>
      <c r="J134" s="27">
        <f ca="1">-MIN(J130,J133)</f>
        <v>-12000</v>
      </c>
      <c r="K134" s="27">
        <f ca="1">-MIN(K130,K133)</f>
        <v>-12000</v>
      </c>
    </row>
    <row r="135" spans="3:11" x14ac:dyDescent="0.3">
      <c r="C135" s="44" t="s">
        <v>90</v>
      </c>
      <c r="D135" s="56"/>
      <c r="E135" s="56"/>
      <c r="F135" s="56"/>
      <c r="G135" s="45">
        <v>12000</v>
      </c>
      <c r="H135" s="45">
        <v>12000</v>
      </c>
      <c r="I135" s="45">
        <v>12000</v>
      </c>
      <c r="J135" s="45">
        <v>12000</v>
      </c>
      <c r="K135" s="45">
        <v>12000</v>
      </c>
    </row>
    <row r="136" spans="3:11" x14ac:dyDescent="0.3">
      <c r="C136" s="28" t="s">
        <v>69</v>
      </c>
      <c r="D136" s="46">
        <f>D57</f>
        <v>0</v>
      </c>
      <c r="E136" s="46">
        <f>E57</f>
        <v>11977</v>
      </c>
      <c r="F136" s="46">
        <f>F57</f>
        <v>11964</v>
      </c>
      <c r="G136" s="59">
        <f ca="1">SUM(G133:G135)</f>
        <v>12000</v>
      </c>
      <c r="H136" s="59">
        <f ca="1">SUM(H133:H135)</f>
        <v>12000</v>
      </c>
      <c r="I136" s="59">
        <f ca="1">SUM(I133:I135)</f>
        <v>12000</v>
      </c>
      <c r="J136" s="59">
        <f ca="1">SUM(J133:J135)</f>
        <v>12000</v>
      </c>
      <c r="K136" s="59">
        <f ca="1">SUM(K133:K135)</f>
        <v>12000</v>
      </c>
    </row>
    <row r="137" spans="3:11" x14ac:dyDescent="0.3">
      <c r="C137" s="60" t="s">
        <v>91</v>
      </c>
      <c r="D137" s="61"/>
      <c r="E137" s="61"/>
      <c r="F137" s="62"/>
      <c r="G137" s="63" t="str">
        <f ca="1">IF(G136&lt;0,"Negative Debt","OK")</f>
        <v>OK</v>
      </c>
      <c r="H137" s="63" t="str">
        <f ca="1">IF(H136&lt;0,"Negative Debt","OK")</f>
        <v>OK</v>
      </c>
      <c r="I137" s="63" t="str">
        <f ca="1">IF(I136&lt;0,"Negative Debt","OK")</f>
        <v>OK</v>
      </c>
      <c r="J137" s="63" t="str">
        <f ca="1">IF(J136&lt;0,"Negative Debt","OK")</f>
        <v>OK</v>
      </c>
      <c r="K137" s="64" t="str">
        <f ca="1">IF(K136&lt;0,"Negative Debt","OK")</f>
        <v>OK</v>
      </c>
    </row>
    <row r="138" spans="3:11" x14ac:dyDescent="0.3">
      <c r="D138" s="27"/>
      <c r="E138" s="27"/>
      <c r="F138" s="65"/>
      <c r="G138" s="66"/>
      <c r="H138" s="66"/>
      <c r="I138" s="66"/>
      <c r="J138" s="66"/>
      <c r="K138" s="66"/>
    </row>
    <row r="139" spans="3:11" x14ac:dyDescent="0.3">
      <c r="C139" s="13" t="s">
        <v>92</v>
      </c>
      <c r="D139" s="50"/>
      <c r="E139" s="50"/>
      <c r="F139" s="50"/>
      <c r="G139" s="67"/>
      <c r="H139" s="67"/>
      <c r="I139" s="67"/>
      <c r="J139" s="67"/>
      <c r="K139" s="67"/>
    </row>
    <row r="140" spans="3:11" x14ac:dyDescent="0.3">
      <c r="C140" s="35" t="str">
        <f t="shared" ref="C140:K141" si="21">C15</f>
        <v xml:space="preserve">Fiscal year  </v>
      </c>
      <c r="D140" s="36">
        <f t="shared" si="21"/>
        <v>2016</v>
      </c>
      <c r="E140" s="36">
        <f t="shared" si="21"/>
        <v>2017</v>
      </c>
      <c r="F140" s="36">
        <f t="shared" si="21"/>
        <v>2018</v>
      </c>
      <c r="G140" s="37">
        <f t="shared" si="21"/>
        <v>2019</v>
      </c>
      <c r="H140" s="37">
        <f t="shared" si="21"/>
        <v>2020</v>
      </c>
      <c r="I140" s="37">
        <f t="shared" si="21"/>
        <v>2021</v>
      </c>
      <c r="J140" s="37">
        <f t="shared" si="21"/>
        <v>2022</v>
      </c>
      <c r="K140" s="37">
        <f t="shared" si="21"/>
        <v>2023</v>
      </c>
    </row>
    <row r="141" spans="3:11" x14ac:dyDescent="0.3">
      <c r="C141" s="14" t="str">
        <f t="shared" si="21"/>
        <v>Fiscal year end date</v>
      </c>
      <c r="D141" s="38">
        <f t="shared" si="21"/>
        <v>42643</v>
      </c>
      <c r="E141" s="38">
        <f t="shared" si="21"/>
        <v>43008</v>
      </c>
      <c r="F141" s="38">
        <f t="shared" si="21"/>
        <v>43372</v>
      </c>
      <c r="G141" s="38">
        <f t="shared" si="21"/>
        <v>43738</v>
      </c>
      <c r="H141" s="38">
        <f t="shared" si="21"/>
        <v>44104</v>
      </c>
      <c r="I141" s="38">
        <f t="shared" si="21"/>
        <v>44469</v>
      </c>
      <c r="J141" s="38">
        <f t="shared" si="21"/>
        <v>44834</v>
      </c>
      <c r="K141" s="38">
        <f t="shared" si="21"/>
        <v>45199</v>
      </c>
    </row>
    <row r="142" spans="3:11" x14ac:dyDescent="0.3">
      <c r="C142" s="28"/>
      <c r="D142" s="27"/>
      <c r="E142" s="27"/>
      <c r="F142" s="27"/>
      <c r="G142" s="68"/>
      <c r="H142" s="68"/>
      <c r="I142" s="68"/>
      <c r="J142" s="68"/>
      <c r="K142" s="68"/>
    </row>
    <row r="143" spans="3:11" x14ac:dyDescent="0.3">
      <c r="C143" s="29" t="s">
        <v>93</v>
      </c>
      <c r="D143" s="27">
        <f>-(D25)</f>
        <v>1456</v>
      </c>
      <c r="E143" s="27">
        <f>-(E25)</f>
        <v>2323</v>
      </c>
      <c r="F143" s="27">
        <f>-(F25)</f>
        <v>3240</v>
      </c>
      <c r="G143" s="27">
        <f ca="1">G148+G153</f>
        <v>3223.1468651501777</v>
      </c>
      <c r="H143" s="27">
        <f ca="1">H148+H153</f>
        <v>3223.5392651501775</v>
      </c>
      <c r="I143" s="27">
        <f ca="1">I148+I153</f>
        <v>3223.5392651501775</v>
      </c>
      <c r="J143" s="27">
        <f ca="1">J148+J153</f>
        <v>3223.5392651501775</v>
      </c>
      <c r="K143" s="27">
        <f ca="1">K148+K153</f>
        <v>3223.5392651501775</v>
      </c>
    </row>
    <row r="144" spans="3:11" x14ac:dyDescent="0.3">
      <c r="C144" s="69"/>
    </row>
    <row r="145" spans="3:11" x14ac:dyDescent="0.3">
      <c r="C145" s="70" t="s">
        <v>94</v>
      </c>
    </row>
    <row r="146" spans="3:11" x14ac:dyDescent="0.3">
      <c r="C146" s="28" t="s">
        <v>95</v>
      </c>
      <c r="E146" s="71">
        <v>1.2E-2</v>
      </c>
      <c r="F146" s="71">
        <v>2.18E-2</v>
      </c>
      <c r="G146" s="72">
        <f>F146</f>
        <v>2.18E-2</v>
      </c>
      <c r="H146" s="72">
        <f>G146</f>
        <v>2.18E-2</v>
      </c>
      <c r="I146" s="72">
        <f>H146</f>
        <v>2.18E-2</v>
      </c>
      <c r="J146" s="72">
        <f>I146</f>
        <v>2.18E-2</v>
      </c>
      <c r="K146" s="72">
        <f>J146</f>
        <v>2.18E-2</v>
      </c>
    </row>
    <row r="147" spans="3:11" x14ac:dyDescent="0.3">
      <c r="C147" s="28" t="s">
        <v>96</v>
      </c>
      <c r="D147" s="46"/>
      <c r="E147" s="46">
        <f t="shared" ref="E147:K147" si="22">E57</f>
        <v>11977</v>
      </c>
      <c r="F147" s="46">
        <f>F57</f>
        <v>11964</v>
      </c>
      <c r="G147" s="27">
        <f t="shared" ca="1" si="22"/>
        <v>12000</v>
      </c>
      <c r="H147" s="27">
        <f t="shared" ca="1" si="22"/>
        <v>12000</v>
      </c>
      <c r="I147" s="27">
        <f t="shared" ca="1" si="22"/>
        <v>12000</v>
      </c>
      <c r="J147" s="27">
        <f t="shared" ca="1" si="22"/>
        <v>12000</v>
      </c>
      <c r="K147" s="27">
        <f t="shared" ca="1" si="22"/>
        <v>12000</v>
      </c>
    </row>
    <row r="148" spans="3:11" x14ac:dyDescent="0.3">
      <c r="C148" s="73" t="s">
        <v>97</v>
      </c>
      <c r="D148" s="27"/>
      <c r="E148" s="39">
        <f>AVERAGE(D147:E147)*E146</f>
        <v>143.72399999999999</v>
      </c>
      <c r="F148" s="39">
        <f>AVERAGE(E147:F147)*F146</f>
        <v>260.95690000000002</v>
      </c>
      <c r="G148" s="74">
        <f ca="1">IF($D$7=1,AVERAGE(F147:G147)*G146,0)</f>
        <v>261.20760000000001</v>
      </c>
      <c r="H148" s="74">
        <f ca="1">IF($D$7=1,AVERAGE(G147:H147)*H146,0)</f>
        <v>261.60000000000002</v>
      </c>
      <c r="I148" s="74">
        <f ca="1">IF($D$7=1,AVERAGE(H147:I147)*I146,0)</f>
        <v>261.60000000000002</v>
      </c>
      <c r="J148" s="74">
        <f ca="1">IF($D$7=1,AVERAGE(I147:J147)*J146,0)</f>
        <v>261.60000000000002</v>
      </c>
      <c r="K148" s="74">
        <f ca="1">IF($D$7=1,AVERAGE(J147:K147)*K146,0)</f>
        <v>261.60000000000002</v>
      </c>
    </row>
    <row r="149" spans="3:11" x14ac:dyDescent="0.3">
      <c r="C149" s="75"/>
      <c r="D149" s="27"/>
      <c r="E149" s="27"/>
      <c r="F149" s="27"/>
    </row>
    <row r="150" spans="3:11" x14ac:dyDescent="0.3">
      <c r="C150" s="70" t="s">
        <v>58</v>
      </c>
      <c r="D150" s="27"/>
      <c r="E150" s="27"/>
      <c r="F150" s="27"/>
    </row>
    <row r="151" spans="3:11" x14ac:dyDescent="0.3">
      <c r="C151" s="28" t="s">
        <v>96</v>
      </c>
      <c r="D151" s="27"/>
      <c r="E151" s="27">
        <f t="shared" ref="E151:K151" si="23">E58</f>
        <v>103703</v>
      </c>
      <c r="F151" s="27">
        <f t="shared" si="23"/>
        <v>102519</v>
      </c>
      <c r="G151" s="27">
        <f t="shared" si="23"/>
        <v>102519</v>
      </c>
      <c r="H151" s="27">
        <f t="shared" si="23"/>
        <v>102519</v>
      </c>
      <c r="I151" s="27">
        <f t="shared" si="23"/>
        <v>102519</v>
      </c>
      <c r="J151" s="27">
        <f t="shared" si="23"/>
        <v>102519</v>
      </c>
      <c r="K151" s="27">
        <f t="shared" si="23"/>
        <v>102519</v>
      </c>
    </row>
    <row r="152" spans="3:11" x14ac:dyDescent="0.3">
      <c r="C152" s="28" t="s">
        <v>95</v>
      </c>
      <c r="E152" s="52">
        <f t="shared" ref="E152" si="24">E153/AVERAGE(D151:E151)</f>
        <v>2.101458974185896E-2</v>
      </c>
      <c r="F152" s="52">
        <f>F153/AVERAGE(E151:F151)</f>
        <v>2.8891612921996681E-2</v>
      </c>
      <c r="G152" s="72">
        <f>F152</f>
        <v>2.8891612921996681E-2</v>
      </c>
      <c r="H152" s="72">
        <f>G152</f>
        <v>2.8891612921996681E-2</v>
      </c>
      <c r="I152" s="72">
        <f>H152</f>
        <v>2.8891612921996681E-2</v>
      </c>
      <c r="J152" s="72">
        <f>I152</f>
        <v>2.8891612921996681E-2</v>
      </c>
      <c r="K152" s="72">
        <f>J152</f>
        <v>2.8891612921996681E-2</v>
      </c>
    </row>
    <row r="153" spans="3:11" x14ac:dyDescent="0.3">
      <c r="C153" s="47" t="s">
        <v>98</v>
      </c>
      <c r="D153" s="39"/>
      <c r="E153" s="39">
        <f>E143-E148</f>
        <v>2179.2759999999998</v>
      </c>
      <c r="F153" s="39">
        <f>F143-F148</f>
        <v>2979.0430999999999</v>
      </c>
      <c r="G153" s="26">
        <f>G152*AVERAGE(F151:G151)</f>
        <v>2961.9392651501776</v>
      </c>
      <c r="H153" s="26">
        <f>H152*AVERAGE(G151:H151)</f>
        <v>2961.9392651501776</v>
      </c>
      <c r="I153" s="26">
        <f>I152*AVERAGE(H151:I151)</f>
        <v>2961.9392651501776</v>
      </c>
      <c r="J153" s="26">
        <f>J152*AVERAGE(I151:J151)</f>
        <v>2961.9392651501776</v>
      </c>
      <c r="K153" s="26">
        <f>K152*AVERAGE(J151:K151)</f>
        <v>2961.9392651501776</v>
      </c>
    </row>
    <row r="154" spans="3:11" x14ac:dyDescent="0.3">
      <c r="E154" s="27"/>
    </row>
    <row r="155" spans="3:11" x14ac:dyDescent="0.3">
      <c r="C155" s="69" t="s">
        <v>99</v>
      </c>
      <c r="E155" s="27"/>
      <c r="F155" s="27"/>
    </row>
    <row r="156" spans="3:11" x14ac:dyDescent="0.3">
      <c r="C156" s="28" t="s">
        <v>100</v>
      </c>
      <c r="D156" s="76">
        <v>1.7299999999999999E-2</v>
      </c>
      <c r="E156" s="71">
        <v>1.9900000000000001E-2</v>
      </c>
      <c r="F156" s="71">
        <v>2.1600000000000001E-2</v>
      </c>
      <c r="G156" s="77">
        <f>F156</f>
        <v>2.1600000000000001E-2</v>
      </c>
      <c r="H156" s="77">
        <f>G156</f>
        <v>2.1600000000000001E-2</v>
      </c>
      <c r="I156" s="77">
        <f>H156</f>
        <v>2.1600000000000001E-2</v>
      </c>
      <c r="J156" s="77">
        <f>I156</f>
        <v>2.1600000000000001E-2</v>
      </c>
      <c r="K156" s="77">
        <f>J156</f>
        <v>2.1600000000000001E-2</v>
      </c>
    </row>
    <row r="157" spans="3:11" x14ac:dyDescent="0.3">
      <c r="C157" s="28" t="s">
        <v>18</v>
      </c>
      <c r="D157" s="27">
        <f>D24</f>
        <v>3999</v>
      </c>
      <c r="E157" s="27">
        <f>E24</f>
        <v>5201</v>
      </c>
      <c r="F157" s="27">
        <f>F24</f>
        <v>5686</v>
      </c>
      <c r="G157" s="25">
        <f ca="1">IF($D$7=1,AVERAGE(F46,G46)*G156,0)</f>
        <v>4744.4371106301642</v>
      </c>
      <c r="H157" s="25">
        <f ca="1">IF($D$7=1,AVERAGE(G46,H46)*H156,0)</f>
        <v>4088.7027781344427</v>
      </c>
      <c r="I157" s="25">
        <f ca="1">IF($D$7=1,AVERAGE(H46,I46)*I156,0)</f>
        <v>3588.1045266676065</v>
      </c>
      <c r="J157" s="25">
        <f ca="1">IF($D$7=1,AVERAGE(I46,J46)*J156,0)</f>
        <v>3195.5989027165901</v>
      </c>
      <c r="K157" s="25">
        <f ca="1">IF($D$7=1,AVERAGE(J46,K46)*K156,0)</f>
        <v>2908.1802297648728</v>
      </c>
    </row>
    <row r="159" spans="3:11" x14ac:dyDescent="0.3">
      <c r="C159" s="13" t="s">
        <v>114</v>
      </c>
      <c r="D159" s="13"/>
      <c r="E159" s="13"/>
      <c r="F159" s="13"/>
      <c r="G159" s="13"/>
      <c r="H159" s="13"/>
      <c r="I159" s="13"/>
      <c r="J159" s="13"/>
      <c r="K159" s="13"/>
    </row>
    <row r="160" spans="3:11" x14ac:dyDescent="0.3">
      <c r="C160" s="35" t="str">
        <f t="shared" ref="C160:K160" si="25">C15</f>
        <v xml:space="preserve">Fiscal year  </v>
      </c>
      <c r="D160" s="36">
        <f t="shared" si="25"/>
        <v>2016</v>
      </c>
      <c r="E160" s="36">
        <f t="shared" si="25"/>
        <v>2017</v>
      </c>
      <c r="F160" s="36">
        <f t="shared" si="25"/>
        <v>2018</v>
      </c>
      <c r="G160" s="37">
        <f t="shared" si="25"/>
        <v>2019</v>
      </c>
      <c r="H160" s="37">
        <f t="shared" si="25"/>
        <v>2020</v>
      </c>
      <c r="I160" s="37">
        <f t="shared" si="25"/>
        <v>2021</v>
      </c>
      <c r="J160" s="37">
        <f t="shared" si="25"/>
        <v>2022</v>
      </c>
      <c r="K160" s="37">
        <f t="shared" si="25"/>
        <v>2023</v>
      </c>
    </row>
    <row r="161" spans="3:11" x14ac:dyDescent="0.3">
      <c r="C161" s="14" t="str">
        <f t="shared" ref="C161:K161" si="26">C16</f>
        <v>Fiscal year end date</v>
      </c>
      <c r="D161" s="38">
        <f t="shared" si="26"/>
        <v>42643</v>
      </c>
      <c r="E161" s="38">
        <f t="shared" si="26"/>
        <v>43008</v>
      </c>
      <c r="F161" s="38">
        <f t="shared" si="26"/>
        <v>43372</v>
      </c>
      <c r="G161" s="38">
        <f t="shared" si="26"/>
        <v>43738</v>
      </c>
      <c r="H161" s="38">
        <f t="shared" si="26"/>
        <v>44104</v>
      </c>
      <c r="I161" s="38">
        <f t="shared" si="26"/>
        <v>44469</v>
      </c>
      <c r="J161" s="38">
        <f t="shared" si="26"/>
        <v>44834</v>
      </c>
      <c r="K161" s="38">
        <f t="shared" si="26"/>
        <v>45199</v>
      </c>
    </row>
    <row r="162" spans="3:11" x14ac:dyDescent="0.3">
      <c r="G162" s="88"/>
      <c r="H162" s="88"/>
      <c r="I162" s="88"/>
      <c r="J162" s="33"/>
      <c r="K162" s="33"/>
    </row>
    <row r="163" spans="3:11" x14ac:dyDescent="0.3">
      <c r="C163" t="s">
        <v>20</v>
      </c>
      <c r="D163" s="27">
        <f t="shared" ref="D163:K163" si="27">D29</f>
        <v>45687</v>
      </c>
      <c r="E163" s="27">
        <f t="shared" si="27"/>
        <v>48351</v>
      </c>
      <c r="F163" s="27">
        <f t="shared" si="27"/>
        <v>59531</v>
      </c>
      <c r="G163" s="27">
        <f t="shared" ca="1" si="27"/>
        <v>52298.506097684833</v>
      </c>
      <c r="H163" s="27">
        <f t="shared" ca="1" si="27"/>
        <v>55984.323832256952</v>
      </c>
      <c r="I163" s="27">
        <f t="shared" ca="1" si="27"/>
        <v>59959.21085407299</v>
      </c>
      <c r="J163" s="27">
        <f t="shared" ca="1" si="27"/>
        <v>63774.606920970575</v>
      </c>
      <c r="K163" s="27">
        <f t="shared" ca="1" si="27"/>
        <v>67963.098452736245</v>
      </c>
    </row>
    <row r="164" spans="3:11" x14ac:dyDescent="0.3">
      <c r="C164" t="s">
        <v>115</v>
      </c>
      <c r="D164" s="24">
        <v>5470.82</v>
      </c>
      <c r="E164" s="24">
        <v>5217.2420000000002</v>
      </c>
      <c r="F164" s="24">
        <v>4955.3770000000004</v>
      </c>
      <c r="G164" s="100">
        <f ca="1">F164+(G171-G170)/G172</f>
        <v>4577.9903333333341</v>
      </c>
      <c r="H164" s="100">
        <f t="shared" ref="H164:K164" ca="1" si="28">G164+(H171-H170)/H172</f>
        <v>4227.0458214463924</v>
      </c>
      <c r="I164" s="100">
        <f t="shared" ca="1" si="28"/>
        <v>3901.1834274688736</v>
      </c>
      <c r="J164" s="100">
        <f t="shared" ca="1" si="28"/>
        <v>3596.642217238943</v>
      </c>
      <c r="K164" s="100">
        <f t="shared" ca="1" si="28"/>
        <v>3312.7013003060865</v>
      </c>
    </row>
    <row r="165" spans="3:11" x14ac:dyDescent="0.3">
      <c r="C165" s="12" t="s">
        <v>116</v>
      </c>
      <c r="D165" s="101">
        <f>D163/D164</f>
        <v>8.3510333003096431</v>
      </c>
      <c r="E165" s="101">
        <f t="shared" ref="E165:K165" si="29">E163/E164</f>
        <v>9.2675402061088974</v>
      </c>
      <c r="F165" s="101">
        <f>F163/F164</f>
        <v>12.0134149228202</v>
      </c>
      <c r="G165" s="101">
        <f ca="1">G163/G164</f>
        <v>11.423900508676949</v>
      </c>
      <c r="H165" s="101">
        <f ca="1">H163/H164</f>
        <v>13.244314397590438</v>
      </c>
      <c r="I165" s="101">
        <f t="shared" ca="1" si="29"/>
        <v>15.369492865136854</v>
      </c>
      <c r="J165" s="101">
        <f t="shared" ca="1" si="29"/>
        <v>17.731707261649404</v>
      </c>
      <c r="K165" s="101">
        <f t="shared" ca="1" si="29"/>
        <v>20.515915046870237</v>
      </c>
    </row>
    <row r="166" spans="3:11" x14ac:dyDescent="0.3">
      <c r="D166" s="24"/>
      <c r="E166" s="24"/>
      <c r="F166" s="24"/>
      <c r="G166" s="27"/>
    </row>
    <row r="167" spans="3:11" x14ac:dyDescent="0.3">
      <c r="C167" t="s">
        <v>117</v>
      </c>
      <c r="D167" s="24">
        <v>5500.2809999999999</v>
      </c>
      <c r="E167" s="24">
        <v>5251.692</v>
      </c>
      <c r="F167" s="24">
        <v>5000.1090000000004</v>
      </c>
      <c r="G167" s="102">
        <f ca="1">G164+F167-F164</f>
        <v>4622.722333333335</v>
      </c>
      <c r="H167" s="102">
        <f ca="1">H164+G167-G164</f>
        <v>4271.7778214463933</v>
      </c>
      <c r="I167" s="102">
        <f t="shared" ref="I167:J167" ca="1" si="30">I164+H167-H164</f>
        <v>3945.9154274688744</v>
      </c>
      <c r="J167" s="102">
        <f t="shared" ca="1" si="30"/>
        <v>3641.3742172389439</v>
      </c>
      <c r="K167" s="102">
        <f ca="1">K164+J167-J164</f>
        <v>3357.4333003060874</v>
      </c>
    </row>
    <row r="168" spans="3:11" x14ac:dyDescent="0.3">
      <c r="C168" s="12" t="s">
        <v>118</v>
      </c>
      <c r="D168" s="101">
        <f>D163/D167</f>
        <v>8.3063028961611227</v>
      </c>
      <c r="E168" s="101">
        <f t="shared" ref="E168:J168" si="31">E163/E167</f>
        <v>9.2067470826545037</v>
      </c>
      <c r="F168" s="101">
        <f t="shared" si="31"/>
        <v>11.905940450498179</v>
      </c>
      <c r="G168" s="101">
        <f t="shared" ca="1" si="31"/>
        <v>11.313356573587154</v>
      </c>
      <c r="H168" s="101">
        <f t="shared" ca="1" si="31"/>
        <v>13.105626315860468</v>
      </c>
      <c r="I168" s="101">
        <f t="shared" ca="1" si="31"/>
        <v>15.195259998903246</v>
      </c>
      <c r="J168" s="101">
        <f t="shared" ca="1" si="31"/>
        <v>17.513884351421424</v>
      </c>
      <c r="K168" s="101">
        <f ca="1">K163/K167</f>
        <v>20.242575912540168</v>
      </c>
    </row>
    <row r="169" spans="3:11" x14ac:dyDescent="0.3">
      <c r="D169" s="103">
        <f>D164+29.461</f>
        <v>5500.2809999999999</v>
      </c>
      <c r="E169" s="103">
        <f>E164+34.45</f>
        <v>5251.692</v>
      </c>
      <c r="F169" s="103">
        <f>F164+44.732</f>
        <v>5000.1090000000004</v>
      </c>
      <c r="G169" s="91"/>
    </row>
    <row r="170" spans="3:11" x14ac:dyDescent="0.3">
      <c r="C170" t="s">
        <v>119</v>
      </c>
      <c r="D170" s="27"/>
      <c r="G170" s="100">
        <f>-(G119)</f>
        <v>73056</v>
      </c>
      <c r="H170" s="100">
        <f>-(H119)</f>
        <v>73056</v>
      </c>
      <c r="I170" s="100">
        <f>-(I119)</f>
        <v>73056</v>
      </c>
      <c r="J170" s="100">
        <f>-(J119)</f>
        <v>73056</v>
      </c>
      <c r="K170" s="100">
        <f>-(K119)</f>
        <v>73056</v>
      </c>
    </row>
    <row r="171" spans="3:11" x14ac:dyDescent="0.3">
      <c r="C171" t="s">
        <v>120</v>
      </c>
      <c r="G171" s="100">
        <f ca="1">G33</f>
        <v>5126.3999999999996</v>
      </c>
      <c r="H171" s="100">
        <f ca="1">H33</f>
        <v>5433.9839999999995</v>
      </c>
      <c r="I171" s="100">
        <f ca="1">I33</f>
        <v>5808.9288959999994</v>
      </c>
      <c r="J171" s="100">
        <f ca="1">J33</f>
        <v>6209.7449898239993</v>
      </c>
      <c r="K171" s="100">
        <f ca="1">K33</f>
        <v>6638.2173941218552</v>
      </c>
    </row>
    <row r="172" spans="3:11" x14ac:dyDescent="0.3">
      <c r="C172" t="s">
        <v>121</v>
      </c>
      <c r="G172" s="104">
        <v>180</v>
      </c>
      <c r="H172" s="104">
        <f ca="1">G172*(1+H181)</f>
        <v>192.68577712303625</v>
      </c>
      <c r="I172" s="104">
        <f ca="1">H172*(1+I181)</f>
        <v>206.36646740108148</v>
      </c>
      <c r="J172" s="104">
        <f t="shared" ref="J172:K172" ca="1" si="32">I172*(1+J181)</f>
        <v>219.49822475489177</v>
      </c>
      <c r="K172" s="104">
        <f t="shared" ca="1" si="32"/>
        <v>233.91409495794517</v>
      </c>
    </row>
    <row r="173" spans="3:11" x14ac:dyDescent="0.3">
      <c r="C173" t="s">
        <v>122</v>
      </c>
      <c r="H173" s="107">
        <f ca="1">H181</f>
        <v>7.0476539572423613E-2</v>
      </c>
      <c r="I173" s="107">
        <f t="shared" ref="I173:K173" ca="1" si="33">I181</f>
        <v>7.1000000530966334E-2</v>
      </c>
      <c r="J173" s="107">
        <f t="shared" ca="1" si="33"/>
        <v>6.3633193508556785E-2</v>
      </c>
      <c r="K173" s="107">
        <f t="shared" ca="1" si="33"/>
        <v>6.567647742550653E-2</v>
      </c>
    </row>
    <row r="175" spans="3:11" x14ac:dyDescent="0.3">
      <c r="C175" s="12" t="s">
        <v>123</v>
      </c>
      <c r="D175" s="12"/>
      <c r="E175" s="12"/>
      <c r="F175" s="92"/>
      <c r="G175" s="39">
        <f>D11</f>
        <v>4745.3980000000001</v>
      </c>
      <c r="H175" s="39">
        <f ca="1">G177</f>
        <v>4368.0113333333338</v>
      </c>
      <c r="I175" s="39">
        <f t="shared" ref="I175:K175" ca="1" si="34">H177</f>
        <v>4017.0668214463922</v>
      </c>
      <c r="J175" s="39">
        <f t="shared" ca="1" si="34"/>
        <v>3691.2044274688733</v>
      </c>
      <c r="K175" s="39">
        <f t="shared" ca="1" si="34"/>
        <v>3386.6632172389427</v>
      </c>
    </row>
    <row r="176" spans="3:11" x14ac:dyDescent="0.3">
      <c r="C176" t="s">
        <v>124</v>
      </c>
      <c r="G176" s="27">
        <f ca="1">(G171-G170)/G172</f>
        <v>-377.38666666666671</v>
      </c>
      <c r="H176" s="27">
        <f t="shared" ref="H176:K176" ca="1" si="35">(H171-H170)/H172</f>
        <v>-350.94451188694177</v>
      </c>
      <c r="I176" s="27">
        <f t="shared" ca="1" si="35"/>
        <v>-325.86239397751882</v>
      </c>
      <c r="J176" s="27">
        <f t="shared" ca="1" si="35"/>
        <v>-304.54121022993036</v>
      </c>
      <c r="K176" s="27">
        <f t="shared" ca="1" si="35"/>
        <v>-283.94091693285623</v>
      </c>
    </row>
    <row r="177" spans="3:11" x14ac:dyDescent="0.3">
      <c r="C177" t="s">
        <v>125</v>
      </c>
      <c r="G177" s="27">
        <f ca="1">SUM(G175:G176)</f>
        <v>4368.0113333333338</v>
      </c>
      <c r="H177" s="27">
        <f t="shared" ref="H177:K177" ca="1" si="36">SUM(H175:H176)</f>
        <v>4017.0668214463922</v>
      </c>
      <c r="I177" s="27">
        <f t="shared" ca="1" si="36"/>
        <v>3691.2044274688733</v>
      </c>
      <c r="J177" s="27">
        <f t="shared" ca="1" si="36"/>
        <v>3386.6632172389427</v>
      </c>
      <c r="K177" s="27">
        <f t="shared" ca="1" si="36"/>
        <v>3102.7223003060863</v>
      </c>
    </row>
    <row r="178" spans="3:11" x14ac:dyDescent="0.3">
      <c r="C178" s="12" t="s">
        <v>126</v>
      </c>
      <c r="D178" s="12"/>
      <c r="E178" s="12"/>
      <c r="F178" s="12"/>
      <c r="G178" s="105">
        <f ca="1">AVERAGE(G177,G175)</f>
        <v>4556.7046666666665</v>
      </c>
      <c r="H178" s="105">
        <f t="shared" ref="H178:K178" ca="1" si="37">AVERAGE(H177,H175)</f>
        <v>4192.5390773898635</v>
      </c>
      <c r="I178" s="105">
        <f t="shared" ca="1" si="37"/>
        <v>3854.1356244576327</v>
      </c>
      <c r="J178" s="105">
        <f t="shared" ca="1" si="37"/>
        <v>3538.933822353908</v>
      </c>
      <c r="K178" s="105">
        <f t="shared" ca="1" si="37"/>
        <v>3244.6927587725145</v>
      </c>
    </row>
    <row r="180" spans="3:11" x14ac:dyDescent="0.3">
      <c r="C180" s="12" t="s">
        <v>20</v>
      </c>
      <c r="D180" s="39">
        <f t="shared" ref="D180:K180" si="38">D29</f>
        <v>45687</v>
      </c>
      <c r="E180" s="39">
        <f t="shared" si="38"/>
        <v>48351</v>
      </c>
      <c r="F180" s="39">
        <f t="shared" si="38"/>
        <v>59531</v>
      </c>
      <c r="G180" s="39">
        <f t="shared" ca="1" si="38"/>
        <v>52298.506097684833</v>
      </c>
      <c r="H180" s="39">
        <f t="shared" ca="1" si="38"/>
        <v>55984.323832256952</v>
      </c>
      <c r="I180" s="39">
        <f t="shared" ca="1" si="38"/>
        <v>59959.21085407299</v>
      </c>
      <c r="J180" s="39">
        <f t="shared" ca="1" si="38"/>
        <v>63774.606920970575</v>
      </c>
      <c r="K180" s="39">
        <f t="shared" ca="1" si="38"/>
        <v>67963.098452736245</v>
      </c>
    </row>
    <row r="181" spans="3:11" x14ac:dyDescent="0.3">
      <c r="C181" s="28" t="s">
        <v>127</v>
      </c>
      <c r="E181" s="106">
        <f>E180/D180-1</f>
        <v>5.830980366406191E-2</v>
      </c>
      <c r="F181" s="106">
        <f t="shared" ref="F181:J181" si="39">F180/E180-1</f>
        <v>0.23122582780087275</v>
      </c>
      <c r="G181" s="106">
        <f ca="1">G180/F180-1</f>
        <v>-0.12149122141934732</v>
      </c>
      <c r="H181" s="106">
        <f t="shared" ca="1" si="39"/>
        <v>7.0476539572423613E-2</v>
      </c>
      <c r="I181" s="106">
        <f t="shared" ca="1" si="39"/>
        <v>7.1000000530966334E-2</v>
      </c>
      <c r="J181" s="106">
        <f t="shared" ca="1" si="39"/>
        <v>6.3633193508556785E-2</v>
      </c>
      <c r="K181" s="106">
        <f ca="1">K180/J180-1</f>
        <v>6.567647742550653E-2</v>
      </c>
    </row>
    <row r="184" spans="3:11" x14ac:dyDescent="0.3">
      <c r="C184" s="13" t="s">
        <v>101</v>
      </c>
      <c r="D184" s="13"/>
      <c r="E184" s="13"/>
      <c r="F184" s="13"/>
      <c r="G184" s="13"/>
      <c r="H184" s="13"/>
      <c r="I184" s="13"/>
      <c r="J184" s="13"/>
      <c r="K184" s="13"/>
    </row>
    <row r="185" spans="3:11" x14ac:dyDescent="0.3">
      <c r="C185" s="12"/>
    </row>
    <row r="186" spans="3:11" ht="15" thickBot="1" x14ac:dyDescent="0.35">
      <c r="C186" s="79" t="s">
        <v>102</v>
      </c>
      <c r="D186" s="80"/>
      <c r="E186" s="80"/>
      <c r="F186" s="80"/>
      <c r="G186" s="80"/>
      <c r="H186" s="80"/>
      <c r="I186" s="80"/>
    </row>
    <row r="187" spans="3:11" x14ac:dyDescent="0.3">
      <c r="E187" s="81" t="s">
        <v>103</v>
      </c>
      <c r="F187" s="82"/>
      <c r="G187" s="82"/>
      <c r="H187" s="82"/>
      <c r="I187" s="82"/>
    </row>
    <row r="188" spans="3:11" ht="15" thickBot="1" x14ac:dyDescent="0.35">
      <c r="D188" s="93">
        <f ca="1">G29</f>
        <v>52298.506097684833</v>
      </c>
      <c r="E188" s="94">
        <v>-0.05</v>
      </c>
      <c r="F188" s="94">
        <f>E188+0.025</f>
        <v>-2.5000000000000001E-2</v>
      </c>
      <c r="G188" s="94">
        <f>F188+0.025</f>
        <v>0</v>
      </c>
      <c r="H188" s="94">
        <f t="shared" ref="H188:I188" si="40">G188+0.025</f>
        <v>2.5000000000000001E-2</v>
      </c>
      <c r="I188" s="94">
        <f t="shared" si="40"/>
        <v>0.05</v>
      </c>
    </row>
    <row r="189" spans="3:11" x14ac:dyDescent="0.3">
      <c r="D189" s="95">
        <v>0.39</v>
      </c>
      <c r="E189" s="96">
        <f t="dataTable" ref="E189:I194" dt2D="1" dtr="1" r1="G37" r2="G38" ca="1"/>
        <v>54288.885665875699</v>
      </c>
      <c r="F189" s="96">
        <v>55720.488707046679</v>
      </c>
      <c r="G189" s="96">
        <v>57152.091748217441</v>
      </c>
      <c r="H189" s="96">
        <v>58583.694789388217</v>
      </c>
      <c r="I189" s="96">
        <v>60015.297830558986</v>
      </c>
    </row>
    <row r="190" spans="3:11" x14ac:dyDescent="0.3">
      <c r="C190" s="83" t="s">
        <v>104</v>
      </c>
      <c r="D190" s="95">
        <f>D189-0.005</f>
        <v>0.38500000000000001</v>
      </c>
      <c r="E190" s="96">
        <v>53232.084561090189</v>
      </c>
      <c r="F190" s="96">
        <v>54635.877046871799</v>
      </c>
      <c r="G190" s="96">
        <v>56039.669532653461</v>
      </c>
      <c r="H190" s="96">
        <v>57443.462018435137</v>
      </c>
      <c r="I190" s="96">
        <v>58847.254504216806</v>
      </c>
    </row>
    <row r="191" spans="3:11" x14ac:dyDescent="0.3">
      <c r="C191" s="83" t="s">
        <v>105</v>
      </c>
      <c r="D191" s="95">
        <f t="shared" ref="D191:D194" si="41">D190-0.005</f>
        <v>0.38</v>
      </c>
      <c r="E191" s="96">
        <v>52175.283456304423</v>
      </c>
      <c r="F191" s="96">
        <v>53551.265386696919</v>
      </c>
      <c r="G191" s="96">
        <v>54927.247317089503</v>
      </c>
      <c r="H191" s="96">
        <v>56303.229247482057</v>
      </c>
      <c r="I191" s="96">
        <v>57679.21117787464</v>
      </c>
    </row>
    <row r="192" spans="3:11" x14ac:dyDescent="0.3">
      <c r="C192" s="83" t="s">
        <v>106</v>
      </c>
      <c r="D192" s="95">
        <f t="shared" si="41"/>
        <v>0.375</v>
      </c>
      <c r="E192" s="96">
        <v>51118.482351518644</v>
      </c>
      <c r="F192" s="96">
        <v>52466.653726522054</v>
      </c>
      <c r="G192" s="96">
        <v>53814.825101525523</v>
      </c>
      <c r="H192" s="96">
        <v>55162.996476528984</v>
      </c>
      <c r="I192" s="96">
        <v>56511.16785153246</v>
      </c>
    </row>
    <row r="193" spans="3:13" x14ac:dyDescent="0.3">
      <c r="D193" s="95">
        <f t="shared" si="41"/>
        <v>0.37</v>
      </c>
      <c r="E193" s="96">
        <v>50061.681246732878</v>
      </c>
      <c r="F193" s="96">
        <v>51382.042066347174</v>
      </c>
      <c r="G193" s="96">
        <v>52702.402885961536</v>
      </c>
      <c r="H193" s="96">
        <v>54022.763705575911</v>
      </c>
      <c r="I193" s="96">
        <v>55343.124525190302</v>
      </c>
    </row>
    <row r="194" spans="3:13" x14ac:dyDescent="0.3">
      <c r="D194" s="95">
        <f t="shared" si="41"/>
        <v>0.36499999999999999</v>
      </c>
      <c r="E194" s="96">
        <v>49004.880141947084</v>
      </c>
      <c r="F194" s="96">
        <v>50297.430406172294</v>
      </c>
      <c r="G194" s="96">
        <v>51589.980670397563</v>
      </c>
      <c r="H194" s="96">
        <v>52882.530934622839</v>
      </c>
      <c r="I194" s="96">
        <v>54175.081198848122</v>
      </c>
    </row>
    <row r="196" spans="3:13" x14ac:dyDescent="0.3">
      <c r="C196" s="13" t="s">
        <v>107</v>
      </c>
      <c r="D196" s="13"/>
      <c r="E196" s="13"/>
      <c r="F196" s="13"/>
      <c r="G196" s="13"/>
      <c r="H196" s="13"/>
      <c r="I196" s="13"/>
      <c r="J196" s="13"/>
      <c r="K196" s="13"/>
    </row>
    <row r="197" spans="3:13" ht="15" thickBot="1" x14ac:dyDescent="0.35"/>
    <row r="198" spans="3:13" x14ac:dyDescent="0.3">
      <c r="C198" s="92" t="s">
        <v>108</v>
      </c>
      <c r="D198" s="7" t="str">
        <f>D12</f>
        <v>Base case</v>
      </c>
      <c r="F198" s="97" t="s">
        <v>109</v>
      </c>
      <c r="G198" s="37">
        <f t="shared" ref="G198:K199" si="42">G15</f>
        <v>2019</v>
      </c>
      <c r="H198" s="37">
        <f t="shared" si="42"/>
        <v>2020</v>
      </c>
      <c r="I198" s="37">
        <f t="shared" si="42"/>
        <v>2021</v>
      </c>
      <c r="J198" s="37">
        <f t="shared" si="42"/>
        <v>2022</v>
      </c>
      <c r="K198" s="37">
        <f t="shared" si="42"/>
        <v>2023</v>
      </c>
    </row>
    <row r="199" spans="3:13" x14ac:dyDescent="0.3">
      <c r="E199" s="84"/>
      <c r="F199" s="98" t="s">
        <v>110</v>
      </c>
      <c r="G199" s="38">
        <f t="shared" si="42"/>
        <v>43738</v>
      </c>
      <c r="H199" s="38">
        <f t="shared" si="42"/>
        <v>44104</v>
      </c>
      <c r="I199" s="38">
        <f t="shared" si="42"/>
        <v>44469</v>
      </c>
      <c r="J199" s="38">
        <f t="shared" si="42"/>
        <v>44834</v>
      </c>
      <c r="K199" s="38">
        <f t="shared" si="42"/>
        <v>45199</v>
      </c>
    </row>
    <row r="200" spans="3:13" x14ac:dyDescent="0.3">
      <c r="C200" s="28" t="s">
        <v>26</v>
      </c>
      <c r="F200" s="99" t="str">
        <f t="shared" ref="F200:K203" ca="1" si="43">OFFSET(F$205,MATCH($D$198,$C$206:$C$208,0)+MATCH($C200,$C$205:$C$220,0)-1,0)</f>
        <v>NM</v>
      </c>
      <c r="G200" s="48">
        <f t="shared" ca="1" si="43"/>
        <v>-0.04</v>
      </c>
      <c r="H200" s="48">
        <f t="shared" ca="1" si="43"/>
        <v>0.06</v>
      </c>
      <c r="I200" s="48">
        <f t="shared" ca="1" si="43"/>
        <v>6.9000000000000006E-2</v>
      </c>
      <c r="J200" s="48">
        <f t="shared" ca="1" si="43"/>
        <v>6.9000000000000006E-2</v>
      </c>
      <c r="K200" s="48">
        <f t="shared" ca="1" si="43"/>
        <v>6.9000000000000006E-2</v>
      </c>
    </row>
    <row r="201" spans="3:13" x14ac:dyDescent="0.3">
      <c r="C201" s="28" t="s">
        <v>27</v>
      </c>
      <c r="F201" s="99" t="str">
        <f t="shared" ca="1" si="43"/>
        <v>NM</v>
      </c>
      <c r="G201" s="48">
        <f t="shared" ca="1" si="43"/>
        <v>0.378</v>
      </c>
      <c r="H201" s="48">
        <f t="shared" ca="1" si="43"/>
        <v>0.38</v>
      </c>
      <c r="I201" s="48">
        <f t="shared" ca="1" si="43"/>
        <v>0.38200000000000001</v>
      </c>
      <c r="J201" s="48">
        <f t="shared" ca="1" si="43"/>
        <v>0.38200000000000001</v>
      </c>
      <c r="K201" s="48">
        <f t="shared" ca="1" si="43"/>
        <v>0.38200000000000001</v>
      </c>
    </row>
    <row r="202" spans="3:13" x14ac:dyDescent="0.3">
      <c r="C202" s="28" t="s">
        <v>28</v>
      </c>
      <c r="F202" s="99" t="str">
        <f t="shared" ca="1" si="43"/>
        <v>NM</v>
      </c>
      <c r="G202" s="48">
        <f t="shared" ca="1" si="43"/>
        <v>6.2E-2</v>
      </c>
      <c r="H202" s="48">
        <f t="shared" ca="1" si="43"/>
        <v>6.3E-2</v>
      </c>
      <c r="I202" s="48">
        <f t="shared" ca="1" si="43"/>
        <v>6.3E-2</v>
      </c>
      <c r="J202" s="48">
        <f t="shared" ca="1" si="43"/>
        <v>6.3E-2</v>
      </c>
      <c r="K202" s="48">
        <f t="shared" ca="1" si="43"/>
        <v>6.3E-2</v>
      </c>
    </row>
    <row r="203" spans="3:13" x14ac:dyDescent="0.3">
      <c r="C203" s="28" t="s">
        <v>29</v>
      </c>
      <c r="F203" s="99" t="str">
        <f t="shared" ca="1" si="43"/>
        <v>NM</v>
      </c>
      <c r="G203" s="48">
        <f t="shared" ca="1" si="43"/>
        <v>7.3999999999999996E-2</v>
      </c>
      <c r="H203" s="48">
        <f t="shared" ca="1" si="43"/>
        <v>6.9000000000000006E-2</v>
      </c>
      <c r="I203" s="48">
        <f t="shared" ca="1" si="43"/>
        <v>6.9000000000000006E-2</v>
      </c>
      <c r="J203" s="48">
        <f t="shared" ca="1" si="43"/>
        <v>6.9000000000000006E-2</v>
      </c>
      <c r="K203" s="48">
        <f t="shared" ca="1" si="43"/>
        <v>6.9000000000000006E-2</v>
      </c>
    </row>
    <row r="204" spans="3:13" x14ac:dyDescent="0.3">
      <c r="F204" s="85"/>
    </row>
    <row r="205" spans="3:13" x14ac:dyDescent="0.3">
      <c r="C205" s="47" t="s">
        <v>26</v>
      </c>
      <c r="F205" s="85"/>
    </row>
    <row r="206" spans="3:13" x14ac:dyDescent="0.3">
      <c r="C206" s="75" t="s">
        <v>111</v>
      </c>
      <c r="F206" s="86">
        <v>2.5000000000000001E-2</v>
      </c>
      <c r="G206" s="33">
        <f>G207+$F$206</f>
        <v>-1.4999999999999999E-2</v>
      </c>
      <c r="H206" s="33">
        <f>H207+$F$206</f>
        <v>8.4999999999999992E-2</v>
      </c>
      <c r="I206" s="33">
        <f>I207+$F$206</f>
        <v>9.4E-2</v>
      </c>
      <c r="J206" s="33">
        <f>J207+$F$206</f>
        <v>9.4E-2</v>
      </c>
      <c r="K206" s="33">
        <f>K207+$F$206</f>
        <v>9.4E-2</v>
      </c>
    </row>
    <row r="207" spans="3:13" x14ac:dyDescent="0.3">
      <c r="C207" s="75" t="s">
        <v>11</v>
      </c>
      <c r="F207" s="87" t="s">
        <v>112</v>
      </c>
      <c r="G207" s="88">
        <v>-0.04</v>
      </c>
      <c r="H207" s="88">
        <v>0.06</v>
      </c>
      <c r="I207" s="88">
        <v>6.9000000000000006E-2</v>
      </c>
      <c r="J207" s="33">
        <f>I207</f>
        <v>6.9000000000000006E-2</v>
      </c>
      <c r="K207" s="33">
        <f>J207</f>
        <v>6.9000000000000006E-2</v>
      </c>
      <c r="M207" t="s">
        <v>130</v>
      </c>
    </row>
    <row r="208" spans="3:13" x14ac:dyDescent="0.3">
      <c r="C208" s="75" t="s">
        <v>113</v>
      </c>
      <c r="F208" s="86">
        <v>-2.5000000000000001E-2</v>
      </c>
      <c r="G208" s="33">
        <f>G207+$F$208</f>
        <v>-6.5000000000000002E-2</v>
      </c>
      <c r="H208" s="33">
        <f>H207+$F$208</f>
        <v>3.4999999999999996E-2</v>
      </c>
      <c r="I208" s="33">
        <f>I207+$F$208</f>
        <v>4.4000000000000004E-2</v>
      </c>
      <c r="J208" s="33">
        <f>J207+$F$208</f>
        <v>4.4000000000000004E-2</v>
      </c>
      <c r="K208" s="33">
        <f>K207+$F$208</f>
        <v>4.4000000000000004E-2</v>
      </c>
    </row>
    <row r="209" spans="3:13" x14ac:dyDescent="0.3">
      <c r="C209" s="47" t="s">
        <v>27</v>
      </c>
      <c r="F209" s="87"/>
      <c r="G209" s="88"/>
      <c r="H209" s="88"/>
      <c r="I209" s="88"/>
      <c r="J209" s="88"/>
      <c r="K209" s="88"/>
    </row>
    <row r="210" spans="3:13" x14ac:dyDescent="0.3">
      <c r="C210" s="75" t="s">
        <v>111</v>
      </c>
      <c r="F210" s="86">
        <v>0.01</v>
      </c>
      <c r="G210" s="33">
        <f>G211+$F$210</f>
        <v>0.38800000000000001</v>
      </c>
      <c r="H210" s="33">
        <f>H211+$F$210</f>
        <v>0.39</v>
      </c>
      <c r="I210" s="33">
        <f>I211+$F$210</f>
        <v>0.39200000000000002</v>
      </c>
      <c r="J210" s="33">
        <f>J211+$F$210</f>
        <v>0.39200000000000002</v>
      </c>
      <c r="K210" s="33">
        <f>K211+$F$210</f>
        <v>0.39200000000000002</v>
      </c>
    </row>
    <row r="211" spans="3:13" x14ac:dyDescent="0.3">
      <c r="C211" s="75" t="s">
        <v>11</v>
      </c>
      <c r="F211" s="87" t="s">
        <v>112</v>
      </c>
      <c r="G211" s="88">
        <v>0.378</v>
      </c>
      <c r="H211" s="88">
        <v>0.38</v>
      </c>
      <c r="I211" s="88">
        <v>0.38200000000000001</v>
      </c>
      <c r="J211" s="33">
        <f>I211</f>
        <v>0.38200000000000001</v>
      </c>
      <c r="K211" s="33">
        <f>J211</f>
        <v>0.38200000000000001</v>
      </c>
      <c r="M211" t="s">
        <v>131</v>
      </c>
    </row>
    <row r="212" spans="3:13" x14ac:dyDescent="0.3">
      <c r="C212" s="75" t="s">
        <v>113</v>
      </c>
      <c r="F212" s="86">
        <v>-0.01</v>
      </c>
      <c r="G212" s="33">
        <f>G211+$F$212</f>
        <v>0.36799999999999999</v>
      </c>
      <c r="H212" s="33">
        <f>H211+$F$212</f>
        <v>0.37</v>
      </c>
      <c r="I212" s="33">
        <f>I211+$F$212</f>
        <v>0.372</v>
      </c>
      <c r="J212" s="33">
        <f>J211+$F$212</f>
        <v>0.372</v>
      </c>
      <c r="K212" s="33">
        <f>K211+$F$212</f>
        <v>0.372</v>
      </c>
    </row>
    <row r="213" spans="3:13" x14ac:dyDescent="0.3">
      <c r="C213" s="47" t="s">
        <v>28</v>
      </c>
      <c r="F213" s="87"/>
      <c r="G213" s="89"/>
      <c r="H213" s="89"/>
      <c r="I213" s="89"/>
      <c r="J213" s="89"/>
      <c r="K213" s="89"/>
    </row>
    <row r="214" spans="3:13" x14ac:dyDescent="0.3">
      <c r="C214" s="75" t="s">
        <v>111</v>
      </c>
      <c r="F214" s="86">
        <v>-0.01</v>
      </c>
      <c r="G214" s="33">
        <f>G215+$F$214</f>
        <v>5.1999999999999998E-2</v>
      </c>
      <c r="H214" s="33">
        <f>H215+$F$214</f>
        <v>5.2999999999999999E-2</v>
      </c>
      <c r="I214" s="33">
        <f>I215+$F$214</f>
        <v>5.2999999999999999E-2</v>
      </c>
      <c r="J214" s="33">
        <f>J215+$F$214</f>
        <v>5.2999999999999999E-2</v>
      </c>
      <c r="K214" s="33">
        <f>K215+$F$214</f>
        <v>5.2999999999999999E-2</v>
      </c>
    </row>
    <row r="215" spans="3:13" x14ac:dyDescent="0.3">
      <c r="C215" s="75" t="s">
        <v>11</v>
      </c>
      <c r="F215" s="87" t="s">
        <v>112</v>
      </c>
      <c r="G215" s="88">
        <v>6.2E-2</v>
      </c>
      <c r="H215" s="88">
        <v>6.3E-2</v>
      </c>
      <c r="I215" s="88">
        <v>6.3E-2</v>
      </c>
      <c r="J215" s="33">
        <f>I215</f>
        <v>6.3E-2</v>
      </c>
      <c r="K215" s="33">
        <f>J215</f>
        <v>6.3E-2</v>
      </c>
      <c r="M215" t="s">
        <v>128</v>
      </c>
    </row>
    <row r="216" spans="3:13" x14ac:dyDescent="0.3">
      <c r="C216" s="75" t="s">
        <v>113</v>
      </c>
      <c r="F216" s="86">
        <v>0.01</v>
      </c>
      <c r="G216" s="33">
        <f>G215+$F$216</f>
        <v>7.1999999999999995E-2</v>
      </c>
      <c r="H216" s="33">
        <f>H215+$F$216</f>
        <v>7.2999999999999995E-2</v>
      </c>
      <c r="I216" s="33">
        <f>I215+$F$216</f>
        <v>7.2999999999999995E-2</v>
      </c>
      <c r="J216" s="33">
        <f>J215+$F$216</f>
        <v>7.2999999999999995E-2</v>
      </c>
      <c r="K216" s="33">
        <f>K215+$F$216</f>
        <v>7.2999999999999995E-2</v>
      </c>
    </row>
    <row r="217" spans="3:13" x14ac:dyDescent="0.3">
      <c r="C217" s="47" t="s">
        <v>29</v>
      </c>
      <c r="F217" s="87"/>
      <c r="G217" s="89"/>
      <c r="H217" s="89"/>
      <c r="I217" s="89"/>
      <c r="J217" s="89"/>
      <c r="K217" s="89"/>
    </row>
    <row r="218" spans="3:13" x14ac:dyDescent="0.3">
      <c r="C218" s="75" t="s">
        <v>111</v>
      </c>
      <c r="F218" s="86">
        <v>-0.01</v>
      </c>
      <c r="G218" s="33">
        <f>G219+$F$218</f>
        <v>6.4000000000000001E-2</v>
      </c>
      <c r="H218" s="33">
        <f>H219+$F$218</f>
        <v>5.9000000000000004E-2</v>
      </c>
      <c r="I218" s="33">
        <f>I219+$F$218</f>
        <v>5.9000000000000004E-2</v>
      </c>
      <c r="J218" s="33">
        <f>J219+$F$218</f>
        <v>5.9000000000000004E-2</v>
      </c>
      <c r="K218" s="33">
        <f>K219+$F$218</f>
        <v>5.9000000000000004E-2</v>
      </c>
    </row>
    <row r="219" spans="3:13" x14ac:dyDescent="0.3">
      <c r="C219" s="75" t="s">
        <v>11</v>
      </c>
      <c r="F219" s="87" t="s">
        <v>112</v>
      </c>
      <c r="G219" s="88">
        <v>7.3999999999999996E-2</v>
      </c>
      <c r="H219" s="88">
        <v>6.9000000000000006E-2</v>
      </c>
      <c r="I219" s="88">
        <v>6.9000000000000006E-2</v>
      </c>
      <c r="J219" s="33">
        <f>I219</f>
        <v>6.9000000000000006E-2</v>
      </c>
      <c r="K219" s="33">
        <f>J219</f>
        <v>6.9000000000000006E-2</v>
      </c>
      <c r="M219" t="s">
        <v>128</v>
      </c>
    </row>
    <row r="220" spans="3:13" ht="15" thickBot="1" x14ac:dyDescent="0.35">
      <c r="C220" s="75" t="s">
        <v>113</v>
      </c>
      <c r="F220" s="90">
        <v>0.01</v>
      </c>
      <c r="G220" s="33">
        <f>G219+$F$220</f>
        <v>8.3999999999999991E-2</v>
      </c>
      <c r="H220" s="33">
        <f>H219+$F$220</f>
        <v>7.9000000000000001E-2</v>
      </c>
      <c r="I220" s="33">
        <f>I219+$F$220</f>
        <v>7.9000000000000001E-2</v>
      </c>
      <c r="J220" s="33">
        <f>J219+$F$220</f>
        <v>7.9000000000000001E-2</v>
      </c>
      <c r="K220" s="33">
        <f>K219+$F$220</f>
        <v>7.9000000000000001E-2</v>
      </c>
    </row>
  </sheetData>
  <conditionalFormatting sqref="C40">
    <cfRule type="expression" dxfId="5" priority="3">
      <formula>#REF!=$C40</formula>
    </cfRule>
  </conditionalFormatting>
  <conditionalFormatting sqref="C217">
    <cfRule type="expression" dxfId="4" priority="2">
      <formula>#REF!=$C217</formula>
    </cfRule>
  </conditionalFormatting>
  <conditionalFormatting sqref="C203">
    <cfRule type="expression" dxfId="3" priority="1">
      <formula>#REF!=$C203</formula>
    </cfRule>
  </conditionalFormatting>
  <dataValidations count="4">
    <dataValidation type="list" allowBlank="1" showInputMessage="1" showErrorMessage="1" sqref="I8" xr:uid="{8E5DBD71-7851-41E5-B723-7D74BA8EA306}">
      <formula1>$G$8:$G$9</formula1>
    </dataValidation>
    <dataValidation type="list" allowBlank="1" showInputMessage="1" showErrorMessage="1" sqref="D7" xr:uid="{71253277-7C03-4FC3-A6EF-1D45E759AE46}">
      <formula1>"0,1"</formula1>
    </dataValidation>
    <dataValidation type="list" allowBlank="1" showInputMessage="1" showErrorMessage="1" sqref="C3" xr:uid="{C112BF6F-9EED-447A-910B-5143FD9C7077}">
      <formula1>"$ bns except per share, $ mm except per share,$ in thousands except per share"</formula1>
    </dataValidation>
    <dataValidation type="list" allowBlank="1" showInputMessage="1" showErrorMessage="1" sqref="D12" xr:uid="{50D81DA2-7696-41D9-BC49-68F616B84A2C}">
      <formula1>$C$206:$C$208</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088E6-9B21-4E9B-A851-5DBEA4D3CD7E}">
  <dimension ref="C1:O208"/>
  <sheetViews>
    <sheetView workbookViewId="0"/>
  </sheetViews>
  <sheetFormatPr defaultRowHeight="14.4" x14ac:dyDescent="0.3"/>
  <cols>
    <col min="1" max="2" width="2.33203125" customWidth="1"/>
    <col min="3" max="3" width="46.77734375" customWidth="1"/>
    <col min="4" max="4" width="10.5546875" bestFit="1" customWidth="1"/>
    <col min="5" max="5" width="8.88671875" customWidth="1"/>
    <col min="7" max="7" width="11.109375" customWidth="1"/>
    <col min="14" max="14" width="2.33203125" customWidth="1"/>
  </cols>
  <sheetData>
    <row r="1" spans="3:15" ht="15" thickBot="1" x14ac:dyDescent="0.35"/>
    <row r="2" spans="3:15" ht="15" thickBot="1" x14ac:dyDescent="0.35">
      <c r="C2" s="1" t="str">
        <f>"Financial Statement Model for "&amp;D5</f>
        <v>Financial Statement Model for Apple</v>
      </c>
      <c r="D2" s="2"/>
      <c r="E2" s="2"/>
      <c r="F2" s="2"/>
      <c r="G2" s="2"/>
      <c r="H2" s="2"/>
      <c r="I2" s="2"/>
      <c r="J2" s="2"/>
      <c r="K2" s="2"/>
    </row>
    <row r="3" spans="3:15" x14ac:dyDescent="0.3">
      <c r="C3" s="3" t="s">
        <v>0</v>
      </c>
      <c r="D3" s="4"/>
      <c r="E3" s="4"/>
      <c r="F3" s="4"/>
      <c r="G3" s="4"/>
      <c r="H3" s="4"/>
    </row>
    <row r="4" spans="3:15" ht="15" thickBot="1" x14ac:dyDescent="0.35"/>
    <row r="5" spans="3:15" ht="15" thickBot="1" x14ac:dyDescent="0.35">
      <c r="C5" s="5" t="s">
        <v>1</v>
      </c>
      <c r="D5" s="6" t="s">
        <v>2</v>
      </c>
      <c r="H5" s="82" t="s">
        <v>132</v>
      </c>
      <c r="I5" s="82"/>
      <c r="J5" s="131" t="s">
        <v>110</v>
      </c>
    </row>
    <row r="6" spans="3:15" x14ac:dyDescent="0.3">
      <c r="C6" s="5" t="s">
        <v>3</v>
      </c>
      <c r="D6" s="6" t="s">
        <v>4</v>
      </c>
    </row>
    <row r="7" spans="3:15" x14ac:dyDescent="0.3">
      <c r="C7" t="s">
        <v>5</v>
      </c>
      <c r="D7" s="7">
        <v>1</v>
      </c>
    </row>
    <row r="8" spans="3:15" x14ac:dyDescent="0.3">
      <c r="C8" t="s">
        <v>6</v>
      </c>
      <c r="D8" s="8">
        <v>293.64999999999998</v>
      </c>
    </row>
    <row r="9" spans="3:15" x14ac:dyDescent="0.3">
      <c r="C9" t="s">
        <v>7</v>
      </c>
      <c r="D9" s="9">
        <v>43830</v>
      </c>
    </row>
    <row r="10" spans="3:15" x14ac:dyDescent="0.3">
      <c r="C10" s="5" t="s">
        <v>8</v>
      </c>
      <c r="D10" s="10">
        <v>43737</v>
      </c>
    </row>
    <row r="11" spans="3:15" x14ac:dyDescent="0.3">
      <c r="C11" t="s">
        <v>9</v>
      </c>
      <c r="D11" s="11">
        <f>4443265000/1000000</f>
        <v>4443.2650000000003</v>
      </c>
    </row>
    <row r="13" spans="3:15" x14ac:dyDescent="0.3">
      <c r="C13" s="13" t="s">
        <v>12</v>
      </c>
      <c r="D13" s="14"/>
      <c r="E13" s="14"/>
      <c r="F13" s="14"/>
      <c r="G13" s="14"/>
      <c r="H13" s="14"/>
      <c r="I13" s="14"/>
      <c r="J13" s="14"/>
      <c r="K13" s="14"/>
      <c r="L13" s="14"/>
    </row>
    <row r="14" spans="3:15" x14ac:dyDescent="0.3">
      <c r="C14" t="s">
        <v>13</v>
      </c>
      <c r="D14" s="15">
        <f>E14-1</f>
        <v>2016</v>
      </c>
      <c r="E14" s="15">
        <f>F14-1</f>
        <v>2017</v>
      </c>
      <c r="F14" s="15">
        <f>G14-1</f>
        <v>2018</v>
      </c>
      <c r="G14" s="15">
        <f>YEAR(D10)</f>
        <v>2019</v>
      </c>
      <c r="H14" s="16">
        <f>G14+1</f>
        <v>2020</v>
      </c>
      <c r="I14" s="16">
        <f>H14+1</f>
        <v>2021</v>
      </c>
      <c r="J14" s="16">
        <f>I14+1</f>
        <v>2022</v>
      </c>
      <c r="K14" s="16">
        <f>J14+1</f>
        <v>2023</v>
      </c>
      <c r="L14" s="16">
        <f>K14+1</f>
        <v>2024</v>
      </c>
      <c r="O14" s="123">
        <v>2019</v>
      </c>
    </row>
    <row r="15" spans="3:15" x14ac:dyDescent="0.3">
      <c r="C15" s="17" t="s">
        <v>14</v>
      </c>
      <c r="D15" s="18">
        <f>EOMONTH(E15,-12)</f>
        <v>43008</v>
      </c>
      <c r="E15" s="18">
        <f>EOMONTH(F15,-12)</f>
        <v>43373</v>
      </c>
      <c r="F15" s="18">
        <v>43737</v>
      </c>
      <c r="G15" s="18">
        <f>D10</f>
        <v>43737</v>
      </c>
      <c r="H15" s="18">
        <f>EOMONTH(G15,12)</f>
        <v>44104</v>
      </c>
      <c r="I15" s="18">
        <f>EOMONTH(H15,12)</f>
        <v>44469</v>
      </c>
      <c r="J15" s="18">
        <f>EOMONTH(I15,12)</f>
        <v>44834</v>
      </c>
      <c r="K15" s="18">
        <f>EOMONTH(J15,12)</f>
        <v>45199</v>
      </c>
      <c r="L15" s="18">
        <f>EOMONTH(K15,12)</f>
        <v>45565</v>
      </c>
      <c r="O15" s="18">
        <v>43738</v>
      </c>
    </row>
    <row r="16" spans="3:15" x14ac:dyDescent="0.3">
      <c r="C16" s="19"/>
      <c r="D16" s="19"/>
      <c r="E16" s="20"/>
      <c r="F16" s="21"/>
      <c r="G16" s="21"/>
      <c r="H16" s="22"/>
      <c r="I16" s="23"/>
      <c r="J16" s="23"/>
      <c r="K16" s="21"/>
      <c r="L16" s="21"/>
      <c r="O16" s="22"/>
    </row>
    <row r="17" spans="3:15" x14ac:dyDescent="0.3">
      <c r="C17" t="s">
        <v>15</v>
      </c>
      <c r="D17" s="24">
        <v>215639</v>
      </c>
      <c r="E17" s="24">
        <v>229234</v>
      </c>
      <c r="F17" s="24">
        <v>265595</v>
      </c>
      <c r="G17" s="24">
        <v>260174</v>
      </c>
      <c r="H17" s="25">
        <f ca="1">G17*(1+H36)</f>
        <v>275784.44</v>
      </c>
      <c r="I17" s="25">
        <f ca="1">H17*(1+I36)</f>
        <v>294813.56636</v>
      </c>
      <c r="J17" s="25">
        <f ca="1">I17*(1+J36)</f>
        <v>315155.70243884</v>
      </c>
      <c r="K17" s="25">
        <f ca="1">J17*(1+K36)</f>
        <v>336901.44590711995</v>
      </c>
      <c r="L17" s="25">
        <f ca="1">K17*(1+L36)</f>
        <v>360147.64567471121</v>
      </c>
      <c r="O17" s="25">
        <v>254971.19999999998</v>
      </c>
    </row>
    <row r="18" spans="3:15" x14ac:dyDescent="0.3">
      <c r="C18" t="s">
        <v>308</v>
      </c>
      <c r="D18" s="24">
        <v>-131376</v>
      </c>
      <c r="E18" s="24">
        <v>-141048</v>
      </c>
      <c r="F18" s="24">
        <v>-163756</v>
      </c>
      <c r="G18" s="24">
        <v>-161782</v>
      </c>
      <c r="H18" s="25">
        <f ca="1">H19-H17</f>
        <v>-171488.91999999998</v>
      </c>
      <c r="I18" s="25">
        <f ca="1">I19-I17</f>
        <v>-183321.65548000002</v>
      </c>
      <c r="J18" s="25">
        <f ca="1">J19-J17</f>
        <v>-195970.84970811999</v>
      </c>
      <c r="K18" s="25">
        <f ca="1">K19-K17</f>
        <v>-209492.83833798027</v>
      </c>
      <c r="L18" s="25">
        <f ca="1">L19-L17</f>
        <v>-223947.84418330091</v>
      </c>
      <c r="O18" s="25">
        <v>-158592.08639999997</v>
      </c>
    </row>
    <row r="19" spans="3:15" x14ac:dyDescent="0.3">
      <c r="C19" s="12" t="s">
        <v>16</v>
      </c>
      <c r="D19" s="26">
        <f>SUM(D17:D18)</f>
        <v>84263</v>
      </c>
      <c r="E19" s="26">
        <f>SUM(E17:E18)</f>
        <v>88186</v>
      </c>
      <c r="F19" s="26">
        <f>SUM(F17:F18)</f>
        <v>101839</v>
      </c>
      <c r="G19" s="26">
        <f>SUM(G17:G18)</f>
        <v>98392</v>
      </c>
      <c r="H19" s="26">
        <f ca="1">H17*H37</f>
        <v>104295.52</v>
      </c>
      <c r="I19" s="26">
        <f ca="1">I17*I37</f>
        <v>111491.91088</v>
      </c>
      <c r="J19" s="26">
        <f ca="1">J17*J37</f>
        <v>119184.85273072</v>
      </c>
      <c r="K19" s="26">
        <f ca="1">K17*K37</f>
        <v>127408.60756913967</v>
      </c>
      <c r="L19" s="26">
        <f ca="1">L17*L37</f>
        <v>136199.8014914103</v>
      </c>
      <c r="O19" s="26">
        <v>96379.113599999997</v>
      </c>
    </row>
    <row r="20" spans="3:15" x14ac:dyDescent="0.3">
      <c r="C20" t="s">
        <v>309</v>
      </c>
      <c r="D20" s="24">
        <v>-10045</v>
      </c>
      <c r="E20" s="24">
        <v>-11581</v>
      </c>
      <c r="F20" s="24">
        <v>-14236</v>
      </c>
      <c r="G20" s="24">
        <v>-16217</v>
      </c>
      <c r="H20" s="25">
        <f ca="1">-(H17*H38)</f>
        <v>-17190.02</v>
      </c>
      <c r="I20" s="25">
        <f t="shared" ref="I20:L20" ca="1" si="0">-(I17*I38)</f>
        <v>-18376.131379999999</v>
      </c>
      <c r="J20" s="25">
        <f t="shared" ca="1" si="0"/>
        <v>-19644.08444522</v>
      </c>
      <c r="K20" s="25">
        <f t="shared" ca="1" si="0"/>
        <v>-20999.52627194018</v>
      </c>
      <c r="L20" s="25">
        <f t="shared" ca="1" si="0"/>
        <v>-22448.493584704051</v>
      </c>
      <c r="O20" s="25">
        <v>-15808.214399999999</v>
      </c>
    </row>
    <row r="21" spans="3:15" x14ac:dyDescent="0.3">
      <c r="C21" t="s">
        <v>310</v>
      </c>
      <c r="D21" s="24">
        <v>-14194</v>
      </c>
      <c r="E21" s="24">
        <v>-15261</v>
      </c>
      <c r="F21" s="24">
        <v>-16705</v>
      </c>
      <c r="G21" s="24">
        <v>-18245</v>
      </c>
      <c r="H21" s="25">
        <f ca="1">-(H17*H39)</f>
        <v>-19339.7</v>
      </c>
      <c r="I21" s="25">
        <f t="shared" ref="I21:L21" ca="1" si="1">-(I17*I39)</f>
        <v>-20674.139300000003</v>
      </c>
      <c r="J21" s="25">
        <f t="shared" ca="1" si="1"/>
        <v>-22100.654911700003</v>
      </c>
      <c r="K21" s="25">
        <f t="shared" ca="1" si="1"/>
        <v>-23625.600100607302</v>
      </c>
      <c r="L21" s="25">
        <f t="shared" ca="1" si="1"/>
        <v>-25255.766507549204</v>
      </c>
      <c r="O21" s="25">
        <v>-18867.868799999997</v>
      </c>
    </row>
    <row r="22" spans="3:15" x14ac:dyDescent="0.3">
      <c r="C22" s="12" t="s">
        <v>17</v>
      </c>
      <c r="D22" s="26">
        <f t="shared" ref="D22" si="2">D19+D20+D21</f>
        <v>60024</v>
      </c>
      <c r="E22" s="26">
        <f>E19+E20+E21</f>
        <v>61344</v>
      </c>
      <c r="F22" s="26">
        <f>F19+F20+F21</f>
        <v>70898</v>
      </c>
      <c r="G22" s="26">
        <f>G19+G20+G21</f>
        <v>63930</v>
      </c>
      <c r="H22" s="26">
        <f t="shared" ref="H22:K22" ca="1" si="3">H19+H20+H21</f>
        <v>67765.8</v>
      </c>
      <c r="I22" s="26">
        <f ca="1">I19+I20+I21</f>
        <v>72441.640199999994</v>
      </c>
      <c r="J22" s="26">
        <f t="shared" ca="1" si="3"/>
        <v>77440.113373800006</v>
      </c>
      <c r="K22" s="26">
        <f t="shared" ca="1" si="3"/>
        <v>82783.481196592184</v>
      </c>
      <c r="L22" s="26">
        <f ca="1">L19+L20+L21</f>
        <v>88495.541399157053</v>
      </c>
      <c r="O22" s="26">
        <v>61703.030400000003</v>
      </c>
    </row>
    <row r="23" spans="3:15" x14ac:dyDescent="0.3">
      <c r="C23" t="s">
        <v>18</v>
      </c>
      <c r="D23" s="24">
        <v>3999</v>
      </c>
      <c r="E23" s="24">
        <v>5201</v>
      </c>
      <c r="F23" s="24">
        <v>5686</v>
      </c>
      <c r="G23" s="24">
        <v>4961</v>
      </c>
      <c r="H23" s="27">
        <f ca="1">H156</f>
        <v>4387.8231953961504</v>
      </c>
      <c r="I23" s="27">
        <f t="shared" ref="I23:L23" ca="1" si="4">I156</f>
        <v>4121.708165887424</v>
      </c>
      <c r="J23" s="27">
        <f t="shared" ca="1" si="4"/>
        <v>3873.7394140719912</v>
      </c>
      <c r="K23" s="27">
        <f t="shared" ca="1" si="4"/>
        <v>3712.7093421336226</v>
      </c>
      <c r="L23" s="27">
        <f t="shared" ca="1" si="4"/>
        <v>3646.4825323074961</v>
      </c>
      <c r="O23" s="27">
        <v>4741.5415005637624</v>
      </c>
    </row>
    <row r="24" spans="3:15" x14ac:dyDescent="0.3">
      <c r="C24" t="s">
        <v>98</v>
      </c>
      <c r="D24" s="24">
        <v>-1456</v>
      </c>
      <c r="E24" s="24">
        <v>-2323</v>
      </c>
      <c r="F24" s="24">
        <v>-3240</v>
      </c>
      <c r="G24" s="24">
        <v>-3576</v>
      </c>
      <c r="H24" s="27">
        <f ca="1">-H142</f>
        <v>-3568.9466179543074</v>
      </c>
      <c r="I24" s="27">
        <f t="shared" ref="I24:L24" ca="1" si="5">-I142</f>
        <v>-3636.3706179543074</v>
      </c>
      <c r="J24" s="27">
        <f t="shared" ca="1" si="5"/>
        <v>-3636.3706179543074</v>
      </c>
      <c r="K24" s="27">
        <f t="shared" ca="1" si="5"/>
        <v>-3636.3706179543074</v>
      </c>
      <c r="L24" s="27">
        <f t="shared" ca="1" si="5"/>
        <v>-3636.3706179543074</v>
      </c>
      <c r="O24" s="27">
        <v>-3223.1468651501777</v>
      </c>
    </row>
    <row r="25" spans="3:15" x14ac:dyDescent="0.3">
      <c r="C25" t="s">
        <v>311</v>
      </c>
      <c r="D25" s="24">
        <v>-1195</v>
      </c>
      <c r="E25" s="24">
        <v>-133</v>
      </c>
      <c r="F25" s="24">
        <v>-441</v>
      </c>
      <c r="G25" s="24">
        <v>422</v>
      </c>
      <c r="H25" s="24">
        <f>G25</f>
        <v>422</v>
      </c>
      <c r="I25" s="24">
        <f t="shared" ref="I25:L25" si="6">H25</f>
        <v>422</v>
      </c>
      <c r="J25" s="24">
        <f t="shared" si="6"/>
        <v>422</v>
      </c>
      <c r="K25" s="24">
        <f t="shared" si="6"/>
        <v>422</v>
      </c>
      <c r="L25" s="24">
        <f t="shared" si="6"/>
        <v>422</v>
      </c>
      <c r="O25" s="27">
        <v>-441</v>
      </c>
    </row>
    <row r="26" spans="3:15" x14ac:dyDescent="0.3">
      <c r="C26" s="12" t="s">
        <v>19</v>
      </c>
      <c r="D26" s="26">
        <f t="shared" ref="D26" si="7">SUM(D22:D25)</f>
        <v>61372</v>
      </c>
      <c r="E26" s="26">
        <f>SUM(E22:E25)</f>
        <v>64089</v>
      </c>
      <c r="F26" s="26">
        <f>SUM(F22:F25)</f>
        <v>72903</v>
      </c>
      <c r="G26" s="26">
        <f>SUM(G22:G25)</f>
        <v>65737</v>
      </c>
      <c r="H26" s="26">
        <f ca="1">SUM(H22:H25)</f>
        <v>69006.676577441845</v>
      </c>
      <c r="I26" s="26">
        <f ca="1">SUM(I22:I25)</f>
        <v>73348.97774793311</v>
      </c>
      <c r="J26" s="26">
        <f t="shared" ref="J26:L26" ca="1" si="8">SUM(J22:J25)</f>
        <v>78099.482169917683</v>
      </c>
      <c r="K26" s="26">
        <f t="shared" ca="1" si="8"/>
        <v>83281.819920771493</v>
      </c>
      <c r="L26" s="26">
        <f t="shared" ca="1" si="8"/>
        <v>88927.653313510236</v>
      </c>
      <c r="O26" s="26">
        <v>62780.425035413587</v>
      </c>
    </row>
    <row r="27" spans="3:15" x14ac:dyDescent="0.3">
      <c r="C27" t="s">
        <v>313</v>
      </c>
      <c r="D27" s="24">
        <v>-15685</v>
      </c>
      <c r="E27" s="24">
        <v>-15738</v>
      </c>
      <c r="F27" s="24">
        <v>-13372</v>
      </c>
      <c r="G27" s="24">
        <v>-10481</v>
      </c>
      <c r="H27" s="25">
        <f ca="1">-H40*H26</f>
        <v>-11002.311897533627</v>
      </c>
      <c r="I27" s="25">
        <f ca="1">-I40*I26</f>
        <v>-11694.641309705143</v>
      </c>
      <c r="J27" s="25">
        <f ca="1">-J40*J26</f>
        <v>-12452.053982124333</v>
      </c>
      <c r="K27" s="25">
        <f ca="1">-K40*K26</f>
        <v>-13278.317455764731</v>
      </c>
      <c r="L27" s="25">
        <f ca="1">-L40*L26</f>
        <v>-14178.479918142004</v>
      </c>
      <c r="O27" s="25">
        <v>-10484.33098091407</v>
      </c>
    </row>
    <row r="28" spans="3:15" x14ac:dyDescent="0.3">
      <c r="C28" s="12" t="s">
        <v>20</v>
      </c>
      <c r="D28" s="26">
        <f t="shared" ref="D28:L28" si="9">SUM(D26:D27)</f>
        <v>45687</v>
      </c>
      <c r="E28" s="26">
        <f t="shared" si="9"/>
        <v>48351</v>
      </c>
      <c r="F28" s="26">
        <f t="shared" si="9"/>
        <v>59531</v>
      </c>
      <c r="G28" s="26">
        <f t="shared" si="9"/>
        <v>55256</v>
      </c>
      <c r="H28" s="26">
        <f ca="1">SUM(H26:H27)</f>
        <v>58004.36467990822</v>
      </c>
      <c r="I28" s="26">
        <f t="shared" ca="1" si="9"/>
        <v>61654.336438227969</v>
      </c>
      <c r="J28" s="26">
        <f t="shared" ca="1" si="9"/>
        <v>65647.428187793354</v>
      </c>
      <c r="K28" s="26">
        <f t="shared" ca="1" si="9"/>
        <v>70003.502465006764</v>
      </c>
      <c r="L28" s="26">
        <f t="shared" ca="1" si="9"/>
        <v>74749.173395368227</v>
      </c>
      <c r="O28" s="26">
        <v>52296.094054499517</v>
      </c>
    </row>
    <row r="29" spans="3:15" x14ac:dyDescent="0.3">
      <c r="C29" s="28"/>
      <c r="D29" s="27"/>
      <c r="E29" s="27"/>
      <c r="F29" s="27"/>
      <c r="G29" s="27"/>
      <c r="H29" s="27"/>
      <c r="I29" s="27"/>
      <c r="J29" s="27"/>
      <c r="K29" s="27"/>
      <c r="L29" s="27"/>
      <c r="O29" s="27"/>
    </row>
    <row r="30" spans="3:15" x14ac:dyDescent="0.3">
      <c r="C30" s="29" t="s">
        <v>21</v>
      </c>
      <c r="D30" s="24">
        <v>10505</v>
      </c>
      <c r="E30" s="24">
        <v>10157</v>
      </c>
      <c r="F30" s="24">
        <v>10903</v>
      </c>
      <c r="G30" s="24">
        <v>12547</v>
      </c>
      <c r="H30" s="27">
        <f ca="1">H106</f>
        <v>11165.121266227146</v>
      </c>
      <c r="I30" s="27">
        <f ca="1">I106</f>
        <v>12044.308744409378</v>
      </c>
      <c r="J30" s="27">
        <f ca="1">J106</f>
        <v>13148.794867773624</v>
      </c>
      <c r="K30" s="27">
        <f ca="1">K106</f>
        <v>14348.357122230005</v>
      </c>
      <c r="L30" s="27">
        <f ca="1">L106</f>
        <v>15650.857555435894</v>
      </c>
      <c r="O30" s="27">
        <v>10819.320171261172</v>
      </c>
    </row>
    <row r="31" spans="3:15" x14ac:dyDescent="0.3">
      <c r="C31" s="30" t="s">
        <v>22</v>
      </c>
      <c r="D31" s="26">
        <f t="shared" ref="D31" si="10">D22+D30</f>
        <v>70529</v>
      </c>
      <c r="E31" s="26">
        <f>E22+E30</f>
        <v>71501</v>
      </c>
      <c r="F31" s="26">
        <f>F22+F30</f>
        <v>81801</v>
      </c>
      <c r="G31" s="26">
        <f>G22+G30</f>
        <v>76477</v>
      </c>
      <c r="H31" s="26">
        <f t="shared" ref="H31:L31" ca="1" si="11">H22+H30</f>
        <v>78930.921266227146</v>
      </c>
      <c r="I31" s="26">
        <f t="shared" ca="1" si="11"/>
        <v>84485.948944409378</v>
      </c>
      <c r="J31" s="26">
        <f t="shared" ca="1" si="11"/>
        <v>90588.908241573634</v>
      </c>
      <c r="K31" s="26">
        <f t="shared" ca="1" si="11"/>
        <v>97131.838318822192</v>
      </c>
      <c r="L31" s="26">
        <f t="shared" ca="1" si="11"/>
        <v>104146.39895459295</v>
      </c>
      <c r="O31" s="26">
        <v>72522.35057126118</v>
      </c>
    </row>
    <row r="32" spans="3:15" x14ac:dyDescent="0.3">
      <c r="C32" s="29" t="s">
        <v>23</v>
      </c>
      <c r="D32" s="24">
        <v>4210</v>
      </c>
      <c r="E32" s="24">
        <v>4840</v>
      </c>
      <c r="F32" s="24">
        <v>5340</v>
      </c>
      <c r="G32" s="24">
        <v>6068</v>
      </c>
      <c r="H32" s="27">
        <f ca="1">G32*(1+H36)</f>
        <v>6432.08</v>
      </c>
      <c r="I32" s="27">
        <f ca="1">H32*(1+I36)</f>
        <v>6875.8935199999996</v>
      </c>
      <c r="J32" s="27">
        <f ca="1">I32*(1+J36)</f>
        <v>7350.3301728799988</v>
      </c>
      <c r="K32" s="27">
        <f ca="1">J32*(1+K36)</f>
        <v>7857.5029548087186</v>
      </c>
      <c r="L32" s="27">
        <f ca="1">K32*(1+L36)</f>
        <v>8399.6706586905202</v>
      </c>
      <c r="O32" s="27">
        <v>5126.3999999999996</v>
      </c>
    </row>
    <row r="33" spans="3:15" x14ac:dyDescent="0.3">
      <c r="C33" s="30" t="s">
        <v>24</v>
      </c>
      <c r="D33" s="26">
        <f t="shared" ref="D33" si="12">SUM(D31:D32)</f>
        <v>74739</v>
      </c>
      <c r="E33" s="26">
        <f>SUM(E31:E32)</f>
        <v>76341</v>
      </c>
      <c r="F33" s="26">
        <f>SUM(F31:F32)</f>
        <v>87141</v>
      </c>
      <c r="G33" s="26">
        <f>SUM(G31:G32)</f>
        <v>82545</v>
      </c>
      <c r="H33" s="26">
        <f t="shared" ref="H33:L33" ca="1" si="13">SUM(H31:H32)</f>
        <v>85363.001266227147</v>
      </c>
      <c r="I33" s="26">
        <f t="shared" ca="1" si="13"/>
        <v>91361.842464409376</v>
      </c>
      <c r="J33" s="26">
        <f t="shared" ca="1" si="13"/>
        <v>97939.238414453634</v>
      </c>
      <c r="K33" s="26">
        <f t="shared" ca="1" si="13"/>
        <v>104989.34127363091</v>
      </c>
      <c r="L33" s="26">
        <f t="shared" ca="1" si="13"/>
        <v>112546.06961328347</v>
      </c>
      <c r="O33" s="26">
        <v>77648.750571261175</v>
      </c>
    </row>
    <row r="34" spans="3:15" x14ac:dyDescent="0.3">
      <c r="C34" s="28"/>
      <c r="D34" s="28"/>
      <c r="H34" s="31"/>
      <c r="O34" s="31"/>
    </row>
    <row r="35" spans="3:15" x14ac:dyDescent="0.3">
      <c r="C35" s="32" t="s">
        <v>25</v>
      </c>
      <c r="D35" s="32"/>
    </row>
    <row r="36" spans="3:15" x14ac:dyDescent="0.3">
      <c r="C36" s="28" t="s">
        <v>26</v>
      </c>
      <c r="D36" s="33"/>
      <c r="E36" s="33">
        <f>E17/D17-1</f>
        <v>6.304518199398057E-2</v>
      </c>
      <c r="F36" s="33">
        <f>F17/E17-1</f>
        <v>0.15861957650261305</v>
      </c>
      <c r="G36" s="33">
        <f>G17/F17-1</f>
        <v>-2.04107758052674E-2</v>
      </c>
      <c r="H36" s="108">
        <f ca="1">H186</f>
        <v>0.06</v>
      </c>
      <c r="I36" s="108">
        <f t="shared" ref="I36:L36" ca="1" si="14">I186</f>
        <v>6.9000000000000006E-2</v>
      </c>
      <c r="J36" s="108">
        <f t="shared" ca="1" si="14"/>
        <v>6.9000000000000006E-2</v>
      </c>
      <c r="K36" s="108">
        <f t="shared" ca="1" si="14"/>
        <v>6.9000000000000006E-2</v>
      </c>
      <c r="L36" s="108">
        <f t="shared" ca="1" si="14"/>
        <v>6.9000000000000006E-2</v>
      </c>
      <c r="O36" s="88">
        <v>-0.04</v>
      </c>
    </row>
    <row r="37" spans="3:15" ht="14.4" customHeight="1" x14ac:dyDescent="0.3">
      <c r="C37" s="28" t="s">
        <v>27</v>
      </c>
      <c r="D37" s="33">
        <f>D19/D17</f>
        <v>0.39075955648097049</v>
      </c>
      <c r="E37" s="33">
        <f>E19/E17</f>
        <v>0.38469860491899105</v>
      </c>
      <c r="F37" s="33">
        <f>F19/F17</f>
        <v>0.38343718820007905</v>
      </c>
      <c r="G37" s="33">
        <f>G19/G17</f>
        <v>0.37817768109034722</v>
      </c>
      <c r="H37" s="108">
        <f t="shared" ref="H37:L39" ca="1" si="15">H187</f>
        <v>0.37817768109034722</v>
      </c>
      <c r="I37" s="108">
        <f t="shared" ca="1" si="15"/>
        <v>0.37817768109034722</v>
      </c>
      <c r="J37" s="108">
        <f t="shared" ca="1" si="15"/>
        <v>0.37817768109034722</v>
      </c>
      <c r="K37" s="108">
        <f t="shared" ca="1" si="15"/>
        <v>0.37817768109034722</v>
      </c>
      <c r="L37" s="130">
        <f ca="1">L187</f>
        <v>0.37817768109034722</v>
      </c>
      <c r="O37" s="88">
        <v>0.378</v>
      </c>
    </row>
    <row r="38" spans="3:15" x14ac:dyDescent="0.3">
      <c r="C38" s="28" t="s">
        <v>28</v>
      </c>
      <c r="D38" s="33">
        <f>-D20/D17</f>
        <v>4.6582482760539605E-2</v>
      </c>
      <c r="E38" s="33">
        <f>-E20/E17</f>
        <v>5.0520428906706681E-2</v>
      </c>
      <c r="F38" s="33">
        <f>-F20/F17</f>
        <v>5.3600406634161032E-2</v>
      </c>
      <c r="G38" s="33">
        <f>-G20/G17</f>
        <v>6.233136285716482E-2</v>
      </c>
      <c r="H38" s="108">
        <f t="shared" ca="1" si="15"/>
        <v>6.233136285716482E-2</v>
      </c>
      <c r="I38" s="108">
        <f t="shared" ca="1" si="15"/>
        <v>6.233136285716482E-2</v>
      </c>
      <c r="J38" s="108">
        <f t="shared" ca="1" si="15"/>
        <v>6.233136285716482E-2</v>
      </c>
      <c r="K38" s="108">
        <f t="shared" ca="1" si="15"/>
        <v>6.233136285716482E-2</v>
      </c>
      <c r="L38" s="108">
        <f t="shared" ca="1" si="15"/>
        <v>6.233136285716482E-2</v>
      </c>
      <c r="O38" s="88">
        <v>6.2E-2</v>
      </c>
    </row>
    <row r="39" spans="3:15" x14ac:dyDescent="0.3">
      <c r="C39" s="28" t="s">
        <v>29</v>
      </c>
      <c r="D39" s="33">
        <f>-D21/D17</f>
        <v>6.5822972653369755E-2</v>
      </c>
      <c r="E39" s="33">
        <f>-E21/E17</f>
        <v>6.6573893924984945E-2</v>
      </c>
      <c r="F39" s="33">
        <f>-F21/F17</f>
        <v>6.2896515371147807E-2</v>
      </c>
      <c r="G39" s="33">
        <f>-G21/G17</f>
        <v>7.0126146348213125E-2</v>
      </c>
      <c r="H39" s="108">
        <f t="shared" ca="1" si="15"/>
        <v>7.0126146348213125E-2</v>
      </c>
      <c r="I39" s="108">
        <f t="shared" ca="1" si="15"/>
        <v>7.0126146348213125E-2</v>
      </c>
      <c r="J39" s="108">
        <f t="shared" ca="1" si="15"/>
        <v>7.0126146348213125E-2</v>
      </c>
      <c r="K39" s="108">
        <f t="shared" ca="1" si="15"/>
        <v>7.0126146348213125E-2</v>
      </c>
      <c r="L39" s="108">
        <f t="shared" ca="1" si="15"/>
        <v>7.0126146348213125E-2</v>
      </c>
      <c r="O39" s="88">
        <v>7.3999999999999996E-2</v>
      </c>
    </row>
    <row r="40" spans="3:15" x14ac:dyDescent="0.3">
      <c r="C40" s="28" t="s">
        <v>30</v>
      </c>
      <c r="D40" s="33">
        <f>-(D27/D26)</f>
        <v>0.25557257381216192</v>
      </c>
      <c r="E40" s="33">
        <f>-(E27/E26)</f>
        <v>0.24556476150353415</v>
      </c>
      <c r="F40" s="33">
        <f>-(F27/F26)</f>
        <v>0.18342180705869443</v>
      </c>
      <c r="G40" s="33">
        <f>-(G27/G26)</f>
        <v>0.15943836804235059</v>
      </c>
      <c r="H40" s="88">
        <f t="shared" ref="H40:L40" si="16">G40</f>
        <v>0.15943836804235059</v>
      </c>
      <c r="I40" s="88">
        <f t="shared" si="16"/>
        <v>0.15943836804235059</v>
      </c>
      <c r="J40" s="88">
        <f t="shared" si="16"/>
        <v>0.15943836804235059</v>
      </c>
      <c r="K40" s="33">
        <f t="shared" si="16"/>
        <v>0.15943836804235059</v>
      </c>
      <c r="L40" s="33">
        <f t="shared" si="16"/>
        <v>0.15943836804235059</v>
      </c>
      <c r="O40" s="88">
        <v>0.16700000000000001</v>
      </c>
    </row>
    <row r="41" spans="3:15" x14ac:dyDescent="0.3">
      <c r="C41" s="28"/>
      <c r="D41" s="28"/>
      <c r="H41" s="31"/>
      <c r="O41" s="31"/>
    </row>
    <row r="42" spans="3:15" x14ac:dyDescent="0.3">
      <c r="C42" s="13" t="s">
        <v>31</v>
      </c>
      <c r="D42" s="13"/>
      <c r="E42" s="34"/>
      <c r="F42" s="34"/>
      <c r="G42" s="34"/>
      <c r="H42" s="14"/>
      <c r="I42" s="14"/>
      <c r="J42" s="14"/>
      <c r="K42" s="14"/>
      <c r="L42" s="14"/>
      <c r="O42" s="14"/>
    </row>
    <row r="43" spans="3:15" x14ac:dyDescent="0.3">
      <c r="C43" s="35" t="str">
        <f>C14</f>
        <v xml:space="preserve">Fiscal year  </v>
      </c>
      <c r="D43" s="35"/>
      <c r="E43" s="36">
        <f t="shared" ref="E43:L44" si="17">E14</f>
        <v>2017</v>
      </c>
      <c r="F43" s="36">
        <f t="shared" si="17"/>
        <v>2018</v>
      </c>
      <c r="G43" s="36">
        <f t="shared" si="17"/>
        <v>2019</v>
      </c>
      <c r="H43" s="37">
        <f t="shared" si="17"/>
        <v>2020</v>
      </c>
      <c r="I43" s="37">
        <f t="shared" si="17"/>
        <v>2021</v>
      </c>
      <c r="J43" s="37">
        <f t="shared" si="17"/>
        <v>2022</v>
      </c>
      <c r="K43" s="37">
        <f t="shared" si="17"/>
        <v>2023</v>
      </c>
      <c r="L43" s="37">
        <f t="shared" si="17"/>
        <v>2024</v>
      </c>
      <c r="O43" s="37">
        <v>2019</v>
      </c>
    </row>
    <row r="44" spans="3:15" x14ac:dyDescent="0.3">
      <c r="C44" s="14" t="str">
        <f>C15</f>
        <v>Fiscal year end date</v>
      </c>
      <c r="D44" s="14"/>
      <c r="E44" s="38">
        <f t="shared" si="17"/>
        <v>43373</v>
      </c>
      <c r="F44" s="38">
        <f t="shared" si="17"/>
        <v>43737</v>
      </c>
      <c r="G44" s="38">
        <f t="shared" si="17"/>
        <v>43737</v>
      </c>
      <c r="H44" s="38">
        <f t="shared" si="17"/>
        <v>44104</v>
      </c>
      <c r="I44" s="38">
        <f t="shared" si="17"/>
        <v>44469</v>
      </c>
      <c r="J44" s="38">
        <f t="shared" si="17"/>
        <v>44834</v>
      </c>
      <c r="K44" s="38">
        <f t="shared" si="17"/>
        <v>45199</v>
      </c>
      <c r="L44" s="38">
        <f t="shared" si="17"/>
        <v>45565</v>
      </c>
      <c r="O44" s="38">
        <v>43738</v>
      </c>
    </row>
    <row r="45" spans="3:15" x14ac:dyDescent="0.3">
      <c r="C45" t="s">
        <v>32</v>
      </c>
      <c r="E45" s="24">
        <f>20289+53892+194714</f>
        <v>268895</v>
      </c>
      <c r="F45" s="24">
        <f>25913+40388+170799</f>
        <v>237100</v>
      </c>
      <c r="G45" s="24">
        <f>48844+51713+105341</f>
        <v>205898</v>
      </c>
      <c r="H45" s="27">
        <f ca="1">H90+G45</f>
        <v>194816.4470681416</v>
      </c>
      <c r="I45" s="27">
        <f ca="1">I90+H45</f>
        <v>181595.25757911173</v>
      </c>
      <c r="J45" s="27">
        <f ca="1">J90+I45</f>
        <v>172170.89895714316</v>
      </c>
      <c r="K45" s="27">
        <f ca="1">K90+J45</f>
        <v>166889.31493633837</v>
      </c>
      <c r="L45" s="27">
        <f ca="1">L90+K45</f>
        <v>166122.78847073892</v>
      </c>
      <c r="O45" s="27">
        <v>201931.62042257056</v>
      </c>
    </row>
    <row r="46" spans="3:15" x14ac:dyDescent="0.3">
      <c r="C46" t="s">
        <v>33</v>
      </c>
      <c r="E46" s="24">
        <v>17874</v>
      </c>
      <c r="F46" s="24">
        <v>23186</v>
      </c>
      <c r="G46" s="24">
        <v>22926</v>
      </c>
      <c r="H46" s="27">
        <f ca="1">G46*(1+H36)</f>
        <v>24301.56</v>
      </c>
      <c r="I46" s="27">
        <f ca="1">H46*(1+I36)</f>
        <v>25978.36764</v>
      </c>
      <c r="J46" s="27">
        <f ca="1">I46*(1+J36)</f>
        <v>27770.875007160001</v>
      </c>
      <c r="K46" s="27">
        <f ca="1">J46*(1+K36)</f>
        <v>29687.06538265404</v>
      </c>
      <c r="L46" s="27">
        <f ca="1">K46*(1+L36)</f>
        <v>31735.472894057166</v>
      </c>
      <c r="O46" s="27">
        <v>22258.559999999998</v>
      </c>
    </row>
    <row r="47" spans="3:15" x14ac:dyDescent="0.3">
      <c r="C47" t="s">
        <v>34</v>
      </c>
      <c r="E47" s="24">
        <v>4855</v>
      </c>
      <c r="F47" s="24">
        <v>3956</v>
      </c>
      <c r="G47" s="24">
        <v>4106</v>
      </c>
      <c r="H47" s="27">
        <f ca="1">G47*H18/G18</f>
        <v>4352.3599999999997</v>
      </c>
      <c r="I47" s="27">
        <f ca="1">H47*I18/H18</f>
        <v>4652.6728400000002</v>
      </c>
      <c r="J47" s="27">
        <f ca="1">I47*J18/I18</f>
        <v>4973.7072659599989</v>
      </c>
      <c r="K47" s="27">
        <f ca="1">J47*K18/J18</f>
        <v>5316.8930673112391</v>
      </c>
      <c r="L47" s="27">
        <f ca="1">K47*L18/K18</f>
        <v>5683.7586889557151</v>
      </c>
      <c r="O47" s="27">
        <v>3831.2507254598299</v>
      </c>
    </row>
    <row r="48" spans="3:15" x14ac:dyDescent="0.3">
      <c r="C48" t="s">
        <v>35</v>
      </c>
      <c r="E48" s="24">
        <f>17799+13936</f>
        <v>31735</v>
      </c>
      <c r="F48" s="24">
        <f>25809+12087</f>
        <v>37896</v>
      </c>
      <c r="G48" s="24">
        <f>12352+22878</f>
        <v>35230</v>
      </c>
      <c r="H48" s="27">
        <f ca="1">G48*(1+H36)</f>
        <v>37343.800000000003</v>
      </c>
      <c r="I48" s="27">
        <f ca="1">H48*(1+I36)</f>
        <v>39920.522199999999</v>
      </c>
      <c r="J48" s="27">
        <f ca="1">I48*(1+J36)</f>
        <v>42675.038231799997</v>
      </c>
      <c r="K48" s="27">
        <f ca="1">J48*(1+K36)</f>
        <v>45619.615869794194</v>
      </c>
      <c r="L48" s="27">
        <f ca="1">K48*(1+L36)</f>
        <v>48767.369364809994</v>
      </c>
      <c r="O48" s="27">
        <v>36380.159999999996</v>
      </c>
    </row>
    <row r="49" spans="3:15" x14ac:dyDescent="0.3">
      <c r="C49" t="s">
        <v>36</v>
      </c>
      <c r="E49" s="24">
        <v>33783</v>
      </c>
      <c r="F49" s="24">
        <v>41304</v>
      </c>
      <c r="G49" s="24">
        <v>37378</v>
      </c>
      <c r="H49" s="27">
        <f>H99</f>
        <v>39667.69873377285</v>
      </c>
      <c r="I49" s="27">
        <f t="shared" ref="I49:L49" si="18">I99</f>
        <v>41825.415569363468</v>
      </c>
      <c r="J49" s="27">
        <f t="shared" ca="1" si="18"/>
        <v>43858.586046609838</v>
      </c>
      <c r="K49" s="27">
        <f t="shared" ca="1" si="18"/>
        <v>45739.74987820621</v>
      </c>
      <c r="L49" s="27">
        <f t="shared" ca="1" si="18"/>
        <v>47438.250222410716</v>
      </c>
      <c r="O49" s="27">
        <v>45308.559828738827</v>
      </c>
    </row>
    <row r="50" spans="3:15" x14ac:dyDescent="0.3">
      <c r="C50" t="s">
        <v>37</v>
      </c>
      <c r="E50" s="24">
        <v>18177</v>
      </c>
      <c r="F50" s="24">
        <v>22283</v>
      </c>
      <c r="G50" s="24">
        <v>32978</v>
      </c>
      <c r="H50" s="27">
        <f ca="1">G50*(1+H36)</f>
        <v>34956.68</v>
      </c>
      <c r="I50" s="27">
        <f ca="1">H50*(1+I36)</f>
        <v>37368.690920000001</v>
      </c>
      <c r="J50" s="27">
        <f ca="1">I50*(1+J36)</f>
        <v>39947.130593479997</v>
      </c>
      <c r="K50" s="27">
        <f ca="1">J50*(1+K36)</f>
        <v>42703.482604430115</v>
      </c>
      <c r="L50" s="27">
        <f ca="1">K50*(1+L36)</f>
        <v>45650.022904135789</v>
      </c>
      <c r="O50" s="27">
        <v>21391.68</v>
      </c>
    </row>
    <row r="51" spans="3:15" x14ac:dyDescent="0.3">
      <c r="C51" s="30" t="s">
        <v>38</v>
      </c>
      <c r="D51" s="30"/>
      <c r="E51" s="26">
        <f t="shared" ref="E51:F51" si="19">SUM(E45:E50)</f>
        <v>375319</v>
      </c>
      <c r="F51" s="26">
        <f t="shared" si="19"/>
        <v>365725</v>
      </c>
      <c r="G51" s="26">
        <f>SUM(G45:G50)</f>
        <v>338516</v>
      </c>
      <c r="H51" s="39">
        <f t="shared" ref="H51:L51" ca="1" si="20">SUM(H45:H50)</f>
        <v>335438.54580191441</v>
      </c>
      <c r="I51" s="39">
        <f t="shared" ca="1" si="20"/>
        <v>331340.92674847523</v>
      </c>
      <c r="J51" s="39">
        <f t="shared" ca="1" si="20"/>
        <v>331396.23610215302</v>
      </c>
      <c r="K51" s="39">
        <f t="shared" ca="1" si="20"/>
        <v>335956.12173873419</v>
      </c>
      <c r="L51" s="39">
        <f t="shared" ca="1" si="20"/>
        <v>345397.66254510829</v>
      </c>
      <c r="O51" s="39">
        <v>331101.83097676915</v>
      </c>
    </row>
    <row r="52" spans="3:15" x14ac:dyDescent="0.3">
      <c r="C52" s="29"/>
      <c r="D52" s="29"/>
      <c r="E52" s="27"/>
      <c r="F52" s="27"/>
      <c r="G52" s="27"/>
      <c r="H52" s="27"/>
      <c r="I52" s="27"/>
      <c r="J52" s="27"/>
      <c r="K52" s="27"/>
      <c r="L52" s="27"/>
      <c r="O52" s="27"/>
    </row>
    <row r="53" spans="3:15" x14ac:dyDescent="0.3">
      <c r="C53" s="29" t="s">
        <v>39</v>
      </c>
      <c r="D53" s="29"/>
      <c r="E53" s="24">
        <v>44242</v>
      </c>
      <c r="F53" s="24">
        <v>55888</v>
      </c>
      <c r="G53" s="24">
        <v>46236</v>
      </c>
      <c r="H53" s="27">
        <f ca="1">G53*H18/G18</f>
        <v>49010.159999999996</v>
      </c>
      <c r="I53" s="27">
        <f t="shared" ref="I53:L53" ca="1" si="21">H53*I18/H18</f>
        <v>52391.861040000003</v>
      </c>
      <c r="J53" s="27">
        <f t="shared" ca="1" si="21"/>
        <v>56006.899451759993</v>
      </c>
      <c r="K53" s="27">
        <f t="shared" ca="1" si="21"/>
        <v>59871.375513931438</v>
      </c>
      <c r="L53" s="27">
        <f t="shared" ca="1" si="21"/>
        <v>64002.500424392711</v>
      </c>
      <c r="O53" s="27">
        <v>54125.616922269706</v>
      </c>
    </row>
    <row r="54" spans="3:15" x14ac:dyDescent="0.3">
      <c r="C54" s="29" t="s">
        <v>40</v>
      </c>
      <c r="D54" s="29"/>
      <c r="E54" s="24">
        <v>30551</v>
      </c>
      <c r="F54" s="24">
        <v>33327</v>
      </c>
      <c r="G54" s="24">
        <v>37720</v>
      </c>
      <c r="H54" s="27">
        <f ca="1">G54*(1+H36)</f>
        <v>39983.200000000004</v>
      </c>
      <c r="I54" s="27">
        <f t="shared" ref="I54:L54" ca="1" si="22">H54*(1+I36)</f>
        <v>42742.040800000002</v>
      </c>
      <c r="J54" s="27">
        <f t="shared" ca="1" si="22"/>
        <v>45691.241615200001</v>
      </c>
      <c r="K54" s="27">
        <f t="shared" ca="1" si="22"/>
        <v>48843.937286648797</v>
      </c>
      <c r="L54" s="27">
        <f t="shared" ca="1" si="22"/>
        <v>52214.168959427559</v>
      </c>
      <c r="O54" s="27">
        <v>31379.52</v>
      </c>
    </row>
    <row r="55" spans="3:15" x14ac:dyDescent="0.3">
      <c r="C55" s="29" t="s">
        <v>41</v>
      </c>
      <c r="D55" s="29"/>
      <c r="E55" s="24">
        <f>7548+2836</f>
        <v>10384</v>
      </c>
      <c r="F55" s="24">
        <v>5966</v>
      </c>
      <c r="G55" s="24">
        <v>5522</v>
      </c>
      <c r="H55" s="27">
        <f ca="1">G55*(1+H36)</f>
        <v>5853.3200000000006</v>
      </c>
      <c r="I55" s="27">
        <f t="shared" ref="I55:L55" ca="1" si="23">H55*(1+I36)</f>
        <v>6257.1990800000003</v>
      </c>
      <c r="J55" s="27">
        <f t="shared" ca="1" si="23"/>
        <v>6688.9458165200003</v>
      </c>
      <c r="K55" s="27">
        <f t="shared" ca="1" si="23"/>
        <v>7150.4830778598798</v>
      </c>
      <c r="L55" s="27">
        <f t="shared" ca="1" si="23"/>
        <v>7643.8664102322109</v>
      </c>
      <c r="O55" s="27">
        <v>9926.4</v>
      </c>
    </row>
    <row r="56" spans="3:15" x14ac:dyDescent="0.3">
      <c r="C56" s="29" t="s">
        <v>42</v>
      </c>
      <c r="D56" s="29"/>
      <c r="E56" s="24">
        <v>11977</v>
      </c>
      <c r="F56" s="24">
        <v>11964</v>
      </c>
      <c r="G56" s="24">
        <v>5980</v>
      </c>
      <c r="H56" s="27">
        <f ca="1">H135</f>
        <v>12000</v>
      </c>
      <c r="I56" s="27">
        <f ca="1">I135</f>
        <v>12000</v>
      </c>
      <c r="J56" s="27">
        <f ca="1">J135</f>
        <v>12000</v>
      </c>
      <c r="K56" s="27">
        <f ca="1">K135</f>
        <v>12000</v>
      </c>
      <c r="L56" s="27">
        <f ca="1">L135</f>
        <v>12000</v>
      </c>
      <c r="O56" s="27">
        <v>12000</v>
      </c>
    </row>
    <row r="57" spans="3:15" x14ac:dyDescent="0.3">
      <c r="C57" s="29" t="s">
        <v>43</v>
      </c>
      <c r="D57" s="29"/>
      <c r="E57" s="24">
        <f>6496+97207</f>
        <v>103703</v>
      </c>
      <c r="F57" s="24">
        <f>8784+93735</f>
        <v>102519</v>
      </c>
      <c r="G57" s="24">
        <f>10260+91807</f>
        <v>102067</v>
      </c>
      <c r="H57" s="27">
        <f>G57</f>
        <v>102067</v>
      </c>
      <c r="I57" s="27">
        <f t="shared" ref="I57:L57" si="24">H57</f>
        <v>102067</v>
      </c>
      <c r="J57" s="27">
        <f t="shared" si="24"/>
        <v>102067</v>
      </c>
      <c r="K57" s="27">
        <f t="shared" si="24"/>
        <v>102067</v>
      </c>
      <c r="L57" s="27">
        <f t="shared" si="24"/>
        <v>102067</v>
      </c>
      <c r="O57" s="27">
        <v>102519</v>
      </c>
    </row>
    <row r="58" spans="3:15" x14ac:dyDescent="0.3">
      <c r="C58" s="29" t="s">
        <v>44</v>
      </c>
      <c r="D58" s="29"/>
      <c r="E58" s="24">
        <v>40415</v>
      </c>
      <c r="F58" s="24">
        <v>48914</v>
      </c>
      <c r="G58" s="24">
        <v>50503</v>
      </c>
      <c r="H58" s="27">
        <f ca="1">G58*(1+H36)</f>
        <v>53533.18</v>
      </c>
      <c r="I58" s="27">
        <f t="shared" ref="I58:L58" ca="1" si="25">H58*(1+I36)</f>
        <v>57226.969420000001</v>
      </c>
      <c r="J58" s="27">
        <f t="shared" ca="1" si="25"/>
        <v>61175.630309979999</v>
      </c>
      <c r="K58" s="27">
        <f t="shared" ca="1" si="25"/>
        <v>65396.748801368616</v>
      </c>
      <c r="L58" s="27">
        <f t="shared" ca="1" si="25"/>
        <v>69909.124468663053</v>
      </c>
      <c r="O58" s="27">
        <v>43372.799999999996</v>
      </c>
    </row>
    <row r="59" spans="3:15" x14ac:dyDescent="0.3">
      <c r="C59" s="30" t="s">
        <v>45</v>
      </c>
      <c r="D59" s="30"/>
      <c r="E59" s="26">
        <f t="shared" ref="E59:F59" si="26">SUM(E53:E58)</f>
        <v>241272</v>
      </c>
      <c r="F59" s="26">
        <f t="shared" si="26"/>
        <v>258578</v>
      </c>
      <c r="G59" s="26">
        <f t="shared" ref="G59:L59" si="27">SUM(G53:G58)</f>
        <v>248028</v>
      </c>
      <c r="H59" s="39">
        <f t="shared" ca="1" si="27"/>
        <v>262446.86</v>
      </c>
      <c r="I59" s="39">
        <f t="shared" ca="1" si="27"/>
        <v>272685.07033999998</v>
      </c>
      <c r="J59" s="39">
        <f t="shared" ca="1" si="27"/>
        <v>283629.71719346003</v>
      </c>
      <c r="K59" s="39">
        <f t="shared" ca="1" si="27"/>
        <v>295329.54467980872</v>
      </c>
      <c r="L59" s="39">
        <f t="shared" ca="1" si="27"/>
        <v>307836.66026271554</v>
      </c>
      <c r="O59" s="39">
        <v>253323.33692226969</v>
      </c>
    </row>
    <row r="60" spans="3:15" x14ac:dyDescent="0.3">
      <c r="C60" s="30"/>
      <c r="D60" s="30"/>
      <c r="E60" s="26"/>
      <c r="F60" s="26"/>
      <c r="G60" s="26"/>
      <c r="H60" s="27"/>
      <c r="I60" s="27"/>
      <c r="J60" s="27"/>
      <c r="K60" s="27"/>
      <c r="L60" s="27"/>
      <c r="O60" s="27"/>
    </row>
    <row r="61" spans="3:15" x14ac:dyDescent="0.3">
      <c r="C61" s="29" t="s">
        <v>46</v>
      </c>
      <c r="D61" s="29"/>
      <c r="E61" s="24">
        <v>35867</v>
      </c>
      <c r="F61" s="24">
        <v>40201</v>
      </c>
      <c r="G61" s="24">
        <v>45174</v>
      </c>
      <c r="H61" s="27">
        <f ca="1">G61+H32</f>
        <v>51606.080000000002</v>
      </c>
      <c r="I61" s="27">
        <f t="shared" ref="I61:L61" ca="1" si="28">H61+I32</f>
        <v>58481.97352</v>
      </c>
      <c r="J61" s="27">
        <f t="shared" ca="1" si="28"/>
        <v>65832.303692879999</v>
      </c>
      <c r="K61" s="27">
        <f t="shared" ca="1" si="28"/>
        <v>73689.806647688718</v>
      </c>
      <c r="L61" s="27">
        <f t="shared" ca="1" si="28"/>
        <v>82089.477306379238</v>
      </c>
      <c r="O61" s="27">
        <v>45327.4</v>
      </c>
    </row>
    <row r="62" spans="3:15" x14ac:dyDescent="0.3">
      <c r="C62" s="29" t="s">
        <v>47</v>
      </c>
      <c r="D62" s="29"/>
      <c r="E62" s="24">
        <v>98330</v>
      </c>
      <c r="F62" s="24">
        <v>70400</v>
      </c>
      <c r="G62" s="24">
        <v>45898</v>
      </c>
      <c r="H62" s="27">
        <f ca="1">H119</f>
        <v>21969.605801914455</v>
      </c>
      <c r="I62" s="27">
        <f t="shared" ref="I62:L62" ca="1" si="29">I119</f>
        <v>757.88288847521471</v>
      </c>
      <c r="J62" s="27">
        <f t="shared" ca="1" si="29"/>
        <v>-17481.784784186988</v>
      </c>
      <c r="K62" s="27">
        <f t="shared" ca="1" si="29"/>
        <v>-32479.229588763264</v>
      </c>
      <c r="L62" s="27">
        <f t="shared" ca="1" si="29"/>
        <v>-43944.475023986422</v>
      </c>
      <c r="O62" s="27">
        <v>35905.094054499525</v>
      </c>
    </row>
    <row r="63" spans="3:15" x14ac:dyDescent="0.3">
      <c r="C63" s="29" t="s">
        <v>48</v>
      </c>
      <c r="D63" s="29"/>
      <c r="E63" s="24">
        <v>-150</v>
      </c>
      <c r="F63" s="24">
        <v>-3454</v>
      </c>
      <c r="G63" s="24">
        <v>-584</v>
      </c>
      <c r="H63" s="27">
        <f>G63</f>
        <v>-584</v>
      </c>
      <c r="I63" s="27">
        <f>H63</f>
        <v>-584</v>
      </c>
      <c r="J63" s="27">
        <f>I63</f>
        <v>-584</v>
      </c>
      <c r="K63" s="27">
        <f>J63</f>
        <v>-584</v>
      </c>
      <c r="L63" s="27">
        <f>K63</f>
        <v>-584</v>
      </c>
      <c r="O63" s="27">
        <v>-3454</v>
      </c>
    </row>
    <row r="64" spans="3:15" x14ac:dyDescent="0.3">
      <c r="C64" s="30" t="s">
        <v>49</v>
      </c>
      <c r="D64" s="30"/>
      <c r="E64" s="39">
        <f t="shared" ref="E64:L64" si="30">SUM(E61:E63)</f>
        <v>134047</v>
      </c>
      <c r="F64" s="39">
        <f t="shared" si="30"/>
        <v>107147</v>
      </c>
      <c r="G64" s="39">
        <f t="shared" si="30"/>
        <v>90488</v>
      </c>
      <c r="H64" s="39">
        <f t="shared" ca="1" si="30"/>
        <v>72991.685801914457</v>
      </c>
      <c r="I64" s="39">
        <f t="shared" ca="1" si="30"/>
        <v>58655.856408475214</v>
      </c>
      <c r="J64" s="39">
        <f t="shared" ca="1" si="30"/>
        <v>47766.518908693011</v>
      </c>
      <c r="K64" s="39">
        <f t="shared" ca="1" si="30"/>
        <v>40626.577058925453</v>
      </c>
      <c r="L64" s="39">
        <f t="shared" ca="1" si="30"/>
        <v>37561.002282392816</v>
      </c>
      <c r="O64" s="39">
        <v>77778.494054499519</v>
      </c>
    </row>
    <row r="65" spans="3:15" x14ac:dyDescent="0.3">
      <c r="E65" s="27"/>
      <c r="F65" s="27"/>
      <c r="G65" s="27"/>
    </row>
    <row r="66" spans="3:15" x14ac:dyDescent="0.3">
      <c r="C66" s="19" t="s">
        <v>50</v>
      </c>
      <c r="D66" s="19"/>
      <c r="E66" s="40">
        <f>ROUND(E51-E59-E64,3)</f>
        <v>0</v>
      </c>
      <c r="F66" s="40">
        <f t="shared" ref="F66:L66" si="31">ROUND(F51-F59-F64,3)</f>
        <v>0</v>
      </c>
      <c r="G66" s="40">
        <f t="shared" si="31"/>
        <v>0</v>
      </c>
      <c r="H66" s="40">
        <f t="shared" ca="1" si="31"/>
        <v>0</v>
      </c>
      <c r="I66" s="40">
        <f t="shared" ca="1" si="31"/>
        <v>0</v>
      </c>
      <c r="J66" s="40">
        <f t="shared" ca="1" si="31"/>
        <v>0</v>
      </c>
      <c r="K66" s="40">
        <f t="shared" ca="1" si="31"/>
        <v>0</v>
      </c>
      <c r="L66" s="40">
        <f t="shared" ca="1" si="31"/>
        <v>0</v>
      </c>
      <c r="O66" s="40"/>
    </row>
    <row r="67" spans="3:15" x14ac:dyDescent="0.3">
      <c r="F67" s="27"/>
      <c r="G67" s="27"/>
      <c r="I67" s="27"/>
      <c r="J67" s="27"/>
      <c r="K67" s="27"/>
      <c r="L67" s="27"/>
    </row>
    <row r="68" spans="3:15" x14ac:dyDescent="0.3">
      <c r="C68" s="13" t="s">
        <v>51</v>
      </c>
      <c r="D68" s="13"/>
      <c r="E68" s="34"/>
      <c r="F68" s="34"/>
      <c r="G68" s="34"/>
      <c r="H68" s="34"/>
      <c r="I68" s="34"/>
      <c r="J68" s="34"/>
      <c r="K68" s="34"/>
      <c r="L68" s="34"/>
      <c r="O68" s="21"/>
    </row>
    <row r="69" spans="3:15" x14ac:dyDescent="0.3">
      <c r="C69" s="35" t="str">
        <f>C14</f>
        <v xml:space="preserve">Fiscal year  </v>
      </c>
      <c r="D69" s="35"/>
      <c r="E69" s="36"/>
      <c r="F69" s="36"/>
      <c r="G69" s="36"/>
      <c r="H69" s="37">
        <f t="shared" ref="H69:L70" si="32">H14</f>
        <v>2020</v>
      </c>
      <c r="I69" s="37">
        <f t="shared" si="32"/>
        <v>2021</v>
      </c>
      <c r="J69" s="37">
        <f t="shared" si="32"/>
        <v>2022</v>
      </c>
      <c r="K69" s="37">
        <f t="shared" si="32"/>
        <v>2023</v>
      </c>
      <c r="L69" s="37">
        <f t="shared" si="32"/>
        <v>2024</v>
      </c>
    </row>
    <row r="70" spans="3:15" x14ac:dyDescent="0.3">
      <c r="C70" s="14" t="str">
        <f>C15</f>
        <v>Fiscal year end date</v>
      </c>
      <c r="D70" s="14"/>
      <c r="E70" s="38"/>
      <c r="F70" s="38"/>
      <c r="G70" s="38"/>
      <c r="H70" s="38">
        <f t="shared" si="32"/>
        <v>44104</v>
      </c>
      <c r="I70" s="38">
        <f t="shared" si="32"/>
        <v>44469</v>
      </c>
      <c r="J70" s="38">
        <f t="shared" si="32"/>
        <v>44834</v>
      </c>
      <c r="K70" s="38">
        <f t="shared" si="32"/>
        <v>45199</v>
      </c>
      <c r="L70" s="38">
        <f t="shared" si="32"/>
        <v>45565</v>
      </c>
    </row>
    <row r="72" spans="3:15" x14ac:dyDescent="0.3">
      <c r="C72" t="s">
        <v>20</v>
      </c>
      <c r="E72" s="41"/>
      <c r="F72" s="41"/>
      <c r="G72" s="41"/>
      <c r="H72" s="27">
        <f ca="1">H28</f>
        <v>58004.36467990822</v>
      </c>
      <c r="I72" s="27">
        <f t="shared" ref="I72:L72" ca="1" si="33">I28</f>
        <v>61654.336438227969</v>
      </c>
      <c r="J72" s="27">
        <f t="shared" ca="1" si="33"/>
        <v>65647.428187793354</v>
      </c>
      <c r="K72" s="27">
        <f t="shared" ca="1" si="33"/>
        <v>70003.502465006764</v>
      </c>
      <c r="L72" s="27">
        <f t="shared" ca="1" si="33"/>
        <v>74749.173395368227</v>
      </c>
    </row>
    <row r="73" spans="3:15" x14ac:dyDescent="0.3">
      <c r="C73" t="s">
        <v>52</v>
      </c>
      <c r="E73" s="41"/>
      <c r="F73" s="41"/>
      <c r="G73" s="41"/>
      <c r="H73" s="27">
        <f ca="1">H30</f>
        <v>11165.121266227146</v>
      </c>
      <c r="I73" s="27">
        <f t="shared" ref="I73:L73" ca="1" si="34">I30</f>
        <v>12044.308744409378</v>
      </c>
      <c r="J73" s="27">
        <f t="shared" ca="1" si="34"/>
        <v>13148.794867773624</v>
      </c>
      <c r="K73" s="27">
        <f t="shared" ca="1" si="34"/>
        <v>14348.357122230005</v>
      </c>
      <c r="L73" s="27">
        <f t="shared" ca="1" si="34"/>
        <v>15650.857555435894</v>
      </c>
    </row>
    <row r="74" spans="3:15" x14ac:dyDescent="0.3">
      <c r="C74" t="s">
        <v>23</v>
      </c>
      <c r="E74" s="41"/>
      <c r="F74" s="41"/>
      <c r="G74" s="41"/>
      <c r="H74" s="27">
        <f ca="1">H32</f>
        <v>6432.08</v>
      </c>
      <c r="I74" s="27">
        <f t="shared" ref="I74:L74" ca="1" si="35">I32</f>
        <v>6875.8935199999996</v>
      </c>
      <c r="J74" s="27">
        <f t="shared" ca="1" si="35"/>
        <v>7350.3301728799988</v>
      </c>
      <c r="K74" s="27">
        <f t="shared" ca="1" si="35"/>
        <v>7857.5029548087186</v>
      </c>
      <c r="L74" s="27">
        <f t="shared" ca="1" si="35"/>
        <v>8399.6706586905202</v>
      </c>
    </row>
    <row r="75" spans="3:15" x14ac:dyDescent="0.3">
      <c r="C75" t="s">
        <v>53</v>
      </c>
      <c r="E75" s="27"/>
      <c r="F75" s="27"/>
      <c r="G75" s="27"/>
      <c r="H75" s="27">
        <f ca="1">SUM(G46:G48)-SUM(H46:H48)</f>
        <v>-3735.7200000000012</v>
      </c>
      <c r="I75" s="27">
        <f t="shared" ref="I75:L75" ca="1" si="36">SUM(H46:H48)-SUM(I46:I48)</f>
        <v>-4553.8426800000016</v>
      </c>
      <c r="J75" s="27">
        <f t="shared" ca="1" si="36"/>
        <v>-4868.0578249199898</v>
      </c>
      <c r="K75" s="27">
        <f t="shared" ca="1" si="36"/>
        <v>-5203.9538148394786</v>
      </c>
      <c r="L75" s="27">
        <f t="shared" ca="1" si="36"/>
        <v>-5563.0266280634096</v>
      </c>
    </row>
    <row r="76" spans="3:15" x14ac:dyDescent="0.3">
      <c r="C76" t="s">
        <v>54</v>
      </c>
      <c r="E76" s="27"/>
      <c r="F76" s="27"/>
      <c r="G76" s="27"/>
      <c r="H76" s="27">
        <f ca="1">SUM(H53:H55)-SUM(G53:G55)</f>
        <v>5368.6800000000076</v>
      </c>
      <c r="I76" s="27">
        <f ca="1">SUM(I53:I55)-SUM(H53:H55)</f>
        <v>6544.4209200000041</v>
      </c>
      <c r="J76" s="27">
        <f ca="1">SUM(J53:J55)-SUM(I53:I55)</f>
        <v>6995.9859634799941</v>
      </c>
      <c r="K76" s="27">
        <f ca="1">SUM(K53:K55)-SUM(J53:J55)</f>
        <v>7478.7089949601068</v>
      </c>
      <c r="L76" s="27">
        <f ca="1">SUM(L53:L55)-SUM(K53:K55)</f>
        <v>7994.7399156123574</v>
      </c>
    </row>
    <row r="77" spans="3:15" x14ac:dyDescent="0.3">
      <c r="C77" t="s">
        <v>37</v>
      </c>
      <c r="H77" s="27">
        <f ca="1">-H111</f>
        <v>-3300.5</v>
      </c>
      <c r="I77" s="27">
        <f t="shared" ref="I77:L77" ca="1" si="37">-I111</f>
        <v>-3825.036500000002</v>
      </c>
      <c r="J77" s="27">
        <f t="shared" ca="1" si="37"/>
        <v>-4088.9640184999953</v>
      </c>
      <c r="K77" s="27">
        <f t="shared" ca="1" si="37"/>
        <v>-4371.1025357764956</v>
      </c>
      <c r="L77" s="27">
        <f t="shared" ca="1" si="37"/>
        <v>-4672.7086107450741</v>
      </c>
    </row>
    <row r="78" spans="3:15" x14ac:dyDescent="0.3">
      <c r="C78" t="s">
        <v>44</v>
      </c>
      <c r="H78" s="27">
        <f ca="1">H58-G58</f>
        <v>3030.1800000000003</v>
      </c>
      <c r="I78" s="27">
        <f t="shared" ref="I78:L78" ca="1" si="38">I58-H58</f>
        <v>3693.789420000001</v>
      </c>
      <c r="J78" s="27">
        <f t="shared" ca="1" si="38"/>
        <v>3948.6608899799976</v>
      </c>
      <c r="K78" s="27">
        <f t="shared" ca="1" si="38"/>
        <v>4221.1184913886173</v>
      </c>
      <c r="L78" s="27">
        <f t="shared" ca="1" si="38"/>
        <v>4512.3756672944364</v>
      </c>
    </row>
    <row r="79" spans="3:15" x14ac:dyDescent="0.3">
      <c r="C79" s="12" t="s">
        <v>55</v>
      </c>
      <c r="D79" s="12"/>
      <c r="H79" s="39">
        <f ca="1">SUM(H72:H78)</f>
        <v>76964.205946135364</v>
      </c>
      <c r="I79" s="39">
        <f ca="1">SUM(I72:I78)</f>
        <v>82433.869862637352</v>
      </c>
      <c r="J79" s="39">
        <f ca="1">SUM(J72:J78)</f>
        <v>88134.178238486988</v>
      </c>
      <c r="K79" s="39">
        <f ca="1">SUM(K72:K78)</f>
        <v>94334.133677778242</v>
      </c>
      <c r="L79" s="39">
        <f ca="1">SUM(L72:L78)</f>
        <v>101071.08195359295</v>
      </c>
    </row>
    <row r="80" spans="3:15" x14ac:dyDescent="0.3">
      <c r="H80" s="27"/>
      <c r="I80" s="27"/>
      <c r="J80" s="27"/>
      <c r="K80" s="27"/>
      <c r="L80" s="27"/>
    </row>
    <row r="81" spans="3:15" x14ac:dyDescent="0.3">
      <c r="C81" t="s">
        <v>56</v>
      </c>
      <c r="H81" s="27">
        <f>-(H97)</f>
        <v>-12133</v>
      </c>
      <c r="I81" s="27">
        <f t="shared" ref="I81:L81" si="39">-(I97)</f>
        <v>-12789</v>
      </c>
      <c r="J81" s="27">
        <f t="shared" ca="1" si="39"/>
        <v>-13671.440999999999</v>
      </c>
      <c r="K81" s="27">
        <f t="shared" ca="1" si="39"/>
        <v>-14614.770428999998</v>
      </c>
      <c r="L81" s="27">
        <f t="shared" ca="1" si="39"/>
        <v>-15623.189588600997</v>
      </c>
    </row>
    <row r="82" spans="3:15" x14ac:dyDescent="0.3">
      <c r="C82" s="12" t="s">
        <v>57</v>
      </c>
      <c r="D82" s="12"/>
      <c r="H82" s="39">
        <f>IFERROR(H81,"NA")</f>
        <v>-12133</v>
      </c>
      <c r="I82" s="39">
        <f>IFERROR(I81,"NA")</f>
        <v>-12789</v>
      </c>
      <c r="J82" s="39">
        <f ca="1">IFERROR(J81,"NA")</f>
        <v>-13671.440999999999</v>
      </c>
      <c r="K82" s="39">
        <f ca="1">IFERROR(K81,"NA")</f>
        <v>-14614.770428999998</v>
      </c>
      <c r="L82" s="39">
        <f ca="1">IFERROR(L81,"NA")</f>
        <v>-15623.189588600997</v>
      </c>
    </row>
    <row r="83" spans="3:15" x14ac:dyDescent="0.3">
      <c r="H83" s="27"/>
      <c r="I83" s="27"/>
      <c r="J83" s="27"/>
      <c r="K83" s="27"/>
      <c r="L83" s="27"/>
    </row>
    <row r="84" spans="3:15" x14ac:dyDescent="0.3">
      <c r="C84" t="s">
        <v>58</v>
      </c>
      <c r="H84" s="27">
        <f>H57-G57</f>
        <v>0</v>
      </c>
      <c r="I84" s="27">
        <f t="shared" ref="I84:L84" si="40">I57-H57</f>
        <v>0</v>
      </c>
      <c r="J84" s="27">
        <f t="shared" si="40"/>
        <v>0</v>
      </c>
      <c r="K84" s="27">
        <f t="shared" si="40"/>
        <v>0</v>
      </c>
      <c r="L84" s="27">
        <f t="shared" si="40"/>
        <v>0</v>
      </c>
    </row>
    <row r="85" spans="3:15" x14ac:dyDescent="0.3">
      <c r="C85" t="s">
        <v>134</v>
      </c>
      <c r="H85" s="27">
        <f ca="1">H56-G56</f>
        <v>6020</v>
      </c>
      <c r="I85" s="27">
        <f t="shared" ref="I85:L85" ca="1" si="41">I56-H56</f>
        <v>0</v>
      </c>
      <c r="J85" s="27">
        <f t="shared" ca="1" si="41"/>
        <v>0</v>
      </c>
      <c r="K85" s="27">
        <f t="shared" ca="1" si="41"/>
        <v>0</v>
      </c>
      <c r="L85" s="27">
        <f t="shared" ca="1" si="41"/>
        <v>0</v>
      </c>
    </row>
    <row r="86" spans="3:15" x14ac:dyDescent="0.3">
      <c r="C86" t="s">
        <v>60</v>
      </c>
      <c r="H86" s="27">
        <f>H118</f>
        <v>-67101</v>
      </c>
      <c r="I86" s="27">
        <f t="shared" ref="I86:L86" si="42">I118</f>
        <v>-67101</v>
      </c>
      <c r="J86" s="27">
        <f t="shared" si="42"/>
        <v>-67101</v>
      </c>
      <c r="K86" s="27">
        <f t="shared" si="42"/>
        <v>-67101</v>
      </c>
      <c r="L86" s="27">
        <f t="shared" si="42"/>
        <v>-67101</v>
      </c>
    </row>
    <row r="87" spans="3:15" x14ac:dyDescent="0.3">
      <c r="C87" t="s">
        <v>61</v>
      </c>
      <c r="H87" s="27">
        <f ca="1">H117</f>
        <v>-14831.75887799376</v>
      </c>
      <c r="I87" s="27">
        <f t="shared" ref="I87:L87" ca="1" si="43">I117</f>
        <v>-15765.059351667203</v>
      </c>
      <c r="J87" s="27">
        <f t="shared" ca="1" si="43"/>
        <v>-16786.095860455556</v>
      </c>
      <c r="K87" s="27">
        <f t="shared" ca="1" si="43"/>
        <v>-17899.947269583037</v>
      </c>
      <c r="L87" s="27">
        <f t="shared" ca="1" si="43"/>
        <v>-19113.418830591385</v>
      </c>
    </row>
    <row r="88" spans="3:15" x14ac:dyDescent="0.3">
      <c r="C88" s="12" t="s">
        <v>62</v>
      </c>
      <c r="D88" s="12"/>
      <c r="H88" s="39">
        <f ca="1">SUM(H84:H87)</f>
        <v>-75912.758877993765</v>
      </c>
      <c r="I88" s="39">
        <f t="shared" ref="I88:L88" ca="1" si="44">SUM(I84:I87)</f>
        <v>-82866.059351667209</v>
      </c>
      <c r="J88" s="39">
        <f t="shared" ca="1" si="44"/>
        <v>-83887.095860455564</v>
      </c>
      <c r="K88" s="39">
        <f t="shared" ca="1" si="44"/>
        <v>-85000.947269583034</v>
      </c>
      <c r="L88" s="39">
        <f t="shared" ca="1" si="44"/>
        <v>-86214.418830591385</v>
      </c>
    </row>
    <row r="89" spans="3:15" x14ac:dyDescent="0.3">
      <c r="H89" s="27"/>
      <c r="I89" s="27"/>
      <c r="J89" s="27"/>
      <c r="K89" s="27"/>
      <c r="L89" s="27"/>
    </row>
    <row r="90" spans="3:15" x14ac:dyDescent="0.3">
      <c r="C90" s="12" t="s">
        <v>63</v>
      </c>
      <c r="D90" s="12"/>
      <c r="H90" s="39">
        <f ca="1">H79+H82+H88</f>
        <v>-11081.552931858401</v>
      </c>
      <c r="I90" s="39">
        <f ca="1">I79+I82+I88</f>
        <v>-13221.189489029857</v>
      </c>
      <c r="J90" s="39">
        <f ca="1">J79+J82+J88</f>
        <v>-9424.3586219685676</v>
      </c>
      <c r="K90" s="39">
        <f ca="1">K79+K82+K88</f>
        <v>-5281.5840208047885</v>
      </c>
      <c r="L90" s="39">
        <f ca="1">L79+L82+L88</f>
        <v>-766.52646559943969</v>
      </c>
    </row>
    <row r="92" spans="3:15" x14ac:dyDescent="0.3">
      <c r="C92" s="13" t="s">
        <v>64</v>
      </c>
      <c r="D92" s="13"/>
      <c r="E92" s="14"/>
      <c r="F92" s="14"/>
      <c r="G92" s="14"/>
      <c r="H92" s="14"/>
      <c r="I92" s="14"/>
      <c r="J92" s="14"/>
      <c r="K92" s="14"/>
      <c r="L92" s="14"/>
      <c r="O92" s="14"/>
    </row>
    <row r="93" spans="3:15" x14ac:dyDescent="0.3">
      <c r="C93" s="35" t="str">
        <f t="shared" ref="C93:L94" si="45">C14</f>
        <v xml:space="preserve">Fiscal year  </v>
      </c>
      <c r="D93" s="35"/>
      <c r="E93" s="36">
        <f t="shared" si="45"/>
        <v>2017</v>
      </c>
      <c r="F93" s="36">
        <f t="shared" si="45"/>
        <v>2018</v>
      </c>
      <c r="G93" s="36">
        <f t="shared" si="45"/>
        <v>2019</v>
      </c>
      <c r="H93" s="37">
        <f t="shared" si="45"/>
        <v>2020</v>
      </c>
      <c r="I93" s="37">
        <f t="shared" si="45"/>
        <v>2021</v>
      </c>
      <c r="J93" s="37">
        <f t="shared" si="45"/>
        <v>2022</v>
      </c>
      <c r="K93" s="37">
        <f t="shared" si="45"/>
        <v>2023</v>
      </c>
      <c r="L93" s="37">
        <f t="shared" si="45"/>
        <v>2024</v>
      </c>
      <c r="O93" s="37">
        <v>2019</v>
      </c>
    </row>
    <row r="94" spans="3:15" x14ac:dyDescent="0.3">
      <c r="C94" s="14" t="str">
        <f t="shared" si="45"/>
        <v>Fiscal year end date</v>
      </c>
      <c r="D94" s="14"/>
      <c r="E94" s="38">
        <f t="shared" si="45"/>
        <v>43373</v>
      </c>
      <c r="F94" s="38">
        <f t="shared" si="45"/>
        <v>43737</v>
      </c>
      <c r="G94" s="38">
        <f t="shared" si="45"/>
        <v>43737</v>
      </c>
      <c r="H94" s="38">
        <f t="shared" si="45"/>
        <v>44104</v>
      </c>
      <c r="I94" s="38">
        <f t="shared" si="45"/>
        <v>44469</v>
      </c>
      <c r="J94" s="38">
        <f t="shared" si="45"/>
        <v>44834</v>
      </c>
      <c r="K94" s="38">
        <f t="shared" si="45"/>
        <v>45199</v>
      </c>
      <c r="L94" s="38">
        <f t="shared" si="45"/>
        <v>45565</v>
      </c>
      <c r="O94" s="38">
        <v>43738</v>
      </c>
    </row>
    <row r="95" spans="3:15" x14ac:dyDescent="0.3">
      <c r="C95" s="12"/>
      <c r="D95" s="12"/>
      <c r="H95" s="42" t="s">
        <v>65</v>
      </c>
      <c r="I95" s="42"/>
      <c r="J95" s="42"/>
      <c r="K95" s="42"/>
      <c r="L95" s="42"/>
      <c r="O95" s="42"/>
    </row>
    <row r="96" spans="3:15" x14ac:dyDescent="0.3">
      <c r="C96" s="29" t="s">
        <v>66</v>
      </c>
      <c r="D96" s="29"/>
      <c r="H96" s="27">
        <f>G99</f>
        <v>37378</v>
      </c>
      <c r="I96" s="27">
        <f>H99</f>
        <v>39667.69873377285</v>
      </c>
      <c r="J96" s="27">
        <f>I99</f>
        <v>41825.415569363468</v>
      </c>
      <c r="K96" s="27">
        <f ca="1">J99</f>
        <v>43858.586046609838</v>
      </c>
      <c r="L96" s="27">
        <f ca="1">K99</f>
        <v>45739.74987820621</v>
      </c>
      <c r="O96" s="27">
        <v>41304</v>
      </c>
    </row>
    <row r="97" spans="3:15" x14ac:dyDescent="0.3">
      <c r="C97" s="43" t="s">
        <v>67</v>
      </c>
      <c r="D97" s="24">
        <v>12734</v>
      </c>
      <c r="E97" s="24">
        <v>12451</v>
      </c>
      <c r="F97" s="24">
        <v>13313</v>
      </c>
      <c r="G97" s="24">
        <v>10495</v>
      </c>
      <c r="H97" s="24">
        <v>12133</v>
      </c>
      <c r="I97" s="24">
        <v>12789</v>
      </c>
      <c r="J97" s="24">
        <f ca="1">I97*(1+J36)</f>
        <v>13671.440999999999</v>
      </c>
      <c r="K97" s="24">
        <f ca="1">J97*(1+K36)</f>
        <v>14614.770428999998</v>
      </c>
      <c r="L97" s="24">
        <f ca="1">K97*(1+L36)</f>
        <v>15623.189588600997</v>
      </c>
      <c r="O97" s="24">
        <v>13285</v>
      </c>
    </row>
    <row r="98" spans="3:15" x14ac:dyDescent="0.3">
      <c r="C98" s="44" t="s">
        <v>68</v>
      </c>
      <c r="D98" s="45">
        <v>-8300</v>
      </c>
      <c r="E98" s="45">
        <v>-8200</v>
      </c>
      <c r="F98" s="45">
        <v>-9300</v>
      </c>
      <c r="G98" s="45">
        <v>-11300</v>
      </c>
      <c r="H98" s="46">
        <f>-(H101*H97)</f>
        <v>-9843.3012662271467</v>
      </c>
      <c r="I98" s="46">
        <f>-(I101*I97)</f>
        <v>-10631.283164409379</v>
      </c>
      <c r="J98" s="46">
        <f ca="1">-(J101*J97)</f>
        <v>-11638.270522753624</v>
      </c>
      <c r="K98" s="46">
        <f ca="1">-(K101*K97)</f>
        <v>-12733.606597403625</v>
      </c>
      <c r="L98" s="46">
        <f ca="1">-(L101*L97)</f>
        <v>-13924.689244396493</v>
      </c>
      <c r="O98" s="46">
        <v>-9280.4401712611725</v>
      </c>
    </row>
    <row r="99" spans="3:15" x14ac:dyDescent="0.3">
      <c r="C99" s="47" t="s">
        <v>69</v>
      </c>
      <c r="D99" s="47"/>
      <c r="E99" s="39"/>
      <c r="F99" s="39">
        <f>F49</f>
        <v>41304</v>
      </c>
      <c r="G99" s="39">
        <f>G49</f>
        <v>37378</v>
      </c>
      <c r="H99" s="39">
        <f>SUM(H96:H98)</f>
        <v>39667.69873377285</v>
      </c>
      <c r="I99" s="39">
        <f>SUM(I96:I98)</f>
        <v>41825.415569363468</v>
      </c>
      <c r="J99" s="39">
        <f ca="1">SUM(J96:J98)</f>
        <v>43858.586046609838</v>
      </c>
      <c r="K99" s="39">
        <f ca="1">SUM(K96:K98)</f>
        <v>45739.74987820621</v>
      </c>
      <c r="L99" s="39">
        <f ca="1">SUM(L96:L98)</f>
        <v>47438.250222410716</v>
      </c>
      <c r="O99" s="39">
        <v>45308.559828738827</v>
      </c>
    </row>
    <row r="100" spans="3:15" x14ac:dyDescent="0.3">
      <c r="C100" s="29"/>
      <c r="D100" s="29"/>
      <c r="M100" s="281" t="s">
        <v>294</v>
      </c>
      <c r="N100" s="281"/>
    </row>
    <row r="101" spans="3:15" x14ac:dyDescent="0.3">
      <c r="C101" s="29" t="s">
        <v>70</v>
      </c>
      <c r="D101" s="29"/>
      <c r="E101" s="48">
        <f>-(E98/E97)</f>
        <v>0.6585816400289134</v>
      </c>
      <c r="F101" s="48">
        <f>-(F98/F97)</f>
        <v>0.69856531210095396</v>
      </c>
      <c r="G101" s="48">
        <f>-(G98/G97)</f>
        <v>1.0767031919961887</v>
      </c>
      <c r="H101" s="33">
        <f>AVERAGE(E101:G101)</f>
        <v>0.81128338137535205</v>
      </c>
      <c r="I101" s="33">
        <f>H101+$M$101</f>
        <v>0.83128338137535207</v>
      </c>
      <c r="J101" s="33">
        <f t="shared" ref="J101:L101" si="46">I101+$M$101</f>
        <v>0.85128338137535209</v>
      </c>
      <c r="K101" s="33">
        <f t="shared" si="46"/>
        <v>0.87128338137535211</v>
      </c>
      <c r="L101" s="33">
        <f t="shared" si="46"/>
        <v>0.89128338137535212</v>
      </c>
      <c r="M101" s="282">
        <v>0.02</v>
      </c>
      <c r="N101" s="282"/>
      <c r="O101" s="33">
        <v>0.69856531210095396</v>
      </c>
    </row>
    <row r="102" spans="3:15" x14ac:dyDescent="0.3">
      <c r="C102" s="29"/>
      <c r="D102" s="29"/>
      <c r="E102" s="48"/>
      <c r="F102" s="48"/>
      <c r="G102" s="48"/>
      <c r="H102" s="33"/>
      <c r="I102" s="33"/>
      <c r="J102" s="33"/>
      <c r="K102" s="33"/>
      <c r="L102" s="33"/>
      <c r="O102" s="33"/>
    </row>
    <row r="103" spans="3:15" x14ac:dyDescent="0.3">
      <c r="C103" s="49" t="s">
        <v>71</v>
      </c>
      <c r="D103" s="49"/>
      <c r="E103" s="50"/>
      <c r="F103" s="50"/>
      <c r="G103" s="50"/>
      <c r="H103" s="51"/>
      <c r="I103" s="51"/>
      <c r="J103" s="51"/>
      <c r="K103" s="51"/>
      <c r="L103" s="51"/>
    </row>
    <row r="104" spans="3:15" x14ac:dyDescent="0.3">
      <c r="C104" s="29" t="s">
        <v>72</v>
      </c>
      <c r="D104" s="29"/>
      <c r="E104" s="27">
        <f>E106+E98</f>
        <v>1957</v>
      </c>
      <c r="F104" s="27">
        <f>F106+F98</f>
        <v>1603</v>
      </c>
      <c r="G104" s="27">
        <f>G106+G98</f>
        <v>1247</v>
      </c>
      <c r="H104" s="25">
        <f ca="1">H105*H17</f>
        <v>1321.8200000000002</v>
      </c>
      <c r="I104" s="25">
        <f ca="1">I105*I17</f>
        <v>1413.02558</v>
      </c>
      <c r="J104" s="25">
        <f ca="1">J105*J17</f>
        <v>1510.5243450200001</v>
      </c>
      <c r="K104" s="25">
        <f ca="1">K105*K17</f>
        <v>1614.7505248263801</v>
      </c>
      <c r="L104" s="25">
        <f ca="1">L105*L17</f>
        <v>1726.1683110394001</v>
      </c>
    </row>
    <row r="105" spans="3:15" x14ac:dyDescent="0.3">
      <c r="C105" s="28" t="s">
        <v>73</v>
      </c>
      <c r="D105" s="28"/>
      <c r="E105" s="52">
        <f>E104/E17</f>
        <v>8.537128000209393E-3</v>
      </c>
      <c r="F105" s="52">
        <f>F104/F17</f>
        <v>6.0355051864681188E-3</v>
      </c>
      <c r="G105" s="52">
        <f>G104/G17</f>
        <v>4.7929462590420259E-3</v>
      </c>
      <c r="H105" s="33">
        <f>G105</f>
        <v>4.7929462590420259E-3</v>
      </c>
      <c r="I105" s="33">
        <f>H105</f>
        <v>4.7929462590420259E-3</v>
      </c>
      <c r="J105" s="33">
        <f>I105</f>
        <v>4.7929462590420259E-3</v>
      </c>
      <c r="K105" s="33">
        <f>J105</f>
        <v>4.7929462590420259E-3</v>
      </c>
      <c r="L105" s="33">
        <f>K105</f>
        <v>4.7929462590420259E-3</v>
      </c>
    </row>
    <row r="106" spans="3:15" x14ac:dyDescent="0.3">
      <c r="C106" s="30" t="s">
        <v>74</v>
      </c>
      <c r="D106" s="30"/>
      <c r="E106" s="39">
        <f>E30</f>
        <v>10157</v>
      </c>
      <c r="F106" s="39">
        <f>F30</f>
        <v>10903</v>
      </c>
      <c r="G106" s="39">
        <f>G30</f>
        <v>12547</v>
      </c>
      <c r="H106" s="26">
        <f ca="1">-H98+H104</f>
        <v>11165.121266227146</v>
      </c>
      <c r="I106" s="26">
        <f ca="1">-I98+I104</f>
        <v>12044.308744409378</v>
      </c>
      <c r="J106" s="26">
        <f ca="1">-J98+J104</f>
        <v>13148.794867773624</v>
      </c>
      <c r="K106" s="26">
        <f ca="1">-K98+K104</f>
        <v>14348.357122230005</v>
      </c>
      <c r="L106" s="26">
        <f ca="1">-L98+L104</f>
        <v>15650.857555435894</v>
      </c>
    </row>
    <row r="107" spans="3:15" x14ac:dyDescent="0.3">
      <c r="C107" s="29"/>
      <c r="D107" s="29"/>
      <c r="E107" s="27"/>
      <c r="F107" s="27"/>
      <c r="G107" s="27"/>
      <c r="I107" s="27"/>
      <c r="J107" s="27"/>
      <c r="K107" s="27"/>
      <c r="L107" s="27"/>
    </row>
    <row r="108" spans="3:15" x14ac:dyDescent="0.3">
      <c r="C108" s="53" t="s">
        <v>75</v>
      </c>
      <c r="D108" s="53"/>
      <c r="E108" s="14"/>
      <c r="F108" s="14"/>
      <c r="G108" s="14"/>
      <c r="I108" s="27"/>
      <c r="J108" s="27"/>
      <c r="K108" s="27"/>
      <c r="L108" s="27"/>
    </row>
    <row r="109" spans="3:15" x14ac:dyDescent="0.3">
      <c r="C109" s="29" t="s">
        <v>66</v>
      </c>
      <c r="D109" s="29"/>
      <c r="E109" s="27"/>
      <c r="H109" s="54">
        <f>G112</f>
        <v>32978</v>
      </c>
      <c r="I109" s="54">
        <f ca="1">H112</f>
        <v>34956.68</v>
      </c>
      <c r="J109" s="54">
        <f ca="1">I112</f>
        <v>37368.690920000001</v>
      </c>
      <c r="K109" s="54">
        <f ca="1">J112</f>
        <v>39947.130593479997</v>
      </c>
      <c r="L109" s="54">
        <f ca="1">K112</f>
        <v>42703.482604430115</v>
      </c>
    </row>
    <row r="110" spans="3:15" x14ac:dyDescent="0.3">
      <c r="C110" s="28" t="s">
        <v>76</v>
      </c>
      <c r="D110" s="28"/>
      <c r="H110" s="27">
        <f ca="1">-(H104)</f>
        <v>-1321.8200000000002</v>
      </c>
      <c r="I110" s="27">
        <f ca="1">-(I104)</f>
        <v>-1413.02558</v>
      </c>
      <c r="J110" s="27">
        <f ca="1">-(J104)</f>
        <v>-1510.5243450200001</v>
      </c>
      <c r="K110" s="27">
        <f ca="1">-(K104)</f>
        <v>-1614.7505248263801</v>
      </c>
      <c r="L110" s="27">
        <f ca="1">-(L104)</f>
        <v>-1726.1683110394001</v>
      </c>
    </row>
    <row r="111" spans="3:15" x14ac:dyDescent="0.3">
      <c r="C111" s="55" t="s">
        <v>77</v>
      </c>
      <c r="D111" s="55"/>
      <c r="E111" s="56"/>
      <c r="F111" s="56"/>
      <c r="G111" s="56"/>
      <c r="H111" s="57">
        <f ca="1">H112-H110-H109</f>
        <v>3300.5</v>
      </c>
      <c r="I111" s="57">
        <f ca="1">I112-I110-I109</f>
        <v>3825.036500000002</v>
      </c>
      <c r="J111" s="57">
        <f ca="1">J112-J110-J109</f>
        <v>4088.9640184999953</v>
      </c>
      <c r="K111" s="57">
        <f ca="1">K112-K110-K109</f>
        <v>4371.1025357764956</v>
      </c>
      <c r="L111" s="57">
        <f ca="1">L112-L110-L109</f>
        <v>4672.7086107450741</v>
      </c>
    </row>
    <row r="112" spans="3:15" x14ac:dyDescent="0.3">
      <c r="C112" s="47" t="s">
        <v>69</v>
      </c>
      <c r="D112" s="47"/>
      <c r="E112" s="39">
        <f t="shared" ref="E112:L112" si="47">E50</f>
        <v>18177</v>
      </c>
      <c r="F112" s="39">
        <f t="shared" si="47"/>
        <v>22283</v>
      </c>
      <c r="G112" s="39">
        <f t="shared" si="47"/>
        <v>32978</v>
      </c>
      <c r="H112" s="39">
        <f t="shared" ca="1" si="47"/>
        <v>34956.68</v>
      </c>
      <c r="I112" s="39">
        <f t="shared" ca="1" si="47"/>
        <v>37368.690920000001</v>
      </c>
      <c r="J112" s="39">
        <f t="shared" ca="1" si="47"/>
        <v>39947.130593479997</v>
      </c>
      <c r="K112" s="39">
        <f t="shared" ca="1" si="47"/>
        <v>42703.482604430115</v>
      </c>
      <c r="L112" s="39">
        <f t="shared" ca="1" si="47"/>
        <v>45650.022904135789</v>
      </c>
    </row>
    <row r="113" spans="3:15" x14ac:dyDescent="0.3">
      <c r="C113" s="28"/>
      <c r="D113" s="28"/>
      <c r="F113" s="27"/>
      <c r="G113" s="27"/>
      <c r="I113" s="27"/>
      <c r="J113" s="27"/>
      <c r="K113" s="27"/>
      <c r="L113" s="27"/>
    </row>
    <row r="114" spans="3:15" x14ac:dyDescent="0.3">
      <c r="C114" s="58" t="s">
        <v>78</v>
      </c>
      <c r="D114" s="58"/>
      <c r="E114" s="53"/>
      <c r="F114" s="53"/>
      <c r="G114" s="53"/>
      <c r="H114" s="14"/>
      <c r="I114" s="14"/>
      <c r="J114" s="14"/>
      <c r="K114" s="14"/>
      <c r="L114" s="14"/>
      <c r="O114" s="14"/>
    </row>
    <row r="115" spans="3:15" x14ac:dyDescent="0.3">
      <c r="C115" s="29" t="s">
        <v>66</v>
      </c>
      <c r="D115" s="29"/>
      <c r="H115" s="27">
        <f>G119</f>
        <v>45898</v>
      </c>
      <c r="I115" s="27">
        <f ca="1">H119</f>
        <v>21969.605801914455</v>
      </c>
      <c r="J115" s="27">
        <f ca="1">I119</f>
        <v>757.88288847521471</v>
      </c>
      <c r="K115" s="27">
        <f ca="1">J119</f>
        <v>-17481.784784186988</v>
      </c>
      <c r="L115" s="27">
        <f ca="1">K119</f>
        <v>-32479.229588763264</v>
      </c>
      <c r="O115" s="27">
        <v>70400</v>
      </c>
    </row>
    <row r="116" spans="3:15" x14ac:dyDescent="0.3">
      <c r="C116" s="28" t="s">
        <v>79</v>
      </c>
      <c r="D116" s="25">
        <f t="shared" ref="D116:L116" si="48">D28</f>
        <v>45687</v>
      </c>
      <c r="E116" s="25">
        <f t="shared" si="48"/>
        <v>48351</v>
      </c>
      <c r="F116" s="25">
        <f t="shared" si="48"/>
        <v>59531</v>
      </c>
      <c r="G116" s="25">
        <f t="shared" si="48"/>
        <v>55256</v>
      </c>
      <c r="H116" s="27">
        <f t="shared" ca="1" si="48"/>
        <v>58004.36467990822</v>
      </c>
      <c r="I116" s="27">
        <f t="shared" ca="1" si="48"/>
        <v>61654.336438227969</v>
      </c>
      <c r="J116" s="27">
        <f t="shared" ca="1" si="48"/>
        <v>65647.428187793354</v>
      </c>
      <c r="K116" s="27">
        <f t="shared" ca="1" si="48"/>
        <v>70003.502465006764</v>
      </c>
      <c r="L116" s="27">
        <f t="shared" ca="1" si="48"/>
        <v>74749.173395368227</v>
      </c>
      <c r="O116" s="27">
        <v>52296.094054499517</v>
      </c>
    </row>
    <row r="117" spans="3:15" x14ac:dyDescent="0.3">
      <c r="C117" s="28" t="s">
        <v>80</v>
      </c>
      <c r="D117" s="24">
        <v>-12188</v>
      </c>
      <c r="E117" s="24">
        <v>-12188</v>
      </c>
      <c r="F117" s="24">
        <v>-13735</v>
      </c>
      <c r="G117" s="24">
        <v>-14129</v>
      </c>
      <c r="H117" s="27">
        <f ca="1">H116*G117/G116</f>
        <v>-14831.75887799376</v>
      </c>
      <c r="I117" s="27">
        <f t="shared" ref="I117:L117" ca="1" si="49">I116*H117/H116</f>
        <v>-15765.059351667203</v>
      </c>
      <c r="J117" s="27">
        <f t="shared" ca="1" si="49"/>
        <v>-16786.095860455556</v>
      </c>
      <c r="K117" s="27">
        <f t="shared" ca="1" si="49"/>
        <v>-17899.947269583037</v>
      </c>
      <c r="L117" s="27">
        <f t="shared" ca="1" si="49"/>
        <v>-19113.418830591385</v>
      </c>
      <c r="O117" s="27">
        <v>-13735</v>
      </c>
    </row>
    <row r="118" spans="3:15" x14ac:dyDescent="0.3">
      <c r="C118" s="55" t="s">
        <v>81</v>
      </c>
      <c r="D118" s="45">
        <v>-29000</v>
      </c>
      <c r="E118" s="45">
        <v>-29000</v>
      </c>
      <c r="F118" s="45">
        <v>-73056</v>
      </c>
      <c r="G118" s="45">
        <v>-67101</v>
      </c>
      <c r="H118" s="46">
        <f>G118</f>
        <v>-67101</v>
      </c>
      <c r="I118" s="46">
        <f t="shared" ref="I118:L118" si="50">H118</f>
        <v>-67101</v>
      </c>
      <c r="J118" s="46">
        <f t="shared" si="50"/>
        <v>-67101</v>
      </c>
      <c r="K118" s="46">
        <f t="shared" si="50"/>
        <v>-67101</v>
      </c>
      <c r="L118" s="46">
        <f t="shared" si="50"/>
        <v>-67101</v>
      </c>
      <c r="O118" s="46">
        <v>-73056</v>
      </c>
    </row>
    <row r="119" spans="3:15" x14ac:dyDescent="0.3">
      <c r="C119" s="47" t="s">
        <v>69</v>
      </c>
      <c r="D119" s="26">
        <f>D62</f>
        <v>0</v>
      </c>
      <c r="E119" s="26">
        <f>E62</f>
        <v>98330</v>
      </c>
      <c r="F119" s="26">
        <f>F62</f>
        <v>70400</v>
      </c>
      <c r="G119" s="26">
        <f>G62</f>
        <v>45898</v>
      </c>
      <c r="H119" s="39">
        <f ca="1">SUM(H115:H118)</f>
        <v>21969.605801914455</v>
      </c>
      <c r="I119" s="39">
        <f ca="1">SUM(I115:I118)</f>
        <v>757.88288847521471</v>
      </c>
      <c r="J119" s="39">
        <f ca="1">SUM(J115:J118)</f>
        <v>-17481.784784186988</v>
      </c>
      <c r="K119" s="39">
        <f ca="1">SUM(K115:K118)</f>
        <v>-32479.229588763264</v>
      </c>
      <c r="L119" s="39">
        <f ca="1">SUM(L115:L118)</f>
        <v>-43944.475023986422</v>
      </c>
      <c r="O119" s="39">
        <v>35905.094054499525</v>
      </c>
    </row>
    <row r="120" spans="3:15" x14ac:dyDescent="0.3">
      <c r="F120" s="41"/>
      <c r="G120" s="41"/>
    </row>
    <row r="121" spans="3:15" x14ac:dyDescent="0.3">
      <c r="C121" s="13" t="s">
        <v>82</v>
      </c>
      <c r="D121" s="13"/>
      <c r="E121" s="14"/>
      <c r="F121" s="14"/>
      <c r="G121" s="14"/>
      <c r="H121" s="14"/>
      <c r="I121" s="14"/>
      <c r="J121" s="14"/>
      <c r="K121" s="14"/>
      <c r="L121" s="14"/>
    </row>
    <row r="122" spans="3:15" x14ac:dyDescent="0.3">
      <c r="C122" s="35" t="str">
        <f t="shared" ref="C122:L123" si="51">C14</f>
        <v xml:space="preserve">Fiscal year  </v>
      </c>
      <c r="D122" s="35"/>
      <c r="E122" s="36">
        <f t="shared" si="51"/>
        <v>2017</v>
      </c>
      <c r="F122" s="36">
        <f t="shared" si="51"/>
        <v>2018</v>
      </c>
      <c r="G122" s="36">
        <f t="shared" si="51"/>
        <v>2019</v>
      </c>
      <c r="H122" s="37">
        <f t="shared" si="51"/>
        <v>2020</v>
      </c>
      <c r="I122" s="37">
        <f t="shared" si="51"/>
        <v>2021</v>
      </c>
      <c r="J122" s="37">
        <f t="shared" si="51"/>
        <v>2022</v>
      </c>
      <c r="K122" s="37">
        <f t="shared" si="51"/>
        <v>2023</v>
      </c>
      <c r="L122" s="37">
        <f t="shared" si="51"/>
        <v>2024</v>
      </c>
    </row>
    <row r="123" spans="3:15" x14ac:dyDescent="0.3">
      <c r="C123" s="14" t="str">
        <f t="shared" si="51"/>
        <v>Fiscal year end date</v>
      </c>
      <c r="D123" s="14"/>
      <c r="E123" s="38">
        <f t="shared" si="51"/>
        <v>43373</v>
      </c>
      <c r="F123" s="38">
        <f t="shared" si="51"/>
        <v>43737</v>
      </c>
      <c r="G123" s="38">
        <f t="shared" si="51"/>
        <v>43737</v>
      </c>
      <c r="H123" s="38">
        <f t="shared" si="51"/>
        <v>44104</v>
      </c>
      <c r="I123" s="38">
        <f t="shared" si="51"/>
        <v>44469</v>
      </c>
      <c r="J123" s="38">
        <f t="shared" si="51"/>
        <v>44834</v>
      </c>
      <c r="K123" s="38">
        <f t="shared" si="51"/>
        <v>45199</v>
      </c>
      <c r="L123" s="38">
        <f t="shared" si="51"/>
        <v>45565</v>
      </c>
    </row>
    <row r="124" spans="3:15" x14ac:dyDescent="0.3">
      <c r="C124" s="12"/>
      <c r="D124" s="12"/>
    </row>
    <row r="125" spans="3:15" x14ac:dyDescent="0.3">
      <c r="C125" s="32" t="s">
        <v>83</v>
      </c>
      <c r="D125" s="32"/>
    </row>
    <row r="126" spans="3:15" x14ac:dyDescent="0.3">
      <c r="C126" s="28" t="s">
        <v>84</v>
      </c>
      <c r="D126" s="28"/>
      <c r="H126" s="27">
        <f>G45</f>
        <v>205898</v>
      </c>
      <c r="I126" s="27">
        <f ca="1">H45</f>
        <v>194816.4470681416</v>
      </c>
      <c r="J126" s="27">
        <f ca="1">I45</f>
        <v>181595.25757911173</v>
      </c>
      <c r="K126" s="27">
        <f ca="1">J45</f>
        <v>172170.89895714316</v>
      </c>
      <c r="L126" s="27">
        <f ca="1">K45</f>
        <v>166889.31493633837</v>
      </c>
    </row>
    <row r="127" spans="3:15" x14ac:dyDescent="0.3">
      <c r="C127" s="28" t="s">
        <v>85</v>
      </c>
      <c r="D127" s="28"/>
      <c r="H127" s="24">
        <v>-50000</v>
      </c>
      <c r="I127" s="24">
        <v>-50000</v>
      </c>
      <c r="J127" s="24">
        <v>-50000</v>
      </c>
      <c r="K127" s="24">
        <v>-50000</v>
      </c>
      <c r="L127" s="24">
        <v>-50000</v>
      </c>
    </row>
    <row r="128" spans="3:15" x14ac:dyDescent="0.3">
      <c r="C128" s="55" t="s">
        <v>86</v>
      </c>
      <c r="D128" s="55"/>
      <c r="E128" s="56"/>
      <c r="F128" s="56"/>
      <c r="G128" s="56"/>
      <c r="H128" s="46">
        <f ca="1">SUM(H79,H82,H84,H86,H87)</f>
        <v>-17101.552931858394</v>
      </c>
      <c r="I128" s="46">
        <f ca="1">SUM(I79,I82,I84,I86,I87)</f>
        <v>-13221.189489029852</v>
      </c>
      <c r="J128" s="46">
        <f ca="1">SUM(J79,J82,J84,J86,J87)</f>
        <v>-9424.3586219685603</v>
      </c>
      <c r="K128" s="46">
        <f ca="1">SUM(K79,K82,K84,K86,K87)</f>
        <v>-5281.5840208047921</v>
      </c>
      <c r="L128" s="46">
        <f ca="1">SUM(L79,L82,L84,L86,L87)</f>
        <v>-766.52646559943969</v>
      </c>
    </row>
    <row r="129" spans="3:12" x14ac:dyDescent="0.3">
      <c r="C129" s="47" t="s">
        <v>87</v>
      </c>
      <c r="D129" s="47"/>
      <c r="H129" s="39">
        <f ca="1">SUM(H126:H128)</f>
        <v>138796.4470681416</v>
      </c>
      <c r="I129" s="39">
        <f ca="1">SUM(I126:I128)</f>
        <v>131595.25757911176</v>
      </c>
      <c r="J129" s="39">
        <f ca="1">SUM(J126:J128)</f>
        <v>122170.89895714316</v>
      </c>
      <c r="K129" s="39">
        <f ca="1">SUM(K126:K128)</f>
        <v>116889.31493633837</v>
      </c>
      <c r="L129" s="39">
        <f ca="1">SUM(L126:L128)</f>
        <v>116122.78847073893</v>
      </c>
    </row>
    <row r="131" spans="3:12" x14ac:dyDescent="0.3">
      <c r="C131" s="12" t="s">
        <v>88</v>
      </c>
      <c r="D131" s="12"/>
    </row>
    <row r="132" spans="3:12" x14ac:dyDescent="0.3">
      <c r="C132" s="28" t="s">
        <v>66</v>
      </c>
      <c r="D132" s="28"/>
      <c r="H132" s="27">
        <f>G135</f>
        <v>5980</v>
      </c>
      <c r="I132" s="27">
        <f ca="1">H135</f>
        <v>12000</v>
      </c>
      <c r="J132" s="27">
        <f ca="1">I135</f>
        <v>12000</v>
      </c>
      <c r="K132" s="27">
        <f ca="1">J135</f>
        <v>12000</v>
      </c>
      <c r="L132" s="27">
        <f ca="1">K135</f>
        <v>12000</v>
      </c>
    </row>
    <row r="133" spans="3:12" x14ac:dyDescent="0.3">
      <c r="C133" s="43" t="s">
        <v>89</v>
      </c>
      <c r="D133" s="43"/>
      <c r="H133" s="27">
        <f ca="1">-MIN(H129,H132)</f>
        <v>-5980</v>
      </c>
      <c r="I133" s="27">
        <f ca="1">-MIN(I129,I132)</f>
        <v>-12000</v>
      </c>
      <c r="J133" s="27">
        <f ca="1">-MIN(J129,J132)</f>
        <v>-12000</v>
      </c>
      <c r="K133" s="27">
        <f ca="1">-MIN(K129,K132)</f>
        <v>-12000</v>
      </c>
      <c r="L133" s="27">
        <f ca="1">-MIN(L129,L132)</f>
        <v>-12000</v>
      </c>
    </row>
    <row r="134" spans="3:12" x14ac:dyDescent="0.3">
      <c r="C134" s="44" t="s">
        <v>90</v>
      </c>
      <c r="D134" s="44"/>
      <c r="E134" s="56"/>
      <c r="F134" s="56"/>
      <c r="G134" s="56"/>
      <c r="H134" s="45">
        <v>12000</v>
      </c>
      <c r="I134" s="45">
        <v>12000</v>
      </c>
      <c r="J134" s="45">
        <v>12000</v>
      </c>
      <c r="K134" s="45">
        <v>12000</v>
      </c>
      <c r="L134" s="45">
        <v>12000</v>
      </c>
    </row>
    <row r="135" spans="3:12" x14ac:dyDescent="0.3">
      <c r="C135" s="28" t="s">
        <v>69</v>
      </c>
      <c r="D135" s="28"/>
      <c r="E135" s="46">
        <f>E56</f>
        <v>11977</v>
      </c>
      <c r="F135" s="46">
        <f>F56</f>
        <v>11964</v>
      </c>
      <c r="G135" s="46">
        <f>G56</f>
        <v>5980</v>
      </c>
      <c r="H135" s="59">
        <f ca="1">SUM(H132:H134)</f>
        <v>12000</v>
      </c>
      <c r="I135" s="59">
        <f ca="1">SUM(I132:I134)</f>
        <v>12000</v>
      </c>
      <c r="J135" s="59">
        <f ca="1">SUM(J132:J134)</f>
        <v>12000</v>
      </c>
      <c r="K135" s="59">
        <f ca="1">SUM(K132:K134)</f>
        <v>12000</v>
      </c>
      <c r="L135" s="59">
        <f ca="1">SUM(L132:L134)</f>
        <v>12000</v>
      </c>
    </row>
    <row r="136" spans="3:12" x14ac:dyDescent="0.3">
      <c r="C136" s="60" t="s">
        <v>91</v>
      </c>
      <c r="D136" s="109"/>
      <c r="E136" s="61"/>
      <c r="F136" s="61"/>
      <c r="G136" s="62"/>
      <c r="H136" s="63" t="str">
        <f ca="1">IF(H135&lt;0,"Negative Debt","OK")</f>
        <v>OK</v>
      </c>
      <c r="I136" s="63" t="str">
        <f ca="1">IF(I135&lt;0,"Negative Debt","OK")</f>
        <v>OK</v>
      </c>
      <c r="J136" s="63" t="str">
        <f ca="1">IF(J135&lt;0,"Negative Debt","OK")</f>
        <v>OK</v>
      </c>
      <c r="K136" s="63" t="str">
        <f ca="1">IF(K135&lt;0,"Negative Debt","OK")</f>
        <v>OK</v>
      </c>
      <c r="L136" s="64" t="str">
        <f ca="1">IF(L135&lt;0,"Negative Debt","OK")</f>
        <v>OK</v>
      </c>
    </row>
    <row r="137" spans="3:12" x14ac:dyDescent="0.3">
      <c r="E137" s="27"/>
      <c r="F137" s="27"/>
      <c r="G137" s="65"/>
      <c r="H137" s="66"/>
      <c r="I137" s="66"/>
      <c r="J137" s="66"/>
      <c r="K137" s="66"/>
      <c r="L137" s="66"/>
    </row>
    <row r="138" spans="3:12" x14ac:dyDescent="0.3">
      <c r="C138" s="13" t="s">
        <v>92</v>
      </c>
      <c r="D138" s="13"/>
      <c r="E138" s="50"/>
      <c r="F138" s="50"/>
      <c r="G138" s="50"/>
      <c r="H138" s="67"/>
      <c r="I138" s="67"/>
      <c r="J138" s="67"/>
      <c r="K138" s="67"/>
      <c r="L138" s="67"/>
    </row>
    <row r="139" spans="3:12" x14ac:dyDescent="0.3">
      <c r="C139" s="35" t="str">
        <f t="shared" ref="C139:L140" si="52">C14</f>
        <v xml:space="preserve">Fiscal year  </v>
      </c>
      <c r="D139" s="35"/>
      <c r="E139" s="36">
        <f t="shared" si="52"/>
        <v>2017</v>
      </c>
      <c r="F139" s="36">
        <f t="shared" si="52"/>
        <v>2018</v>
      </c>
      <c r="G139" s="36">
        <f t="shared" si="52"/>
        <v>2019</v>
      </c>
      <c r="H139" s="37">
        <f t="shared" si="52"/>
        <v>2020</v>
      </c>
      <c r="I139" s="37">
        <f t="shared" si="52"/>
        <v>2021</v>
      </c>
      <c r="J139" s="37">
        <f t="shared" si="52"/>
        <v>2022</v>
      </c>
      <c r="K139" s="37">
        <f t="shared" si="52"/>
        <v>2023</v>
      </c>
      <c r="L139" s="37">
        <f t="shared" si="52"/>
        <v>2024</v>
      </c>
    </row>
    <row r="140" spans="3:12" x14ac:dyDescent="0.3">
      <c r="C140" s="14" t="str">
        <f t="shared" si="52"/>
        <v>Fiscal year end date</v>
      </c>
      <c r="D140" s="14"/>
      <c r="E140" s="38">
        <f t="shared" si="52"/>
        <v>43373</v>
      </c>
      <c r="F140" s="38">
        <f t="shared" si="52"/>
        <v>43737</v>
      </c>
      <c r="G140" s="38">
        <f t="shared" si="52"/>
        <v>43737</v>
      </c>
      <c r="H140" s="38">
        <f t="shared" si="52"/>
        <v>44104</v>
      </c>
      <c r="I140" s="38">
        <f t="shared" si="52"/>
        <v>44469</v>
      </c>
      <c r="J140" s="38">
        <f t="shared" si="52"/>
        <v>44834</v>
      </c>
      <c r="K140" s="38">
        <f t="shared" si="52"/>
        <v>45199</v>
      </c>
      <c r="L140" s="38">
        <f t="shared" si="52"/>
        <v>45565</v>
      </c>
    </row>
    <row r="141" spans="3:12" x14ac:dyDescent="0.3">
      <c r="C141" s="28"/>
      <c r="D141" s="28"/>
      <c r="E141" s="27"/>
      <c r="F141" s="27"/>
      <c r="G141" s="27"/>
      <c r="H141" s="68"/>
      <c r="I141" s="68"/>
      <c r="J141" s="68"/>
      <c r="K141" s="68"/>
      <c r="L141" s="68"/>
    </row>
    <row r="142" spans="3:12" x14ac:dyDescent="0.3">
      <c r="C142" s="29" t="s">
        <v>93</v>
      </c>
      <c r="D142" s="27">
        <f t="shared" ref="D142" si="53">-(D24)</f>
        <v>1456</v>
      </c>
      <c r="E142" s="27">
        <f>-(E24)</f>
        <v>2323</v>
      </c>
      <c r="F142" s="27">
        <f>-(F24)</f>
        <v>3240</v>
      </c>
      <c r="G142" s="27">
        <v>3576</v>
      </c>
      <c r="H142" s="27">
        <f ca="1">H147+H152</f>
        <v>3568.9466179543074</v>
      </c>
      <c r="I142" s="27">
        <f ca="1">I147+I152</f>
        <v>3636.3706179543074</v>
      </c>
      <c r="J142" s="27">
        <f ca="1">J147+J152</f>
        <v>3636.3706179543074</v>
      </c>
      <c r="K142" s="27">
        <f ca="1">K147+K152</f>
        <v>3636.3706179543074</v>
      </c>
      <c r="L142" s="27">
        <f ca="1">L147+L152</f>
        <v>3636.3706179543074</v>
      </c>
    </row>
    <row r="143" spans="3:12" x14ac:dyDescent="0.3">
      <c r="C143" s="69"/>
      <c r="D143" s="69"/>
    </row>
    <row r="144" spans="3:12" x14ac:dyDescent="0.3">
      <c r="C144" s="70" t="s">
        <v>94</v>
      </c>
      <c r="D144" s="70"/>
    </row>
    <row r="145" spans="3:14" x14ac:dyDescent="0.3">
      <c r="C145" s="28" t="s">
        <v>95</v>
      </c>
      <c r="D145" s="28"/>
      <c r="E145" s="71">
        <v>1.2E-2</v>
      </c>
      <c r="F145" s="71">
        <v>2.18E-2</v>
      </c>
      <c r="G145" s="71">
        <v>2.24E-2</v>
      </c>
      <c r="H145" s="72">
        <f>G145</f>
        <v>2.24E-2</v>
      </c>
      <c r="I145" s="72">
        <f>H145</f>
        <v>2.24E-2</v>
      </c>
      <c r="J145" s="72">
        <f>I145</f>
        <v>2.24E-2</v>
      </c>
      <c r="K145" s="72">
        <f>J145</f>
        <v>2.24E-2</v>
      </c>
      <c r="L145" s="72">
        <f>K145</f>
        <v>2.24E-2</v>
      </c>
    </row>
    <row r="146" spans="3:14" x14ac:dyDescent="0.3">
      <c r="C146" s="28" t="s">
        <v>96</v>
      </c>
      <c r="D146" s="28"/>
      <c r="E146" s="46">
        <f t="shared" ref="E146:G146" si="54">E56</f>
        <v>11977</v>
      </c>
      <c r="F146" s="46">
        <f t="shared" si="54"/>
        <v>11964</v>
      </c>
      <c r="G146" s="46">
        <f t="shared" si="54"/>
        <v>5980</v>
      </c>
      <c r="H146" s="27">
        <f t="shared" ref="H146:L146" ca="1" si="55">H56</f>
        <v>12000</v>
      </c>
      <c r="I146" s="27">
        <f t="shared" ca="1" si="55"/>
        <v>12000</v>
      </c>
      <c r="J146" s="27">
        <f t="shared" ca="1" si="55"/>
        <v>12000</v>
      </c>
      <c r="K146" s="27">
        <f t="shared" ca="1" si="55"/>
        <v>12000</v>
      </c>
      <c r="L146" s="27">
        <f t="shared" ca="1" si="55"/>
        <v>12000</v>
      </c>
    </row>
    <row r="147" spans="3:14" x14ac:dyDescent="0.3">
      <c r="C147" s="73" t="s">
        <v>97</v>
      </c>
      <c r="D147" s="110"/>
      <c r="E147" s="39">
        <f>AVERAGE(D146:E146)*E145</f>
        <v>143.72399999999999</v>
      </c>
      <c r="F147" s="39">
        <f>AVERAGE(E146:F146)*F145</f>
        <v>260.95690000000002</v>
      </c>
      <c r="G147" s="39">
        <f>AVERAGE(F146:G146)*G145</f>
        <v>200.97280000000001</v>
      </c>
      <c r="H147" s="74">
        <f ca="1">IF($D$7=1,AVERAGE(G146,H146)*H145,0)</f>
        <v>201.376</v>
      </c>
      <c r="I147" s="74">
        <f t="shared" ref="I147:L147" ca="1" si="56">IF($D$7=1,AVERAGE(H146,I146)*I145,0)</f>
        <v>268.8</v>
      </c>
      <c r="J147" s="74">
        <f t="shared" ca="1" si="56"/>
        <v>268.8</v>
      </c>
      <c r="K147" s="74">
        <f t="shared" ca="1" si="56"/>
        <v>268.8</v>
      </c>
      <c r="L147" s="74">
        <f t="shared" ca="1" si="56"/>
        <v>268.8</v>
      </c>
    </row>
    <row r="148" spans="3:14" x14ac:dyDescent="0.3">
      <c r="C148" s="75"/>
      <c r="D148" s="75"/>
      <c r="E148" s="27"/>
      <c r="F148" s="27"/>
      <c r="G148" s="27"/>
    </row>
    <row r="149" spans="3:14" x14ac:dyDescent="0.3">
      <c r="C149" s="70" t="s">
        <v>58</v>
      </c>
      <c r="D149" s="70"/>
      <c r="E149" s="27"/>
      <c r="F149" s="27"/>
      <c r="G149" s="27"/>
    </row>
    <row r="150" spans="3:14" x14ac:dyDescent="0.3">
      <c r="C150" s="28" t="s">
        <v>96</v>
      </c>
      <c r="D150" s="28"/>
      <c r="E150" s="27">
        <f t="shared" ref="E150:L150" si="57">E57</f>
        <v>103703</v>
      </c>
      <c r="F150" s="27">
        <f t="shared" si="57"/>
        <v>102519</v>
      </c>
      <c r="G150" s="27">
        <f t="shared" si="57"/>
        <v>102067</v>
      </c>
      <c r="H150" s="27">
        <f t="shared" si="57"/>
        <v>102067</v>
      </c>
      <c r="I150" s="27">
        <f t="shared" si="57"/>
        <v>102067</v>
      </c>
      <c r="J150" s="27">
        <f>J57</f>
        <v>102067</v>
      </c>
      <c r="K150" s="27">
        <f t="shared" si="57"/>
        <v>102067</v>
      </c>
      <c r="L150" s="27">
        <f t="shared" si="57"/>
        <v>102067</v>
      </c>
    </row>
    <row r="151" spans="3:14" x14ac:dyDescent="0.3">
      <c r="C151" s="28" t="s">
        <v>95</v>
      </c>
      <c r="D151" s="28"/>
      <c r="E151" s="52">
        <f>E152/AVERAGE(D150:E150)</f>
        <v>2.101458974185896E-2</v>
      </c>
      <c r="F151" s="52">
        <f>F152/AVERAGE(E150:F150)</f>
        <v>2.8891612921996681E-2</v>
      </c>
      <c r="G151" s="52">
        <f>G152/AVERAGE(F150:G150)</f>
        <v>3.2993725865895024E-2</v>
      </c>
      <c r="H151" s="111">
        <f>G151</f>
        <v>3.2993725865895024E-2</v>
      </c>
      <c r="I151" s="111">
        <f>H151</f>
        <v>3.2993725865895024E-2</v>
      </c>
      <c r="J151" s="111">
        <f>I151</f>
        <v>3.2993725865895024E-2</v>
      </c>
      <c r="K151" s="111">
        <f>J151</f>
        <v>3.2993725865895024E-2</v>
      </c>
      <c r="L151" s="111">
        <f>K151</f>
        <v>3.2993725865895024E-2</v>
      </c>
      <c r="M151" s="72"/>
      <c r="N151" s="72"/>
    </row>
    <row r="152" spans="3:14" x14ac:dyDescent="0.3">
      <c r="C152" s="47" t="s">
        <v>98</v>
      </c>
      <c r="D152" s="47"/>
      <c r="E152" s="39">
        <f>E142-E147</f>
        <v>2179.2759999999998</v>
      </c>
      <c r="F152" s="39">
        <f>F142-F147</f>
        <v>2979.0430999999999</v>
      </c>
      <c r="G152" s="39">
        <f>G142-G147</f>
        <v>3375.0272</v>
      </c>
      <c r="H152" s="26">
        <f>H151*AVERAGE(G150:H150)</f>
        <v>3367.5706179543072</v>
      </c>
      <c r="I152" s="26">
        <f>I151*AVERAGE(H150:I150)</f>
        <v>3367.5706179543072</v>
      </c>
      <c r="J152" s="26">
        <f>J151*AVERAGE(I150:J150)</f>
        <v>3367.5706179543072</v>
      </c>
      <c r="K152" s="26">
        <f>K151*AVERAGE(J150:K150)</f>
        <v>3367.5706179543072</v>
      </c>
      <c r="L152" s="26">
        <f>L151*AVERAGE(K150:L150)</f>
        <v>3367.5706179543072</v>
      </c>
    </row>
    <row r="153" spans="3:14" x14ac:dyDescent="0.3">
      <c r="F153" s="27"/>
    </row>
    <row r="154" spans="3:14" x14ac:dyDescent="0.3">
      <c r="C154" s="69" t="s">
        <v>99</v>
      </c>
      <c r="D154" s="69"/>
      <c r="F154" s="27"/>
      <c r="G154" s="27"/>
    </row>
    <row r="155" spans="3:14" x14ac:dyDescent="0.3">
      <c r="C155" s="28" t="s">
        <v>100</v>
      </c>
      <c r="D155" s="76">
        <v>1.7299999999999999E-2</v>
      </c>
      <c r="E155" s="71">
        <v>1.9900000000000001E-2</v>
      </c>
      <c r="F155" s="71">
        <v>2.1600000000000001E-2</v>
      </c>
      <c r="G155" s="71">
        <v>2.1899999999999999E-2</v>
      </c>
      <c r="H155" s="77">
        <f>G155</f>
        <v>2.1899999999999999E-2</v>
      </c>
      <c r="I155" s="77">
        <f>H155</f>
        <v>2.1899999999999999E-2</v>
      </c>
      <c r="J155" s="77">
        <f>I155</f>
        <v>2.1899999999999999E-2</v>
      </c>
      <c r="K155" s="77">
        <f>J155</f>
        <v>2.1899999999999999E-2</v>
      </c>
      <c r="L155" s="77">
        <f>K155</f>
        <v>2.1899999999999999E-2</v>
      </c>
    </row>
    <row r="156" spans="3:14" x14ac:dyDescent="0.3">
      <c r="C156" s="28" t="s">
        <v>18</v>
      </c>
      <c r="D156" s="27">
        <f>D23</f>
        <v>3999</v>
      </c>
      <c r="E156" s="27">
        <f>E23</f>
        <v>5201</v>
      </c>
      <c r="F156" s="27">
        <f>F23</f>
        <v>5686</v>
      </c>
      <c r="G156" s="27">
        <f>G23</f>
        <v>4961</v>
      </c>
      <c r="H156" s="25">
        <f ca="1">IF($D$7=1,AVERAGE(G45,H45)*H155,0)</f>
        <v>4387.8231953961504</v>
      </c>
      <c r="I156" s="25">
        <f t="shared" ref="I156:K156" ca="1" si="58">IF($D$7=1,AVERAGE(H45,I45)*I155,0)</f>
        <v>4121.708165887424</v>
      </c>
      <c r="J156" s="25">
        <f t="shared" ca="1" si="58"/>
        <v>3873.7394140719912</v>
      </c>
      <c r="K156" s="25">
        <f t="shared" ca="1" si="58"/>
        <v>3712.7093421336226</v>
      </c>
      <c r="L156" s="25">
        <f ca="1">IF($D$7=1,AVERAGE(K45,L45)*L155,0)</f>
        <v>3646.4825323074961</v>
      </c>
    </row>
    <row r="157" spans="3:14" x14ac:dyDescent="0.3">
      <c r="C157" s="78"/>
      <c r="D157" s="78"/>
      <c r="E157" s="52"/>
      <c r="F157" s="52"/>
      <c r="G157" s="52"/>
      <c r="H157" s="52"/>
      <c r="I157" s="52"/>
    </row>
    <row r="158" spans="3:14" x14ac:dyDescent="0.3">
      <c r="C158" s="13" t="s">
        <v>114</v>
      </c>
      <c r="D158" s="13"/>
      <c r="E158" s="13"/>
      <c r="F158" s="13"/>
      <c r="G158" s="13"/>
      <c r="H158" s="13"/>
      <c r="I158" s="13"/>
      <c r="J158" s="13"/>
      <c r="K158" s="13"/>
      <c r="L158" s="13"/>
    </row>
    <row r="159" spans="3:14" x14ac:dyDescent="0.3">
      <c r="C159" s="35" t="str">
        <f t="shared" ref="C159:L160" si="59">C14</f>
        <v xml:space="preserve">Fiscal year  </v>
      </c>
      <c r="D159" s="35"/>
      <c r="E159" s="36">
        <f t="shared" si="59"/>
        <v>2017</v>
      </c>
      <c r="F159" s="36">
        <f t="shared" si="59"/>
        <v>2018</v>
      </c>
      <c r="G159" s="36">
        <f t="shared" si="59"/>
        <v>2019</v>
      </c>
      <c r="H159" s="37">
        <f t="shared" si="59"/>
        <v>2020</v>
      </c>
      <c r="I159" s="37">
        <f t="shared" si="59"/>
        <v>2021</v>
      </c>
      <c r="J159" s="37">
        <f t="shared" si="59"/>
        <v>2022</v>
      </c>
      <c r="K159" s="37">
        <f t="shared" si="59"/>
        <v>2023</v>
      </c>
      <c r="L159" s="37">
        <f>L14</f>
        <v>2024</v>
      </c>
    </row>
    <row r="160" spans="3:14" x14ac:dyDescent="0.3">
      <c r="C160" s="14" t="str">
        <f t="shared" si="59"/>
        <v>Fiscal year end date</v>
      </c>
      <c r="D160" s="14"/>
      <c r="E160" s="38">
        <f t="shared" si="59"/>
        <v>43373</v>
      </c>
      <c r="F160" s="38">
        <f t="shared" si="59"/>
        <v>43737</v>
      </c>
      <c r="G160" s="38">
        <f t="shared" si="59"/>
        <v>43737</v>
      </c>
      <c r="H160" s="38">
        <f t="shared" si="59"/>
        <v>44104</v>
      </c>
      <c r="I160" s="38">
        <f t="shared" si="59"/>
        <v>44469</v>
      </c>
      <c r="J160" s="38">
        <f t="shared" si="59"/>
        <v>44834</v>
      </c>
      <c r="K160" s="38">
        <f t="shared" si="59"/>
        <v>45199</v>
      </c>
      <c r="L160" s="38">
        <f t="shared" si="59"/>
        <v>45565</v>
      </c>
    </row>
    <row r="161" spans="3:12" x14ac:dyDescent="0.3">
      <c r="H161" s="88"/>
      <c r="I161" s="88"/>
      <c r="J161" s="88"/>
      <c r="K161" s="33"/>
      <c r="L161" s="33"/>
    </row>
    <row r="162" spans="3:12" x14ac:dyDescent="0.3">
      <c r="C162" t="s">
        <v>20</v>
      </c>
      <c r="E162" s="27">
        <f>E28</f>
        <v>48351</v>
      </c>
      <c r="F162" s="27">
        <f t="shared" ref="F162:L162" si="60">F28</f>
        <v>59531</v>
      </c>
      <c r="G162" s="27">
        <f>G28</f>
        <v>55256</v>
      </c>
      <c r="H162" s="27">
        <f t="shared" ca="1" si="60"/>
        <v>58004.36467990822</v>
      </c>
      <c r="I162" s="27">
        <f t="shared" ca="1" si="60"/>
        <v>61654.336438227969</v>
      </c>
      <c r="J162" s="27">
        <f t="shared" ca="1" si="60"/>
        <v>65647.428187793354</v>
      </c>
      <c r="K162" s="27">
        <f t="shared" ca="1" si="60"/>
        <v>70003.502465006764</v>
      </c>
      <c r="L162" s="27">
        <f t="shared" ca="1" si="60"/>
        <v>74749.173395368227</v>
      </c>
    </row>
    <row r="163" spans="3:12" x14ac:dyDescent="0.3">
      <c r="C163" t="s">
        <v>115</v>
      </c>
      <c r="E163" s="24">
        <v>5470.82</v>
      </c>
      <c r="F163" s="24">
        <v>5217.2420000000002</v>
      </c>
      <c r="G163" s="24">
        <v>4617.8339999999998</v>
      </c>
      <c r="H163" s="27">
        <f ca="1">G163+(-H169+H170)/H171</f>
        <v>4415.6042666666663</v>
      </c>
      <c r="I163" s="27">
        <f ca="1">H163+(-I169+I170)/I171</f>
        <v>4226.7384468416376</v>
      </c>
      <c r="J163" s="27">
        <f t="shared" ref="J163:L163" ca="1" si="61">I163+(-J169+J170)/J171</f>
        <v>4050.757973668763</v>
      </c>
      <c r="K163" s="27">
        <f t="shared" ca="1" si="61"/>
        <v>3887.1289509999751</v>
      </c>
      <c r="L163" s="27">
        <f t="shared" ca="1" si="61"/>
        <v>3735.2907807725883</v>
      </c>
    </row>
    <row r="164" spans="3:12" x14ac:dyDescent="0.3">
      <c r="C164" s="12" t="s">
        <v>116</v>
      </c>
      <c r="D164" s="12"/>
      <c r="E164" s="101">
        <f t="shared" ref="E164:L164" si="62">E162/E163</f>
        <v>8.837980412442743</v>
      </c>
      <c r="F164" s="101">
        <f t="shared" si="62"/>
        <v>11.410434861944299</v>
      </c>
      <c r="G164" s="101">
        <f>G162/G163</f>
        <v>11.965783092246278</v>
      </c>
      <c r="H164" s="101">
        <f t="shared" ca="1" si="62"/>
        <v>13.136223532933498</v>
      </c>
      <c r="I164" s="101">
        <f t="shared" ca="1" si="62"/>
        <v>14.586740394191692</v>
      </c>
      <c r="J164" s="101">
        <f t="shared" ca="1" si="62"/>
        <v>16.20620847123498</v>
      </c>
      <c r="K164" s="101">
        <f t="shared" ca="1" si="62"/>
        <v>18.009050728043935</v>
      </c>
      <c r="L164" s="101">
        <f t="shared" ca="1" si="62"/>
        <v>20.0116076049928</v>
      </c>
    </row>
    <row r="165" spans="3:12" x14ac:dyDescent="0.3">
      <c r="E165" s="24"/>
      <c r="F165" s="24"/>
      <c r="G165" s="24"/>
      <c r="H165" s="27"/>
    </row>
    <row r="166" spans="3:12" x14ac:dyDescent="0.3">
      <c r="C166" t="s">
        <v>117</v>
      </c>
      <c r="E166" s="24">
        <v>5500.2809999999999</v>
      </c>
      <c r="F166" s="24">
        <v>5251.692</v>
      </c>
      <c r="G166" s="24">
        <v>5000.1090000000004</v>
      </c>
      <c r="H166" s="27">
        <f ca="1">H163+G166-G163</f>
        <v>4797.8792666666659</v>
      </c>
      <c r="I166" s="27">
        <f ca="1">I163+H166-H163</f>
        <v>4609.0134468416372</v>
      </c>
      <c r="J166" s="27">
        <f t="shared" ref="J166:L166" ca="1" si="63">J163+I166-I163</f>
        <v>4433.0329736687627</v>
      </c>
      <c r="K166" s="27">
        <f t="shared" ca="1" si="63"/>
        <v>4269.4039509999739</v>
      </c>
      <c r="L166" s="27">
        <f t="shared" ca="1" si="63"/>
        <v>4117.5657807725875</v>
      </c>
    </row>
    <row r="167" spans="3:12" x14ac:dyDescent="0.3">
      <c r="C167" s="12" t="s">
        <v>118</v>
      </c>
      <c r="D167" s="12"/>
      <c r="E167" s="101">
        <f>E162/E166</f>
        <v>8.7906417872105074</v>
      </c>
      <c r="F167" s="101">
        <f t="shared" ref="F167:L167" si="64">F162/F166</f>
        <v>11.335584798194564</v>
      </c>
      <c r="G167" s="101">
        <f t="shared" si="64"/>
        <v>11.050959089091856</v>
      </c>
      <c r="H167" s="101">
        <f t="shared" ca="1" si="64"/>
        <v>12.089584054958273</v>
      </c>
      <c r="I167" s="101">
        <f t="shared" ca="1" si="64"/>
        <v>13.376905307246844</v>
      </c>
      <c r="J167" s="101">
        <f t="shared" ca="1" si="64"/>
        <v>14.808693862131094</v>
      </c>
      <c r="K167" s="101">
        <f t="shared" ca="1" si="64"/>
        <v>16.396551665862081</v>
      </c>
      <c r="L167" s="101">
        <f t="shared" ca="1" si="64"/>
        <v>18.153729017376591</v>
      </c>
    </row>
    <row r="168" spans="3:12" x14ac:dyDescent="0.3">
      <c r="H168" s="91"/>
    </row>
    <row r="169" spans="3:12" x14ac:dyDescent="0.3">
      <c r="C169" t="s">
        <v>119</v>
      </c>
      <c r="H169" s="27">
        <f>-(H86)</f>
        <v>67101</v>
      </c>
      <c r="I169" s="27">
        <f t="shared" ref="I169:L169" si="65">-(I86)</f>
        <v>67101</v>
      </c>
      <c r="J169" s="27">
        <f t="shared" si="65"/>
        <v>67101</v>
      </c>
      <c r="K169" s="27">
        <f t="shared" si="65"/>
        <v>67101</v>
      </c>
      <c r="L169" s="27">
        <f t="shared" si="65"/>
        <v>67101</v>
      </c>
    </row>
    <row r="170" spans="3:12" x14ac:dyDescent="0.3">
      <c r="C170" t="s">
        <v>120</v>
      </c>
      <c r="H170" s="25">
        <f ca="1">H32</f>
        <v>6432.08</v>
      </c>
      <c r="I170" s="25">
        <f t="shared" ref="I170:L170" ca="1" si="66">I32</f>
        <v>6875.8935199999996</v>
      </c>
      <c r="J170" s="25">
        <f t="shared" ca="1" si="66"/>
        <v>7350.3301728799988</v>
      </c>
      <c r="K170" s="25">
        <f t="shared" ca="1" si="66"/>
        <v>7857.5029548087186</v>
      </c>
      <c r="L170" s="25">
        <f t="shared" ca="1" si="66"/>
        <v>8399.6706586905202</v>
      </c>
    </row>
    <row r="171" spans="3:12" x14ac:dyDescent="0.3">
      <c r="C171" t="s">
        <v>121</v>
      </c>
      <c r="H171" s="104">
        <v>300</v>
      </c>
      <c r="I171" s="91">
        <f ca="1">H171*(1+I172)</f>
        <v>318.8777436584046</v>
      </c>
      <c r="J171" s="91">
        <f ca="1">I171*(1+J172)</f>
        <v>339.53011234617952</v>
      </c>
      <c r="K171" s="91">
        <f ca="1">J171*(1+K172)</f>
        <v>362.05983558986304</v>
      </c>
      <c r="L171" s="91">
        <f ca="1">K171*(1+L172)</f>
        <v>386.60456230077534</v>
      </c>
    </row>
    <row r="172" spans="3:12" x14ac:dyDescent="0.3">
      <c r="C172" t="s">
        <v>122</v>
      </c>
      <c r="I172" s="107">
        <f ca="1">I180</f>
        <v>6.2925812194682074E-2</v>
      </c>
      <c r="J172" s="107">
        <f t="shared" ref="J172:L172" ca="1" si="67">J180</f>
        <v>6.4765789079022751E-2</v>
      </c>
      <c r="K172" s="107">
        <f t="shared" ca="1" si="67"/>
        <v>6.6355596821741081E-2</v>
      </c>
      <c r="L172" s="107">
        <f t="shared" ca="1" si="67"/>
        <v>6.7791907022562548E-2</v>
      </c>
    </row>
    <row r="174" spans="3:12" x14ac:dyDescent="0.3">
      <c r="C174" s="12" t="s">
        <v>123</v>
      </c>
      <c r="D174" s="12"/>
      <c r="E174" s="12"/>
      <c r="F174" s="12"/>
      <c r="G174" s="92"/>
      <c r="H174" s="39">
        <f>D11</f>
        <v>4443.2650000000003</v>
      </c>
      <c r="I174" s="39">
        <f ca="1">H176</f>
        <v>4241.0352666666668</v>
      </c>
      <c r="J174" s="39">
        <f t="shared" ref="J174:L174" ca="1" si="68">I176</f>
        <v>4052.1694468416376</v>
      </c>
      <c r="K174" s="39">
        <f t="shared" ca="1" si="68"/>
        <v>3876.1889736687631</v>
      </c>
      <c r="L174" s="39">
        <f t="shared" ca="1" si="68"/>
        <v>3712.5599509999752</v>
      </c>
    </row>
    <row r="175" spans="3:12" x14ac:dyDescent="0.3">
      <c r="C175" t="s">
        <v>124</v>
      </c>
      <c r="H175" s="27">
        <f ca="1">(-H169+H170)/H171</f>
        <v>-202.22973333333331</v>
      </c>
      <c r="I175" s="27">
        <f t="shared" ref="I175:L175" ca="1" si="69">(-I169+I170)/I171</f>
        <v>-188.86581982502892</v>
      </c>
      <c r="J175" s="27">
        <f t="shared" ca="1" si="69"/>
        <v>-175.98047317287475</v>
      </c>
      <c r="K175" s="27">
        <f t="shared" ca="1" si="69"/>
        <v>-163.6290226687878</v>
      </c>
      <c r="L175" s="27">
        <f t="shared" ca="1" si="69"/>
        <v>-151.83817022738677</v>
      </c>
    </row>
    <row r="176" spans="3:12" x14ac:dyDescent="0.3">
      <c r="C176" t="s">
        <v>125</v>
      </c>
      <c r="H176" s="27">
        <f ca="1">SUM(H174:H175)</f>
        <v>4241.0352666666668</v>
      </c>
      <c r="I176" s="27">
        <f t="shared" ref="I176:L176" ca="1" si="70">SUM(I174:I175)</f>
        <v>4052.1694468416376</v>
      </c>
      <c r="J176" s="27">
        <f t="shared" ca="1" si="70"/>
        <v>3876.1889736687631</v>
      </c>
      <c r="K176" s="27">
        <f t="shared" ca="1" si="70"/>
        <v>3712.5599509999752</v>
      </c>
      <c r="L176" s="27">
        <f t="shared" ca="1" si="70"/>
        <v>3560.7217807725883</v>
      </c>
    </row>
    <row r="177" spans="3:12" x14ac:dyDescent="0.3">
      <c r="C177" s="12" t="s">
        <v>126</v>
      </c>
      <c r="D177" s="12"/>
      <c r="E177" s="12"/>
      <c r="F177" s="12"/>
      <c r="G177" s="12"/>
      <c r="H177" s="39">
        <f ca="1">AVERAGE(H176,H174)</f>
        <v>4342.1501333333335</v>
      </c>
      <c r="I177" s="39">
        <f t="shared" ref="I177:L177" ca="1" si="71">AVERAGE(I176,I174)</f>
        <v>4146.6023567541524</v>
      </c>
      <c r="J177" s="39">
        <f t="shared" ca="1" si="71"/>
        <v>3964.1792102552004</v>
      </c>
      <c r="K177" s="39">
        <f t="shared" ca="1" si="71"/>
        <v>3794.3744623343691</v>
      </c>
      <c r="L177" s="39">
        <f t="shared" ca="1" si="71"/>
        <v>3636.640865886282</v>
      </c>
    </row>
    <row r="179" spans="3:12" x14ac:dyDescent="0.3">
      <c r="C179" s="12" t="s">
        <v>20</v>
      </c>
      <c r="D179" s="12"/>
      <c r="E179" s="39">
        <f>E162</f>
        <v>48351</v>
      </c>
      <c r="F179" s="39">
        <f t="shared" ref="F179:L179" si="72">F162</f>
        <v>59531</v>
      </c>
      <c r="G179" s="39">
        <f t="shared" si="72"/>
        <v>55256</v>
      </c>
      <c r="H179" s="39">
        <f t="shared" ca="1" si="72"/>
        <v>58004.36467990822</v>
      </c>
      <c r="I179" s="39">
        <f t="shared" ca="1" si="72"/>
        <v>61654.336438227969</v>
      </c>
      <c r="J179" s="39">
        <f t="shared" ca="1" si="72"/>
        <v>65647.428187793354</v>
      </c>
      <c r="K179" s="39">
        <f t="shared" ca="1" si="72"/>
        <v>70003.502465006764</v>
      </c>
      <c r="L179" s="39">
        <f t="shared" ca="1" si="72"/>
        <v>74749.173395368227</v>
      </c>
    </row>
    <row r="180" spans="3:12" x14ac:dyDescent="0.3">
      <c r="C180" s="28" t="s">
        <v>127</v>
      </c>
      <c r="D180" s="28"/>
      <c r="F180" s="106">
        <f>F179/E179-1</f>
        <v>0.23122582780087275</v>
      </c>
      <c r="G180" s="52">
        <f t="shared" ref="G180:L180" si="73">G179/F179-1</f>
        <v>-7.1811325191916797E-2</v>
      </c>
      <c r="H180" s="52">
        <f ca="1">H179/G179-1</f>
        <v>4.9738755608589535E-2</v>
      </c>
      <c r="I180" s="52">
        <f t="shared" ca="1" si="73"/>
        <v>6.2925812194682074E-2</v>
      </c>
      <c r="J180" s="52">
        <f t="shared" ca="1" si="73"/>
        <v>6.4765789079022751E-2</v>
      </c>
      <c r="K180" s="52">
        <f t="shared" ca="1" si="73"/>
        <v>6.6355596821741081E-2</v>
      </c>
      <c r="L180" s="52">
        <f t="shared" ca="1" si="73"/>
        <v>6.7791907022562548E-2</v>
      </c>
    </row>
    <row r="182" spans="3:12" ht="15" thickBot="1" x14ac:dyDescent="0.35">
      <c r="C182" s="112" t="s">
        <v>135</v>
      </c>
      <c r="D182" s="112"/>
      <c r="E182" s="112"/>
      <c r="F182" s="112"/>
      <c r="G182" s="112"/>
      <c r="H182" s="112"/>
      <c r="I182" s="112"/>
      <c r="J182" s="112"/>
      <c r="K182" s="112"/>
      <c r="L182" s="112"/>
    </row>
    <row r="183" spans="3:12" ht="15" thickBot="1" x14ac:dyDescent="0.35"/>
    <row r="184" spans="3:12" ht="15" thickBot="1" x14ac:dyDescent="0.35">
      <c r="C184" s="92" t="s">
        <v>108</v>
      </c>
      <c r="E184" s="131" t="str">
        <f>J5</f>
        <v>base case</v>
      </c>
      <c r="F184" s="84"/>
      <c r="G184" s="113" t="s">
        <v>136</v>
      </c>
      <c r="H184" s="114">
        <v>2020</v>
      </c>
      <c r="I184" s="115">
        <f>H184+1</f>
        <v>2021</v>
      </c>
      <c r="J184" s="115">
        <f t="shared" ref="J184:L184" si="74">I184+1</f>
        <v>2022</v>
      </c>
      <c r="K184" s="115">
        <f t="shared" si="74"/>
        <v>2023</v>
      </c>
      <c r="L184" s="116">
        <f t="shared" si="74"/>
        <v>2024</v>
      </c>
    </row>
    <row r="185" spans="3:12" ht="15" thickBot="1" x14ac:dyDescent="0.35">
      <c r="G185" s="117" t="s">
        <v>137</v>
      </c>
      <c r="H185" s="118">
        <f>H15</f>
        <v>44104</v>
      </c>
      <c r="I185" s="118">
        <f>I15</f>
        <v>44469</v>
      </c>
      <c r="J185" s="118">
        <f>J15</f>
        <v>44834</v>
      </c>
      <c r="K185" s="118">
        <f>K15</f>
        <v>45199</v>
      </c>
      <c r="L185" s="119">
        <f>L15</f>
        <v>45565</v>
      </c>
    </row>
    <row r="186" spans="3:12" x14ac:dyDescent="0.3">
      <c r="C186" s="28" t="s">
        <v>26</v>
      </c>
      <c r="G186" s="120" t="str">
        <f t="shared" ref="G186:L189" ca="1" si="75">OFFSET(G$193,MATCH($E$184,$C$194:$C$196,0)+MATCH($C186,$C$193:$C$208,0)-1,0)</f>
        <v>NM</v>
      </c>
      <c r="H186" s="121">
        <f t="shared" ca="1" si="75"/>
        <v>0.06</v>
      </c>
      <c r="I186" s="33">
        <f t="shared" ca="1" si="75"/>
        <v>6.9000000000000006E-2</v>
      </c>
      <c r="J186" s="33">
        <f t="shared" ca="1" si="75"/>
        <v>6.9000000000000006E-2</v>
      </c>
      <c r="K186" s="33">
        <f t="shared" ca="1" si="75"/>
        <v>6.9000000000000006E-2</v>
      </c>
      <c r="L186" s="33">
        <f t="shared" ca="1" si="75"/>
        <v>6.9000000000000006E-2</v>
      </c>
    </row>
    <row r="187" spans="3:12" x14ac:dyDescent="0.3">
      <c r="C187" s="28" t="s">
        <v>27</v>
      </c>
      <c r="G187" s="122" t="str">
        <f t="shared" ca="1" si="75"/>
        <v>NM</v>
      </c>
      <c r="H187" s="33">
        <f t="shared" ca="1" si="75"/>
        <v>0.37817768109034722</v>
      </c>
      <c r="I187" s="33">
        <f t="shared" ca="1" si="75"/>
        <v>0.37817768109034722</v>
      </c>
      <c r="J187" s="33">
        <f t="shared" ca="1" si="75"/>
        <v>0.37817768109034722</v>
      </c>
      <c r="K187" s="33">
        <f t="shared" ca="1" si="75"/>
        <v>0.37817768109034722</v>
      </c>
      <c r="L187" s="33">
        <f t="shared" ca="1" si="75"/>
        <v>0.37817768109034722</v>
      </c>
    </row>
    <row r="188" spans="3:12" x14ac:dyDescent="0.3">
      <c r="C188" s="28" t="s">
        <v>28</v>
      </c>
      <c r="G188" s="122" t="str">
        <f t="shared" ca="1" si="75"/>
        <v>NM</v>
      </c>
      <c r="H188" s="33">
        <f t="shared" ca="1" si="75"/>
        <v>6.233136285716482E-2</v>
      </c>
      <c r="I188" s="33">
        <f t="shared" ca="1" si="75"/>
        <v>6.233136285716482E-2</v>
      </c>
      <c r="J188" s="33">
        <f t="shared" ca="1" si="75"/>
        <v>6.233136285716482E-2</v>
      </c>
      <c r="K188" s="33">
        <f t="shared" ca="1" si="75"/>
        <v>6.233136285716482E-2</v>
      </c>
      <c r="L188" s="33">
        <f t="shared" ca="1" si="75"/>
        <v>6.233136285716482E-2</v>
      </c>
    </row>
    <row r="189" spans="3:12" x14ac:dyDescent="0.3">
      <c r="C189" s="28" t="s">
        <v>29</v>
      </c>
      <c r="G189" s="122" t="str">
        <f t="shared" ca="1" si="75"/>
        <v>NM</v>
      </c>
      <c r="H189" s="33">
        <f t="shared" ca="1" si="75"/>
        <v>7.0126146348213125E-2</v>
      </c>
      <c r="I189" s="33">
        <f t="shared" ca="1" si="75"/>
        <v>7.0126146348213125E-2</v>
      </c>
      <c r="J189" s="33">
        <f t="shared" ca="1" si="75"/>
        <v>7.0126146348213125E-2</v>
      </c>
      <c r="K189" s="33">
        <f t="shared" ca="1" si="75"/>
        <v>7.0126146348213125E-2</v>
      </c>
      <c r="L189" s="33">
        <f t="shared" ca="1" si="75"/>
        <v>7.0126146348213125E-2</v>
      </c>
    </row>
    <row r="190" spans="3:12" x14ac:dyDescent="0.3">
      <c r="G190" s="87"/>
    </row>
    <row r="191" spans="3:12" x14ac:dyDescent="0.3">
      <c r="G191" s="87"/>
    </row>
    <row r="192" spans="3:12" x14ac:dyDescent="0.3">
      <c r="G192" s="87"/>
    </row>
    <row r="193" spans="3:12" x14ac:dyDescent="0.3">
      <c r="C193" s="12" t="s">
        <v>26</v>
      </c>
      <c r="G193" s="87"/>
    </row>
    <row r="194" spans="3:12" ht="14.4" customHeight="1" x14ac:dyDescent="0.3">
      <c r="C194" t="s">
        <v>133</v>
      </c>
      <c r="G194" s="127">
        <v>0.02</v>
      </c>
      <c r="H194" s="33">
        <f>H195+$G$194</f>
        <v>0.08</v>
      </c>
      <c r="I194" s="33">
        <f>I195+$G$194</f>
        <v>8.900000000000001E-2</v>
      </c>
      <c r="J194" s="33">
        <f>J195+$G$194</f>
        <v>8.900000000000001E-2</v>
      </c>
      <c r="K194" s="33">
        <f>K195+$G$194</f>
        <v>8.900000000000001E-2</v>
      </c>
      <c r="L194" s="33">
        <f>L195+$G$194</f>
        <v>8.900000000000001E-2</v>
      </c>
    </row>
    <row r="195" spans="3:12" ht="14.4" customHeight="1" x14ac:dyDescent="0.3">
      <c r="C195" t="s">
        <v>110</v>
      </c>
      <c r="G195" s="124" t="s">
        <v>112</v>
      </c>
      <c r="H195" s="33">
        <v>0.06</v>
      </c>
      <c r="I195" s="33">
        <v>6.9000000000000006E-2</v>
      </c>
      <c r="J195" s="33">
        <v>6.9000000000000006E-2</v>
      </c>
      <c r="K195" s="33">
        <v>6.9000000000000006E-2</v>
      </c>
      <c r="L195" s="33">
        <v>6.9000000000000006E-2</v>
      </c>
    </row>
    <row r="196" spans="3:12" ht="14.4" customHeight="1" x14ac:dyDescent="0.3">
      <c r="C196" t="s">
        <v>138</v>
      </c>
      <c r="G196" s="127">
        <v>-0.02</v>
      </c>
      <c r="H196" s="33">
        <f>H195+$G$196</f>
        <v>3.9999999999999994E-2</v>
      </c>
      <c r="I196" s="33">
        <f>I195+$G$196</f>
        <v>4.9000000000000002E-2</v>
      </c>
      <c r="J196" s="33">
        <f>J195+$G$196</f>
        <v>4.9000000000000002E-2</v>
      </c>
      <c r="K196" s="33">
        <f>K195+$G$196</f>
        <v>4.9000000000000002E-2</v>
      </c>
      <c r="L196" s="33">
        <f>L195+$G$196</f>
        <v>4.9000000000000002E-2</v>
      </c>
    </row>
    <row r="197" spans="3:12" ht="14.4" customHeight="1" x14ac:dyDescent="0.3">
      <c r="C197" s="12" t="s">
        <v>27</v>
      </c>
      <c r="G197" s="125"/>
    </row>
    <row r="198" spans="3:12" ht="14.4" customHeight="1" x14ac:dyDescent="0.3">
      <c r="C198" t="s">
        <v>133</v>
      </c>
      <c r="G198" s="127">
        <v>1.4999999999999999E-2</v>
      </c>
      <c r="H198" s="48">
        <f>H199+$G$198</f>
        <v>0.39317768109034723</v>
      </c>
      <c r="I198" s="48">
        <f>I199+$G$198</f>
        <v>0.39317768109034723</v>
      </c>
      <c r="J198" s="48">
        <f>J199+$G$198</f>
        <v>0.39317768109034723</v>
      </c>
      <c r="K198" s="48">
        <f>K199+$G$198</f>
        <v>0.39317768109034723</v>
      </c>
      <c r="L198" s="48">
        <f>L199+$G$198</f>
        <v>0.39317768109034723</v>
      </c>
    </row>
    <row r="199" spans="3:12" ht="14.4" customHeight="1" x14ac:dyDescent="0.3">
      <c r="C199" t="s">
        <v>110</v>
      </c>
      <c r="G199" s="125" t="s">
        <v>112</v>
      </c>
      <c r="H199" s="48">
        <v>0.37817768109034722</v>
      </c>
      <c r="I199" s="48">
        <v>0.37817768109034722</v>
      </c>
      <c r="J199" s="48">
        <v>0.37817768109034722</v>
      </c>
      <c r="K199" s="48">
        <v>0.37817768109034722</v>
      </c>
      <c r="L199" s="48">
        <v>0.37817768109034722</v>
      </c>
    </row>
    <row r="200" spans="3:12" ht="14.4" customHeight="1" x14ac:dyDescent="0.3">
      <c r="C200" t="s">
        <v>138</v>
      </c>
      <c r="G200" s="127">
        <v>-1.4999999999999999E-2</v>
      </c>
      <c r="H200" s="48">
        <f>H199+$G$200</f>
        <v>0.3631776810903472</v>
      </c>
      <c r="I200" s="48">
        <f>I199+$G$200</f>
        <v>0.3631776810903472</v>
      </c>
      <c r="J200" s="48">
        <f>J199+$G$200</f>
        <v>0.3631776810903472</v>
      </c>
      <c r="K200" s="48">
        <f>K199+$G$200</f>
        <v>0.3631776810903472</v>
      </c>
      <c r="L200" s="48">
        <f>L199+$G$200</f>
        <v>0.3631776810903472</v>
      </c>
    </row>
    <row r="201" spans="3:12" ht="14.4" customHeight="1" x14ac:dyDescent="0.3">
      <c r="C201" s="12" t="s">
        <v>28</v>
      </c>
      <c r="G201" s="125"/>
    </row>
    <row r="202" spans="3:12" ht="14.4" customHeight="1" x14ac:dyDescent="0.3">
      <c r="C202" t="s">
        <v>133</v>
      </c>
      <c r="G202" s="128">
        <v>-0.02</v>
      </c>
      <c r="H202" s="48">
        <f>H203+$G$202</f>
        <v>4.2331362857164823E-2</v>
      </c>
      <c r="I202" s="48">
        <f t="shared" ref="I202:L202" si="76">I203+$G$202</f>
        <v>4.2331362857164823E-2</v>
      </c>
      <c r="J202" s="48">
        <f t="shared" si="76"/>
        <v>4.2331362857164823E-2</v>
      </c>
      <c r="K202" s="48">
        <f t="shared" si="76"/>
        <v>4.2331362857164823E-2</v>
      </c>
      <c r="L202" s="48">
        <f t="shared" si="76"/>
        <v>4.2331362857164823E-2</v>
      </c>
    </row>
    <row r="203" spans="3:12" ht="14.4" customHeight="1" x14ac:dyDescent="0.3">
      <c r="C203" t="s">
        <v>110</v>
      </c>
      <c r="G203" s="126" t="s">
        <v>112</v>
      </c>
      <c r="H203" s="48">
        <v>6.233136285716482E-2</v>
      </c>
      <c r="I203" s="48">
        <v>6.233136285716482E-2</v>
      </c>
      <c r="J203" s="48">
        <v>6.233136285716482E-2</v>
      </c>
      <c r="K203" s="48">
        <v>6.233136285716482E-2</v>
      </c>
      <c r="L203" s="48">
        <v>6.233136285716482E-2</v>
      </c>
    </row>
    <row r="204" spans="3:12" ht="14.4" customHeight="1" x14ac:dyDescent="0.3">
      <c r="C204" t="s">
        <v>138</v>
      </c>
      <c r="G204" s="128">
        <v>0.02</v>
      </c>
      <c r="H204" s="48">
        <f>H203+$G$204</f>
        <v>8.2331362857164817E-2</v>
      </c>
      <c r="I204" s="48">
        <f t="shared" ref="I204:L204" si="77">I203+$G$204</f>
        <v>8.2331362857164817E-2</v>
      </c>
      <c r="J204" s="48">
        <f t="shared" si="77"/>
        <v>8.2331362857164817E-2</v>
      </c>
      <c r="K204" s="48">
        <f t="shared" si="77"/>
        <v>8.2331362857164817E-2</v>
      </c>
      <c r="L204" s="48">
        <f t="shared" si="77"/>
        <v>8.2331362857164817E-2</v>
      </c>
    </row>
    <row r="205" spans="3:12" ht="14.4" customHeight="1" x14ac:dyDescent="0.3">
      <c r="C205" s="12" t="s">
        <v>29</v>
      </c>
      <c r="G205" s="125"/>
    </row>
    <row r="206" spans="3:12" ht="14.4" customHeight="1" x14ac:dyDescent="0.3">
      <c r="C206" t="s">
        <v>133</v>
      </c>
      <c r="G206" s="128">
        <v>-0.02</v>
      </c>
      <c r="H206" s="48">
        <f>H207+$G$206</f>
        <v>5.0126146348213121E-2</v>
      </c>
      <c r="I206" s="48">
        <f t="shared" ref="I206:L206" si="78">I207+$G$206</f>
        <v>5.0126146348213121E-2</v>
      </c>
      <c r="J206" s="48">
        <f t="shared" si="78"/>
        <v>5.0126146348213121E-2</v>
      </c>
      <c r="K206" s="48">
        <f t="shared" si="78"/>
        <v>5.0126146348213121E-2</v>
      </c>
      <c r="L206" s="48">
        <f t="shared" si="78"/>
        <v>5.0126146348213121E-2</v>
      </c>
    </row>
    <row r="207" spans="3:12" ht="14.4" customHeight="1" x14ac:dyDescent="0.3">
      <c r="C207" t="s">
        <v>110</v>
      </c>
      <c r="G207" s="126" t="s">
        <v>112</v>
      </c>
      <c r="H207" s="48">
        <v>7.0126146348213125E-2</v>
      </c>
      <c r="I207" s="48">
        <v>7.0126146348213125E-2</v>
      </c>
      <c r="J207" s="48">
        <v>7.0126146348213125E-2</v>
      </c>
      <c r="K207" s="48">
        <v>7.0126146348213125E-2</v>
      </c>
      <c r="L207" s="48">
        <v>7.0126146348213125E-2</v>
      </c>
    </row>
    <row r="208" spans="3:12" ht="15" customHeight="1" thickBot="1" x14ac:dyDescent="0.35">
      <c r="C208" t="s">
        <v>138</v>
      </c>
      <c r="G208" s="129">
        <v>0.02</v>
      </c>
      <c r="H208" s="48">
        <f>H207+$G$208</f>
        <v>9.0126146348213129E-2</v>
      </c>
      <c r="I208" s="48">
        <f t="shared" ref="I208:L208" si="79">I207+$G$208</f>
        <v>9.0126146348213129E-2</v>
      </c>
      <c r="J208" s="48">
        <f t="shared" si="79"/>
        <v>9.0126146348213129E-2</v>
      </c>
      <c r="K208" s="48">
        <f t="shared" si="79"/>
        <v>9.0126146348213129E-2</v>
      </c>
      <c r="L208" s="48">
        <f t="shared" si="79"/>
        <v>9.0126146348213129E-2</v>
      </c>
    </row>
  </sheetData>
  <conditionalFormatting sqref="C39:D39 C189">
    <cfRule type="expression" dxfId="2" priority="1">
      <formula>#REF!=$C39</formula>
    </cfRule>
  </conditionalFormatting>
  <dataValidations count="3">
    <dataValidation type="list" allowBlank="1" showInputMessage="1" showErrorMessage="1" sqref="J5" xr:uid="{A9F2766E-C6D5-4DA7-9F53-10733C157937}">
      <formula1>$C$194:$C$196</formula1>
    </dataValidation>
    <dataValidation type="list" allowBlank="1" showInputMessage="1" showErrorMessage="1" sqref="D7" xr:uid="{FC7196AE-71D7-4FBD-915F-C3555722D431}">
      <formula1>"0,1"</formula1>
    </dataValidation>
    <dataValidation type="list" allowBlank="1" showInputMessage="1" showErrorMessage="1" sqref="C3" xr:uid="{4BBE081D-4312-4FA3-B093-548BA2BCD4A7}">
      <formula1>"$ bns except per share, $ mm except per share,$ in thousands except per share"</formula1>
    </dataValidation>
  </dataValidation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811EA-CF50-4744-BCD1-DB1C555B9EB1}">
  <dimension ref="B1:Q126"/>
  <sheetViews>
    <sheetView workbookViewId="0"/>
  </sheetViews>
  <sheetFormatPr defaultColWidth="9.109375" defaultRowHeight="14.4" x14ac:dyDescent="0.3"/>
  <cols>
    <col min="1" max="1" width="1.44140625" customWidth="1"/>
    <col min="2" max="2" width="54.44140625" customWidth="1"/>
    <col min="3" max="3" width="13.44140625" customWidth="1"/>
    <col min="4" max="9" width="12.6640625" customWidth="1"/>
    <col min="10" max="10" width="1.77734375" customWidth="1"/>
    <col min="11" max="11" width="43" customWidth="1"/>
    <col min="12" max="16" width="9.44140625" customWidth="1"/>
  </cols>
  <sheetData>
    <row r="1" spans="2:11" ht="15" thickBot="1" x14ac:dyDescent="0.35"/>
    <row r="2" spans="2:11" ht="15" thickBot="1" x14ac:dyDescent="0.35">
      <c r="B2" s="139" t="s">
        <v>159</v>
      </c>
      <c r="C2" s="2"/>
      <c r="D2" s="2"/>
      <c r="E2" s="2"/>
      <c r="F2" s="2"/>
      <c r="G2" s="2"/>
      <c r="H2" s="2"/>
      <c r="I2" s="2"/>
    </row>
    <row r="3" spans="2:11" ht="15" customHeight="1" x14ac:dyDescent="0.3">
      <c r="B3" s="132" t="str">
        <f>'[1]Financials '!$B$3</f>
        <v xml:space="preserve">$ and shares in millions, except per share data </v>
      </c>
    </row>
    <row r="4" spans="2:11" ht="15" customHeight="1" x14ac:dyDescent="0.3">
      <c r="B4" t="s">
        <v>160</v>
      </c>
      <c r="D4" s="230">
        <v>43736</v>
      </c>
      <c r="F4" t="s">
        <v>161</v>
      </c>
      <c r="H4" s="231">
        <f>WACC!E21</f>
        <v>7.7511315470930195E-2</v>
      </c>
    </row>
    <row r="5" spans="2:11" x14ac:dyDescent="0.3">
      <c r="B5" t="s">
        <v>162</v>
      </c>
      <c r="D5" s="169">
        <v>44104</v>
      </c>
      <c r="F5" t="s">
        <v>163</v>
      </c>
      <c r="H5" s="232">
        <v>273.52</v>
      </c>
    </row>
    <row r="6" spans="2:11" x14ac:dyDescent="0.3">
      <c r="B6" t="s">
        <v>164</v>
      </c>
      <c r="D6" s="230">
        <v>43827</v>
      </c>
      <c r="F6" t="s">
        <v>165</v>
      </c>
      <c r="H6" s="233">
        <v>43888</v>
      </c>
      <c r="J6" s="234"/>
    </row>
    <row r="7" spans="2:11" x14ac:dyDescent="0.3">
      <c r="B7" t="s">
        <v>166</v>
      </c>
      <c r="D7" s="230">
        <v>43889</v>
      </c>
      <c r="F7" t="s">
        <v>167</v>
      </c>
      <c r="H7" s="235">
        <v>0</v>
      </c>
      <c r="I7" s="234"/>
      <c r="J7" s="234"/>
    </row>
    <row r="8" spans="2:11" x14ac:dyDescent="0.3">
      <c r="B8" t="s">
        <v>168</v>
      </c>
      <c r="D8" s="106">
        <f>YEARFRAC(D7,D5)</f>
        <v>0.58888888888888891</v>
      </c>
    </row>
    <row r="9" spans="2:11" x14ac:dyDescent="0.3">
      <c r="D9" s="141"/>
    </row>
    <row r="10" spans="2:11" x14ac:dyDescent="0.3">
      <c r="B10" s="142" t="s">
        <v>169</v>
      </c>
      <c r="C10" s="56"/>
      <c r="D10" s="143"/>
      <c r="F10" s="56"/>
      <c r="G10" s="56"/>
      <c r="H10" s="56"/>
      <c r="I10" s="56"/>
    </row>
    <row r="11" spans="2:11" ht="17.25" customHeight="1" x14ac:dyDescent="0.45">
      <c r="C11" s="144"/>
      <c r="D11" s="144" t="s">
        <v>170</v>
      </c>
      <c r="E11" s="145" t="s">
        <v>171</v>
      </c>
      <c r="F11" s="144"/>
      <c r="G11" s="144"/>
      <c r="H11" s="144"/>
      <c r="I11" s="144"/>
      <c r="K11" s="12" t="s">
        <v>129</v>
      </c>
    </row>
    <row r="12" spans="2:11" x14ac:dyDescent="0.3">
      <c r="B12" s="19" t="s">
        <v>172</v>
      </c>
      <c r="C12" s="146"/>
      <c r="D12" s="236">
        <f>D4</f>
        <v>43736</v>
      </c>
      <c r="E12" s="237">
        <f>EOMONTH(D12,12)</f>
        <v>44104</v>
      </c>
      <c r="F12" s="237">
        <f t="shared" ref="F12:I12" si="0">EOMONTH(E12,12)</f>
        <v>44469</v>
      </c>
      <c r="G12" s="237">
        <f t="shared" si="0"/>
        <v>44834</v>
      </c>
      <c r="H12" s="237">
        <f t="shared" si="0"/>
        <v>45199</v>
      </c>
      <c r="I12" s="237">
        <f t="shared" si="0"/>
        <v>45565</v>
      </c>
    </row>
    <row r="13" spans="2:11" x14ac:dyDescent="0.3">
      <c r="B13" s="19"/>
      <c r="D13" s="147"/>
      <c r="E13" s="148"/>
      <c r="F13" s="148"/>
      <c r="G13" s="148"/>
      <c r="H13" s="148"/>
      <c r="I13" s="148"/>
    </row>
    <row r="14" spans="2:11" x14ac:dyDescent="0.3">
      <c r="B14" t="s">
        <v>15</v>
      </c>
      <c r="C14" s="149"/>
      <c r="D14" s="151">
        <f>'FSM Apple 2019'!G17</f>
        <v>260174</v>
      </c>
      <c r="E14" s="149">
        <f>D14*(1+E15)</f>
        <v>280987.92000000004</v>
      </c>
      <c r="F14" s="149">
        <f>E14*(1+F15)</f>
        <v>306276.83280000009</v>
      </c>
      <c r="G14" s="149">
        <f>F14*(1+G15)</f>
        <v>324653.44276800012</v>
      </c>
      <c r="H14" s="149">
        <f t="shared" ref="H14:I14" si="1">G14*(1+H15)</f>
        <v>344132.64933408017</v>
      </c>
      <c r="I14" s="149">
        <f t="shared" si="1"/>
        <v>364780.60829412501</v>
      </c>
    </row>
    <row r="15" spans="2:11" x14ac:dyDescent="0.3">
      <c r="B15" s="28" t="s">
        <v>173</v>
      </c>
      <c r="D15" s="238"/>
      <c r="E15" s="150">
        <v>0.08</v>
      </c>
      <c r="F15" s="150">
        <v>0.09</v>
      </c>
      <c r="G15" s="150">
        <v>0.06</v>
      </c>
      <c r="H15" s="150">
        <v>0.06</v>
      </c>
      <c r="I15" s="150">
        <v>0.06</v>
      </c>
      <c r="K15" s="111" t="s">
        <v>295</v>
      </c>
    </row>
    <row r="16" spans="2:11" x14ac:dyDescent="0.3">
      <c r="B16" t="s">
        <v>22</v>
      </c>
      <c r="C16" s="149"/>
      <c r="D16" s="239">
        <f>D18+D25</f>
        <v>76477</v>
      </c>
      <c r="E16" s="149">
        <f>E14*E17</f>
        <v>81486.496800000008</v>
      </c>
      <c r="F16" s="149">
        <f t="shared" ref="F16:I16" si="2">F14*F17</f>
        <v>88820.281512000016</v>
      </c>
      <c r="G16" s="149">
        <f>G14*G17</f>
        <v>92526.231188880032</v>
      </c>
      <c r="H16" s="149">
        <f t="shared" si="2"/>
        <v>98077.805060212835</v>
      </c>
      <c r="I16" s="149">
        <f t="shared" si="2"/>
        <v>102138.57032235501</v>
      </c>
    </row>
    <row r="17" spans="2:13" x14ac:dyDescent="0.3">
      <c r="B17" s="28" t="s">
        <v>174</v>
      </c>
      <c r="D17" s="240">
        <f>D16/D14</f>
        <v>0.29394559025882677</v>
      </c>
      <c r="E17" s="150">
        <v>0.28999999999999998</v>
      </c>
      <c r="F17" s="150">
        <v>0.28999999999999998</v>
      </c>
      <c r="G17" s="150">
        <v>0.28499999999999998</v>
      </c>
      <c r="H17" s="150">
        <v>0.28499999999999998</v>
      </c>
      <c r="I17" s="150">
        <v>0.28000000000000003</v>
      </c>
    </row>
    <row r="18" spans="2:13" x14ac:dyDescent="0.3">
      <c r="B18" t="s">
        <v>175</v>
      </c>
      <c r="D18" s="151">
        <f>'FSM Apple 2019'!G22</f>
        <v>63930</v>
      </c>
      <c r="E18" s="149">
        <f>E19*E14</f>
        <v>69123.028320000012</v>
      </c>
      <c r="F18" s="149">
        <f>F19*F14</f>
        <v>76569.208200000023</v>
      </c>
      <c r="G18" s="149">
        <f t="shared" ref="G18:I18" si="3">G19*G14</f>
        <v>81163.360692000031</v>
      </c>
      <c r="H18" s="149">
        <f t="shared" si="3"/>
        <v>87753.825580190445</v>
      </c>
      <c r="I18" s="149">
        <f t="shared" si="3"/>
        <v>91195.152073531252</v>
      </c>
    </row>
    <row r="19" spans="2:13" x14ac:dyDescent="0.3">
      <c r="B19" s="28" t="s">
        <v>174</v>
      </c>
      <c r="D19" s="240">
        <f>D18/D14</f>
        <v>0.24572017188496928</v>
      </c>
      <c r="E19" s="150">
        <v>0.246</v>
      </c>
      <c r="F19" s="150">
        <v>0.25</v>
      </c>
      <c r="G19" s="150">
        <v>0.25</v>
      </c>
      <c r="H19" s="150">
        <v>0.255</v>
      </c>
      <c r="I19" s="150">
        <v>0.25</v>
      </c>
    </row>
    <row r="20" spans="2:13" x14ac:dyDescent="0.3">
      <c r="B20" s="28"/>
      <c r="D20" s="151"/>
      <c r="E20" s="152"/>
      <c r="F20" s="152"/>
      <c r="G20" s="152"/>
      <c r="H20" s="152"/>
      <c r="I20" s="152"/>
    </row>
    <row r="21" spans="2:13" ht="15" customHeight="1" x14ac:dyDescent="0.3">
      <c r="B21" t="s">
        <v>176</v>
      </c>
      <c r="C21" s="149"/>
      <c r="D21" s="239">
        <f>D18*D22</f>
        <v>10192.894868947473</v>
      </c>
      <c r="E21" s="149">
        <f>E22*E18</f>
        <v>10921.438474560002</v>
      </c>
      <c r="F21" s="149">
        <f t="shared" ref="F21:I21" si="4">F22*F18</f>
        <v>12710.488561200005</v>
      </c>
      <c r="G21" s="149">
        <f t="shared" si="4"/>
        <v>13554.281235564005</v>
      </c>
      <c r="H21" s="149">
        <f t="shared" si="4"/>
        <v>15181.411825372947</v>
      </c>
      <c r="I21" s="149">
        <f t="shared" si="4"/>
        <v>15776.761308720905</v>
      </c>
    </row>
    <row r="22" spans="2:13" ht="15" customHeight="1" x14ac:dyDescent="0.3">
      <c r="B22" s="28" t="s">
        <v>30</v>
      </c>
      <c r="D22" s="241">
        <f>'FSM Apple 2019'!G40</f>
        <v>0.15943836804235059</v>
      </c>
      <c r="E22" s="88">
        <v>0.158</v>
      </c>
      <c r="F22" s="88">
        <v>0.16600000000000001</v>
      </c>
      <c r="G22" s="88">
        <v>0.16700000000000001</v>
      </c>
      <c r="H22" s="88">
        <v>0.17299999999999999</v>
      </c>
      <c r="I22" s="88">
        <v>0.17299999999999999</v>
      </c>
      <c r="K22" t="s">
        <v>278</v>
      </c>
    </row>
    <row r="23" spans="2:13" ht="15" customHeight="1" x14ac:dyDescent="0.3">
      <c r="B23" s="12" t="s">
        <v>177</v>
      </c>
      <c r="C23" s="12"/>
      <c r="D23" s="242">
        <f>D18-D21</f>
        <v>53737.105131052529</v>
      </c>
      <c r="E23" s="242">
        <f>E18-E21</f>
        <v>58201.589845440009</v>
      </c>
      <c r="F23" s="242">
        <f t="shared" ref="F23:I23" si="5">F18-F21</f>
        <v>63858.719638800016</v>
      </c>
      <c r="G23" s="242">
        <f t="shared" si="5"/>
        <v>67609.079456436026</v>
      </c>
      <c r="H23" s="242">
        <f t="shared" si="5"/>
        <v>72572.413754817506</v>
      </c>
      <c r="I23" s="242">
        <f t="shared" si="5"/>
        <v>75418.390764810349</v>
      </c>
    </row>
    <row r="24" spans="2:13" x14ac:dyDescent="0.3">
      <c r="D24" s="239"/>
      <c r="E24" s="149"/>
      <c r="F24" s="149"/>
      <c r="G24" s="149"/>
      <c r="H24" s="149"/>
      <c r="I24" s="149"/>
    </row>
    <row r="25" spans="2:13" ht="15" customHeight="1" x14ac:dyDescent="0.3">
      <c r="B25" t="s">
        <v>21</v>
      </c>
      <c r="D25" s="151">
        <f>'FSM Apple 2019'!G30</f>
        <v>12547</v>
      </c>
      <c r="E25" s="149">
        <f>E16-E18</f>
        <v>12363.468479999996</v>
      </c>
      <c r="F25" s="149">
        <f t="shared" ref="F25:I25" si="6">F16-F18</f>
        <v>12251.073311999993</v>
      </c>
      <c r="G25" s="149">
        <f t="shared" si="6"/>
        <v>11362.870496880001</v>
      </c>
      <c r="H25" s="149">
        <f t="shared" si="6"/>
        <v>10323.97948002239</v>
      </c>
      <c r="I25" s="149">
        <f t="shared" si="6"/>
        <v>10943.418248823757</v>
      </c>
      <c r="M25" s="52"/>
    </row>
    <row r="26" spans="2:13" ht="15" customHeight="1" x14ac:dyDescent="0.3">
      <c r="B26" t="s">
        <v>178</v>
      </c>
      <c r="D26" s="243">
        <f>C32-D32</f>
        <v>-2927</v>
      </c>
      <c r="E26" s="243">
        <f>D32-E32</f>
        <v>2177.2800000000061</v>
      </c>
      <c r="F26" s="243">
        <f t="shared" ref="F26:I26" si="7">E32-F32</f>
        <v>2645.3952000000063</v>
      </c>
      <c r="G26" s="243">
        <f t="shared" si="7"/>
        <v>1922.3205120000057</v>
      </c>
      <c r="H26" s="243">
        <f t="shared" si="7"/>
        <v>2037.6597427200031</v>
      </c>
      <c r="I26" s="243">
        <f t="shared" si="7"/>
        <v>2159.9193272832053</v>
      </c>
      <c r="M26" s="96"/>
    </row>
    <row r="27" spans="2:13" ht="15" customHeight="1" x14ac:dyDescent="0.3">
      <c r="B27" t="s">
        <v>56</v>
      </c>
      <c r="D27" s="244">
        <v>-10495</v>
      </c>
      <c r="E27" s="25">
        <f>-(E28*E14)</f>
        <v>-11334.6</v>
      </c>
      <c r="F27" s="25">
        <f>-(F28*F14)</f>
        <v>-11944.796479200004</v>
      </c>
      <c r="G27" s="25">
        <f>-(G28*G14)</f>
        <v>-12336.830825184004</v>
      </c>
      <c r="H27" s="25">
        <f>-(H28*H14)</f>
        <v>-12732.908025360966</v>
      </c>
      <c r="I27" s="25">
        <f>-(I28*I14)</f>
        <v>-13132.101898588498</v>
      </c>
      <c r="M27" s="96"/>
    </row>
    <row r="28" spans="2:13" ht="15" customHeight="1" x14ac:dyDescent="0.3">
      <c r="B28" s="28" t="s">
        <v>73</v>
      </c>
      <c r="D28" s="245">
        <f>-(D27/D14)</f>
        <v>4.033838892433525E-2</v>
      </c>
      <c r="E28" s="150">
        <f>D28</f>
        <v>4.033838892433525E-2</v>
      </c>
      <c r="F28" s="150">
        <v>3.9E-2</v>
      </c>
      <c r="G28" s="150">
        <v>3.7999999999999999E-2</v>
      </c>
      <c r="H28" s="150">
        <v>3.6999999999999998E-2</v>
      </c>
      <c r="I28" s="150">
        <v>3.5999999999999997E-2</v>
      </c>
      <c r="M28" s="96"/>
    </row>
    <row r="29" spans="2:13" x14ac:dyDescent="0.3">
      <c r="D29" s="246"/>
      <c r="E29" s="24"/>
      <c r="F29" s="24"/>
      <c r="G29" s="24"/>
      <c r="H29" s="24"/>
      <c r="I29" s="24"/>
      <c r="M29" s="96"/>
    </row>
    <row r="30" spans="2:13" x14ac:dyDescent="0.3">
      <c r="B30" s="12" t="s">
        <v>179</v>
      </c>
      <c r="C30" s="153"/>
      <c r="D30" s="154"/>
      <c r="E30" s="154">
        <f>E23+E25+E26+E27</f>
        <v>61407.738325440012</v>
      </c>
      <c r="F30" s="154">
        <f t="shared" ref="F30:I30" si="8">F23+F25+F26+F27</f>
        <v>66810.391671600009</v>
      </c>
      <c r="G30" s="154">
        <f t="shared" si="8"/>
        <v>68557.439640132026</v>
      </c>
      <c r="H30" s="154">
        <f t="shared" si="8"/>
        <v>72201.144952198927</v>
      </c>
      <c r="I30" s="154">
        <f t="shared" si="8"/>
        <v>75389.626442328808</v>
      </c>
      <c r="M30" s="154"/>
    </row>
    <row r="31" spans="2:13" x14ac:dyDescent="0.3">
      <c r="D31" s="152"/>
      <c r="M31" s="96"/>
    </row>
    <row r="32" spans="2:13" x14ac:dyDescent="0.3">
      <c r="B32" t="s">
        <v>180</v>
      </c>
      <c r="C32" s="152">
        <f>SUM('FSM Apple 2019'!F46:F48)-SUM('FSM Apple 2019'!F53:F55)</f>
        <v>-30143</v>
      </c>
      <c r="D32" s="152">
        <f>SUM('FSM Apple 2019'!G46:G48)-SUM('FSM Apple 2019'!G53:G55)</f>
        <v>-27216</v>
      </c>
      <c r="E32" s="149">
        <f>E33*E14</f>
        <v>-29393.280000000006</v>
      </c>
      <c r="F32" s="149">
        <f t="shared" ref="F32:I32" si="9">F33*F14</f>
        <v>-32038.675200000012</v>
      </c>
      <c r="G32" s="149">
        <f t="shared" si="9"/>
        <v>-33960.995712000018</v>
      </c>
      <c r="H32" s="149">
        <f t="shared" si="9"/>
        <v>-35998.655454720021</v>
      </c>
      <c r="I32" s="149">
        <f t="shared" si="9"/>
        <v>-38158.574782003227</v>
      </c>
    </row>
    <row r="33" spans="2:15" x14ac:dyDescent="0.3">
      <c r="B33" s="28" t="s">
        <v>73</v>
      </c>
      <c r="D33" s="106">
        <f>D32/D14</f>
        <v>-0.10460691690945291</v>
      </c>
      <c r="E33" s="106">
        <f>D33</f>
        <v>-0.10460691690945291</v>
      </c>
      <c r="F33" s="106">
        <f t="shared" ref="F33:I33" si="10">E33</f>
        <v>-0.10460691690945291</v>
      </c>
      <c r="G33" s="106">
        <f t="shared" si="10"/>
        <v>-0.10460691690945291</v>
      </c>
      <c r="H33" s="106">
        <f t="shared" si="10"/>
        <v>-0.10460691690945291</v>
      </c>
      <c r="I33" s="106">
        <f t="shared" si="10"/>
        <v>-0.10460691690945291</v>
      </c>
      <c r="J33" s="152"/>
    </row>
    <row r="34" spans="2:15" x14ac:dyDescent="0.3">
      <c r="D34" s="152"/>
      <c r="E34" s="106"/>
      <c r="F34" s="106"/>
      <c r="G34" s="106"/>
      <c r="H34" s="106"/>
      <c r="I34" s="106"/>
      <c r="J34" s="152"/>
      <c r="K34" s="25"/>
      <c r="M34" s="106"/>
    </row>
    <row r="35" spans="2:15" x14ac:dyDescent="0.3">
      <c r="B35" s="142" t="str">
        <f>"Present value of UFCF on "&amp;TEXT(D7,"mmm dd, yyyy")&amp;" valuation date"</f>
        <v>Present value of UFCF on Feb 28, 2020 valuation date</v>
      </c>
      <c r="C35" s="56"/>
      <c r="D35" s="155"/>
      <c r="E35" s="56"/>
      <c r="F35" s="155"/>
      <c r="G35" s="155"/>
      <c r="H35" s="155"/>
      <c r="I35" s="155"/>
      <c r="J35" s="152"/>
    </row>
    <row r="36" spans="2:15" ht="16.2" x14ac:dyDescent="0.45">
      <c r="B36" s="12"/>
      <c r="D36" s="156" t="s">
        <v>181</v>
      </c>
      <c r="E36" s="156" t="s">
        <v>182</v>
      </c>
      <c r="F36" s="157" t="s">
        <v>183</v>
      </c>
      <c r="G36" s="157" t="s">
        <v>184</v>
      </c>
      <c r="H36" s="157" t="s">
        <v>185</v>
      </c>
      <c r="I36" s="157" t="s">
        <v>186</v>
      </c>
      <c r="J36" s="152"/>
    </row>
    <row r="37" spans="2:15" x14ac:dyDescent="0.3">
      <c r="B37" t="s">
        <v>187</v>
      </c>
      <c r="C37" s="247" t="s">
        <v>188</v>
      </c>
      <c r="D37" s="158">
        <f>D7</f>
        <v>43889</v>
      </c>
      <c r="E37" s="158">
        <f>IF($H$7=0,E12,AVERAGE(D37,E12))</f>
        <v>44104</v>
      </c>
      <c r="F37" s="158">
        <f>IF($H$7=0,F12,AVERAGE(F12,E12))</f>
        <v>44469</v>
      </c>
      <c r="G37" s="158">
        <f>IF($H$7=0,G12,AVERAGE(G12,F12))</f>
        <v>44834</v>
      </c>
      <c r="H37" s="158">
        <f>IF($H$7=0,H12,AVERAGE(H12,G12))</f>
        <v>45199</v>
      </c>
      <c r="I37" s="158">
        <f>IF($H$7=0,I12,AVERAGE(I12,H12))</f>
        <v>45565</v>
      </c>
      <c r="J37" s="152"/>
    </row>
    <row r="38" spans="2:15" x14ac:dyDescent="0.3">
      <c r="B38" t="s">
        <v>189</v>
      </c>
      <c r="C38" s="52">
        <f>D8</f>
        <v>0.58888888888888891</v>
      </c>
      <c r="D38" s="96"/>
      <c r="E38" s="248">
        <f>E30*C38</f>
        <v>36162.334791648005</v>
      </c>
      <c r="F38" s="248">
        <f>F30</f>
        <v>66810.391671600009</v>
      </c>
      <c r="G38" s="248">
        <f t="shared" ref="G38:I38" si="11">G30</f>
        <v>68557.439640132026</v>
      </c>
      <c r="H38" s="248">
        <f t="shared" si="11"/>
        <v>72201.144952198927</v>
      </c>
      <c r="I38" s="248">
        <f t="shared" si="11"/>
        <v>75389.626442328808</v>
      </c>
      <c r="J38" s="149"/>
    </row>
    <row r="39" spans="2:15" ht="15" customHeight="1" x14ac:dyDescent="0.3">
      <c r="B39" s="12" t="s">
        <v>190</v>
      </c>
      <c r="C39" s="159"/>
      <c r="E39" s="154">
        <f>E38/(1+$H$4)^((E37-$D$37)/365)</f>
        <v>34606.578760808705</v>
      </c>
      <c r="F39" s="154">
        <f>F38/(1+$H$4)^((F37-$D$37)/365)</f>
        <v>59336.835647273016</v>
      </c>
      <c r="G39" s="154">
        <f>G38/(1+$H$4)^((G37-$D$37)/365)</f>
        <v>56508.413552739956</v>
      </c>
      <c r="H39" s="154">
        <f>H38/(1+$H$4)^((H37-$D$37)/365)</f>
        <v>55230.728273277673</v>
      </c>
      <c r="I39" s="154">
        <f>I38/(1+$H$4)^((I37-$D$37)/365)</f>
        <v>53510.327637276758</v>
      </c>
      <c r="J39" s="149"/>
    </row>
    <row r="41" spans="2:15" x14ac:dyDescent="0.3">
      <c r="B41" s="142" t="s">
        <v>191</v>
      </c>
      <c r="C41" s="142"/>
      <c r="E41" s="142" t="s">
        <v>244</v>
      </c>
      <c r="F41" s="56"/>
      <c r="G41" s="56"/>
      <c r="H41" s="56"/>
      <c r="I41" s="56"/>
    </row>
    <row r="42" spans="2:15" x14ac:dyDescent="0.3">
      <c r="B42" t="s">
        <v>192</v>
      </c>
      <c r="C42" s="150">
        <v>0.03</v>
      </c>
      <c r="E42" t="s">
        <v>193</v>
      </c>
      <c r="I42" s="96">
        <f>I16</f>
        <v>102138.57032235501</v>
      </c>
      <c r="J42" s="96"/>
    </row>
    <row r="43" spans="2:15" x14ac:dyDescent="0.3">
      <c r="B43" s="160" t="str">
        <f>YEAR(I12)&amp;" FCF x (1+g)"</f>
        <v>2024 FCF x (1+g)</v>
      </c>
      <c r="C43" s="96">
        <f>I38*(1+C42)</f>
        <v>77651.315235598668</v>
      </c>
      <c r="E43" t="s">
        <v>194</v>
      </c>
      <c r="I43" s="161">
        <v>12.5</v>
      </c>
      <c r="J43" s="161"/>
    </row>
    <row r="44" spans="2:15" x14ac:dyDescent="0.3">
      <c r="B44" t="str">
        <f>"Terminal value in "&amp;YEAR(I12)</f>
        <v>Terminal value in 2024</v>
      </c>
      <c r="C44" s="96">
        <f>C43/(H4-C42)</f>
        <v>1634375.1896979075</v>
      </c>
      <c r="E44" t="str">
        <f>"Terminal value in "&amp;YEAR(I12)</f>
        <v>Terminal value in 2024</v>
      </c>
      <c r="I44" s="96">
        <f>I42*I43</f>
        <v>1276732.1290294377</v>
      </c>
      <c r="J44" s="96"/>
    </row>
    <row r="45" spans="2:15" x14ac:dyDescent="0.3">
      <c r="B45" t="s">
        <v>195</v>
      </c>
      <c r="C45" s="96">
        <f>C44/(1+H4)^((I37-D37)/365)</f>
        <v>1160052.8615150123</v>
      </c>
      <c r="E45" t="s">
        <v>195</v>
      </c>
      <c r="I45" s="96">
        <f>I44/(1+H4)^((I37-D37)/365)</f>
        <v>906203.64834497427</v>
      </c>
      <c r="J45" s="96"/>
    </row>
    <row r="46" spans="2:15" x14ac:dyDescent="0.3">
      <c r="B46" t="s">
        <v>196</v>
      </c>
      <c r="C46" s="149">
        <f>SUM(E39:I39)</f>
        <v>259192.88387137611</v>
      </c>
      <c r="E46" t="s">
        <v>196</v>
      </c>
      <c r="I46" s="96">
        <f>SUM(E39:I39)</f>
        <v>259192.88387137611</v>
      </c>
      <c r="J46" s="96"/>
    </row>
    <row r="47" spans="2:15" x14ac:dyDescent="0.3">
      <c r="B47" s="12" t="s">
        <v>197</v>
      </c>
      <c r="C47" s="153">
        <f>SUM(C45:C46)</f>
        <v>1419245.7453863884</v>
      </c>
      <c r="D47" s="249"/>
      <c r="E47" s="12" t="s">
        <v>198</v>
      </c>
      <c r="I47" s="153">
        <f>I45+I46</f>
        <v>1165396.5322163503</v>
      </c>
      <c r="J47" s="153"/>
      <c r="L47" s="82"/>
      <c r="M47" s="82"/>
      <c r="N47" s="82"/>
      <c r="O47" s="82"/>
    </row>
    <row r="48" spans="2:15" x14ac:dyDescent="0.3">
      <c r="D48" s="52"/>
    </row>
    <row r="49" spans="2:12" x14ac:dyDescent="0.3">
      <c r="B49" s="162" t="s">
        <v>199</v>
      </c>
      <c r="C49" s="163">
        <f>C45/$C$47</f>
        <v>0.81737279487083403</v>
      </c>
      <c r="E49" s="162" t="s">
        <v>199</v>
      </c>
      <c r="I49" s="163">
        <f>I45/I47</f>
        <v>0.77759253892883717</v>
      </c>
      <c r="J49" s="163"/>
    </row>
    <row r="50" spans="2:12" x14ac:dyDescent="0.3">
      <c r="B50" s="162" t="s">
        <v>200</v>
      </c>
      <c r="C50" s="163">
        <f>C46/$C$47</f>
        <v>0.18262720512916603</v>
      </c>
      <c r="E50" s="162" t="s">
        <v>200</v>
      </c>
      <c r="G50" s="164"/>
      <c r="I50" s="163">
        <f>I46/I47</f>
        <v>0.22240746107116285</v>
      </c>
      <c r="J50" s="52"/>
    </row>
    <row r="51" spans="2:12" x14ac:dyDescent="0.3">
      <c r="B51" s="162" t="s">
        <v>201</v>
      </c>
      <c r="C51" s="166">
        <f>C44/I16</f>
        <v>16.001547549958147</v>
      </c>
      <c r="E51" t="s">
        <v>202</v>
      </c>
      <c r="I51" s="165">
        <f>(H4-I38/I44)/(1+I38/I44)</f>
        <v>1.7433016137307827E-2</v>
      </c>
      <c r="J51" s="165"/>
    </row>
    <row r="52" spans="2:12" x14ac:dyDescent="0.3">
      <c r="B52" s="162"/>
      <c r="C52" s="19"/>
      <c r="D52" s="166"/>
      <c r="I52" s="165"/>
      <c r="J52" s="165"/>
    </row>
    <row r="53" spans="2:12" x14ac:dyDescent="0.3">
      <c r="B53" s="142" t="s">
        <v>203</v>
      </c>
      <c r="C53" s="56"/>
      <c r="E53" s="142" t="s">
        <v>204</v>
      </c>
      <c r="F53" s="56"/>
      <c r="G53" s="142"/>
      <c r="H53" s="56"/>
      <c r="I53" s="56"/>
    </row>
    <row r="54" spans="2:12" x14ac:dyDescent="0.3">
      <c r="B54" t="s">
        <v>205</v>
      </c>
      <c r="C54" s="233" t="s">
        <v>206</v>
      </c>
      <c r="L54" s="27"/>
    </row>
    <row r="55" spans="2:12" x14ac:dyDescent="0.3">
      <c r="B55" s="29" t="s">
        <v>207</v>
      </c>
      <c r="C55" s="230">
        <v>43827</v>
      </c>
      <c r="G55" s="32" t="s">
        <v>205</v>
      </c>
      <c r="H55" s="167" t="s">
        <v>208</v>
      </c>
      <c r="I55" s="167" t="s">
        <v>209</v>
      </c>
    </row>
    <row r="56" spans="2:12" x14ac:dyDescent="0.3">
      <c r="B56" s="168" t="s">
        <v>210</v>
      </c>
      <c r="C56" s="169"/>
      <c r="E56" t="s">
        <v>211</v>
      </c>
      <c r="G56" s="233" t="s">
        <v>206</v>
      </c>
      <c r="H56" s="233">
        <v>43847</v>
      </c>
      <c r="I56" s="250">
        <f>4375480000/1000000</f>
        <v>4375.4799999999996</v>
      </c>
      <c r="J56" s="170"/>
    </row>
    <row r="57" spans="2:12" x14ac:dyDescent="0.3">
      <c r="B57" s="28" t="s">
        <v>157</v>
      </c>
      <c r="C57" s="25">
        <f>4990+10224+93078</f>
        <v>108292</v>
      </c>
      <c r="E57" s="29" t="s">
        <v>212</v>
      </c>
      <c r="G57" s="233" t="s">
        <v>206</v>
      </c>
      <c r="H57" s="233">
        <v>43827</v>
      </c>
      <c r="I57" s="250">
        <f>96020/1000</f>
        <v>96.02</v>
      </c>
      <c r="J57" s="171"/>
    </row>
    <row r="58" spans="2:12" ht="15" customHeight="1" x14ac:dyDescent="0.3">
      <c r="B58" s="28" t="s">
        <v>213</v>
      </c>
      <c r="C58" s="251">
        <f>Shares!E25+Shares!E31</f>
        <v>0</v>
      </c>
      <c r="E58" s="29" t="s">
        <v>214</v>
      </c>
      <c r="G58" s="233"/>
      <c r="H58" s="233"/>
      <c r="I58" s="262">
        <f>Shares!E20</f>
        <v>50.595642000584959</v>
      </c>
    </row>
    <row r="59" spans="2:12" ht="15" customHeight="1" x14ac:dyDescent="0.3">
      <c r="B59" s="28" t="s">
        <v>215</v>
      </c>
      <c r="C59" s="251">
        <f>Shares!E34+Shares!E41</f>
        <v>0</v>
      </c>
      <c r="E59" t="s">
        <v>213</v>
      </c>
      <c r="G59" s="233"/>
      <c r="H59" s="233"/>
      <c r="I59" s="262">
        <f>Shares!E30</f>
        <v>58.171999999999997</v>
      </c>
    </row>
    <row r="60" spans="2:12" x14ac:dyDescent="0.3">
      <c r="B60" s="172" t="s">
        <v>216</v>
      </c>
      <c r="C60" s="24">
        <v>0</v>
      </c>
      <c r="E60" t="s">
        <v>217</v>
      </c>
      <c r="G60" s="233"/>
      <c r="H60" s="233"/>
      <c r="I60" s="262">
        <f>Shares!E40</f>
        <v>195.65</v>
      </c>
    </row>
    <row r="61" spans="2:12" ht="15" customHeight="1" x14ac:dyDescent="0.3">
      <c r="B61" s="168" t="s">
        <v>218</v>
      </c>
      <c r="E61" s="30" t="s">
        <v>219</v>
      </c>
      <c r="I61" s="252">
        <f>SUM(I56:I60)</f>
        <v>4775.9176420005842</v>
      </c>
      <c r="J61" s="173"/>
    </row>
    <row r="62" spans="2:12" x14ac:dyDescent="0.3">
      <c r="B62" s="174" t="s">
        <v>220</v>
      </c>
      <c r="C62" s="24">
        <f>39771+67391+99899</f>
        <v>207061</v>
      </c>
      <c r="J62" s="175"/>
    </row>
    <row r="63" spans="2:12" x14ac:dyDescent="0.3">
      <c r="B63" s="174" t="s">
        <v>221</v>
      </c>
      <c r="C63" s="24">
        <v>0</v>
      </c>
      <c r="J63" s="175"/>
    </row>
    <row r="64" spans="2:12" x14ac:dyDescent="0.3">
      <c r="J64" s="176"/>
    </row>
    <row r="65" spans="2:17" x14ac:dyDescent="0.3">
      <c r="B65" s="177" t="s">
        <v>203</v>
      </c>
      <c r="C65" s="39">
        <f>C57-C62</f>
        <v>-98769</v>
      </c>
    </row>
    <row r="67" spans="2:17" x14ac:dyDescent="0.3">
      <c r="B67" s="142" t="s">
        <v>222</v>
      </c>
      <c r="C67" s="56"/>
      <c r="D67" s="56"/>
    </row>
    <row r="68" spans="2:17" ht="16.2" x14ac:dyDescent="0.45">
      <c r="C68" s="178" t="s">
        <v>223</v>
      </c>
      <c r="D68" s="178" t="s">
        <v>22</v>
      </c>
    </row>
    <row r="69" spans="2:17" x14ac:dyDescent="0.3">
      <c r="B69" t="s">
        <v>224</v>
      </c>
      <c r="C69" s="255">
        <f>C47</f>
        <v>1419245.7453863884</v>
      </c>
      <c r="D69" s="255">
        <f>I47</f>
        <v>1165396.5322163503</v>
      </c>
    </row>
    <row r="70" spans="2:17" x14ac:dyDescent="0.3">
      <c r="B70" t="s">
        <v>203</v>
      </c>
      <c r="C70" s="256">
        <f>C65</f>
        <v>-98769</v>
      </c>
      <c r="D70" s="256">
        <f>C70</f>
        <v>-98769</v>
      </c>
    </row>
    <row r="71" spans="2:17" x14ac:dyDescent="0.3">
      <c r="B71" t="s">
        <v>225</v>
      </c>
      <c r="C71" s="257">
        <f>C69-C70</f>
        <v>1518014.7453863884</v>
      </c>
      <c r="D71" s="257">
        <f>D69-D70</f>
        <v>1264165.5322163503</v>
      </c>
    </row>
    <row r="72" spans="2:17" x14ac:dyDescent="0.3">
      <c r="B72" t="s">
        <v>204</v>
      </c>
      <c r="C72" s="257">
        <f>I61</f>
        <v>4775.9176420005842</v>
      </c>
      <c r="D72" s="257">
        <f>C72</f>
        <v>4775.9176420005842</v>
      </c>
    </row>
    <row r="73" spans="2:17" x14ac:dyDescent="0.3">
      <c r="B73" s="12" t="s">
        <v>226</v>
      </c>
      <c r="C73" s="258">
        <f>C71/C72</f>
        <v>317.84776438282699</v>
      </c>
      <c r="D73" s="258">
        <f>D71/D72</f>
        <v>264.69584004107827</v>
      </c>
    </row>
    <row r="74" spans="2:17" x14ac:dyDescent="0.3">
      <c r="B74" s="12"/>
      <c r="C74" s="179"/>
      <c r="D74" s="179"/>
    </row>
    <row r="75" spans="2:17" x14ac:dyDescent="0.3">
      <c r="B75" s="32" t="s">
        <v>227</v>
      </c>
      <c r="C75" s="167" t="s">
        <v>223</v>
      </c>
      <c r="D75" s="167" t="s">
        <v>22</v>
      </c>
      <c r="E75" s="180"/>
      <c r="F75" s="180"/>
    </row>
    <row r="76" spans="2:17" x14ac:dyDescent="0.3">
      <c r="B76" t="s">
        <v>228</v>
      </c>
      <c r="C76" s="259">
        <f>C69/$E$14</f>
        <v>5.0509137381649296</v>
      </c>
      <c r="D76" s="259">
        <f>D69/$E$14</f>
        <v>4.147496918075162</v>
      </c>
      <c r="E76" s="180"/>
      <c r="F76" s="180"/>
    </row>
    <row r="77" spans="2:17" x14ac:dyDescent="0.3">
      <c r="B77" t="s">
        <v>229</v>
      </c>
      <c r="C77" s="260">
        <f>C69/$E$16</f>
        <v>17.416943924706654</v>
      </c>
      <c r="D77" s="260">
        <f>D69/$E$16</f>
        <v>14.301713510604007</v>
      </c>
      <c r="E77" s="180"/>
      <c r="F77" s="180"/>
      <c r="G77" s="181"/>
      <c r="H77" s="181"/>
    </row>
    <row r="78" spans="2:17" x14ac:dyDescent="0.3">
      <c r="B78" s="149" t="s">
        <v>230</v>
      </c>
      <c r="C78" s="260">
        <f>C69/$E$18</f>
        <v>20.532169667337111</v>
      </c>
      <c r="D78" s="260">
        <f>D69/$E$18</f>
        <v>16.859743569411226</v>
      </c>
      <c r="E78" s="180"/>
      <c r="F78" s="254"/>
    </row>
    <row r="79" spans="2:17" x14ac:dyDescent="0.3">
      <c r="F79" s="181"/>
    </row>
    <row r="80" spans="2:17" x14ac:dyDescent="0.3">
      <c r="B80" s="142" t="s">
        <v>231</v>
      </c>
      <c r="C80" s="142"/>
      <c r="D80" s="142"/>
      <c r="E80" s="142"/>
      <c r="F80" s="142"/>
      <c r="G80" s="142"/>
      <c r="H80" s="142"/>
      <c r="I80" s="142"/>
      <c r="J80" s="142"/>
      <c r="K80" s="142"/>
      <c r="L80" s="142"/>
      <c r="M80" s="142"/>
      <c r="N80" s="142"/>
      <c r="O80" s="142"/>
      <c r="P80" s="142"/>
      <c r="Q80" s="142"/>
    </row>
    <row r="81" spans="2:17" x14ac:dyDescent="0.3">
      <c r="B81" s="12"/>
    </row>
    <row r="82" spans="2:17" ht="17.25" customHeight="1" x14ac:dyDescent="0.45">
      <c r="B82" s="182"/>
      <c r="C82" s="12"/>
      <c r="D82" s="183" t="s">
        <v>226</v>
      </c>
      <c r="E82" s="144"/>
      <c r="F82" s="144"/>
      <c r="G82" s="144"/>
      <c r="H82" s="144"/>
      <c r="I82" s="144"/>
      <c r="J82" s="184"/>
      <c r="L82" s="183" t="s">
        <v>232</v>
      </c>
      <c r="M82" s="144"/>
      <c r="N82" s="144"/>
      <c r="O82" s="144"/>
      <c r="P82" s="144"/>
      <c r="Q82" s="144"/>
    </row>
    <row r="83" spans="2:17" ht="15" customHeight="1" x14ac:dyDescent="0.3">
      <c r="B83" s="182"/>
      <c r="D83" s="29"/>
      <c r="E83" s="82" t="s">
        <v>233</v>
      </c>
      <c r="F83" s="82"/>
      <c r="G83" s="82"/>
      <c r="H83" s="82"/>
      <c r="I83" s="82"/>
      <c r="J83" s="185"/>
      <c r="L83" s="29"/>
      <c r="M83" s="82" t="s">
        <v>233</v>
      </c>
      <c r="N83" s="82"/>
      <c r="O83" s="82"/>
      <c r="P83" s="82"/>
      <c r="Q83" s="82"/>
    </row>
    <row r="84" spans="2:17" ht="15" customHeight="1" x14ac:dyDescent="0.3">
      <c r="B84" s="182"/>
      <c r="C84" s="92"/>
      <c r="D84" s="186">
        <f>C73</f>
        <v>317.84776438282699</v>
      </c>
      <c r="E84" s="187">
        <f>F84-0.005</f>
        <v>1.9999999999999997E-2</v>
      </c>
      <c r="F84" s="187">
        <f>G84-0.005</f>
        <v>2.4999999999999998E-2</v>
      </c>
      <c r="G84" s="188">
        <v>0.03</v>
      </c>
      <c r="H84" s="187">
        <f>G84+0.005</f>
        <v>3.4999999999999996E-2</v>
      </c>
      <c r="I84" s="187">
        <f>H84+0.005</f>
        <v>3.9999999999999994E-2</v>
      </c>
      <c r="J84" s="189"/>
      <c r="L84" s="190">
        <f>C77</f>
        <v>17.416943924706654</v>
      </c>
      <c r="M84" s="187">
        <f>N84-0.0025</f>
        <v>2.5000000000000001E-2</v>
      </c>
      <c r="N84" s="187">
        <f>O84-0.0025</f>
        <v>2.75E-2</v>
      </c>
      <c r="O84" s="188">
        <v>0.03</v>
      </c>
      <c r="P84" s="187">
        <f>O84+0.0025</f>
        <v>3.2500000000000001E-2</v>
      </c>
      <c r="Q84" s="187">
        <f>P84+0.0025</f>
        <v>3.5000000000000003E-2</v>
      </c>
    </row>
    <row r="85" spans="2:17" ht="15" customHeight="1" x14ac:dyDescent="0.3">
      <c r="B85" s="182"/>
      <c r="D85" s="191">
        <f>D86+0.005</f>
        <v>8.8000000000000009E-2</v>
      </c>
      <c r="E85" s="192">
        <f t="dataTable" ref="E85:I89" dt2D="1" dtr="1" r1="C42" r2="H4" ca="1"/>
        <v>234.29593289273589</v>
      </c>
      <c r="F85" s="192">
        <v>247.90449816332583</v>
      </c>
      <c r="G85" s="192">
        <v>263.85936779091412</v>
      </c>
      <c r="H85" s="192">
        <v>282.82459017842473</v>
      </c>
      <c r="I85" s="192">
        <v>305.74090056333335</v>
      </c>
      <c r="J85" s="193"/>
      <c r="L85" s="191">
        <f>L86+0.005</f>
        <v>8.8000000000000009E-2</v>
      </c>
      <c r="M85" s="194">
        <f t="dataTable" ref="M85:Q89" dt2D="1" dtr="1" r1="C42" r2="H4"/>
        <v>13.317574186224304</v>
      </c>
      <c r="N85" s="194">
        <v>13.765810527630121</v>
      </c>
      <c r="O85" s="194">
        <v>14.252687932950229</v>
      </c>
      <c r="P85" s="194">
        <v>14.783428167578457</v>
      </c>
      <c r="Q85" s="194">
        <v>15.364238235662178</v>
      </c>
    </row>
    <row r="86" spans="2:17" ht="15" customHeight="1" x14ac:dyDescent="0.3">
      <c r="B86" s="182"/>
      <c r="D86" s="191">
        <f>D87+0.005</f>
        <v>8.3000000000000004E-2</v>
      </c>
      <c r="E86" s="192">
        <v>251.42601168735584</v>
      </c>
      <c r="F86" s="192">
        <v>267.64704055829549</v>
      </c>
      <c r="G86" s="192">
        <v>286.92864091431807</v>
      </c>
      <c r="H86" s="192">
        <v>310.22724134451209</v>
      </c>
      <c r="I86" s="192">
        <v>338.9441209445186</v>
      </c>
      <c r="J86" s="193"/>
      <c r="L86" s="191">
        <f>L87+0.005</f>
        <v>8.3000000000000004E-2</v>
      </c>
      <c r="M86" s="194">
        <v>14.474683157953713</v>
      </c>
      <c r="N86" s="194">
        <v>15.014277204776088</v>
      </c>
      <c r="O86" s="194">
        <v>15.604776350355293</v>
      </c>
      <c r="P86" s="194">
        <v>16.253740757873032</v>
      </c>
      <c r="Q86" s="194">
        <v>16.970305624507201</v>
      </c>
    </row>
    <row r="87" spans="2:17" ht="15" customHeight="1" x14ac:dyDescent="0.3">
      <c r="B87" s="182"/>
      <c r="C87" s="92" t="s">
        <v>234</v>
      </c>
      <c r="D87" s="195">
        <v>7.8E-2</v>
      </c>
      <c r="E87" s="192">
        <v>271.51409196853308</v>
      </c>
      <c r="F87" s="192">
        <v>291.11884898011249</v>
      </c>
      <c r="G87" s="192">
        <v>314.80793036910438</v>
      </c>
      <c r="H87" s="192">
        <v>344.00610045321082</v>
      </c>
      <c r="I87" s="192">
        <v>380.88799950681874</v>
      </c>
      <c r="J87" s="193"/>
      <c r="K87" s="92" t="s">
        <v>234</v>
      </c>
      <c r="L87" s="195">
        <v>7.8E-2</v>
      </c>
      <c r="M87" s="194">
        <v>15.850364139878245</v>
      </c>
      <c r="N87" s="194">
        <v>16.510205091024964</v>
      </c>
      <c r="O87" s="194">
        <v>17.238779474582802</v>
      </c>
      <c r="P87" s="194">
        <v>18.047416977212936</v>
      </c>
      <c r="Q87" s="194">
        <v>18.950082096427963</v>
      </c>
    </row>
    <row r="88" spans="2:17" ht="15" customHeight="1" x14ac:dyDescent="0.3">
      <c r="B88" s="182"/>
      <c r="D88" s="191">
        <f>D87-0.005</f>
        <v>7.2999999999999995E-2</v>
      </c>
      <c r="E88" s="192">
        <v>295.39744961261113</v>
      </c>
      <c r="F88" s="192">
        <v>319.4854175926011</v>
      </c>
      <c r="G88" s="192">
        <v>349.17523859119348</v>
      </c>
      <c r="H88" s="192">
        <v>386.67817037888909</v>
      </c>
      <c r="I88" s="192">
        <v>435.54562695073491</v>
      </c>
      <c r="J88" s="193"/>
      <c r="L88" s="191">
        <f>L87-0.005</f>
        <v>7.2999999999999995E-2</v>
      </c>
      <c r="M88" s="194">
        <v>17.512926660045437</v>
      </c>
      <c r="N88" s="194">
        <v>18.335180336788898</v>
      </c>
      <c r="O88" s="194">
        <v>19.253044906176946</v>
      </c>
      <c r="P88" s="194">
        <v>20.284226089069691</v>
      </c>
      <c r="Q88" s="194">
        <v>21.451089006553588</v>
      </c>
    </row>
    <row r="89" spans="2:17" ht="15" customHeight="1" x14ac:dyDescent="0.3">
      <c r="B89" s="196" t="s">
        <v>235</v>
      </c>
      <c r="D89" s="191">
        <f>D88-0.005</f>
        <v>6.7999999999999991E-2</v>
      </c>
      <c r="E89" s="192">
        <v>324.26222859963883</v>
      </c>
      <c r="F89" s="192">
        <v>354.45433381323272</v>
      </c>
      <c r="G89" s="192">
        <v>392.59172987250935</v>
      </c>
      <c r="H89" s="192">
        <v>442.28591261641509</v>
      </c>
      <c r="I89" s="192">
        <v>509.72801776885882</v>
      </c>
      <c r="J89" s="193"/>
      <c r="L89" s="191">
        <f>L88-0.005</f>
        <v>6.7999999999999991E-2</v>
      </c>
      <c r="M89" s="194">
        <v>19.562452292613255</v>
      </c>
      <c r="N89" s="194">
        <v>20.611078714768244</v>
      </c>
      <c r="O89" s="194">
        <v>21.7976822977331</v>
      </c>
      <c r="P89" s="194">
        <v>23.151413145904279</v>
      </c>
      <c r="Q89" s="194">
        <v>24.710254728646849</v>
      </c>
    </row>
    <row r="90" spans="2:17" ht="15" customHeight="1" x14ac:dyDescent="0.3">
      <c r="B90" s="196" t="s">
        <v>236</v>
      </c>
      <c r="E90" s="197"/>
      <c r="F90" s="197"/>
      <c r="G90" s="197"/>
      <c r="H90" s="197"/>
      <c r="I90" s="197"/>
      <c r="J90" s="198"/>
    </row>
    <row r="91" spans="2:17" ht="17.25" customHeight="1" x14ac:dyDescent="0.45">
      <c r="B91" s="182"/>
      <c r="D91" s="183" t="s">
        <v>226</v>
      </c>
      <c r="E91" s="144"/>
      <c r="F91" s="144"/>
      <c r="G91" s="144"/>
      <c r="H91" s="144"/>
      <c r="I91" s="144"/>
      <c r="J91" s="184"/>
      <c r="L91" s="183" t="s">
        <v>232</v>
      </c>
      <c r="M91" s="144"/>
      <c r="N91" s="144"/>
      <c r="O91" s="144"/>
      <c r="P91" s="144"/>
      <c r="Q91" s="144"/>
    </row>
    <row r="92" spans="2:17" ht="15" customHeight="1" x14ac:dyDescent="0.3">
      <c r="B92" s="182"/>
      <c r="E92" s="82" t="s">
        <v>237</v>
      </c>
      <c r="F92" s="82"/>
      <c r="G92" s="82"/>
      <c r="H92" s="82"/>
      <c r="I92" s="82"/>
      <c r="J92" s="185"/>
      <c r="M92" s="82" t="s">
        <v>237</v>
      </c>
      <c r="N92" s="82"/>
      <c r="O92" s="82"/>
      <c r="P92" s="82"/>
      <c r="Q92" s="82"/>
    </row>
    <row r="93" spans="2:17" ht="15" customHeight="1" x14ac:dyDescent="0.3">
      <c r="B93" s="182"/>
      <c r="D93" s="199">
        <f>D73</f>
        <v>264.69584004107827</v>
      </c>
      <c r="E93" s="200">
        <f>F93-0.5</f>
        <v>11.5</v>
      </c>
      <c r="F93" s="200">
        <f>G93-0.5</f>
        <v>12</v>
      </c>
      <c r="G93" s="201">
        <v>12.5</v>
      </c>
      <c r="H93" s="200">
        <f>G93+0.5</f>
        <v>13</v>
      </c>
      <c r="I93" s="200">
        <f>H93+0.5</f>
        <v>13.5</v>
      </c>
      <c r="J93" s="202"/>
      <c r="L93" s="190">
        <f>D77</f>
        <v>14.301713510604007</v>
      </c>
      <c r="M93" s="200">
        <f>N93-0.5</f>
        <v>11.5</v>
      </c>
      <c r="N93" s="200">
        <f>O93-0.5</f>
        <v>12</v>
      </c>
      <c r="O93" s="201">
        <v>12.5</v>
      </c>
      <c r="P93" s="200">
        <f>O93+0.5</f>
        <v>13</v>
      </c>
      <c r="Q93" s="200">
        <f>P93+0.5</f>
        <v>13.5</v>
      </c>
    </row>
    <row r="94" spans="2:17" ht="15" customHeight="1" x14ac:dyDescent="0.3">
      <c r="B94" s="182"/>
      <c r="D94" s="191">
        <f>D95+0.005</f>
        <v>8.8000000000000009E-2</v>
      </c>
      <c r="E94" s="192">
        <f t="dataTable" ref="E94:I98" dt2D="1" dtr="1" r1="I43" r2="H4" ca="1"/>
        <v>240.51493997108687</v>
      </c>
      <c r="F94" s="192">
        <v>247.77451320313881</v>
      </c>
      <c r="G94" s="192">
        <v>255.0340864351908</v>
      </c>
      <c r="H94" s="192">
        <v>262.29365966724276</v>
      </c>
      <c r="I94" s="192">
        <v>269.55323289929476</v>
      </c>
      <c r="J94" s="193"/>
      <c r="L94" s="191">
        <f>L95+0.005</f>
        <v>8.8000000000000009E-2</v>
      </c>
      <c r="M94" s="194">
        <f t="dataTable" ref="M94:Q98" dt2D="1" dtr="1" r1="I43" r2="H4" ca="1"/>
        <v>12.884472718829965</v>
      </c>
      <c r="N94" s="194">
        <v>13.3099557771758</v>
      </c>
      <c r="O94" s="194">
        <v>13.735438835521636</v>
      </c>
      <c r="P94" s="194">
        <v>14.160921893867471</v>
      </c>
      <c r="Q94" s="194">
        <v>14.586404952213309</v>
      </c>
    </row>
    <row r="95" spans="2:17" ht="15" customHeight="1" x14ac:dyDescent="0.3">
      <c r="B95" s="182"/>
      <c r="D95" s="191">
        <f>D96+0.005</f>
        <v>8.3000000000000004E-2</v>
      </c>
      <c r="E95" s="192">
        <v>244.74721178652581</v>
      </c>
      <c r="F95" s="192">
        <v>252.16196441844033</v>
      </c>
      <c r="G95" s="192">
        <v>259.57671705035489</v>
      </c>
      <c r="H95" s="192">
        <v>266.99146968226938</v>
      </c>
      <c r="I95" s="192">
        <v>274.40622231418394</v>
      </c>
      <c r="J95" s="193"/>
      <c r="L95" s="191">
        <f>L96+0.005</f>
        <v>8.3000000000000004E-2</v>
      </c>
      <c r="M95" s="194">
        <v>13.132525861655669</v>
      </c>
      <c r="N95" s="194">
        <v>13.567103973324237</v>
      </c>
      <c r="O95" s="194">
        <v>14.001682084992806</v>
      </c>
      <c r="P95" s="194">
        <v>14.436260196661374</v>
      </c>
      <c r="Q95" s="194">
        <v>14.870838308329942</v>
      </c>
    </row>
    <row r="96" spans="2:17" ht="15" customHeight="1" x14ac:dyDescent="0.3">
      <c r="B96" s="182"/>
      <c r="C96" s="92" t="s">
        <v>234</v>
      </c>
      <c r="D96" s="195">
        <v>7.8E-2</v>
      </c>
      <c r="E96" s="192">
        <v>249.08634127580683</v>
      </c>
      <c r="F96" s="192">
        <v>256.66033165906236</v>
      </c>
      <c r="G96" s="192">
        <v>264.23432204231796</v>
      </c>
      <c r="H96" s="192">
        <v>271.80831242557349</v>
      </c>
      <c r="I96" s="192">
        <v>279.38230280882908</v>
      </c>
      <c r="J96" s="193"/>
      <c r="K96" s="92" t="s">
        <v>234</v>
      </c>
      <c r="L96" s="195">
        <v>7.8E-2</v>
      </c>
      <c r="M96" s="194">
        <v>13.386841924961782</v>
      </c>
      <c r="N96" s="194">
        <v>13.830752949637624</v>
      </c>
      <c r="O96" s="194">
        <v>14.274663974313473</v>
      </c>
      <c r="P96" s="194">
        <v>14.718574998989316</v>
      </c>
      <c r="Q96" s="194">
        <v>15.162486023665165</v>
      </c>
    </row>
    <row r="97" spans="2:17" ht="15" customHeight="1" x14ac:dyDescent="0.3">
      <c r="B97" s="182"/>
      <c r="D97" s="191">
        <f>D96-0.005</f>
        <v>7.2999999999999995E-2</v>
      </c>
      <c r="E97" s="192">
        <v>253.53557914849327</v>
      </c>
      <c r="F97" s="192">
        <v>261.27299133910321</v>
      </c>
      <c r="G97" s="192">
        <v>269.01040352971324</v>
      </c>
      <c r="H97" s="192">
        <v>276.74781572032322</v>
      </c>
      <c r="I97" s="192">
        <v>284.48522791093325</v>
      </c>
      <c r="J97" s="193"/>
      <c r="L97" s="191">
        <f>L96-0.005</f>
        <v>7.2999999999999995E-2</v>
      </c>
      <c r="M97" s="194">
        <v>13.64761143259903</v>
      </c>
      <c r="N97" s="194">
        <v>14.101100597500331</v>
      </c>
      <c r="O97" s="194">
        <v>14.554589762401635</v>
      </c>
      <c r="P97" s="194">
        <v>15.008078927302936</v>
      </c>
      <c r="Q97" s="194">
        <v>15.46156809220424</v>
      </c>
    </row>
    <row r="98" spans="2:17" ht="15" customHeight="1" x14ac:dyDescent="0.3">
      <c r="B98" s="182"/>
      <c r="D98" s="191">
        <f>D97-0.005</f>
        <v>6.7999999999999991E-2</v>
      </c>
      <c r="E98" s="192">
        <v>258.09829135405676</v>
      </c>
      <c r="F98" s="192">
        <v>266.00343961799439</v>
      </c>
      <c r="G98" s="192">
        <v>273.90858788193202</v>
      </c>
      <c r="H98" s="192">
        <v>281.81373614586965</v>
      </c>
      <c r="I98" s="192">
        <v>289.71888440980734</v>
      </c>
      <c r="J98" s="193"/>
      <c r="L98" s="191">
        <f>L97-0.005</f>
        <v>6.7999999999999991E-2</v>
      </c>
      <c r="M98" s="194">
        <v>13.915031662620773</v>
      </c>
      <c r="N98" s="194">
        <v>14.378351826561973</v>
      </c>
      <c r="O98" s="194">
        <v>14.841671990503174</v>
      </c>
      <c r="P98" s="194">
        <v>15.304992154444372</v>
      </c>
      <c r="Q98" s="194">
        <v>15.768312318385574</v>
      </c>
    </row>
    <row r="99" spans="2:17" x14ac:dyDescent="0.3">
      <c r="J99" s="203"/>
    </row>
    <row r="100" spans="2:17" x14ac:dyDescent="0.3">
      <c r="B100" s="204" t="s">
        <v>238</v>
      </c>
      <c r="C100" s="204"/>
      <c r="D100" s="204"/>
      <c r="E100" s="204"/>
      <c r="G100" s="204" t="s">
        <v>239</v>
      </c>
      <c r="H100" s="204"/>
      <c r="I100" s="204"/>
      <c r="J100" s="205"/>
      <c r="K100" s="204"/>
      <c r="L100" s="204"/>
      <c r="M100" s="204"/>
      <c r="N100" s="204"/>
      <c r="O100" s="204"/>
      <c r="P100" s="204"/>
    </row>
    <row r="101" spans="2:17" x14ac:dyDescent="0.3">
      <c r="J101" s="203"/>
    </row>
    <row r="102" spans="2:17" x14ac:dyDescent="0.3">
      <c r="J102" s="203"/>
    </row>
    <row r="103" spans="2:17" x14ac:dyDescent="0.3">
      <c r="J103" s="203"/>
    </row>
    <row r="104" spans="2:17" x14ac:dyDescent="0.3">
      <c r="J104" s="203"/>
    </row>
    <row r="105" spans="2:17" x14ac:dyDescent="0.3">
      <c r="J105" s="203"/>
    </row>
    <row r="106" spans="2:17" x14ac:dyDescent="0.3">
      <c r="J106" s="203"/>
    </row>
    <row r="107" spans="2:17" x14ac:dyDescent="0.3">
      <c r="J107" s="203"/>
    </row>
    <row r="108" spans="2:17" x14ac:dyDescent="0.3">
      <c r="J108" s="203"/>
    </row>
    <row r="109" spans="2:17" x14ac:dyDescent="0.3">
      <c r="J109" s="203"/>
    </row>
    <row r="110" spans="2:17" x14ac:dyDescent="0.3">
      <c r="J110" s="203"/>
    </row>
    <row r="111" spans="2:17" x14ac:dyDescent="0.3">
      <c r="J111" s="203"/>
    </row>
    <row r="112" spans="2:17" x14ac:dyDescent="0.3">
      <c r="J112" s="203"/>
    </row>
    <row r="113" spans="2:17" x14ac:dyDescent="0.3">
      <c r="J113" s="203"/>
    </row>
    <row r="114" spans="2:17" x14ac:dyDescent="0.3">
      <c r="J114" s="203"/>
      <c r="M114" s="206"/>
    </row>
    <row r="115" spans="2:17" x14ac:dyDescent="0.3">
      <c r="J115" s="203"/>
    </row>
    <row r="116" spans="2:17" x14ac:dyDescent="0.3">
      <c r="J116" s="203"/>
    </row>
    <row r="117" spans="2:17" x14ac:dyDescent="0.3">
      <c r="J117" s="203"/>
    </row>
    <row r="118" spans="2:17" x14ac:dyDescent="0.3">
      <c r="J118" s="203"/>
    </row>
    <row r="119" spans="2:17" x14ac:dyDescent="0.3">
      <c r="J119" s="203"/>
    </row>
    <row r="120" spans="2:17" x14ac:dyDescent="0.3">
      <c r="J120" s="203"/>
    </row>
    <row r="121" spans="2:17" x14ac:dyDescent="0.3">
      <c r="B121" s="207"/>
      <c r="C121" s="208" t="s">
        <v>240</v>
      </c>
      <c r="D121" s="208" t="s">
        <v>241</v>
      </c>
      <c r="E121" s="209" t="s">
        <v>242</v>
      </c>
      <c r="G121" s="207"/>
      <c r="H121" s="138"/>
      <c r="I121" s="138"/>
      <c r="J121" s="210"/>
      <c r="K121" s="138"/>
      <c r="L121" s="138"/>
      <c r="M121" s="138"/>
      <c r="N121" s="138"/>
      <c r="O121" s="208" t="s">
        <v>240</v>
      </c>
      <c r="P121" s="208" t="s">
        <v>241</v>
      </c>
      <c r="Q121" s="209" t="s">
        <v>242</v>
      </c>
    </row>
    <row r="122" spans="2:17" x14ac:dyDescent="0.3">
      <c r="B122" s="211" t="str">
        <f>"DCF Value at "&amp;TEXT(E93,"0.0x")&amp;"-"&amp;TEXT(I93,"0.0x")&amp;" Exit EBITDA Range at "&amp;TEXT(D96,"0.0%")&amp;" WACC"</f>
        <v>DCF Value at 11.5x-13.5x Exit EBITDA Range at 7.8% WACC</v>
      </c>
      <c r="C122" s="212">
        <f>E96</f>
        <v>249.08634127580683</v>
      </c>
      <c r="D122" s="212">
        <f>E122-C122</f>
        <v>30.29596153302225</v>
      </c>
      <c r="E122" s="213">
        <f>I96</f>
        <v>279.38230280882908</v>
      </c>
      <c r="G122" s="211" t="str">
        <f>"LTM EBITDA Purchase Multiple at "&amp;TEXT(M84,"0.0%")&amp;"-"&amp;TEXT(Q84,"0.0%")&amp;" Perpetuity Growth at "&amp;TEXT(L87,"0.0%")&amp;" WACC"</f>
        <v>LTM EBITDA Purchase Multiple at 2.5%-3.5% Perpetuity Growth at 7.8% WACC</v>
      </c>
      <c r="J122" s="203"/>
      <c r="O122" s="214">
        <f>M87</f>
        <v>15.850364139878245</v>
      </c>
      <c r="P122" s="214">
        <f>Q122-O122</f>
        <v>3.0997179565497177</v>
      </c>
      <c r="Q122" s="215">
        <f>Q87</f>
        <v>18.950082096427963</v>
      </c>
    </row>
    <row r="123" spans="2:17" x14ac:dyDescent="0.3">
      <c r="B123" s="216" t="str">
        <f>"DCF Value at "&amp;TEXT(E84,"0.0%")&amp;"-"&amp;TEXT(I84,"0.0%")&amp;" Perpetuity Range at "&amp;TEXT(D96,"0.0%")&amp;" WACC"</f>
        <v>DCF Value at 2.0%-4.0% Perpetuity Range at 7.8% WACC</v>
      </c>
      <c r="C123" s="212">
        <f>E87</f>
        <v>271.51409196853308</v>
      </c>
      <c r="D123" s="212">
        <f>E123-C123</f>
        <v>109.37390753828566</v>
      </c>
      <c r="E123" s="213">
        <f>I87</f>
        <v>380.88799950681874</v>
      </c>
      <c r="G123" s="216" t="str">
        <f>"LTM EBITDA Purchase Multiple at "&amp;TEXT(M96,"0.0x")&amp;"-"&amp;TEXT(Q96,"0.0x")&amp;" Exit EBITDA Multiple at "&amp;TEXT(L96,"0.0%")&amp;" WACC"</f>
        <v>LTM EBITDA Purchase Multiple at 13.4x-15.2x Exit EBITDA Multiple at 7.8% WACC</v>
      </c>
      <c r="J123" s="203"/>
      <c r="O123" s="214">
        <f>M96</f>
        <v>13.386841924961782</v>
      </c>
      <c r="P123" s="214">
        <f>Q123-O123</f>
        <v>1.775644098703383</v>
      </c>
      <c r="Q123" s="215">
        <f>Q96</f>
        <v>15.162486023665165</v>
      </c>
    </row>
    <row r="124" spans="2:17" x14ac:dyDescent="0.3">
      <c r="B124" s="217" t="s">
        <v>243</v>
      </c>
      <c r="C124" s="218">
        <v>169.5</v>
      </c>
      <c r="D124" s="218">
        <f>E124-C124</f>
        <v>158.35000000000002</v>
      </c>
      <c r="E124" s="219">
        <v>327.85</v>
      </c>
      <c r="G124" s="217" t="str">
        <f>"LTM EBITDA Purchase Multiple at "&amp;TEXT(L98,"0.0%")&amp;"-"&amp;TEXT(L94,"0.0%")&amp;" WACC at "&amp;TEXT(O93,"0.0x")&amp;" Exit EBITDA"</f>
        <v>LTM EBITDA Purchase Multiple at 6.8%-8.8% WACC at 12.5x Exit EBITDA</v>
      </c>
      <c r="H124" s="14"/>
      <c r="I124" s="14"/>
      <c r="J124" s="220"/>
      <c r="K124" s="14"/>
      <c r="L124" s="14"/>
      <c r="M124" s="14"/>
      <c r="N124" s="14"/>
      <c r="O124" s="221">
        <f>O94</f>
        <v>13.735438835521636</v>
      </c>
      <c r="P124" s="221">
        <f>Q124-O124</f>
        <v>1.1062331549815383</v>
      </c>
      <c r="Q124" s="222">
        <f>O98</f>
        <v>14.841671990503174</v>
      </c>
    </row>
    <row r="125" spans="2:17" x14ac:dyDescent="0.3">
      <c r="J125" s="203"/>
    </row>
    <row r="126" spans="2:17" x14ac:dyDescent="0.3">
      <c r="J126" s="203"/>
    </row>
  </sheetData>
  <conditionalFormatting sqref="E85:J89 E94:J98">
    <cfRule type="cellIs" dxfId="1" priority="1" operator="lessThan">
      <formula>$C$7</formula>
    </cfRule>
  </conditionalFormatting>
  <dataValidations disablePrompts="1" count="1">
    <dataValidation type="list" allowBlank="1" showInputMessage="1" showErrorMessage="1" sqref="H7" xr:uid="{F31F3B55-A03E-44E2-ACB1-600196944C3F}">
      <formula1>"0,1"</formula1>
    </dataValidation>
  </dataValidation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25244-791B-40E2-B62E-06CAB6DFE109}">
  <dimension ref="B1:J41"/>
  <sheetViews>
    <sheetView workbookViewId="0"/>
  </sheetViews>
  <sheetFormatPr defaultColWidth="8.77734375" defaultRowHeight="14.4" x14ac:dyDescent="0.3"/>
  <cols>
    <col min="1" max="1" width="2.33203125" customWidth="1"/>
    <col min="2" max="2" width="60.44140625" bestFit="1" customWidth="1"/>
    <col min="3" max="3" width="11.44140625" bestFit="1" customWidth="1"/>
    <col min="4" max="4" width="10.44140625" bestFit="1" customWidth="1"/>
    <col min="5" max="5" width="11.109375" customWidth="1"/>
    <col min="6" max="6" width="2.33203125" customWidth="1"/>
    <col min="7" max="7" width="11.109375" bestFit="1" customWidth="1"/>
  </cols>
  <sheetData>
    <row r="1" spans="2:10" ht="15" thickBot="1" x14ac:dyDescent="0.35"/>
    <row r="2" spans="2:10" ht="15" thickBot="1" x14ac:dyDescent="0.35">
      <c r="B2" s="1" t="s">
        <v>245</v>
      </c>
      <c r="C2" s="2"/>
      <c r="D2" s="2"/>
      <c r="E2" s="2"/>
    </row>
    <row r="3" spans="2:10" x14ac:dyDescent="0.3">
      <c r="B3" s="132" t="str">
        <f>'[1]Financials '!$B$3</f>
        <v xml:space="preserve">$ and shares in millions, except per share data </v>
      </c>
    </row>
    <row r="4" spans="2:10" x14ac:dyDescent="0.3">
      <c r="B4" t="s">
        <v>246</v>
      </c>
      <c r="E4" s="223">
        <f>'DCF 1-Pager'!H5</f>
        <v>273.52</v>
      </c>
    </row>
    <row r="6" spans="2:10" x14ac:dyDescent="0.3">
      <c r="B6" s="12" t="s">
        <v>247</v>
      </c>
    </row>
    <row r="7" spans="2:10" ht="14.4" customHeight="1" x14ac:dyDescent="0.3">
      <c r="B7" s="56"/>
      <c r="C7" s="224" t="s">
        <v>248</v>
      </c>
      <c r="D7" s="224" t="s">
        <v>249</v>
      </c>
      <c r="E7" s="224" t="s">
        <v>250</v>
      </c>
      <c r="G7" s="261" t="s">
        <v>129</v>
      </c>
      <c r="J7" s="5"/>
    </row>
    <row r="8" spans="2:10" ht="16.2" x14ac:dyDescent="0.45">
      <c r="C8" s="225" t="s">
        <v>251</v>
      </c>
      <c r="D8" s="225" t="s">
        <v>252</v>
      </c>
      <c r="E8" s="225" t="s">
        <v>251</v>
      </c>
    </row>
    <row r="9" spans="2:10" x14ac:dyDescent="0.3">
      <c r="B9" t="s">
        <v>253</v>
      </c>
      <c r="C9" s="171">
        <v>10</v>
      </c>
      <c r="D9" s="226">
        <v>67.45</v>
      </c>
      <c r="E9" s="228">
        <f>IF(D9&lt;$E$4,C9,0)</f>
        <v>10</v>
      </c>
      <c r="G9" t="s">
        <v>277</v>
      </c>
    </row>
    <row r="10" spans="2:10" x14ac:dyDescent="0.3">
      <c r="B10" t="s">
        <v>254</v>
      </c>
      <c r="C10" s="171">
        <v>50</v>
      </c>
      <c r="D10" s="226">
        <v>112.63</v>
      </c>
      <c r="E10" s="228">
        <f t="shared" ref="E10:E15" si="0">IF(D10&lt;$E$4,C10,0)</f>
        <v>50</v>
      </c>
    </row>
    <row r="11" spans="2:10" x14ac:dyDescent="0.3">
      <c r="B11" t="s">
        <v>255</v>
      </c>
      <c r="C11" s="171">
        <v>10</v>
      </c>
      <c r="D11" s="226">
        <v>146.29</v>
      </c>
      <c r="E11" s="228">
        <f t="shared" si="0"/>
        <v>10</v>
      </c>
    </row>
    <row r="12" spans="2:10" x14ac:dyDescent="0.3">
      <c r="B12" t="s">
        <v>256</v>
      </c>
      <c r="C12" s="171">
        <v>42</v>
      </c>
      <c r="D12" s="226">
        <v>218.91</v>
      </c>
      <c r="E12" s="228">
        <f>IF(D12&lt;$E$4,C12,0)</f>
        <v>42</v>
      </c>
    </row>
    <row r="13" spans="2:10" x14ac:dyDescent="0.3">
      <c r="B13" t="s">
        <v>257</v>
      </c>
      <c r="C13" s="171">
        <v>20</v>
      </c>
      <c r="D13" s="226">
        <v>265.13</v>
      </c>
      <c r="E13" s="228">
        <f t="shared" si="0"/>
        <v>20</v>
      </c>
    </row>
    <row r="14" spans="2:10" x14ac:dyDescent="0.3">
      <c r="B14" t="s">
        <v>258</v>
      </c>
      <c r="C14" s="171">
        <v>28</v>
      </c>
      <c r="D14" s="226">
        <v>302.61</v>
      </c>
      <c r="E14" s="228">
        <f t="shared" si="0"/>
        <v>0</v>
      </c>
    </row>
    <row r="15" spans="2:10" ht="16.2" x14ac:dyDescent="0.45">
      <c r="B15" t="s">
        <v>259</v>
      </c>
      <c r="C15" s="227">
        <v>45</v>
      </c>
      <c r="D15" s="226">
        <v>309.74</v>
      </c>
      <c r="E15" s="228">
        <f t="shared" si="0"/>
        <v>0</v>
      </c>
    </row>
    <row r="16" spans="2:10" x14ac:dyDescent="0.3">
      <c r="B16" t="s">
        <v>260</v>
      </c>
      <c r="C16" s="228">
        <f>SUM(C9:C15)</f>
        <v>205</v>
      </c>
      <c r="D16" s="228"/>
      <c r="E16" s="228">
        <f>SUM(E9:E15)</f>
        <v>132</v>
      </c>
    </row>
    <row r="17" spans="2:7" x14ac:dyDescent="0.3">
      <c r="C17" s="171"/>
      <c r="D17" s="173"/>
      <c r="E17" s="175"/>
    </row>
    <row r="18" spans="2:7" x14ac:dyDescent="0.3">
      <c r="B18" s="29" t="s">
        <v>261</v>
      </c>
      <c r="C18" s="27"/>
      <c r="E18" s="214">
        <f>SUMPRODUCT(D9:D15,E9:E15)</f>
        <v>22265.72</v>
      </c>
    </row>
    <row r="19" spans="2:7" x14ac:dyDescent="0.3">
      <c r="B19" s="29" t="s">
        <v>262</v>
      </c>
      <c r="E19" s="214">
        <f>-(E18/E4)</f>
        <v>-81.404357999415041</v>
      </c>
    </row>
    <row r="20" spans="2:7" x14ac:dyDescent="0.3">
      <c r="B20" s="12" t="s">
        <v>263</v>
      </c>
      <c r="C20" s="12"/>
      <c r="D20" s="12"/>
      <c r="E20" s="287">
        <f>E16+E19</f>
        <v>50.595642000584959</v>
      </c>
    </row>
    <row r="21" spans="2:7" x14ac:dyDescent="0.3">
      <c r="B21" s="12"/>
      <c r="C21" s="12"/>
      <c r="D21" s="12"/>
      <c r="E21" s="288"/>
    </row>
    <row r="22" spans="2:7" x14ac:dyDescent="0.3">
      <c r="B22" s="142" t="s">
        <v>264</v>
      </c>
      <c r="C22" s="142"/>
      <c r="D22" s="56"/>
      <c r="E22" s="289"/>
    </row>
    <row r="23" spans="2:7" x14ac:dyDescent="0.3">
      <c r="E23" s="12"/>
    </row>
    <row r="24" spans="2:7" x14ac:dyDescent="0.3">
      <c r="B24" s="30" t="s">
        <v>265</v>
      </c>
      <c r="G24" t="s">
        <v>276</v>
      </c>
    </row>
    <row r="25" spans="2:7" x14ac:dyDescent="0.3">
      <c r="B25" t="s">
        <v>266</v>
      </c>
      <c r="E25" s="24">
        <v>14543</v>
      </c>
    </row>
    <row r="26" spans="2:7" x14ac:dyDescent="0.3">
      <c r="B26" t="s">
        <v>267</v>
      </c>
      <c r="E26" s="290">
        <v>4</v>
      </c>
    </row>
    <row r="27" spans="2:7" ht="15" customHeight="1" x14ac:dyDescent="0.3">
      <c r="B27" t="s">
        <v>268</v>
      </c>
      <c r="E27" s="291">
        <f>E25/E28</f>
        <v>250</v>
      </c>
    </row>
    <row r="28" spans="2:7" ht="15" customHeight="1" x14ac:dyDescent="0.3">
      <c r="B28" t="s">
        <v>269</v>
      </c>
      <c r="E28" s="214">
        <f>E26*E25/1000</f>
        <v>58.171999999999997</v>
      </c>
      <c r="G28" s="229"/>
    </row>
    <row r="30" spans="2:7" x14ac:dyDescent="0.3">
      <c r="B30" s="12" t="s">
        <v>270</v>
      </c>
      <c r="C30" s="12"/>
      <c r="E30" s="287">
        <f>IF(E27&lt;$E$4,E28,0)</f>
        <v>58.171999999999997</v>
      </c>
    </row>
    <row r="31" spans="2:7" x14ac:dyDescent="0.3">
      <c r="B31" s="19" t="s">
        <v>271</v>
      </c>
      <c r="C31" s="19"/>
      <c r="E31" s="292">
        <f>IF(E30&gt;0,-E25,0)</f>
        <v>-14543</v>
      </c>
    </row>
    <row r="33" spans="2:7" x14ac:dyDescent="0.3">
      <c r="B33" s="30" t="s">
        <v>272</v>
      </c>
      <c r="G33" t="s">
        <v>279</v>
      </c>
    </row>
    <row r="34" spans="2:7" x14ac:dyDescent="0.3">
      <c r="B34" t="s">
        <v>273</v>
      </c>
      <c r="E34" s="24">
        <v>34654</v>
      </c>
    </row>
    <row r="35" spans="2:7" x14ac:dyDescent="0.3">
      <c r="B35" t="s">
        <v>274</v>
      </c>
      <c r="E35" s="171">
        <v>45.5</v>
      </c>
    </row>
    <row r="36" spans="2:7" x14ac:dyDescent="0.3">
      <c r="B36" t="s">
        <v>275</v>
      </c>
      <c r="E36" s="290">
        <v>4.3</v>
      </c>
    </row>
    <row r="37" spans="2:7" x14ac:dyDescent="0.3">
      <c r="B37" t="s">
        <v>269</v>
      </c>
      <c r="E37" s="214">
        <f>E35*E36</f>
        <v>195.65</v>
      </c>
      <c r="G37" s="229"/>
    </row>
    <row r="38" spans="2:7" x14ac:dyDescent="0.3">
      <c r="B38" t="s">
        <v>268</v>
      </c>
      <c r="E38" s="293">
        <f>E34/E37</f>
        <v>177.12241247124967</v>
      </c>
    </row>
    <row r="39" spans="2:7" x14ac:dyDescent="0.3">
      <c r="E39" s="293"/>
    </row>
    <row r="40" spans="2:7" x14ac:dyDescent="0.3">
      <c r="B40" s="12" t="s">
        <v>270</v>
      </c>
      <c r="C40" s="12"/>
      <c r="E40" s="287">
        <f>IF(E38&lt;E4,E37,0)</f>
        <v>195.65</v>
      </c>
    </row>
    <row r="41" spans="2:7" x14ac:dyDescent="0.3">
      <c r="B41" s="19" t="s">
        <v>271</v>
      </c>
      <c r="E41" s="25">
        <f>IF(E40&gt;0,-E34,0)</f>
        <v>-34654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11F0E-BA99-4769-B09D-2B609E0F1985}">
  <dimension ref="B1:I21"/>
  <sheetViews>
    <sheetView workbookViewId="0"/>
  </sheetViews>
  <sheetFormatPr defaultRowHeight="14.4" x14ac:dyDescent="0.3"/>
  <cols>
    <col min="1" max="1" width="2.33203125" customWidth="1"/>
    <col min="2" max="2" width="34.44140625" bestFit="1" customWidth="1"/>
    <col min="3" max="3" width="11.109375" bestFit="1" customWidth="1"/>
  </cols>
  <sheetData>
    <row r="1" spans="2:9" ht="15" thickBot="1" x14ac:dyDescent="0.35"/>
    <row r="2" spans="2:9" ht="15" thickBot="1" x14ac:dyDescent="0.35">
      <c r="B2" s="1" t="s">
        <v>140</v>
      </c>
      <c r="C2" s="2"/>
      <c r="D2" s="2"/>
      <c r="E2" s="2"/>
      <c r="F2" s="2"/>
      <c r="G2" s="2"/>
      <c r="H2" s="2"/>
      <c r="I2" s="2"/>
    </row>
    <row r="3" spans="2:9" x14ac:dyDescent="0.3">
      <c r="B3" s="132" t="str">
        <f>'[1]Financials '!$B$3</f>
        <v xml:space="preserve">$ and shares in millions, except per share data </v>
      </c>
    </row>
    <row r="4" spans="2:9" x14ac:dyDescent="0.3">
      <c r="B4" s="133" t="s">
        <v>141</v>
      </c>
      <c r="C4" s="134"/>
      <c r="D4" s="134"/>
      <c r="E4" s="135"/>
      <c r="F4" s="136"/>
    </row>
    <row r="5" spans="2:9" x14ac:dyDescent="0.3">
      <c r="E5" s="32" t="s">
        <v>142</v>
      </c>
    </row>
    <row r="6" spans="2:9" x14ac:dyDescent="0.3">
      <c r="B6" t="s">
        <v>143</v>
      </c>
      <c r="C6" s="76">
        <v>1.7500000000000002E-2</v>
      </c>
      <c r="E6" t="s">
        <v>280</v>
      </c>
    </row>
    <row r="7" spans="2:9" x14ac:dyDescent="0.3">
      <c r="B7" t="s">
        <v>30</v>
      </c>
      <c r="C7" s="294">
        <f>'DCF 1-Pager'!I22</f>
        <v>0.17299999999999999</v>
      </c>
    </row>
    <row r="8" spans="2:9" x14ac:dyDescent="0.3">
      <c r="B8" t="s">
        <v>144</v>
      </c>
      <c r="C8" s="77">
        <f>C6*(1-C7)</f>
        <v>1.4472500000000001E-2</v>
      </c>
    </row>
    <row r="10" spans="2:9" x14ac:dyDescent="0.3">
      <c r="B10" t="s">
        <v>145</v>
      </c>
      <c r="C10" s="76">
        <v>1.23E-2</v>
      </c>
      <c r="E10" t="s">
        <v>146</v>
      </c>
    </row>
    <row r="11" spans="2:9" x14ac:dyDescent="0.3">
      <c r="B11" t="s">
        <v>147</v>
      </c>
      <c r="C11" s="171">
        <v>1.099</v>
      </c>
      <c r="E11" t="s">
        <v>281</v>
      </c>
    </row>
    <row r="12" spans="2:9" x14ac:dyDescent="0.3">
      <c r="B12" t="s">
        <v>148</v>
      </c>
      <c r="C12" s="295">
        <v>5.5E-2</v>
      </c>
      <c r="E12" t="s">
        <v>282</v>
      </c>
    </row>
    <row r="13" spans="2:9" x14ac:dyDescent="0.3">
      <c r="B13" t="s">
        <v>149</v>
      </c>
      <c r="C13" s="296">
        <f>C10+C11*C12</f>
        <v>7.2745000000000004E-2</v>
      </c>
      <c r="E13" t="s">
        <v>150</v>
      </c>
    </row>
    <row r="14" spans="2:9" x14ac:dyDescent="0.3">
      <c r="C14" s="297"/>
    </row>
    <row r="15" spans="2:9" x14ac:dyDescent="0.3">
      <c r="B15" s="13" t="s">
        <v>151</v>
      </c>
      <c r="C15" s="14"/>
      <c r="D15" s="14"/>
      <c r="E15" s="14"/>
    </row>
    <row r="16" spans="2:9" x14ac:dyDescent="0.3">
      <c r="B16" s="12"/>
      <c r="C16" s="92"/>
      <c r="D16" s="92" t="s">
        <v>152</v>
      </c>
    </row>
    <row r="17" spans="2:5" ht="16.2" x14ac:dyDescent="0.45">
      <c r="C17" s="298" t="s">
        <v>153</v>
      </c>
      <c r="D17" s="298" t="s">
        <v>154</v>
      </c>
      <c r="E17" s="298" t="s">
        <v>155</v>
      </c>
    </row>
    <row r="18" spans="2:5" x14ac:dyDescent="0.3">
      <c r="B18" t="s">
        <v>156</v>
      </c>
      <c r="C18" s="299">
        <f>'DCF 1-Pager'!H5*'DCF 1-Pager'!I61</f>
        <v>1306308.9934399996</v>
      </c>
      <c r="D18" s="300"/>
      <c r="E18" s="48">
        <f>IF(D18,D18,C18/($C$18+$C$19))</f>
        <v>1.0817935642186312</v>
      </c>
    </row>
    <row r="19" spans="2:5" x14ac:dyDescent="0.3">
      <c r="B19" t="s">
        <v>157</v>
      </c>
      <c r="C19" s="299">
        <f>'DCF 1-Pager'!C65</f>
        <v>-98769</v>
      </c>
      <c r="D19" s="300"/>
      <c r="E19" s="48">
        <f>IF(D19,D19,C19/($C$18+$C$19))</f>
        <v>-8.1793564218631112E-2</v>
      </c>
    </row>
    <row r="21" spans="2:5" x14ac:dyDescent="0.3">
      <c r="B21" s="137" t="s">
        <v>158</v>
      </c>
      <c r="C21" s="301"/>
      <c r="D21" s="138"/>
      <c r="E21" s="302">
        <f>C8*E19+C13*E18</f>
        <v>7.7511315470930195E-2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D208D-8A3D-42B6-8D09-FF34E07D9CCD}">
  <dimension ref="B1:Q132"/>
  <sheetViews>
    <sheetView workbookViewId="0"/>
  </sheetViews>
  <sheetFormatPr defaultColWidth="9.109375" defaultRowHeight="14.4" x14ac:dyDescent="0.3"/>
  <cols>
    <col min="1" max="1" width="2.33203125" customWidth="1"/>
    <col min="2" max="2" width="54.44140625" customWidth="1"/>
    <col min="3" max="3" width="13.44140625" customWidth="1"/>
    <col min="4" max="9" width="12.6640625" customWidth="1"/>
    <col min="10" max="10" width="2.33203125" customWidth="1"/>
    <col min="11" max="11" width="12.109375" bestFit="1" customWidth="1"/>
    <col min="12" max="16" width="9.44140625" customWidth="1"/>
  </cols>
  <sheetData>
    <row r="1" spans="2:16" ht="15" thickBot="1" x14ac:dyDescent="0.35"/>
    <row r="2" spans="2:16" ht="15" thickBot="1" x14ac:dyDescent="0.35">
      <c r="B2" s="1" t="s">
        <v>159</v>
      </c>
      <c r="C2" s="2"/>
      <c r="D2" s="2"/>
      <c r="E2" s="2"/>
      <c r="F2" s="2"/>
      <c r="G2" s="2"/>
      <c r="H2" s="2"/>
      <c r="I2" s="2"/>
    </row>
    <row r="3" spans="2:16" x14ac:dyDescent="0.3">
      <c r="B3" s="132" t="str">
        <f>'[1]Financials '!$B$3</f>
        <v xml:space="preserve">$ and shares in millions, except per share data </v>
      </c>
    </row>
    <row r="4" spans="2:16" x14ac:dyDescent="0.3">
      <c r="B4" t="s">
        <v>160</v>
      </c>
      <c r="D4" s="263">
        <v>43736</v>
      </c>
      <c r="F4" t="s">
        <v>161</v>
      </c>
      <c r="H4" s="231">
        <f>'[1]WACC Done'!E21</f>
        <v>7.7864310730353978E-2</v>
      </c>
    </row>
    <row r="5" spans="2:16" x14ac:dyDescent="0.3">
      <c r="B5" t="s">
        <v>162</v>
      </c>
      <c r="D5" s="264">
        <f>EOMONTH(D4,12)</f>
        <v>44104</v>
      </c>
      <c r="F5" t="s">
        <v>163</v>
      </c>
      <c r="H5" s="232">
        <v>273.52</v>
      </c>
      <c r="I5" t="s">
        <v>283</v>
      </c>
    </row>
    <row r="6" spans="2:16" x14ac:dyDescent="0.3">
      <c r="B6" t="s">
        <v>164</v>
      </c>
      <c r="D6" s="263">
        <v>43827</v>
      </c>
      <c r="F6" t="s">
        <v>165</v>
      </c>
      <c r="H6" s="233">
        <v>43888</v>
      </c>
      <c r="J6" s="140"/>
    </row>
    <row r="7" spans="2:16" x14ac:dyDescent="0.3">
      <c r="B7" t="s">
        <v>166</v>
      </c>
      <c r="D7" s="263">
        <v>43889</v>
      </c>
      <c r="F7" t="s">
        <v>167</v>
      </c>
      <c r="H7" s="265">
        <v>0</v>
      </c>
      <c r="I7" s="140"/>
      <c r="J7" s="140"/>
    </row>
    <row r="8" spans="2:16" x14ac:dyDescent="0.3">
      <c r="B8" t="s">
        <v>284</v>
      </c>
      <c r="D8" s="106">
        <f>YEARFRAC(D7,D5)</f>
        <v>0.58888888888888891</v>
      </c>
    </row>
    <row r="9" spans="2:16" x14ac:dyDescent="0.3">
      <c r="D9" s="141"/>
      <c r="F9" t="s">
        <v>285</v>
      </c>
      <c r="H9" s="141" t="str">
        <f>'FSM Apple 2019'!J5</f>
        <v>base case</v>
      </c>
    </row>
    <row r="10" spans="2:16" x14ac:dyDescent="0.3">
      <c r="B10" s="142" t="s">
        <v>169</v>
      </c>
      <c r="C10" s="56"/>
      <c r="D10" s="143"/>
      <c r="F10" s="56"/>
      <c r="G10" s="56"/>
      <c r="H10" s="56"/>
      <c r="I10" s="56"/>
    </row>
    <row r="11" spans="2:16" ht="17.25" customHeight="1" x14ac:dyDescent="0.45">
      <c r="C11" s="144" t="s">
        <v>286</v>
      </c>
      <c r="D11" s="144" t="s">
        <v>170</v>
      </c>
      <c r="E11" s="145" t="s">
        <v>171</v>
      </c>
      <c r="F11" s="144"/>
      <c r="G11" s="144"/>
      <c r="H11" s="144"/>
      <c r="I11" s="144"/>
      <c r="K11" s="12" t="s">
        <v>129</v>
      </c>
    </row>
    <row r="12" spans="2:16" x14ac:dyDescent="0.3">
      <c r="B12" s="19" t="s">
        <v>172</v>
      </c>
      <c r="C12" s="146">
        <f>D7</f>
        <v>43889</v>
      </c>
      <c r="D12" s="236">
        <f>D4</f>
        <v>43736</v>
      </c>
      <c r="E12" s="266">
        <f>EOMONTH(D12,12)</f>
        <v>44104</v>
      </c>
      <c r="F12" s="267">
        <f>EOMONTH(E12,12)</f>
        <v>44469</v>
      </c>
      <c r="G12" s="267">
        <f t="shared" ref="G12:I12" si="0">EOMONTH(F12,12)</f>
        <v>44834</v>
      </c>
      <c r="H12" s="267">
        <f t="shared" si="0"/>
        <v>45199</v>
      </c>
      <c r="I12" s="267">
        <f t="shared" si="0"/>
        <v>45565</v>
      </c>
    </row>
    <row r="13" spans="2:16" x14ac:dyDescent="0.3">
      <c r="B13" s="19"/>
      <c r="D13" s="147"/>
      <c r="E13" s="148"/>
      <c r="F13" s="148"/>
      <c r="G13" s="148"/>
      <c r="H13" s="148"/>
      <c r="I13" s="148"/>
      <c r="N13" s="268"/>
      <c r="P13" s="269"/>
    </row>
    <row r="14" spans="2:16" x14ac:dyDescent="0.3">
      <c r="B14" t="s">
        <v>15</v>
      </c>
      <c r="C14" s="149">
        <f ca="1">(1-$D$8)*E14+$D$8*D14</f>
        <v>266591.62533333333</v>
      </c>
      <c r="D14" s="151">
        <f>'FSM Apple 2019'!G17</f>
        <v>260174</v>
      </c>
      <c r="E14" s="151">
        <f ca="1">'FSM Apple 2019'!H17</f>
        <v>275784.44</v>
      </c>
      <c r="F14" s="151">
        <f ca="1">'FSM Apple 2019'!I17</f>
        <v>294813.56636</v>
      </c>
      <c r="G14" s="151">
        <f ca="1">'FSM Apple 2019'!J17</f>
        <v>315155.70243884</v>
      </c>
      <c r="H14" s="151">
        <f ca="1">'FSM Apple 2019'!K17</f>
        <v>336901.44590711995</v>
      </c>
      <c r="I14" s="151">
        <f ca="1">'FSM Apple 2019'!L17</f>
        <v>360147.64567471121</v>
      </c>
    </row>
    <row r="15" spans="2:16" x14ac:dyDescent="0.3">
      <c r="B15" s="28" t="s">
        <v>173</v>
      </c>
      <c r="D15" s="238"/>
      <c r="E15" s="106">
        <f ca="1">E14/D14-1</f>
        <v>6.0000000000000053E-2</v>
      </c>
      <c r="F15" s="106">
        <f t="shared" ref="F15:I15" ca="1" si="1">F14/E14-1</f>
        <v>6.899999999999995E-2</v>
      </c>
      <c r="G15" s="106">
        <f t="shared" ca="1" si="1"/>
        <v>6.899999999999995E-2</v>
      </c>
      <c r="H15" s="106">
        <f t="shared" ca="1" si="1"/>
        <v>6.899999999999995E-2</v>
      </c>
      <c r="I15" s="106">
        <f t="shared" ca="1" si="1"/>
        <v>6.899999999999995E-2</v>
      </c>
    </row>
    <row r="16" spans="2:16" x14ac:dyDescent="0.3">
      <c r="B16" t="s">
        <v>22</v>
      </c>
      <c r="C16" s="149">
        <f ca="1">(1-$D$8)*E16+$D$8*D16</f>
        <v>77485.834298337824</v>
      </c>
      <c r="D16" s="239">
        <f>D18+D25</f>
        <v>76477</v>
      </c>
      <c r="E16" s="239">
        <f t="shared" ref="E16:I16" ca="1" si="2">E18+E25</f>
        <v>78930.921266227146</v>
      </c>
      <c r="F16" s="239">
        <f t="shared" ca="1" si="2"/>
        <v>84485.948944409378</v>
      </c>
      <c r="G16" s="239">
        <f t="shared" ca="1" si="2"/>
        <v>90588.908241573634</v>
      </c>
      <c r="H16" s="239">
        <f t="shared" ca="1" si="2"/>
        <v>97131.838318822192</v>
      </c>
      <c r="I16" s="239">
        <f t="shared" ca="1" si="2"/>
        <v>104146.39895459295</v>
      </c>
    </row>
    <row r="17" spans="2:13" x14ac:dyDescent="0.3">
      <c r="B17" s="28" t="s">
        <v>174</v>
      </c>
      <c r="D17" s="240">
        <f>D16/D14</f>
        <v>0.29394559025882677</v>
      </c>
      <c r="E17" s="240">
        <f t="shared" ref="E17:I17" ca="1" si="3">E16/E14</f>
        <v>0.2862051291444403</v>
      </c>
      <c r="F17" s="240">
        <f t="shared" ca="1" si="3"/>
        <v>0.28657415595740487</v>
      </c>
      <c r="G17" s="240">
        <f t="shared" ca="1" si="3"/>
        <v>0.28744175510882142</v>
      </c>
      <c r="H17" s="240">
        <f t="shared" ca="1" si="3"/>
        <v>0.28830935426023779</v>
      </c>
      <c r="I17" s="240">
        <f t="shared" ca="1" si="3"/>
        <v>0.28917695341165434</v>
      </c>
    </row>
    <row r="18" spans="2:13" x14ac:dyDescent="0.3">
      <c r="B18" t="s">
        <v>175</v>
      </c>
      <c r="C18" s="149">
        <f ca="1">(1-$D$8)*E18+$D$8*D18</f>
        <v>65506.94</v>
      </c>
      <c r="D18" s="151">
        <f>'FSM Apple 2019'!G22</f>
        <v>63930</v>
      </c>
      <c r="E18" s="151">
        <f ca="1">'FSM Apple 2019'!H22</f>
        <v>67765.8</v>
      </c>
      <c r="F18" s="151">
        <f ca="1">'FSM Apple 2019'!I22</f>
        <v>72441.640199999994</v>
      </c>
      <c r="G18" s="151">
        <f ca="1">'FSM Apple 2019'!J22</f>
        <v>77440.113373800006</v>
      </c>
      <c r="H18" s="151">
        <f ca="1">'FSM Apple 2019'!K22</f>
        <v>82783.481196592184</v>
      </c>
      <c r="I18" s="151">
        <f ca="1">'FSM Apple 2019'!L22</f>
        <v>88495.541399157053</v>
      </c>
    </row>
    <row r="19" spans="2:13" x14ac:dyDescent="0.3">
      <c r="B19" s="28" t="s">
        <v>174</v>
      </c>
      <c r="D19" s="240">
        <f>D18/D14</f>
        <v>0.24572017188496928</v>
      </c>
      <c r="E19" s="240">
        <f t="shared" ref="E19:I19" ca="1" si="4">E18/E14</f>
        <v>0.24572017188496931</v>
      </c>
      <c r="F19" s="240">
        <f t="shared" ca="1" si="4"/>
        <v>0.24572017188496928</v>
      </c>
      <c r="G19" s="240">
        <f t="shared" ca="1" si="4"/>
        <v>0.24572017188496931</v>
      </c>
      <c r="H19" s="240">
        <f t="shared" ca="1" si="4"/>
        <v>0.24572017188496925</v>
      </c>
      <c r="I19" s="240">
        <f t="shared" ca="1" si="4"/>
        <v>0.24572017188496928</v>
      </c>
    </row>
    <row r="20" spans="2:13" x14ac:dyDescent="0.3">
      <c r="B20" s="28"/>
      <c r="D20" s="151"/>
      <c r="E20" s="152"/>
      <c r="F20" s="152"/>
      <c r="G20" s="152"/>
      <c r="H20" s="152"/>
      <c r="I20" s="152"/>
    </row>
    <row r="21" spans="2:13" x14ac:dyDescent="0.3">
      <c r="B21" t="s">
        <v>176</v>
      </c>
      <c r="D21" s="239">
        <f>D18*D22</f>
        <v>10192.894868947473</v>
      </c>
      <c r="E21" s="239">
        <f t="shared" ref="E21:I21" ca="1" si="5">E18*E22</f>
        <v>10804.468561084323</v>
      </c>
      <c r="F21" s="239">
        <f t="shared" ca="1" si="5"/>
        <v>11549.976891799139</v>
      </c>
      <c r="G21" s="239">
        <f t="shared" ca="1" si="5"/>
        <v>12346.925297333282</v>
      </c>
      <c r="H21" s="239">
        <f t="shared" ca="1" si="5"/>
        <v>13198.863142849274</v>
      </c>
      <c r="I21" s="239">
        <f t="shared" ca="1" si="5"/>
        <v>14109.584699705876</v>
      </c>
    </row>
    <row r="22" spans="2:13" ht="15" customHeight="1" x14ac:dyDescent="0.3">
      <c r="B22" s="28" t="s">
        <v>30</v>
      </c>
      <c r="D22" s="241">
        <f>'FSM Apple 2019'!G40</f>
        <v>0.15943836804235059</v>
      </c>
      <c r="E22" s="241">
        <f>'FSM Apple 2019'!H40</f>
        <v>0.15943836804235059</v>
      </c>
      <c r="F22" s="241">
        <f>'FSM Apple 2019'!I40</f>
        <v>0.15943836804235059</v>
      </c>
      <c r="G22" s="241">
        <f>'FSM Apple 2019'!J40</f>
        <v>0.15943836804235059</v>
      </c>
      <c r="H22" s="241">
        <f>'FSM Apple 2019'!K40</f>
        <v>0.15943836804235059</v>
      </c>
      <c r="I22" s="241">
        <f>'FSM Apple 2019'!L40</f>
        <v>0.15943836804235059</v>
      </c>
    </row>
    <row r="23" spans="2:13" x14ac:dyDescent="0.3">
      <c r="B23" s="12" t="s">
        <v>177</v>
      </c>
      <c r="C23" s="12"/>
      <c r="D23" s="303">
        <f>D18-D21</f>
        <v>53737.105131052529</v>
      </c>
      <c r="E23" s="303">
        <f t="shared" ref="E23:I23" ca="1" si="6">E18-E21</f>
        <v>56961.33143891568</v>
      </c>
      <c r="F23" s="303">
        <f t="shared" ca="1" si="6"/>
        <v>60891.663308200856</v>
      </c>
      <c r="G23" s="303">
        <f t="shared" ca="1" si="6"/>
        <v>65093.188076466722</v>
      </c>
      <c r="H23" s="303">
        <f t="shared" ca="1" si="6"/>
        <v>69584.618053742917</v>
      </c>
      <c r="I23" s="303">
        <f t="shared" ca="1" si="6"/>
        <v>74385.95669945117</v>
      </c>
    </row>
    <row r="24" spans="2:13" x14ac:dyDescent="0.3">
      <c r="D24" s="149"/>
      <c r="E24" s="149"/>
      <c r="F24" s="149"/>
      <c r="G24" s="149"/>
      <c r="H24" s="149"/>
      <c r="I24" s="149"/>
    </row>
    <row r="25" spans="2:13" x14ac:dyDescent="0.3">
      <c r="B25" t="s">
        <v>21</v>
      </c>
      <c r="D25" s="152">
        <f>'FSM Apple 2019'!G30</f>
        <v>12547</v>
      </c>
      <c r="E25" s="152">
        <f ca="1">'FSM Apple 2019'!H30</f>
        <v>11165.121266227146</v>
      </c>
      <c r="F25" s="152">
        <f ca="1">'FSM Apple 2019'!I30</f>
        <v>12044.308744409378</v>
      </c>
      <c r="G25" s="152">
        <f ca="1">'FSM Apple 2019'!J30</f>
        <v>13148.794867773624</v>
      </c>
      <c r="H25" s="152">
        <f ca="1">'FSM Apple 2019'!K30</f>
        <v>14348.357122230005</v>
      </c>
      <c r="I25" s="152">
        <f ca="1">'FSM Apple 2019'!L30</f>
        <v>15650.857555435894</v>
      </c>
      <c r="M25" s="96"/>
    </row>
    <row r="26" spans="2:13" x14ac:dyDescent="0.3">
      <c r="B26" t="s">
        <v>178</v>
      </c>
      <c r="D26" s="149"/>
      <c r="E26" s="149">
        <f ca="1">D32-E32</f>
        <v>1632.9600000000064</v>
      </c>
      <c r="F26" s="149">
        <f t="shared" ref="F26:I26" ca="1" si="7">E32-F32</f>
        <v>1990.5782400000026</v>
      </c>
      <c r="G26" s="149">
        <f t="shared" ca="1" si="7"/>
        <v>2127.9281385600043</v>
      </c>
      <c r="H26" s="149">
        <f t="shared" ca="1" si="7"/>
        <v>2274.7551801206282</v>
      </c>
      <c r="I26" s="149">
        <f t="shared" ca="1" si="7"/>
        <v>2431.7132875489478</v>
      </c>
      <c r="M26" s="96"/>
    </row>
    <row r="27" spans="2:13" x14ac:dyDescent="0.3">
      <c r="B27" t="s">
        <v>56</v>
      </c>
      <c r="D27" s="152"/>
      <c r="E27" s="152">
        <f>-('FSM Apple 2019'!H97)</f>
        <v>-12133</v>
      </c>
      <c r="F27" s="152">
        <f>-('FSM Apple 2019'!I97)</f>
        <v>-12789</v>
      </c>
      <c r="G27" s="152">
        <f ca="1">-('FSM Apple 2019'!J97)</f>
        <v>-13671.440999999999</v>
      </c>
      <c r="H27" s="152">
        <f ca="1">-('FSM Apple 2019'!K97)</f>
        <v>-14614.770428999998</v>
      </c>
      <c r="I27" s="152">
        <f ca="1">-('FSM Apple 2019'!L97)</f>
        <v>-15623.189588600997</v>
      </c>
      <c r="M27" s="96"/>
    </row>
    <row r="28" spans="2:13" x14ac:dyDescent="0.3">
      <c r="B28" s="28" t="s">
        <v>73</v>
      </c>
      <c r="D28" s="152"/>
      <c r="E28" s="106">
        <f ca="1">E27/E14</f>
        <v>-4.3994505273756562E-2</v>
      </c>
      <c r="F28" s="106">
        <f t="shared" ref="F28:I28" ca="1" si="8">F27/F14</f>
        <v>-4.3379957570823642E-2</v>
      </c>
      <c r="G28" s="106">
        <f t="shared" ca="1" si="8"/>
        <v>-4.3379957570823635E-2</v>
      </c>
      <c r="H28" s="106">
        <f t="shared" ca="1" si="8"/>
        <v>-4.3379957570823635E-2</v>
      </c>
      <c r="I28" s="106">
        <f t="shared" ca="1" si="8"/>
        <v>-4.3379957570823635E-2</v>
      </c>
      <c r="M28" s="96"/>
    </row>
    <row r="29" spans="2:13" x14ac:dyDescent="0.3">
      <c r="D29" s="152"/>
      <c r="E29" s="152"/>
      <c r="F29" s="152"/>
      <c r="G29" s="152"/>
      <c r="H29" s="152"/>
      <c r="I29" s="152"/>
      <c r="M29" s="96"/>
    </row>
    <row r="30" spans="2:13" x14ac:dyDescent="0.3">
      <c r="B30" s="12" t="s">
        <v>179</v>
      </c>
      <c r="C30" s="12"/>
      <c r="D30" s="154"/>
      <c r="E30" s="154">
        <f ca="1">E23+E25+E26+E27</f>
        <v>57626.412705142837</v>
      </c>
      <c r="F30" s="154">
        <f t="shared" ref="F30:I30" ca="1" si="9">F23+F25+F26+F27</f>
        <v>62137.550292610234</v>
      </c>
      <c r="G30" s="154">
        <f t="shared" ca="1" si="9"/>
        <v>66698.470082800341</v>
      </c>
      <c r="H30" s="154">
        <f t="shared" ca="1" si="9"/>
        <v>71592.959927093558</v>
      </c>
      <c r="I30" s="154">
        <f t="shared" ca="1" si="9"/>
        <v>76845.337953835013</v>
      </c>
      <c r="M30" s="154"/>
    </row>
    <row r="31" spans="2:13" x14ac:dyDescent="0.3">
      <c r="D31" s="152"/>
      <c r="M31" s="96"/>
    </row>
    <row r="32" spans="2:13" x14ac:dyDescent="0.3">
      <c r="B32" t="s">
        <v>180</v>
      </c>
      <c r="D32" s="152">
        <f>SUM('FSM Apple 2019'!G46:G48)-SUM('FSM Apple 2019'!G53:G55)</f>
        <v>-27216</v>
      </c>
      <c r="E32" s="152">
        <f ca="1">SUM('FSM Apple 2019'!H46:H48)-SUM('FSM Apple 2019'!H53:H55)</f>
        <v>-28848.960000000006</v>
      </c>
      <c r="F32" s="152">
        <f ca="1">SUM('FSM Apple 2019'!I46:I48)-SUM('FSM Apple 2019'!I53:I55)</f>
        <v>-30839.538240000009</v>
      </c>
      <c r="G32" s="152">
        <f ca="1">SUM('FSM Apple 2019'!J46:J48)-SUM('FSM Apple 2019'!J53:J55)</f>
        <v>-32967.466378560013</v>
      </c>
      <c r="H32" s="152">
        <f ca="1">SUM('FSM Apple 2019'!K46:K48)-SUM('FSM Apple 2019'!K53:K55)</f>
        <v>-35242.221558680641</v>
      </c>
      <c r="I32" s="152">
        <f ca="1">SUM('FSM Apple 2019'!L46:L48)-SUM('FSM Apple 2019'!L53:L55)</f>
        <v>-37673.934846229589</v>
      </c>
    </row>
    <row r="33" spans="2:13" ht="15" customHeight="1" x14ac:dyDescent="0.3">
      <c r="B33" s="28" t="s">
        <v>73</v>
      </c>
      <c r="D33" s="106"/>
      <c r="E33" s="106">
        <f ca="1">E32/E14</f>
        <v>-0.10460691690945292</v>
      </c>
      <c r="F33" s="106">
        <f t="shared" ref="F33:I33" ca="1" si="10">F32/F14</f>
        <v>-0.10460691690945294</v>
      </c>
      <c r="G33" s="106">
        <f t="shared" ca="1" si="10"/>
        <v>-0.10460691690945295</v>
      </c>
      <c r="H33" s="106">
        <f t="shared" ca="1" si="10"/>
        <v>-0.10460691690945291</v>
      </c>
      <c r="I33" s="106">
        <f t="shared" ca="1" si="10"/>
        <v>-0.10460691690945287</v>
      </c>
      <c r="J33" s="152"/>
    </row>
    <row r="34" spans="2:13" x14ac:dyDescent="0.3">
      <c r="D34" s="152"/>
      <c r="E34" s="106"/>
      <c r="F34" s="106"/>
      <c r="G34" s="106"/>
      <c r="H34" s="106"/>
      <c r="I34" s="106"/>
      <c r="J34" s="152"/>
      <c r="K34" s="25"/>
      <c r="M34" s="106"/>
    </row>
    <row r="35" spans="2:13" x14ac:dyDescent="0.3">
      <c r="B35" s="142" t="str">
        <f>"Present value of UFCF on "&amp;TEXT(D7,"mmm dd, yyyy")&amp;" valuation date"</f>
        <v>Present value of UFCF on Feb 28, 2020 valuation date</v>
      </c>
      <c r="C35" s="56"/>
      <c r="D35" s="155"/>
      <c r="E35" s="56"/>
      <c r="F35" s="155"/>
      <c r="G35" s="155"/>
      <c r="H35" s="155"/>
      <c r="I35" s="155"/>
      <c r="J35" s="152"/>
    </row>
    <row r="36" spans="2:13" ht="16.2" x14ac:dyDescent="0.45">
      <c r="B36" s="12"/>
      <c r="D36" s="156" t="s">
        <v>181</v>
      </c>
      <c r="E36" s="156" t="s">
        <v>182</v>
      </c>
      <c r="F36" s="157" t="s">
        <v>183</v>
      </c>
      <c r="G36" s="157" t="s">
        <v>184</v>
      </c>
      <c r="H36" s="157" t="s">
        <v>185</v>
      </c>
      <c r="I36" s="157" t="s">
        <v>186</v>
      </c>
      <c r="J36" s="152"/>
    </row>
    <row r="37" spans="2:13" x14ac:dyDescent="0.3">
      <c r="B37" t="s">
        <v>187</v>
      </c>
      <c r="D37" s="158">
        <f>D7</f>
        <v>43889</v>
      </c>
      <c r="E37" s="158">
        <f>IF($H$7=1,AVERAGE(E12,D37),E12)</f>
        <v>44104</v>
      </c>
      <c r="F37" s="158">
        <f>IF($H$7=1,AVERAGE(F12,E12),F12)</f>
        <v>44469</v>
      </c>
      <c r="G37" s="158">
        <f>IF($H$7=1,AVERAGE(G12,F12),G12)</f>
        <v>44834</v>
      </c>
      <c r="H37" s="158">
        <f>IF($H$7=1,AVERAGE(H12,G12),H12)</f>
        <v>45199</v>
      </c>
      <c r="I37" s="158">
        <f>IF($H$7=1,AVERAGE(I12,H12),I12)</f>
        <v>45565</v>
      </c>
      <c r="J37" s="152"/>
    </row>
    <row r="38" spans="2:13" x14ac:dyDescent="0.3">
      <c r="B38" t="s">
        <v>189</v>
      </c>
      <c r="C38" s="270">
        <f>D8</f>
        <v>0.58888888888888891</v>
      </c>
      <c r="D38" s="96"/>
      <c r="E38" s="248">
        <f ca="1">E30*C38</f>
        <v>33935.554148584117</v>
      </c>
      <c r="F38" s="248">
        <f ca="1">F30</f>
        <v>62137.550292610234</v>
      </c>
      <c r="G38" s="248">
        <f ca="1">G30</f>
        <v>66698.470082800341</v>
      </c>
      <c r="H38" s="248">
        <f ca="1">H30</f>
        <v>71592.959927093558</v>
      </c>
      <c r="I38" s="248">
        <f ca="1">I30</f>
        <v>76845.337953835013</v>
      </c>
      <c r="J38" s="149"/>
      <c r="K38" t="s">
        <v>312</v>
      </c>
    </row>
    <row r="39" spans="2:13" ht="15" customHeight="1" x14ac:dyDescent="0.3">
      <c r="B39" s="12" t="s">
        <v>190</v>
      </c>
      <c r="C39" s="159"/>
      <c r="D39" s="154"/>
      <c r="E39" s="154">
        <f ca="1">E38/(1+$H$4)^((E37-$D$7)/365)</f>
        <v>32469.332220743301</v>
      </c>
      <c r="F39" s="154">
        <f ca="1">F38/(1+$H$4)^((F37-$D$7)/365)</f>
        <v>55157.991923032823</v>
      </c>
      <c r="G39" s="154">
        <f ca="1">G38/(1+$H$4)^((G37-$D$7)/365)</f>
        <v>54929.557355942583</v>
      </c>
      <c r="H39" s="154">
        <f ca="1">H38/(1+$H$4)^((H37-$D$7)/365)</f>
        <v>54701.149534231663</v>
      </c>
      <c r="I39" s="154">
        <f ca="1">I38/(1+$H$4)^((I37-$D$7)/365)</f>
        <v>54461.5943264792</v>
      </c>
      <c r="J39" s="149"/>
    </row>
    <row r="41" spans="2:13" x14ac:dyDescent="0.3">
      <c r="B41" s="142" t="s">
        <v>191</v>
      </c>
      <c r="C41" s="142"/>
      <c r="E41" s="142" t="s">
        <v>244</v>
      </c>
      <c r="F41" s="56"/>
      <c r="G41" s="56"/>
      <c r="H41" s="56"/>
      <c r="I41" s="56"/>
    </row>
    <row r="42" spans="2:13" x14ac:dyDescent="0.3">
      <c r="B42" t="s">
        <v>192</v>
      </c>
      <c r="C42" s="150">
        <v>0.03</v>
      </c>
      <c r="E42" t="s">
        <v>193</v>
      </c>
      <c r="I42" s="96">
        <f ca="1">I16</f>
        <v>104146.39895459295</v>
      </c>
      <c r="J42" s="96"/>
    </row>
    <row r="43" spans="2:13" x14ac:dyDescent="0.3">
      <c r="B43" s="160" t="str">
        <f>YEAR(I12)&amp;" FCF x (1+g)"</f>
        <v>2024 FCF x (1+g)</v>
      </c>
      <c r="C43" s="96">
        <f ca="1">I38*(1+C42)</f>
        <v>79150.698092450068</v>
      </c>
      <c r="E43" t="s">
        <v>194</v>
      </c>
      <c r="I43" s="161">
        <v>12.5154387291762</v>
      </c>
      <c r="J43" s="161"/>
    </row>
    <row r="44" spans="2:13" x14ac:dyDescent="0.3">
      <c r="B44" t="str">
        <f>"Terminal value in "&amp;YEAR(I12)</f>
        <v>Terminal value in 2024</v>
      </c>
      <c r="C44" s="96">
        <f ca="1">C43/(H4-C42)</f>
        <v>1653647.5065597317</v>
      </c>
      <c r="E44" t="str">
        <f>"Terminal value in "&amp;YEAR(I12)</f>
        <v>Terminal value in 2024</v>
      </c>
      <c r="I44" s="96">
        <f ca="1">I42*I43</f>
        <v>1303437.8749805484</v>
      </c>
      <c r="J44" s="96"/>
    </row>
    <row r="45" spans="2:13" x14ac:dyDescent="0.3">
      <c r="B45" t="s">
        <v>195</v>
      </c>
      <c r="C45" s="96">
        <f ca="1">C44/(1+H4)^((I37-$D$37)/365)</f>
        <v>1171968.034226798</v>
      </c>
      <c r="E45" t="s">
        <v>195</v>
      </c>
      <c r="I45" s="96">
        <f ca="1">I44/(1+H4)^((I37-D37)/365)</f>
        <v>923768.52867254626</v>
      </c>
      <c r="J45" s="96"/>
    </row>
    <row r="46" spans="2:13" x14ac:dyDescent="0.3">
      <c r="B46" t="s">
        <v>196</v>
      </c>
      <c r="C46" s="149">
        <f ca="1">SUM(E39:I39)</f>
        <v>251719.62536042958</v>
      </c>
      <c r="E46" t="s">
        <v>196</v>
      </c>
      <c r="I46" s="96">
        <f ca="1">C46</f>
        <v>251719.62536042958</v>
      </c>
      <c r="J46" s="96"/>
    </row>
    <row r="47" spans="2:13" x14ac:dyDescent="0.3">
      <c r="B47" s="12" t="s">
        <v>197</v>
      </c>
      <c r="C47" s="153">
        <f ca="1">C46+C45</f>
        <v>1423687.6595872275</v>
      </c>
      <c r="E47" s="12" t="s">
        <v>198</v>
      </c>
      <c r="I47" s="153">
        <f ca="1">SUM(I45:I46)</f>
        <v>1175488.1540329759</v>
      </c>
      <c r="J47" s="153"/>
    </row>
    <row r="49" spans="2:11" x14ac:dyDescent="0.3">
      <c r="B49" s="162" t="s">
        <v>199</v>
      </c>
      <c r="C49" s="163">
        <f ca="1">C45/$C$47</f>
        <v>0.82319181903043881</v>
      </c>
      <c r="E49" s="162" t="s">
        <v>199</v>
      </c>
      <c r="I49" s="163">
        <f ca="1">+I45/I47</f>
        <v>0.7858594963319655</v>
      </c>
      <c r="J49" s="163"/>
    </row>
    <row r="50" spans="2:11" x14ac:dyDescent="0.3">
      <c r="B50" s="162" t="s">
        <v>200</v>
      </c>
      <c r="C50" s="163">
        <f ca="1">1-C49</f>
        <v>0.17680818096956119</v>
      </c>
      <c r="E50" s="162" t="s">
        <v>287</v>
      </c>
      <c r="G50" s="164"/>
      <c r="I50" s="52">
        <f ca="1">1-I49</f>
        <v>0.2141405036680345</v>
      </c>
      <c r="J50" s="52"/>
    </row>
    <row r="51" spans="2:11" x14ac:dyDescent="0.3">
      <c r="B51" s="162" t="s">
        <v>201</v>
      </c>
      <c r="C51" s="166">
        <f ca="1">(C44/I16)</f>
        <v>15.878105466524191</v>
      </c>
      <c r="E51" t="s">
        <v>202</v>
      </c>
      <c r="I51" s="165">
        <f ca="1">(H4-I38/I44)/(1+I38/I44)</f>
        <v>1.7855722311486459E-2</v>
      </c>
      <c r="J51" s="165"/>
    </row>
    <row r="52" spans="2:11" x14ac:dyDescent="0.3">
      <c r="B52" s="162"/>
      <c r="C52" s="19"/>
      <c r="D52" s="166"/>
      <c r="I52" s="165"/>
      <c r="J52" s="165"/>
    </row>
    <row r="53" spans="2:11" x14ac:dyDescent="0.3">
      <c r="B53" s="142" t="s">
        <v>203</v>
      </c>
      <c r="C53" s="56"/>
      <c r="E53" s="142" t="s">
        <v>204</v>
      </c>
      <c r="F53" s="56"/>
      <c r="G53" s="142"/>
      <c r="H53" s="56"/>
      <c r="I53" s="56"/>
    </row>
    <row r="54" spans="2:11" x14ac:dyDescent="0.3">
      <c r="B54" t="s">
        <v>205</v>
      </c>
      <c r="C54" s="233" t="s">
        <v>206</v>
      </c>
    </row>
    <row r="55" spans="2:11" x14ac:dyDescent="0.3">
      <c r="B55" s="29" t="s">
        <v>207</v>
      </c>
      <c r="C55" s="158">
        <f>D6</f>
        <v>43827</v>
      </c>
      <c r="G55" s="32" t="s">
        <v>205</v>
      </c>
      <c r="H55" s="167" t="s">
        <v>208</v>
      </c>
      <c r="I55" s="167" t="s">
        <v>209</v>
      </c>
    </row>
    <row r="56" spans="2:11" x14ac:dyDescent="0.3">
      <c r="B56" s="168" t="s">
        <v>210</v>
      </c>
      <c r="C56" s="169"/>
      <c r="E56" t="s">
        <v>211</v>
      </c>
      <c r="G56" s="233" t="s">
        <v>206</v>
      </c>
      <c r="H56" s="233">
        <v>43847</v>
      </c>
      <c r="I56" s="170">
        <v>4375.4799999999996</v>
      </c>
      <c r="J56" s="170"/>
    </row>
    <row r="57" spans="2:11" x14ac:dyDescent="0.3">
      <c r="B57" s="28" t="s">
        <v>157</v>
      </c>
      <c r="C57" s="24">
        <f>4990+10224+93078</f>
        <v>108292</v>
      </c>
      <c r="E57" s="29" t="s">
        <v>212</v>
      </c>
      <c r="G57" s="233" t="s">
        <v>206</v>
      </c>
      <c r="H57" s="233">
        <v>43827</v>
      </c>
      <c r="I57" s="170">
        <v>96.02</v>
      </c>
      <c r="J57" s="171"/>
    </row>
    <row r="58" spans="2:11" x14ac:dyDescent="0.3">
      <c r="B58" s="28" t="s">
        <v>213</v>
      </c>
      <c r="C58" s="251">
        <f>Shares!E25+Shares!E31</f>
        <v>0</v>
      </c>
      <c r="E58" s="29" t="s">
        <v>214</v>
      </c>
      <c r="G58" s="233"/>
      <c r="H58" s="233"/>
      <c r="I58" s="271">
        <f>Shares!E20</f>
        <v>50.595642000584959</v>
      </c>
      <c r="K58" t="s">
        <v>288</v>
      </c>
    </row>
    <row r="59" spans="2:11" ht="15" customHeight="1" x14ac:dyDescent="0.3">
      <c r="B59" s="28" t="s">
        <v>215</v>
      </c>
      <c r="C59" s="251">
        <f>Shares!E34+Shares!E41</f>
        <v>0</v>
      </c>
      <c r="E59" t="s">
        <v>213</v>
      </c>
      <c r="G59" s="233"/>
      <c r="H59" s="233"/>
      <c r="I59" s="271">
        <f>Shares!E30</f>
        <v>58.171999999999997</v>
      </c>
      <c r="K59" t="s">
        <v>289</v>
      </c>
    </row>
    <row r="60" spans="2:11" x14ac:dyDescent="0.3">
      <c r="B60" s="172" t="s">
        <v>216</v>
      </c>
      <c r="C60" s="24">
        <v>0</v>
      </c>
      <c r="E60" t="s">
        <v>217</v>
      </c>
      <c r="G60" s="233"/>
      <c r="H60" s="233"/>
      <c r="I60" s="271">
        <f>Shares!E40</f>
        <v>195.65</v>
      </c>
      <c r="K60" t="s">
        <v>290</v>
      </c>
    </row>
    <row r="61" spans="2:11" ht="15" customHeight="1" x14ac:dyDescent="0.3">
      <c r="B61" s="168" t="s">
        <v>218</v>
      </c>
      <c r="E61" s="30" t="s">
        <v>219</v>
      </c>
      <c r="I61" s="272">
        <f>SUM(I56:I60)</f>
        <v>4775.9176420005842</v>
      </c>
      <c r="J61" s="173"/>
    </row>
    <row r="62" spans="2:11" x14ac:dyDescent="0.3">
      <c r="B62" s="174" t="s">
        <v>220</v>
      </c>
      <c r="C62" s="24">
        <f>39771+67391+99899</f>
        <v>207061</v>
      </c>
      <c r="J62" s="175"/>
    </row>
    <row r="63" spans="2:11" x14ac:dyDescent="0.3">
      <c r="B63" s="174" t="s">
        <v>221</v>
      </c>
      <c r="C63" s="24">
        <v>0</v>
      </c>
      <c r="J63" s="175"/>
    </row>
    <row r="64" spans="2:11" x14ac:dyDescent="0.3">
      <c r="J64" s="176"/>
    </row>
    <row r="65" spans="2:6" x14ac:dyDescent="0.3">
      <c r="B65" s="177" t="s">
        <v>203</v>
      </c>
      <c r="C65" s="39">
        <f>SUM(C57:C60)-SUM(C62:C63)</f>
        <v>-98769</v>
      </c>
    </row>
    <row r="67" spans="2:6" x14ac:dyDescent="0.3">
      <c r="B67" s="142" t="s">
        <v>222</v>
      </c>
      <c r="C67" s="56"/>
      <c r="D67" s="56"/>
    </row>
    <row r="68" spans="2:6" ht="16.2" x14ac:dyDescent="0.45">
      <c r="C68" s="178" t="s">
        <v>223</v>
      </c>
      <c r="D68" s="178" t="s">
        <v>22</v>
      </c>
    </row>
    <row r="69" spans="2:6" x14ac:dyDescent="0.3">
      <c r="B69" t="s">
        <v>224</v>
      </c>
      <c r="C69" s="273">
        <f ca="1">C47</f>
        <v>1423687.6595872275</v>
      </c>
      <c r="D69" s="273">
        <f ca="1">I47</f>
        <v>1175488.1540329759</v>
      </c>
    </row>
    <row r="70" spans="2:6" x14ac:dyDescent="0.3">
      <c r="B70" t="s">
        <v>203</v>
      </c>
      <c r="C70" s="274">
        <f>$C$65</f>
        <v>-98769</v>
      </c>
      <c r="D70" s="274">
        <f>C70</f>
        <v>-98769</v>
      </c>
    </row>
    <row r="71" spans="2:6" x14ac:dyDescent="0.3">
      <c r="B71" t="s">
        <v>225</v>
      </c>
      <c r="C71" s="275">
        <f ca="1">C69-C70</f>
        <v>1522456.6595872275</v>
      </c>
      <c r="D71" s="275">
        <f ca="1">D69-D70</f>
        <v>1274257.1540329759</v>
      </c>
    </row>
    <row r="72" spans="2:6" x14ac:dyDescent="0.3">
      <c r="B72" t="s">
        <v>204</v>
      </c>
      <c r="C72" s="275">
        <f>$I$61</f>
        <v>4775.9176420005842</v>
      </c>
      <c r="D72" s="275">
        <f>C72</f>
        <v>4775.9176420005842</v>
      </c>
    </row>
    <row r="73" spans="2:6" x14ac:dyDescent="0.3">
      <c r="B73" s="12" t="s">
        <v>226</v>
      </c>
      <c r="C73" s="179">
        <f ca="1">C71/C72</f>
        <v>318.7778294580234</v>
      </c>
      <c r="D73" s="179">
        <f ca="1">D71/D72</f>
        <v>266.80886262083914</v>
      </c>
    </row>
    <row r="75" spans="2:6" ht="16.2" x14ac:dyDescent="0.45">
      <c r="C75" s="144" t="s">
        <v>291</v>
      </c>
      <c r="D75" s="144"/>
    </row>
    <row r="76" spans="2:6" x14ac:dyDescent="0.3">
      <c r="B76" s="32"/>
      <c r="C76" s="167" t="s">
        <v>223</v>
      </c>
      <c r="D76" s="167" t="s">
        <v>22</v>
      </c>
    </row>
    <row r="77" spans="2:6" x14ac:dyDescent="0.3">
      <c r="B77" t="s">
        <v>228</v>
      </c>
      <c r="C77" s="253">
        <f ca="1">C$69/$C$14</f>
        <v>5.3403315194433318</v>
      </c>
      <c r="D77" s="253">
        <f ca="1">D$69/$C$14</f>
        <v>4.4093213827073603</v>
      </c>
    </row>
    <row r="78" spans="2:6" x14ac:dyDescent="0.3">
      <c r="B78" t="s">
        <v>229</v>
      </c>
      <c r="C78" s="180">
        <f t="shared" ref="C78" ca="1" si="11">C69/$C$16</f>
        <v>18.373521721476354</v>
      </c>
      <c r="D78" s="180">
        <f ca="1">D69/$C$16</f>
        <v>15.17036197231978</v>
      </c>
    </row>
    <row r="79" spans="2:6" x14ac:dyDescent="0.3">
      <c r="B79" s="149" t="s">
        <v>230</v>
      </c>
      <c r="C79" s="180">
        <f t="shared" ref="C79" ca="1" si="12">C69/$C$18</f>
        <v>21.733386715777403</v>
      </c>
      <c r="D79" s="180">
        <f ca="1">D69/$C$18</f>
        <v>17.944482737752303</v>
      </c>
    </row>
    <row r="80" spans="2:6" ht="16.2" x14ac:dyDescent="0.45">
      <c r="B80" s="149"/>
      <c r="C80" s="144" t="s">
        <v>292</v>
      </c>
      <c r="D80" s="144"/>
      <c r="E80" s="180"/>
      <c r="F80" s="180"/>
    </row>
    <row r="81" spans="2:17" x14ac:dyDescent="0.3">
      <c r="B81" s="32"/>
      <c r="C81" s="167" t="s">
        <v>223</v>
      </c>
      <c r="D81" s="167" t="s">
        <v>22</v>
      </c>
      <c r="E81" s="180"/>
      <c r="F81" s="180"/>
    </row>
    <row r="82" spans="2:17" x14ac:dyDescent="0.3">
      <c r="B82" t="s">
        <v>228</v>
      </c>
      <c r="C82" s="253">
        <f ca="1">C69/$E$14</f>
        <v>5.1623204687952207</v>
      </c>
      <c r="D82" s="253">
        <f ca="1">D69/$E$14</f>
        <v>4.2623440032837818</v>
      </c>
      <c r="E82" s="180"/>
      <c r="F82" s="180"/>
    </row>
    <row r="83" spans="2:17" x14ac:dyDescent="0.3">
      <c r="B83" t="s">
        <v>229</v>
      </c>
      <c r="C83" s="180">
        <f ca="1">C69/$E$16</f>
        <v>18.037134709035673</v>
      </c>
      <c r="D83" s="180">
        <f ca="1">D69/$E$16</f>
        <v>14.89261920645974</v>
      </c>
      <c r="E83" s="180"/>
      <c r="F83" s="180"/>
    </row>
    <row r="84" spans="2:17" x14ac:dyDescent="0.3">
      <c r="B84" s="149" t="s">
        <v>230</v>
      </c>
      <c r="C84" s="180">
        <f ca="1">C69/$E$18</f>
        <v>21.008940491918157</v>
      </c>
      <c r="D84" s="180">
        <f ca="1">D69/$E$18</f>
        <v>17.34633331316056</v>
      </c>
      <c r="E84" s="180"/>
      <c r="F84" s="180"/>
    </row>
    <row r="86" spans="2:17" x14ac:dyDescent="0.3">
      <c r="B86" s="142" t="s">
        <v>231</v>
      </c>
      <c r="C86" s="142"/>
      <c r="D86" s="142"/>
      <c r="E86" s="142"/>
      <c r="F86" s="142"/>
      <c r="G86" s="142"/>
      <c r="H86" s="142"/>
      <c r="I86" s="142"/>
      <c r="J86" s="142"/>
      <c r="K86" s="142"/>
      <c r="L86" s="142"/>
      <c r="M86" s="142"/>
      <c r="N86" s="142"/>
      <c r="O86" s="142"/>
      <c r="P86" s="142"/>
      <c r="Q86" s="142"/>
    </row>
    <row r="87" spans="2:17" x14ac:dyDescent="0.3">
      <c r="B87" s="12"/>
    </row>
    <row r="88" spans="2:17" ht="17.25" customHeight="1" x14ac:dyDescent="0.45">
      <c r="B88" s="182"/>
      <c r="C88" s="12"/>
      <c r="D88" s="183" t="s">
        <v>226</v>
      </c>
      <c r="E88" s="144"/>
      <c r="F88" s="144"/>
      <c r="G88" s="144"/>
      <c r="H88" s="144"/>
      <c r="I88" s="144"/>
      <c r="J88" s="184"/>
      <c r="L88" s="183" t="s">
        <v>293</v>
      </c>
      <c r="M88" s="144"/>
      <c r="N88" s="144"/>
      <c r="O88" s="144"/>
      <c r="P88" s="144"/>
      <c r="Q88" s="144"/>
    </row>
    <row r="89" spans="2:17" ht="15" customHeight="1" x14ac:dyDescent="0.3">
      <c r="B89" s="182"/>
      <c r="D89" s="29"/>
      <c r="E89" s="82" t="s">
        <v>233</v>
      </c>
      <c r="F89" s="82"/>
      <c r="G89" s="82"/>
      <c r="H89" s="82"/>
      <c r="I89" s="82"/>
      <c r="J89" s="185"/>
      <c r="L89" s="29"/>
      <c r="M89" s="82"/>
      <c r="N89" s="82"/>
      <c r="O89" s="82"/>
      <c r="P89" s="82"/>
      <c r="Q89" s="82"/>
    </row>
    <row r="90" spans="2:17" ht="15" customHeight="1" x14ac:dyDescent="0.3">
      <c r="B90" s="182"/>
      <c r="C90" s="92"/>
      <c r="D90" s="276">
        <f ca="1">C73</f>
        <v>318.7778294580234</v>
      </c>
      <c r="E90" s="277">
        <f>F90-0.005</f>
        <v>1.9999999999999997E-2</v>
      </c>
      <c r="F90" s="187">
        <f>G90-0.005</f>
        <v>2.4999999999999998E-2</v>
      </c>
      <c r="G90" s="188">
        <f>C42</f>
        <v>0.03</v>
      </c>
      <c r="H90" s="187">
        <f>G90+0.005</f>
        <v>3.4999999999999996E-2</v>
      </c>
      <c r="I90" s="187">
        <f>H90+0.005</f>
        <v>3.9999999999999994E-2</v>
      </c>
      <c r="J90" s="189"/>
      <c r="L90" s="190">
        <f ca="1">C78</f>
        <v>18.373521721476354</v>
      </c>
      <c r="M90" s="187">
        <f>N90-0.005</f>
        <v>1.9999999999999997E-2</v>
      </c>
      <c r="N90" s="187">
        <f>O90-0.005</f>
        <v>2.4999999999999998E-2</v>
      </c>
      <c r="O90" s="188">
        <f>C42</f>
        <v>0.03</v>
      </c>
      <c r="P90" s="187">
        <f>O90+0.005</f>
        <v>3.4999999999999996E-2</v>
      </c>
      <c r="Q90" s="278">
        <f>P90+0.005</f>
        <v>3.9999999999999994E-2</v>
      </c>
    </row>
    <row r="91" spans="2:17" ht="15" customHeight="1" x14ac:dyDescent="0.3">
      <c r="B91" s="182"/>
      <c r="D91" s="191">
        <f>D92+0.01</f>
        <v>9.7864310730353968E-2</v>
      </c>
      <c r="E91" s="192">
        <f t="dataTable" ref="E91:I95" dt2D="1" dtr="1" r1="C42" r2="H4" ca="1"/>
        <v>208.0794933964996</v>
      </c>
      <c r="F91" s="192">
        <v>199.16323165566294</v>
      </c>
      <c r="G91" s="192">
        <v>199.16323165566294</v>
      </c>
      <c r="H91" s="192">
        <v>208.0794933964996</v>
      </c>
      <c r="I91" s="192">
        <v>229.85352677264314</v>
      </c>
      <c r="J91" s="193"/>
      <c r="L91" s="191">
        <f t="shared" ref="L91" si="13">L92+0.01</f>
        <v>9.7864310730353968E-2</v>
      </c>
      <c r="M91" s="194">
        <f t="dataTable" ref="M91:Q95" dt2D="1" dtr="1" r1="C42" r2="H4" ca="1"/>
        <v>11.550517995391649</v>
      </c>
      <c r="N91" s="194">
        <v>11.000955199373976</v>
      </c>
      <c r="O91" s="194">
        <v>11.000955199373976</v>
      </c>
      <c r="P91" s="194">
        <v>11.550517995391649</v>
      </c>
      <c r="Q91" s="194">
        <v>12.892582529900562</v>
      </c>
    </row>
    <row r="92" spans="2:17" ht="15" customHeight="1" x14ac:dyDescent="0.3">
      <c r="B92" s="182"/>
      <c r="D92" s="191">
        <f>D93+0.01</f>
        <v>8.7864310730353973E-2</v>
      </c>
      <c r="E92" s="192">
        <v>186.27161229464818</v>
      </c>
      <c r="F92" s="192">
        <v>179.44691587010502</v>
      </c>
      <c r="G92" s="192">
        <v>179.44691587010502</v>
      </c>
      <c r="H92" s="192">
        <v>186.27161229464818</v>
      </c>
      <c r="I92" s="192">
        <v>202.55046260397353</v>
      </c>
      <c r="J92" s="193"/>
      <c r="L92" s="191">
        <f>L93+0.01</f>
        <v>8.7864310730353973E-2</v>
      </c>
      <c r="M92" s="194">
        <v>10.206367222129375</v>
      </c>
      <c r="N92" s="194">
        <v>9.7857201664394378</v>
      </c>
      <c r="O92" s="194">
        <v>9.7857201664394378</v>
      </c>
      <c r="P92" s="194">
        <v>10.206367222129375</v>
      </c>
      <c r="Q92" s="194">
        <v>11.209730599291351</v>
      </c>
    </row>
    <row r="93" spans="2:17" ht="15" customHeight="1" x14ac:dyDescent="0.3">
      <c r="B93" s="182"/>
      <c r="C93" s="92" t="s">
        <v>234</v>
      </c>
      <c r="D93" s="195">
        <f>H4</f>
        <v>7.7864310730353978E-2</v>
      </c>
      <c r="E93" s="192">
        <v>186.27161229464818</v>
      </c>
      <c r="F93" s="192">
        <v>179.44691587010502</v>
      </c>
      <c r="G93" s="192">
        <v>179.44691587010502</v>
      </c>
      <c r="H93" s="192">
        <v>186.27161229464818</v>
      </c>
      <c r="I93" s="192">
        <v>202.55046260397353</v>
      </c>
      <c r="J93" s="193"/>
      <c r="K93" s="92" t="s">
        <v>234</v>
      </c>
      <c r="L93" s="195">
        <f>H4</f>
        <v>7.7864310730353978E-2</v>
      </c>
      <c r="M93" s="194">
        <v>10.206367222129375</v>
      </c>
      <c r="N93" s="194">
        <v>9.7857201664394378</v>
      </c>
      <c r="O93" s="194">
        <v>9.7857201664394378</v>
      </c>
      <c r="P93" s="194">
        <v>10.206367222129375</v>
      </c>
      <c r="Q93" s="194">
        <v>11.209730599291351</v>
      </c>
    </row>
    <row r="94" spans="2:17" ht="15" customHeight="1" x14ac:dyDescent="0.3">
      <c r="B94" s="182"/>
      <c r="D94" s="191">
        <f t="shared" ref="D94:D95" si="14">D93-0.01</f>
        <v>6.7864310730353983E-2</v>
      </c>
      <c r="E94" s="192">
        <v>208.0794933964996</v>
      </c>
      <c r="F94" s="192">
        <v>199.16323165566294</v>
      </c>
      <c r="G94" s="192">
        <v>199.16323165566294</v>
      </c>
      <c r="H94" s="192">
        <v>208.0794933964996</v>
      </c>
      <c r="I94" s="192">
        <v>229.85352677264314</v>
      </c>
      <c r="J94" s="193"/>
      <c r="L94" s="191">
        <f t="shared" ref="L94:L95" si="15">L93-0.01</f>
        <v>6.7864310730353983E-2</v>
      </c>
      <c r="M94" s="194">
        <v>11.550517995391649</v>
      </c>
      <c r="N94" s="194">
        <v>11.000955199373976</v>
      </c>
      <c r="O94" s="194">
        <v>11.000955199373976</v>
      </c>
      <c r="P94" s="194">
        <v>11.550517995391649</v>
      </c>
      <c r="Q94" s="194">
        <v>12.892582529900562</v>
      </c>
    </row>
    <row r="95" spans="2:17" ht="15" customHeight="1" x14ac:dyDescent="0.3">
      <c r="B95" s="196" t="s">
        <v>235</v>
      </c>
      <c r="D95" s="279">
        <f t="shared" si="14"/>
        <v>5.7864310730353981E-2</v>
      </c>
      <c r="E95" s="192">
        <v>274.39908404644086</v>
      </c>
      <c r="F95" s="192">
        <v>257.50429878971164</v>
      </c>
      <c r="G95" s="192">
        <v>257.50429878971164</v>
      </c>
      <c r="H95" s="192">
        <v>274.39908404644086</v>
      </c>
      <c r="I95" s="192">
        <v>318.7778294580234</v>
      </c>
      <c r="J95" s="193"/>
      <c r="L95" s="279">
        <f t="shared" si="15"/>
        <v>5.7864310730353981E-2</v>
      </c>
      <c r="M95" s="194">
        <v>15.638192934475398</v>
      </c>
      <c r="N95" s="194">
        <v>14.596865784860446</v>
      </c>
      <c r="O95" s="194">
        <v>14.596865784860446</v>
      </c>
      <c r="P95" s="194">
        <v>15.638192934475398</v>
      </c>
      <c r="Q95" s="194">
        <v>18.373521721476354</v>
      </c>
    </row>
    <row r="96" spans="2:17" ht="15" customHeight="1" x14ac:dyDescent="0.3">
      <c r="B96" s="196" t="s">
        <v>236</v>
      </c>
      <c r="E96" s="197"/>
      <c r="F96" s="197"/>
      <c r="G96" s="197"/>
      <c r="H96" s="197"/>
      <c r="I96" s="197"/>
      <c r="J96" s="198"/>
    </row>
    <row r="97" spans="2:17" ht="17.25" customHeight="1" x14ac:dyDescent="0.45">
      <c r="B97" s="182"/>
      <c r="D97" s="183" t="s">
        <v>226</v>
      </c>
      <c r="E97" s="144"/>
      <c r="F97" s="144"/>
      <c r="G97" s="144"/>
      <c r="H97" s="144"/>
      <c r="I97" s="144"/>
      <c r="J97" s="184"/>
      <c r="L97" s="183" t="s">
        <v>293</v>
      </c>
      <c r="M97" s="144"/>
      <c r="N97" s="144"/>
      <c r="O97" s="144"/>
      <c r="P97" s="144"/>
      <c r="Q97" s="144"/>
    </row>
    <row r="98" spans="2:17" ht="15" customHeight="1" x14ac:dyDescent="0.3">
      <c r="B98" s="182"/>
      <c r="E98" s="82" t="s">
        <v>237</v>
      </c>
      <c r="F98" s="82"/>
      <c r="G98" s="82"/>
      <c r="H98" s="82"/>
      <c r="I98" s="82"/>
      <c r="J98" s="185"/>
      <c r="M98" s="82" t="s">
        <v>237</v>
      </c>
      <c r="N98" s="82"/>
      <c r="O98" s="82"/>
      <c r="P98" s="82"/>
      <c r="Q98" s="82"/>
    </row>
    <row r="99" spans="2:17" ht="15" customHeight="1" x14ac:dyDescent="0.3">
      <c r="B99" s="182"/>
      <c r="D99" s="199">
        <f ca="1">D73</f>
        <v>266.80886262083914</v>
      </c>
      <c r="E99" s="200">
        <f>F99-1</f>
        <v>10.5154387291762</v>
      </c>
      <c r="F99" s="200">
        <f>G99-1</f>
        <v>11.5154387291762</v>
      </c>
      <c r="G99" s="201">
        <f>I43</f>
        <v>12.5154387291762</v>
      </c>
      <c r="H99" s="200">
        <f>G99+1</f>
        <v>13.5154387291762</v>
      </c>
      <c r="I99" s="200">
        <f>H99+1</f>
        <v>14.5154387291762</v>
      </c>
      <c r="J99" s="202"/>
      <c r="L99" s="190">
        <f ca="1">D78</f>
        <v>15.17036197231978</v>
      </c>
      <c r="M99" s="200">
        <f>N99-1</f>
        <v>10.5154387291762</v>
      </c>
      <c r="N99" s="200">
        <f>O99-1</f>
        <v>11.5154387291762</v>
      </c>
      <c r="O99" s="201">
        <f>I43</f>
        <v>12.5154387291762</v>
      </c>
      <c r="P99" s="200">
        <f>O99+1</f>
        <v>13.5154387291762</v>
      </c>
      <c r="Q99" s="280">
        <f>P99+1</f>
        <v>14.5154387291762</v>
      </c>
    </row>
    <row r="100" spans="2:17" ht="15" customHeight="1" x14ac:dyDescent="0.3">
      <c r="B100" s="182"/>
      <c r="D100" s="191">
        <f t="shared" ref="D100" si="16">D101+0.01</f>
        <v>9.7864310730353968E-2</v>
      </c>
      <c r="E100" s="192">
        <f t="dataTable" ref="E100:I104" dt2D="1" dtr="1" r1="I43" r2="H4" ca="1"/>
        <v>220.14826582520794</v>
      </c>
      <c r="F100" s="192">
        <v>205.94471805909595</v>
      </c>
      <c r="G100" s="192">
        <v>205.94471805909595</v>
      </c>
      <c r="H100" s="192">
        <v>220.14826582520794</v>
      </c>
      <c r="I100" s="192">
        <v>248.55536135743193</v>
      </c>
      <c r="J100" s="193"/>
      <c r="L100" s="191">
        <f t="shared" ref="L100" si="17">L101+0.01</f>
        <v>9.7864310730353968E-2</v>
      </c>
      <c r="M100" s="304">
        <f t="dataTable" ref="M100:Q104" dt2D="1" dtr="1" r1="I43" r2="H4" ca="1"/>
        <v>12.29438897105455</v>
      </c>
      <c r="N100" s="304">
        <v>11.418938961779405</v>
      </c>
      <c r="O100" s="304">
        <v>11.418938961779405</v>
      </c>
      <c r="P100" s="304">
        <v>12.29438897105455</v>
      </c>
      <c r="Q100" s="304">
        <v>14.045288989604842</v>
      </c>
    </row>
    <row r="101" spans="2:17" ht="15" customHeight="1" x14ac:dyDescent="0.3">
      <c r="B101" s="182"/>
      <c r="D101" s="191">
        <f>D102+0.01</f>
        <v>8.7864310730353973E-2</v>
      </c>
      <c r="E101" s="192">
        <v>212.83599498311247</v>
      </c>
      <c r="F101" s="192">
        <v>199.21167481896762</v>
      </c>
      <c r="G101" s="192">
        <v>199.21167481896762</v>
      </c>
      <c r="H101" s="192">
        <v>212.83599498311247</v>
      </c>
      <c r="I101" s="192">
        <v>240.08463531140214</v>
      </c>
      <c r="J101" s="193"/>
      <c r="L101" s="191">
        <f>L102+0.01</f>
        <v>8.7864310730353973E-2</v>
      </c>
      <c r="M101" s="304">
        <v>11.843689773787219</v>
      </c>
      <c r="N101" s="304">
        <v>11.003941042662058</v>
      </c>
      <c r="O101" s="304">
        <v>11.003941042662058</v>
      </c>
      <c r="P101" s="304">
        <v>11.843689773787219</v>
      </c>
      <c r="Q101" s="304">
        <v>13.52318723603754</v>
      </c>
    </row>
    <row r="102" spans="2:17" ht="15" customHeight="1" x14ac:dyDescent="0.3">
      <c r="B102" s="182"/>
      <c r="C102" s="92" t="s">
        <v>234</v>
      </c>
      <c r="D102" s="195">
        <f>H4</f>
        <v>7.7864310730353978E-2</v>
      </c>
      <c r="E102" s="192">
        <v>212.83599498311247</v>
      </c>
      <c r="F102" s="192">
        <v>199.21167481896762</v>
      </c>
      <c r="G102" s="192">
        <v>199.21167481896762</v>
      </c>
      <c r="H102" s="192">
        <v>212.83599498311247</v>
      </c>
      <c r="I102" s="192">
        <v>240.08463531140214</v>
      </c>
      <c r="J102" s="193"/>
      <c r="K102" s="92" t="s">
        <v>234</v>
      </c>
      <c r="L102" s="195">
        <f>H4</f>
        <v>7.7864310730353978E-2</v>
      </c>
      <c r="M102" s="304">
        <v>11.843689773787219</v>
      </c>
      <c r="N102" s="304">
        <v>11.003941042662058</v>
      </c>
      <c r="O102" s="304">
        <v>11.003941042662058</v>
      </c>
      <c r="P102" s="304">
        <v>11.843689773787219</v>
      </c>
      <c r="Q102" s="304">
        <v>13.52318723603754</v>
      </c>
    </row>
    <row r="103" spans="2:17" ht="15" customHeight="1" x14ac:dyDescent="0.3">
      <c r="B103" s="182"/>
      <c r="D103" s="191">
        <f t="shared" ref="D103:D104" si="18">D102-0.01</f>
        <v>6.7864310730353983E-2</v>
      </c>
      <c r="E103" s="192">
        <v>220.14826582520794</v>
      </c>
      <c r="F103" s="192">
        <v>205.94471805909595</v>
      </c>
      <c r="G103" s="192">
        <v>205.94471805909595</v>
      </c>
      <c r="H103" s="192">
        <v>220.14826582520794</v>
      </c>
      <c r="I103" s="192">
        <v>248.55536135743193</v>
      </c>
      <c r="J103" s="193"/>
      <c r="L103" s="191">
        <f t="shared" ref="L103:L104" si="19">L102-0.01</f>
        <v>6.7864310730353983E-2</v>
      </c>
      <c r="M103" s="304">
        <v>12.29438897105455</v>
      </c>
      <c r="N103" s="304">
        <v>11.418938961779405</v>
      </c>
      <c r="O103" s="304">
        <v>11.418938961779405</v>
      </c>
      <c r="P103" s="304">
        <v>12.29438897105455</v>
      </c>
      <c r="Q103" s="304">
        <v>14.045288989604842</v>
      </c>
    </row>
    <row r="104" spans="2:17" ht="15" customHeight="1" x14ac:dyDescent="0.3">
      <c r="B104" s="182"/>
      <c r="D104" s="279">
        <f t="shared" si="18"/>
        <v>5.7864310730353981E-2</v>
      </c>
      <c r="E104" s="192">
        <v>235.8994856909265</v>
      </c>
      <c r="F104" s="192">
        <v>220.44479722597015</v>
      </c>
      <c r="G104" s="192">
        <v>220.44479722597015</v>
      </c>
      <c r="H104" s="192">
        <v>235.8994856909265</v>
      </c>
      <c r="I104" s="192">
        <v>266.80886262083914</v>
      </c>
      <c r="J104" s="193"/>
      <c r="L104" s="279">
        <f t="shared" si="19"/>
        <v>5.7864310730353981E-2</v>
      </c>
      <c r="M104" s="304">
        <v>13.265231313024778</v>
      </c>
      <c r="N104" s="304">
        <v>12.312665983377276</v>
      </c>
      <c r="O104" s="304">
        <v>12.312665983377276</v>
      </c>
      <c r="P104" s="304">
        <v>13.265231313024778</v>
      </c>
      <c r="Q104" s="304">
        <v>15.17036197231978</v>
      </c>
    </row>
    <row r="105" spans="2:17" x14ac:dyDescent="0.3">
      <c r="J105" s="203"/>
    </row>
    <row r="106" spans="2:17" x14ac:dyDescent="0.3">
      <c r="B106" s="204" t="s">
        <v>238</v>
      </c>
      <c r="C106" s="204"/>
      <c r="D106" s="204"/>
      <c r="E106" s="204"/>
      <c r="G106" s="204" t="s">
        <v>239</v>
      </c>
      <c r="H106" s="204"/>
      <c r="I106" s="204"/>
      <c r="J106" s="205"/>
      <c r="K106" s="204"/>
      <c r="L106" s="204"/>
      <c r="M106" s="204"/>
      <c r="N106" s="204"/>
      <c r="O106" s="204"/>
      <c r="P106" s="204"/>
    </row>
    <row r="107" spans="2:17" x14ac:dyDescent="0.3">
      <c r="J107" s="203"/>
    </row>
    <row r="108" spans="2:17" x14ac:dyDescent="0.3">
      <c r="J108" s="203"/>
    </row>
    <row r="109" spans="2:17" x14ac:dyDescent="0.3">
      <c r="J109" s="203"/>
    </row>
    <row r="110" spans="2:17" x14ac:dyDescent="0.3">
      <c r="J110" s="203"/>
    </row>
    <row r="111" spans="2:17" x14ac:dyDescent="0.3">
      <c r="J111" s="203"/>
    </row>
    <row r="112" spans="2:17" x14ac:dyDescent="0.3">
      <c r="J112" s="203"/>
    </row>
    <row r="113" spans="2:17" x14ac:dyDescent="0.3">
      <c r="J113" s="203"/>
    </row>
    <row r="114" spans="2:17" x14ac:dyDescent="0.3">
      <c r="J114" s="203"/>
    </row>
    <row r="115" spans="2:17" x14ac:dyDescent="0.3">
      <c r="J115" s="203"/>
    </row>
    <row r="116" spans="2:17" x14ac:dyDescent="0.3">
      <c r="J116" s="203"/>
    </row>
    <row r="117" spans="2:17" x14ac:dyDescent="0.3">
      <c r="J117" s="203"/>
    </row>
    <row r="118" spans="2:17" x14ac:dyDescent="0.3">
      <c r="J118" s="203"/>
    </row>
    <row r="119" spans="2:17" x14ac:dyDescent="0.3">
      <c r="J119" s="203"/>
    </row>
    <row r="120" spans="2:17" x14ac:dyDescent="0.3">
      <c r="J120" s="203"/>
      <c r="M120" s="206"/>
    </row>
    <row r="121" spans="2:17" x14ac:dyDescent="0.3">
      <c r="J121" s="203"/>
    </row>
    <row r="122" spans="2:17" x14ac:dyDescent="0.3">
      <c r="J122" s="203"/>
    </row>
    <row r="123" spans="2:17" x14ac:dyDescent="0.3">
      <c r="J123" s="203"/>
    </row>
    <row r="124" spans="2:17" x14ac:dyDescent="0.3">
      <c r="J124" s="203"/>
    </row>
    <row r="125" spans="2:17" x14ac:dyDescent="0.3">
      <c r="J125" s="203"/>
    </row>
    <row r="126" spans="2:17" x14ac:dyDescent="0.3">
      <c r="J126" s="203"/>
    </row>
    <row r="127" spans="2:17" x14ac:dyDescent="0.3">
      <c r="B127" s="207"/>
      <c r="C127" s="208" t="s">
        <v>240</v>
      </c>
      <c r="D127" s="208" t="s">
        <v>241</v>
      </c>
      <c r="E127" s="209" t="s">
        <v>242</v>
      </c>
      <c r="G127" s="207"/>
      <c r="H127" s="138"/>
      <c r="I127" s="138"/>
      <c r="J127" s="210"/>
      <c r="K127" s="138"/>
      <c r="L127" s="138"/>
      <c r="M127" s="138"/>
      <c r="N127" s="138"/>
      <c r="O127" s="208" t="s">
        <v>240</v>
      </c>
      <c r="P127" s="208" t="s">
        <v>241</v>
      </c>
      <c r="Q127" s="209" t="s">
        <v>242</v>
      </c>
    </row>
    <row r="128" spans="2:17" x14ac:dyDescent="0.3">
      <c r="B128" s="211" t="str">
        <f>"DCF Value at "&amp;TEXT(E99,"0.0x")&amp;"-"&amp;TEXT(I99,"0.0x")&amp;" Exit EBITDA Range at "&amp;TEXT(D102,"0.0%")&amp;" WACC"</f>
        <v>DCF Value at 10.5x-14.5x Exit EBITDA Range at 7.8% WACC</v>
      </c>
      <c r="C128" s="212">
        <f>E102</f>
        <v>212.83599498311247</v>
      </c>
      <c r="D128" s="212">
        <f>E128-C128</f>
        <v>27.248640328289667</v>
      </c>
      <c r="E128" s="213">
        <f>I102</f>
        <v>240.08463531140214</v>
      </c>
      <c r="G128" s="211" t="str">
        <f>"LTM EBITDA Purchase Multiple at "&amp;TEXT(M90,"0.0%")&amp;"-"&amp;TEXT(Q90,"0.0%")&amp;" Perpetuity Growth at "&amp;TEXT(L93,"0.0%")&amp;" WACC"</f>
        <v>LTM EBITDA Purchase Multiple at 2.0%-4.0% Perpetuity Growth at 7.8% WACC</v>
      </c>
      <c r="J128" s="203"/>
      <c r="O128" s="214">
        <f>M93</f>
        <v>10.206367222129375</v>
      </c>
      <c r="P128" s="214">
        <f>Q128-O128</f>
        <v>1.0033633771619765</v>
      </c>
      <c r="Q128" s="215">
        <f>Q93</f>
        <v>11.209730599291351</v>
      </c>
    </row>
    <row r="129" spans="2:17" x14ac:dyDescent="0.3">
      <c r="B129" s="216" t="str">
        <f>"DCF Value at "&amp;TEXT(E90,"0.0%")&amp;"-"&amp;TEXT(I90,"0.0%")&amp;" Perpetuity Range at "&amp;TEXT(D102,"0.0%")&amp;" WACC"</f>
        <v>DCF Value at 2.0%-4.0% Perpetuity Range at 7.8% WACC</v>
      </c>
      <c r="C129" s="212">
        <f>E93</f>
        <v>186.27161229464818</v>
      </c>
      <c r="D129" s="212">
        <f>E129-C129</f>
        <v>16.27885030932535</v>
      </c>
      <c r="E129" s="213">
        <f>I93</f>
        <v>202.55046260397353</v>
      </c>
      <c r="G129" s="216" t="str">
        <f>"LTM EBITDA Purchase Multiple at "&amp;TEXT(M102,"0.0x")&amp;"-"&amp;TEXT(Q102,"0.0x")&amp;" Exit EBITDA Multiple at "&amp;TEXT(L102,"0.0%")&amp;" WACC"</f>
        <v>LTM EBITDA Purchase Multiple at 11.8x-13.5x Exit EBITDA Multiple at 7.8% WACC</v>
      </c>
      <c r="J129" s="203"/>
      <c r="O129" s="214">
        <f>M102</f>
        <v>11.843689773787219</v>
      </c>
      <c r="P129" s="214">
        <f>Q129-O129</f>
        <v>1.6794974622503211</v>
      </c>
      <c r="Q129" s="215">
        <f>Q102</f>
        <v>13.52318723603754</v>
      </c>
    </row>
    <row r="130" spans="2:17" x14ac:dyDescent="0.3">
      <c r="B130" s="217" t="s">
        <v>243</v>
      </c>
      <c r="C130" s="218">
        <v>169.5</v>
      </c>
      <c r="D130" s="221">
        <f>E130-C130</f>
        <v>158.35000000000002</v>
      </c>
      <c r="E130" s="219">
        <v>327.85</v>
      </c>
      <c r="G130" s="217" t="str">
        <f>"LTM EBITDA Purchase Multiple at "&amp;TEXT(L104,"0.0%")&amp;"-"&amp;TEXT(L100,"0.0%")&amp;" WACC at "&amp;TEXT(O99,"0.0x")&amp;" Exit EBITDA"</f>
        <v>LTM EBITDA Purchase Multiple at 5.8%-9.8% WACC at 12.5x Exit EBITDA</v>
      </c>
      <c r="H130" s="14"/>
      <c r="I130" s="14"/>
      <c r="J130" s="220"/>
      <c r="K130" s="14"/>
      <c r="L130" s="14"/>
      <c r="M130" s="14"/>
      <c r="N130" s="14"/>
      <c r="O130" s="221">
        <f>O100</f>
        <v>11.418938961779405</v>
      </c>
      <c r="P130" s="221">
        <f>Q130-O130</f>
        <v>0.89372702159787032</v>
      </c>
      <c r="Q130" s="222">
        <f>O104</f>
        <v>12.312665983377276</v>
      </c>
    </row>
    <row r="131" spans="2:17" x14ac:dyDescent="0.3">
      <c r="J131" s="203"/>
    </row>
    <row r="132" spans="2:17" x14ac:dyDescent="0.3">
      <c r="J132" s="203"/>
    </row>
  </sheetData>
  <conditionalFormatting sqref="E91:J95 E100:J104">
    <cfRule type="cellIs" dxfId="0" priority="1" operator="lessThan">
      <formula>$C$7</formula>
    </cfRule>
  </conditionalFormatting>
  <dataValidations count="1">
    <dataValidation type="list" allowBlank="1" showInputMessage="1" showErrorMessage="1" sqref="H7" xr:uid="{07290806-2B0E-4BEF-A657-840C2EEEFF52}">
      <formula1>"0,1"</formula1>
    </dataValidation>
  </dataValidation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FSM Apple 2018</vt:lpstr>
      <vt:lpstr>FSM Apple 2019</vt:lpstr>
      <vt:lpstr>DCF 1-Pager</vt:lpstr>
      <vt:lpstr>Shares</vt:lpstr>
      <vt:lpstr>WACC</vt:lpstr>
      <vt:lpstr>FSM Integrated DCF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saad ibrahim</dc:creator>
  <cp:lastModifiedBy>saad ibrahim</cp:lastModifiedBy>
  <dcterms:created xsi:type="dcterms:W3CDTF">2015-06-05T18:17:20Z</dcterms:created>
  <dcterms:modified xsi:type="dcterms:W3CDTF">2022-10-12T15:35:18Z</dcterms:modified>
</cp:coreProperties>
</file>